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bookViews>
    <workbookView xWindow="120" yWindow="45" windowWidth="15135" windowHeight="8130" tabRatio="846"/>
  </bookViews>
  <sheets>
    <sheet name="START" sheetId="36" r:id="rId1"/>
    <sheet name="Info" sheetId="30" r:id="rId2"/>
    <sheet name="Eating Out" sheetId="19" r:id="rId3"/>
    <sheet name="Database" sheetId="7" state="hidden" r:id="rId4"/>
    <sheet name="CPI" sheetId="11" state="hidden" r:id="rId5"/>
    <sheet name="Currency" sheetId="12" state="hidden" r:id="rId6"/>
    <sheet name="flag" sheetId="37" state="hidden" r:id="rId7"/>
    <sheet name="Groceries" sheetId="21" r:id="rId8"/>
    <sheet name="Transportation" sheetId="23" r:id="rId9"/>
    <sheet name="Utilities" sheetId="24" r:id="rId10"/>
    <sheet name="Recreation" sheetId="25" r:id="rId11"/>
    <sheet name="Apparel and Footwear" sheetId="26" r:id="rId12"/>
    <sheet name="Accomodation" sheetId="27" r:id="rId13"/>
    <sheet name="Full Report" sheetId="14" state="hidden" r:id="rId14"/>
    <sheet name="Summary" sheetId="34" r:id="rId15"/>
    <sheet name="Report" sheetId="31" r:id="rId16"/>
    <sheet name="Data" sheetId="17" state="hidden" r:id="rId17"/>
    <sheet name="Disclaimer" sheetId="35" r:id="rId18"/>
  </sheets>
  <definedNames>
    <definedName name="Mypic">INDEX(flag!$C$411:$C$524,MATCH('Full Report'!$J$4,flag!$B$411:$B$524,0))</definedName>
    <definedName name="PReport">INDEX(flag!$C$411:$C$524,MATCH('Full Report'!$M$4,flag!$B$411:$B$524,0))</definedName>
    <definedName name="_xlnm.Print_Area" localSheetId="15">Report!$C$3:$W$917</definedName>
  </definedNames>
  <calcPr calcId="125725"/>
</workbook>
</file>

<file path=xl/calcChain.xml><?xml version="1.0" encoding="utf-8"?>
<calcChain xmlns="http://schemas.openxmlformats.org/spreadsheetml/2006/main">
  <c r="BB394" i="11"/>
  <c r="BC394" s="1"/>
  <c r="BA394"/>
  <c r="BB393"/>
  <c r="BC393" s="1"/>
  <c r="BA393"/>
  <c r="BB392"/>
  <c r="BC392" s="1"/>
  <c r="BA392"/>
  <c r="BB391"/>
  <c r="BC391" s="1"/>
  <c r="BA391"/>
  <c r="BB390"/>
  <c r="BC390" s="1"/>
  <c r="BA390"/>
  <c r="BB389"/>
  <c r="BC389" s="1"/>
  <c r="BA389"/>
  <c r="BB388"/>
  <c r="BC388" s="1"/>
  <c r="BA388"/>
  <c r="BB387"/>
  <c r="BC387" s="1"/>
  <c r="BA387"/>
  <c r="BB386"/>
  <c r="BC386" s="1"/>
  <c r="BA386"/>
  <c r="BB385"/>
  <c r="BC385" s="1"/>
  <c r="BA385"/>
  <c r="BB384"/>
  <c r="BC384" s="1"/>
  <c r="BA384"/>
  <c r="BB383"/>
  <c r="BC383" s="1"/>
  <c r="BA383"/>
  <c r="BB382"/>
  <c r="BC382" s="1"/>
  <c r="BA382"/>
  <c r="BB381"/>
  <c r="BC381" s="1"/>
  <c r="BA381"/>
  <c r="BB380"/>
  <c r="BC380" s="1"/>
  <c r="BA380"/>
  <c r="BB379"/>
  <c r="BC379" s="1"/>
  <c r="BA379"/>
  <c r="BB378"/>
  <c r="BC378" s="1"/>
  <c r="BA378"/>
  <c r="BB377"/>
  <c r="BC377" s="1"/>
  <c r="BA377"/>
  <c r="BB376"/>
  <c r="BC376" s="1"/>
  <c r="BA376"/>
  <c r="BB375"/>
  <c r="BC375" s="1"/>
  <c r="BA375"/>
  <c r="BB374"/>
  <c r="BC374" s="1"/>
  <c r="BA374"/>
  <c r="BB373"/>
  <c r="BC373" s="1"/>
  <c r="BA373"/>
  <c r="BB372"/>
  <c r="BC372" s="1"/>
  <c r="BA372"/>
  <c r="BB371"/>
  <c r="BC371" s="1"/>
  <c r="BA371"/>
  <c r="BB370"/>
  <c r="BC370" s="1"/>
  <c r="BA370"/>
  <c r="BB369"/>
  <c r="BC369" s="1"/>
  <c r="BA369"/>
  <c r="BB368"/>
  <c r="BC368" s="1"/>
  <c r="BA368"/>
  <c r="BB367"/>
  <c r="BC367" s="1"/>
  <c r="BA367"/>
  <c r="BB366"/>
  <c r="BC366" s="1"/>
  <c r="BA366"/>
  <c r="BB365"/>
  <c r="BC365" s="1"/>
  <c r="BA365"/>
  <c r="BB364"/>
  <c r="BC364" s="1"/>
  <c r="BA364"/>
  <c r="BB363"/>
  <c r="BC363" s="1"/>
  <c r="BA363"/>
  <c r="BB362"/>
  <c r="BC362" s="1"/>
  <c r="BA362"/>
  <c r="BB361"/>
  <c r="BC361" s="1"/>
  <c r="BA361"/>
  <c r="BB360"/>
  <c r="BC360" s="1"/>
  <c r="BA360"/>
  <c r="BB359"/>
  <c r="BC359" s="1"/>
  <c r="BA359"/>
  <c r="BB358"/>
  <c r="BC358" s="1"/>
  <c r="BA358"/>
  <c r="BB357"/>
  <c r="BC357" s="1"/>
  <c r="BA357"/>
  <c r="BB356"/>
  <c r="BC356" s="1"/>
  <c r="BA356"/>
  <c r="BB355"/>
  <c r="BC355" s="1"/>
  <c r="BA355"/>
  <c r="BB354"/>
  <c r="BC354" s="1"/>
  <c r="BA354"/>
  <c r="BB353"/>
  <c r="BC353" s="1"/>
  <c r="BA353"/>
  <c r="BB352"/>
  <c r="BC352" s="1"/>
  <c r="BA352"/>
  <c r="BB351"/>
  <c r="BC351" s="1"/>
  <c r="BA351"/>
  <c r="BB350"/>
  <c r="BC350" s="1"/>
  <c r="BA350"/>
  <c r="BB349"/>
  <c r="BC349" s="1"/>
  <c r="BA349"/>
  <c r="BB348"/>
  <c r="BC348" s="1"/>
  <c r="BA348"/>
  <c r="BB347"/>
  <c r="BC347" s="1"/>
  <c r="BA347"/>
  <c r="BB346"/>
  <c r="BC346" s="1"/>
  <c r="BA346"/>
  <c r="BB345"/>
  <c r="BC345" s="1"/>
  <c r="BA345"/>
  <c r="BB344"/>
  <c r="BC344" s="1"/>
  <c r="BA344"/>
  <c r="BB343"/>
  <c r="BC343" s="1"/>
  <c r="BA343"/>
  <c r="BB342"/>
  <c r="BC342" s="1"/>
  <c r="BA342"/>
  <c r="BB341"/>
  <c r="BC341" s="1"/>
  <c r="BA341"/>
  <c r="BB340"/>
  <c r="BC340" s="1"/>
  <c r="BA340"/>
  <c r="BB339"/>
  <c r="BC339" s="1"/>
  <c r="BA339"/>
  <c r="BB338"/>
  <c r="BC338" s="1"/>
  <c r="BA338"/>
  <c r="BB337"/>
  <c r="BC337" s="1"/>
  <c r="BA337"/>
  <c r="BB336"/>
  <c r="BC336" s="1"/>
  <c r="BA336"/>
  <c r="BB335"/>
  <c r="BC335" s="1"/>
  <c r="BA335"/>
  <c r="BB334"/>
  <c r="BC334" s="1"/>
  <c r="BA334"/>
  <c r="BB333"/>
  <c r="BC333" s="1"/>
  <c r="BA333"/>
  <c r="BB332"/>
  <c r="BC332" s="1"/>
  <c r="BA332"/>
  <c r="BB331"/>
  <c r="BC331" s="1"/>
  <c r="BA331"/>
  <c r="BB330"/>
  <c r="BC330" s="1"/>
  <c r="BA330"/>
  <c r="BB329"/>
  <c r="BC329" s="1"/>
  <c r="BA329"/>
  <c r="BB328"/>
  <c r="BC328" s="1"/>
  <c r="BA328"/>
  <c r="BB327"/>
  <c r="BC327" s="1"/>
  <c r="BA327"/>
  <c r="BB326"/>
  <c r="BC326" s="1"/>
  <c r="BA326"/>
  <c r="BB325"/>
  <c r="BC325" s="1"/>
  <c r="BA325"/>
  <c r="BB324"/>
  <c r="BC324" s="1"/>
  <c r="BA324"/>
  <c r="BB323"/>
  <c r="BC323" s="1"/>
  <c r="BA323"/>
  <c r="BB322"/>
  <c r="BC322" s="1"/>
  <c r="BA322"/>
  <c r="BB321"/>
  <c r="BC321" s="1"/>
  <c r="BA321"/>
  <c r="BB320"/>
  <c r="BC320" s="1"/>
  <c r="BA320"/>
  <c r="BB319"/>
  <c r="BC319" s="1"/>
  <c r="BA319"/>
  <c r="BB318"/>
  <c r="BC318" s="1"/>
  <c r="BA318"/>
  <c r="BB317"/>
  <c r="BC317" s="1"/>
  <c r="BA317"/>
  <c r="BB316"/>
  <c r="BC316" s="1"/>
  <c r="BA316"/>
  <c r="BB315"/>
  <c r="BC315" s="1"/>
  <c r="BA315"/>
  <c r="BB314"/>
  <c r="BC314" s="1"/>
  <c r="BA314"/>
  <c r="BB313"/>
  <c r="BC313" s="1"/>
  <c r="BA313"/>
  <c r="BB312"/>
  <c r="BC312" s="1"/>
  <c r="BA312"/>
  <c r="BB311"/>
  <c r="BC311" s="1"/>
  <c r="BA311"/>
  <c r="BB310"/>
  <c r="BC310" s="1"/>
  <c r="BA310"/>
  <c r="BB309"/>
  <c r="BC309" s="1"/>
  <c r="BA309"/>
  <c r="BB308"/>
  <c r="BC308" s="1"/>
  <c r="BA308"/>
  <c r="BB307"/>
  <c r="BC307" s="1"/>
  <c r="BA307"/>
  <c r="BB306"/>
  <c r="BC306" s="1"/>
  <c r="BA306"/>
  <c r="BB305"/>
  <c r="BC305" s="1"/>
  <c r="BA305"/>
  <c r="BB304"/>
  <c r="BC304" s="1"/>
  <c r="BA304"/>
  <c r="BB303"/>
  <c r="BC303" s="1"/>
  <c r="BA303"/>
  <c r="BB302"/>
  <c r="BC302" s="1"/>
  <c r="BA302"/>
  <c r="BB301"/>
  <c r="BC301" s="1"/>
  <c r="BA301"/>
  <c r="BB300"/>
  <c r="BC300" s="1"/>
  <c r="BA300"/>
  <c r="BB299"/>
  <c r="BC299" s="1"/>
  <c r="BA299"/>
  <c r="BB298"/>
  <c r="BC298" s="1"/>
  <c r="BA298"/>
  <c r="BB297"/>
  <c r="BC297" s="1"/>
  <c r="BA297"/>
  <c r="BB296"/>
  <c r="BC296" s="1"/>
  <c r="BA296"/>
  <c r="BB295"/>
  <c r="BC295" s="1"/>
  <c r="BA295"/>
  <c r="BB294"/>
  <c r="BC294" s="1"/>
  <c r="BA294"/>
  <c r="BB293"/>
  <c r="BC293" s="1"/>
  <c r="BA293"/>
  <c r="BB292"/>
  <c r="BC292" s="1"/>
  <c r="BA292"/>
  <c r="BB291"/>
  <c r="BC291" s="1"/>
  <c r="BA291"/>
  <c r="BB290"/>
  <c r="BC290" s="1"/>
  <c r="BA290"/>
  <c r="BB289"/>
  <c r="BC289" s="1"/>
  <c r="BA289"/>
  <c r="BB288"/>
  <c r="BC288" s="1"/>
  <c r="BA288"/>
  <c r="BB287"/>
  <c r="BC287" s="1"/>
  <c r="BA287"/>
  <c r="BB286"/>
  <c r="BC286" s="1"/>
  <c r="BA286"/>
  <c r="BB285"/>
  <c r="BC285" s="1"/>
  <c r="BA285"/>
  <c r="BB284"/>
  <c r="BC284" s="1"/>
  <c r="BA284"/>
  <c r="BB283"/>
  <c r="BC283" s="1"/>
  <c r="BA283"/>
  <c r="BB282"/>
  <c r="BC282" s="1"/>
  <c r="BA282"/>
  <c r="BB281"/>
  <c r="BC281" s="1"/>
  <c r="BA281"/>
  <c r="BB280"/>
  <c r="BC280" s="1"/>
  <c r="BA280"/>
  <c r="BB279"/>
  <c r="BC279" s="1"/>
  <c r="BA279"/>
  <c r="BB278"/>
  <c r="BC278" s="1"/>
  <c r="BA278"/>
  <c r="BB277"/>
  <c r="BC277" s="1"/>
  <c r="BA277"/>
  <c r="BB276"/>
  <c r="BC276" s="1"/>
  <c r="BA276"/>
  <c r="BB275"/>
  <c r="BC275" s="1"/>
  <c r="BA275"/>
  <c r="BB274"/>
  <c r="BC274" s="1"/>
  <c r="BA274"/>
  <c r="BB273"/>
  <c r="BC273" s="1"/>
  <c r="BA273"/>
  <c r="BB272"/>
  <c r="BC272" s="1"/>
  <c r="BA272"/>
  <c r="BB271"/>
  <c r="BC271" s="1"/>
  <c r="BA271"/>
  <c r="BB270"/>
  <c r="BC270" s="1"/>
  <c r="BA270"/>
  <c r="BB269"/>
  <c r="BC269" s="1"/>
  <c r="BA269"/>
  <c r="BB268"/>
  <c r="BC268" s="1"/>
  <c r="BA268"/>
  <c r="BB267"/>
  <c r="BC267" s="1"/>
  <c r="BA267"/>
  <c r="BB266"/>
  <c r="BC266" s="1"/>
  <c r="BA266"/>
  <c r="BB265"/>
  <c r="BC265" s="1"/>
  <c r="BA265"/>
  <c r="BB264"/>
  <c r="BC264" s="1"/>
  <c r="BA264"/>
  <c r="BB263"/>
  <c r="BC263" s="1"/>
  <c r="BA263"/>
  <c r="BB262"/>
  <c r="BC262" s="1"/>
  <c r="BA262"/>
  <c r="BB261"/>
  <c r="BC261" s="1"/>
  <c r="BA261"/>
  <c r="BB260"/>
  <c r="BC260" s="1"/>
  <c r="BA260"/>
  <c r="BB259"/>
  <c r="BC259" s="1"/>
  <c r="BA259"/>
  <c r="BB258"/>
  <c r="BC258" s="1"/>
  <c r="BA258"/>
  <c r="BB257"/>
  <c r="BC257" s="1"/>
  <c r="BA257"/>
  <c r="BB256"/>
  <c r="BC256" s="1"/>
  <c r="BA256"/>
  <c r="BB255"/>
  <c r="BC255" s="1"/>
  <c r="BA255"/>
  <c r="BB254"/>
  <c r="BC254" s="1"/>
  <c r="BA254"/>
  <c r="BB253"/>
  <c r="BC253" s="1"/>
  <c r="BA253"/>
  <c r="BB252"/>
  <c r="BC252" s="1"/>
  <c r="BA252"/>
  <c r="BB251"/>
  <c r="BC251" s="1"/>
  <c r="BA251"/>
  <c r="BB250"/>
  <c r="BC250" s="1"/>
  <c r="BA250"/>
  <c r="BB249"/>
  <c r="BC249" s="1"/>
  <c r="BA249"/>
  <c r="BB248"/>
  <c r="BC248" s="1"/>
  <c r="BA248"/>
  <c r="BB247"/>
  <c r="BC247" s="1"/>
  <c r="BA247"/>
  <c r="BB246"/>
  <c r="BC246" s="1"/>
  <c r="BA246"/>
  <c r="BB245"/>
  <c r="BC245" s="1"/>
  <c r="BA245"/>
  <c r="BB244"/>
  <c r="BC244" s="1"/>
  <c r="BA244"/>
  <c r="BB243"/>
  <c r="BC243" s="1"/>
  <c r="BA243"/>
  <c r="BB242"/>
  <c r="BC242" s="1"/>
  <c r="BA242"/>
  <c r="BB241"/>
  <c r="BC241" s="1"/>
  <c r="BA241"/>
  <c r="BB240"/>
  <c r="BC240" s="1"/>
  <c r="BA240"/>
  <c r="BB239"/>
  <c r="BC239" s="1"/>
  <c r="BA239"/>
  <c r="BB238"/>
  <c r="BC238" s="1"/>
  <c r="BA238"/>
  <c r="BB237"/>
  <c r="BC237" s="1"/>
  <c r="BA237"/>
  <c r="BB236"/>
  <c r="BC236" s="1"/>
  <c r="BA236"/>
  <c r="BB235"/>
  <c r="BC235" s="1"/>
  <c r="BA235"/>
  <c r="BB234"/>
  <c r="BC234" s="1"/>
  <c r="BA234"/>
  <c r="BB233"/>
  <c r="BC233" s="1"/>
  <c r="BA233"/>
  <c r="BB232"/>
  <c r="BC232" s="1"/>
  <c r="BA232"/>
  <c r="BB231"/>
  <c r="BC231" s="1"/>
  <c r="BA231"/>
  <c r="BB230"/>
  <c r="BC230" s="1"/>
  <c r="BA230"/>
  <c r="BB229"/>
  <c r="BC229" s="1"/>
  <c r="BA229"/>
  <c r="BB228"/>
  <c r="BC228" s="1"/>
  <c r="BA228"/>
  <c r="BB227"/>
  <c r="BC227" s="1"/>
  <c r="BA227"/>
  <c r="BB226"/>
  <c r="BC226" s="1"/>
  <c r="BA226"/>
  <c r="BB225"/>
  <c r="BC225" s="1"/>
  <c r="BA225"/>
  <c r="BB224"/>
  <c r="BC224" s="1"/>
  <c r="BA224"/>
  <c r="BB223"/>
  <c r="BC223" s="1"/>
  <c r="BA223"/>
  <c r="BB222"/>
  <c r="BC222" s="1"/>
  <c r="BA222"/>
  <c r="BB221"/>
  <c r="BC221" s="1"/>
  <c r="BA221"/>
  <c r="BB220"/>
  <c r="BC220" s="1"/>
  <c r="BA220"/>
  <c r="BB219"/>
  <c r="BC219" s="1"/>
  <c r="BA219"/>
  <c r="BB218"/>
  <c r="BC218" s="1"/>
  <c r="BA218"/>
  <c r="BB217"/>
  <c r="BC217" s="1"/>
  <c r="BA217"/>
  <c r="BB216"/>
  <c r="BC216" s="1"/>
  <c r="BA216"/>
  <c r="BB215"/>
  <c r="BC215" s="1"/>
  <c r="BA215"/>
  <c r="BB214"/>
  <c r="BC214" s="1"/>
  <c r="BA214"/>
  <c r="BB213"/>
  <c r="BC213" s="1"/>
  <c r="BA213"/>
  <c r="BB212"/>
  <c r="BC212" s="1"/>
  <c r="BA212"/>
  <c r="BB211"/>
  <c r="BC211" s="1"/>
  <c r="BA211"/>
  <c r="BB210"/>
  <c r="BC210" s="1"/>
  <c r="BA210"/>
  <c r="BB209"/>
  <c r="BC209" s="1"/>
  <c r="BA209"/>
  <c r="BB208"/>
  <c r="BC208" s="1"/>
  <c r="BA208"/>
  <c r="BB207"/>
  <c r="BC207" s="1"/>
  <c r="BA207"/>
  <c r="BB206"/>
  <c r="BC206" s="1"/>
  <c r="BA206"/>
  <c r="BB205"/>
  <c r="BC205" s="1"/>
  <c r="BA205"/>
  <c r="BB204"/>
  <c r="BC204" s="1"/>
  <c r="BA204"/>
  <c r="BB203"/>
  <c r="BC203" s="1"/>
  <c r="BA203"/>
  <c r="BB202"/>
  <c r="BC202" s="1"/>
  <c r="BA202"/>
  <c r="BB201"/>
  <c r="BC201" s="1"/>
  <c r="BA201"/>
  <c r="BB200"/>
  <c r="BC200" s="1"/>
  <c r="BA200"/>
  <c r="BB199"/>
  <c r="BC199" s="1"/>
  <c r="BA199"/>
  <c r="BB198"/>
  <c r="BC198" s="1"/>
  <c r="BA198"/>
  <c r="BB197"/>
  <c r="BC197" s="1"/>
  <c r="BA197"/>
  <c r="BB196"/>
  <c r="BC196" s="1"/>
  <c r="BA196"/>
  <c r="BB195"/>
  <c r="BC195" s="1"/>
  <c r="BA195"/>
  <c r="BB194"/>
  <c r="BC194" s="1"/>
  <c r="BA194"/>
  <c r="BB193"/>
  <c r="BC193" s="1"/>
  <c r="BA193"/>
  <c r="BB192"/>
  <c r="BC192" s="1"/>
  <c r="BA192"/>
  <c r="BB191"/>
  <c r="BC191" s="1"/>
  <c r="BA191"/>
  <c r="BB190"/>
  <c r="BC190" s="1"/>
  <c r="BA190"/>
  <c r="BB189"/>
  <c r="BC189" s="1"/>
  <c r="BA189"/>
  <c r="BB188"/>
  <c r="BC188" s="1"/>
  <c r="BA188"/>
  <c r="BB187"/>
  <c r="BC187" s="1"/>
  <c r="BA187"/>
  <c r="BB186"/>
  <c r="BC186" s="1"/>
  <c r="BA186"/>
  <c r="BB185"/>
  <c r="BC185" s="1"/>
  <c r="BA185"/>
  <c r="BB184"/>
  <c r="BC184" s="1"/>
  <c r="BA184"/>
  <c r="BB183"/>
  <c r="BC183" s="1"/>
  <c r="BA183"/>
  <c r="BB182"/>
  <c r="BC182" s="1"/>
  <c r="BA182"/>
  <c r="BB181"/>
  <c r="BC181" s="1"/>
  <c r="BA181"/>
  <c r="BB180"/>
  <c r="BC180" s="1"/>
  <c r="BA180"/>
  <c r="BB179"/>
  <c r="BC179" s="1"/>
  <c r="BA179"/>
  <c r="BB178"/>
  <c r="BC178" s="1"/>
  <c r="BA178"/>
  <c r="BB177"/>
  <c r="BC177" s="1"/>
  <c r="BA177"/>
  <c r="BB176"/>
  <c r="BC176" s="1"/>
  <c r="BA176"/>
  <c r="BB175"/>
  <c r="BC175" s="1"/>
  <c r="BA175"/>
  <c r="BB174"/>
  <c r="BC174" s="1"/>
  <c r="BA174"/>
  <c r="BB173"/>
  <c r="BC173" s="1"/>
  <c r="BA173"/>
  <c r="BB172"/>
  <c r="BC172" s="1"/>
  <c r="BA172"/>
  <c r="BB171"/>
  <c r="BC171" s="1"/>
  <c r="BA171"/>
  <c r="BB170"/>
  <c r="BC170" s="1"/>
  <c r="BA170"/>
  <c r="BB169"/>
  <c r="BC169" s="1"/>
  <c r="BA169"/>
  <c r="BB168"/>
  <c r="BC168" s="1"/>
  <c r="BA168"/>
  <c r="BB167"/>
  <c r="BC167" s="1"/>
  <c r="BA167"/>
  <c r="BB166"/>
  <c r="BC166" s="1"/>
  <c r="BA166"/>
  <c r="BB165"/>
  <c r="BC165" s="1"/>
  <c r="BA165"/>
  <c r="BB164"/>
  <c r="BC164" s="1"/>
  <c r="BA164"/>
  <c r="BB163"/>
  <c r="BC163" s="1"/>
  <c r="BA163"/>
  <c r="BB162"/>
  <c r="BC162" s="1"/>
  <c r="BA162"/>
  <c r="BB161"/>
  <c r="BC161" s="1"/>
  <c r="BA161"/>
  <c r="BB160"/>
  <c r="BC160" s="1"/>
  <c r="BA160"/>
  <c r="BB159"/>
  <c r="BC159" s="1"/>
  <c r="BA159"/>
  <c r="BB158"/>
  <c r="BC158" s="1"/>
  <c r="BA158"/>
  <c r="BB157"/>
  <c r="BC157" s="1"/>
  <c r="BA157"/>
  <c r="BB156"/>
  <c r="BC156" s="1"/>
  <c r="BA156"/>
  <c r="BB155"/>
  <c r="BC155" s="1"/>
  <c r="BA155"/>
  <c r="BB154"/>
  <c r="BC154" s="1"/>
  <c r="BA154"/>
  <c r="BB153"/>
  <c r="BC153" s="1"/>
  <c r="BA153"/>
  <c r="BB152"/>
  <c r="BC152" s="1"/>
  <c r="BA152"/>
  <c r="BB151"/>
  <c r="BC151" s="1"/>
  <c r="BA151"/>
  <c r="BB150"/>
  <c r="BC150" s="1"/>
  <c r="BA150"/>
  <c r="BB149"/>
  <c r="BC149" s="1"/>
  <c r="BA149"/>
  <c r="BB148"/>
  <c r="BC148" s="1"/>
  <c r="BA148"/>
  <c r="BB147"/>
  <c r="BC147" s="1"/>
  <c r="BA147"/>
  <c r="BB146"/>
  <c r="BC146" s="1"/>
  <c r="BA146"/>
  <c r="BB145"/>
  <c r="BC145" s="1"/>
  <c r="BA145"/>
  <c r="BB144"/>
  <c r="BC144" s="1"/>
  <c r="BA144"/>
  <c r="BB143"/>
  <c r="BC143" s="1"/>
  <c r="BA143"/>
  <c r="BB142"/>
  <c r="BC142" s="1"/>
  <c r="BA142"/>
  <c r="BB141"/>
  <c r="BC141" s="1"/>
  <c r="BA141"/>
  <c r="BB140"/>
  <c r="BC140" s="1"/>
  <c r="BA140"/>
  <c r="BB139"/>
  <c r="BC139" s="1"/>
  <c r="BA139"/>
  <c r="BB138"/>
  <c r="BC138" s="1"/>
  <c r="BA138"/>
  <c r="BB137"/>
  <c r="BC137" s="1"/>
  <c r="BA137"/>
  <c r="BB136"/>
  <c r="BC136" s="1"/>
  <c r="BA136"/>
  <c r="BB135"/>
  <c r="BC135" s="1"/>
  <c r="BA135"/>
  <c r="BB134"/>
  <c r="BC134" s="1"/>
  <c r="BA134"/>
  <c r="BB133"/>
  <c r="BC133" s="1"/>
  <c r="BA133"/>
  <c r="BB132"/>
  <c r="BC132" s="1"/>
  <c r="BA132"/>
  <c r="BB131"/>
  <c r="BC131" s="1"/>
  <c r="BA131"/>
  <c r="BB130"/>
  <c r="BC130" s="1"/>
  <c r="BA130"/>
  <c r="BB129"/>
  <c r="BC129" s="1"/>
  <c r="BA129"/>
  <c r="BB128"/>
  <c r="BC128" s="1"/>
  <c r="BA128"/>
  <c r="BB127"/>
  <c r="BC127" s="1"/>
  <c r="BA127"/>
  <c r="BB126"/>
  <c r="BC126" s="1"/>
  <c r="BA126"/>
  <c r="BB125"/>
  <c r="BC125" s="1"/>
  <c r="BA125"/>
  <c r="BB124"/>
  <c r="BC124" s="1"/>
  <c r="BA124"/>
  <c r="BB123"/>
  <c r="BC123" s="1"/>
  <c r="BA123"/>
  <c r="BB122"/>
  <c r="BC122" s="1"/>
  <c r="BA122"/>
  <c r="BB121"/>
  <c r="BC121" s="1"/>
  <c r="BA121"/>
  <c r="BB120"/>
  <c r="BC120" s="1"/>
  <c r="BA120"/>
  <c r="BB119"/>
  <c r="BC119" s="1"/>
  <c r="BA119"/>
  <c r="BB118"/>
  <c r="BC118" s="1"/>
  <c r="BA118"/>
  <c r="BB117"/>
  <c r="BC117" s="1"/>
  <c r="BA117"/>
  <c r="BB116"/>
  <c r="BC116" s="1"/>
  <c r="BA116"/>
  <c r="BB115"/>
  <c r="BC115" s="1"/>
  <c r="BA115"/>
  <c r="BB114"/>
  <c r="BC114" s="1"/>
  <c r="BA114"/>
  <c r="BB113"/>
  <c r="BC113" s="1"/>
  <c r="BA113"/>
  <c r="BB112"/>
  <c r="BC112" s="1"/>
  <c r="BA112"/>
  <c r="BB111"/>
  <c r="BC111" s="1"/>
  <c r="BA111"/>
  <c r="BB110"/>
  <c r="BC110" s="1"/>
  <c r="BA110"/>
  <c r="BB109"/>
  <c r="BC109" s="1"/>
  <c r="BA109"/>
  <c r="BB108"/>
  <c r="BC108" s="1"/>
  <c r="BA108"/>
  <c r="BB107"/>
  <c r="BC107" s="1"/>
  <c r="BA107"/>
  <c r="BB106"/>
  <c r="BC106" s="1"/>
  <c r="BA106"/>
  <c r="BB105"/>
  <c r="BC105" s="1"/>
  <c r="BA105"/>
  <c r="BB104"/>
  <c r="BC104" s="1"/>
  <c r="BA104"/>
  <c r="BB103"/>
  <c r="BC103" s="1"/>
  <c r="BA103"/>
  <c r="BB102"/>
  <c r="BC102" s="1"/>
  <c r="BA102"/>
  <c r="BB101"/>
  <c r="BC101" s="1"/>
  <c r="BA101"/>
  <c r="BB100"/>
  <c r="BC100" s="1"/>
  <c r="BA100"/>
  <c r="BB99"/>
  <c r="BC99" s="1"/>
  <c r="BA99"/>
  <c r="BB98"/>
  <c r="BC98" s="1"/>
  <c r="BA98"/>
  <c r="BB97"/>
  <c r="BC97" s="1"/>
  <c r="BA97"/>
  <c r="BB96"/>
  <c r="BC96" s="1"/>
  <c r="BA96"/>
  <c r="BB95"/>
  <c r="BC95" s="1"/>
  <c r="BA95"/>
  <c r="BB94"/>
  <c r="BC94" s="1"/>
  <c r="BA94"/>
  <c r="BB93"/>
  <c r="BC93" s="1"/>
  <c r="BA93"/>
  <c r="BB92"/>
  <c r="BC92" s="1"/>
  <c r="BA92"/>
  <c r="BB91"/>
  <c r="BC91" s="1"/>
  <c r="BA91"/>
  <c r="BB90"/>
  <c r="BC90" s="1"/>
  <c r="BA90"/>
  <c r="BB89"/>
  <c r="BC89" s="1"/>
  <c r="BA89"/>
  <c r="BB88"/>
  <c r="BC88" s="1"/>
  <c r="BA88"/>
  <c r="BB87"/>
  <c r="BC87" s="1"/>
  <c r="BA87"/>
  <c r="BB86"/>
  <c r="BC86" s="1"/>
  <c r="BA86"/>
  <c r="BB85"/>
  <c r="BC85" s="1"/>
  <c r="BA85"/>
  <c r="BB84"/>
  <c r="BC84" s="1"/>
  <c r="BA84"/>
  <c r="BB83"/>
  <c r="BC83" s="1"/>
  <c r="BA83"/>
  <c r="BB82"/>
  <c r="BC82" s="1"/>
  <c r="BA82"/>
  <c r="BB81"/>
  <c r="BC81" s="1"/>
  <c r="BA81"/>
  <c r="BB80"/>
  <c r="BC80" s="1"/>
  <c r="BA80"/>
  <c r="BB79"/>
  <c r="BC79" s="1"/>
  <c r="BA79"/>
  <c r="BB78"/>
  <c r="BC78" s="1"/>
  <c r="BA78"/>
  <c r="BB77"/>
  <c r="BC77" s="1"/>
  <c r="BA77"/>
  <c r="BB76"/>
  <c r="BC76" s="1"/>
  <c r="BA76"/>
  <c r="BB75"/>
  <c r="BC75" s="1"/>
  <c r="BA75"/>
  <c r="BB74"/>
  <c r="BC74" s="1"/>
  <c r="BA74"/>
  <c r="BB73"/>
  <c r="BC73" s="1"/>
  <c r="BA73"/>
  <c r="BB72"/>
  <c r="BC72" s="1"/>
  <c r="BA72"/>
  <c r="BB71"/>
  <c r="BC71" s="1"/>
  <c r="BA71"/>
  <c r="BB70"/>
  <c r="BC70" s="1"/>
  <c r="BA70"/>
  <c r="BB69"/>
  <c r="BC69" s="1"/>
  <c r="BA69"/>
  <c r="BB68"/>
  <c r="BC68" s="1"/>
  <c r="BA68"/>
  <c r="BB67"/>
  <c r="BC67" s="1"/>
  <c r="BA67"/>
  <c r="BB66"/>
  <c r="BC66" s="1"/>
  <c r="BA66"/>
  <c r="BB65"/>
  <c r="BC65" s="1"/>
  <c r="BA65"/>
  <c r="BB64"/>
  <c r="BC64" s="1"/>
  <c r="BA64"/>
  <c r="BB63"/>
  <c r="BC63" s="1"/>
  <c r="BA63"/>
  <c r="BB62"/>
  <c r="BC62" s="1"/>
  <c r="BA62"/>
  <c r="BB61"/>
  <c r="BC61" s="1"/>
  <c r="BA61"/>
  <c r="BB60"/>
  <c r="BC60" s="1"/>
  <c r="BA60"/>
  <c r="BB59"/>
  <c r="BC59" s="1"/>
  <c r="BA59"/>
  <c r="BB58"/>
  <c r="BC58" s="1"/>
  <c r="BA58"/>
  <c r="BB57"/>
  <c r="BC57" s="1"/>
  <c r="BA57"/>
  <c r="BB56"/>
  <c r="BC56" s="1"/>
  <c r="BA56"/>
  <c r="BB55"/>
  <c r="BC55" s="1"/>
  <c r="BA55"/>
  <c r="BB54"/>
  <c r="BC54" s="1"/>
  <c r="BA54"/>
  <c r="BB53"/>
  <c r="BC53" s="1"/>
  <c r="BA53"/>
  <c r="BB52"/>
  <c r="BC52" s="1"/>
  <c r="BA52"/>
  <c r="BB51"/>
  <c r="BC51" s="1"/>
  <c r="BA51"/>
  <c r="BB50"/>
  <c r="BC50" s="1"/>
  <c r="BA50"/>
  <c r="BB49"/>
  <c r="BC49" s="1"/>
  <c r="BA49"/>
  <c r="BB48"/>
  <c r="BC48" s="1"/>
  <c r="BA48"/>
  <c r="BB47"/>
  <c r="BC47" s="1"/>
  <c r="BA47"/>
  <c r="BB46"/>
  <c r="BC46" s="1"/>
  <c r="BA46"/>
  <c r="BB45"/>
  <c r="BC45" s="1"/>
  <c r="BA45"/>
  <c r="BB44"/>
  <c r="BC44" s="1"/>
  <c r="BA44"/>
  <c r="BB43"/>
  <c r="BC43" s="1"/>
  <c r="BA43"/>
  <c r="BB42"/>
  <c r="BC42" s="1"/>
  <c r="BA42"/>
  <c r="BB41"/>
  <c r="BC41" s="1"/>
  <c r="BA41"/>
  <c r="BB40"/>
  <c r="BC40" s="1"/>
  <c r="BA40"/>
  <c r="BB39"/>
  <c r="BC39" s="1"/>
  <c r="BA39"/>
  <c r="BB38"/>
  <c r="BC38" s="1"/>
  <c r="BA38"/>
  <c r="BB37"/>
  <c r="BC37" s="1"/>
  <c r="BA37"/>
  <c r="BB36"/>
  <c r="BC36" s="1"/>
  <c r="BA36"/>
  <c r="BB35"/>
  <c r="BC35" s="1"/>
  <c r="BA35"/>
  <c r="BB34"/>
  <c r="BC34" s="1"/>
  <c r="BA34"/>
  <c r="BB33"/>
  <c r="BC33" s="1"/>
  <c r="BA33"/>
  <c r="BB32"/>
  <c r="BC32" s="1"/>
  <c r="BA32"/>
  <c r="BB31"/>
  <c r="BC31" s="1"/>
  <c r="BA31"/>
  <c r="BB30"/>
  <c r="BC30" s="1"/>
  <c r="BA30"/>
  <c r="BB29"/>
  <c r="BC29" s="1"/>
  <c r="BA29"/>
  <c r="BB28"/>
  <c r="BC28" s="1"/>
  <c r="BA28"/>
  <c r="BB27"/>
  <c r="BC27" s="1"/>
  <c r="BA27"/>
  <c r="BB26"/>
  <c r="BC26" s="1"/>
  <c r="BA26"/>
  <c r="BB25"/>
  <c r="BC25" s="1"/>
  <c r="BA25"/>
  <c r="BB24"/>
  <c r="BC24" s="1"/>
  <c r="BA24"/>
  <c r="BB23"/>
  <c r="BC23" s="1"/>
  <c r="BA23"/>
  <c r="BB22"/>
  <c r="BC22" s="1"/>
  <c r="BA22"/>
  <c r="BB21"/>
  <c r="BC21" s="1"/>
  <c r="BA21"/>
  <c r="BB20"/>
  <c r="BC20" s="1"/>
  <c r="BA20"/>
  <c r="BB19"/>
  <c r="BC19" s="1"/>
  <c r="BA19"/>
  <c r="BB18"/>
  <c r="BC18" s="1"/>
  <c r="BA18"/>
  <c r="BB17"/>
  <c r="BC17" s="1"/>
  <c r="BA17"/>
  <c r="BB16"/>
  <c r="BC16" s="1"/>
  <c r="BA16"/>
  <c r="BB15"/>
  <c r="BC15" s="1"/>
  <c r="BA15"/>
  <c r="BB14"/>
  <c r="BC14" s="1"/>
  <c r="BA14"/>
  <c r="BB13"/>
  <c r="BC13" s="1"/>
  <c r="BA13"/>
  <c r="BB12"/>
  <c r="BC12" s="1"/>
  <c r="BA12"/>
  <c r="BB11"/>
  <c r="BC11" s="1"/>
  <c r="BA11"/>
  <c r="BB10"/>
  <c r="BC10" s="1"/>
  <c r="BA10"/>
  <c r="BB9"/>
  <c r="BC9" s="1"/>
  <c r="BA9"/>
  <c r="BB8"/>
  <c r="BC8" s="1"/>
  <c r="BA8"/>
  <c r="BB7"/>
  <c r="BC7" s="1"/>
  <c r="BA7"/>
  <c r="BB6"/>
  <c r="BC6" s="1"/>
  <c r="BA6"/>
  <c r="BB5"/>
  <c r="BC5" s="1"/>
  <c r="BA5"/>
  <c r="BB4"/>
  <c r="BC4" s="1"/>
  <c r="BA4"/>
  <c r="J19" i="21" l="1"/>
  <c r="J20"/>
  <c r="J21"/>
  <c r="J18"/>
  <c r="J7"/>
  <c r="J8"/>
  <c r="J9"/>
  <c r="J10"/>
  <c r="J11"/>
  <c r="J12"/>
  <c r="J13"/>
  <c r="J14"/>
  <c r="J15"/>
  <c r="J16"/>
  <c r="J6"/>
  <c r="J17"/>
  <c r="J7" i="27"/>
  <c r="J8"/>
  <c r="J9"/>
  <c r="J6"/>
  <c r="J7" i="26"/>
  <c r="J8"/>
  <c r="J9"/>
  <c r="J6"/>
  <c r="J8" i="25"/>
  <c r="J7"/>
  <c r="J6"/>
  <c r="J7" i="24"/>
  <c r="J8"/>
  <c r="J6"/>
  <c r="J9" i="23"/>
  <c r="J7"/>
  <c r="J8"/>
  <c r="J10"/>
  <c r="J11"/>
  <c r="J6"/>
  <c r="J7" i="19"/>
  <c r="J8"/>
  <c r="J9"/>
  <c r="J10"/>
  <c r="J11"/>
  <c r="J12"/>
  <c r="J6"/>
  <c r="J13"/>
  <c r="B3" i="12"/>
  <c r="D53" i="14" l="1"/>
  <c r="D52"/>
  <c r="D51"/>
  <c r="D77" i="31" l="1"/>
  <c r="D89"/>
  <c r="P118"/>
  <c r="X419"/>
  <c r="J641" i="17" l="1"/>
  <c r="I641"/>
  <c r="H641"/>
  <c r="P778" i="31" l="1"/>
  <c r="D778"/>
  <c r="P777"/>
  <c r="D777"/>
  <c r="D783" s="1"/>
  <c r="K751"/>
  <c r="E745"/>
  <c r="D745"/>
  <c r="E744"/>
  <c r="D744"/>
  <c r="E743"/>
  <c r="D743"/>
  <c r="E742"/>
  <c r="D742"/>
  <c r="V856" l="1"/>
  <c r="V840"/>
  <c r="Q773"/>
  <c r="D741"/>
  <c r="D729"/>
  <c r="K718"/>
  <c r="E712"/>
  <c r="D712"/>
  <c r="E711"/>
  <c r="D711"/>
  <c r="E710"/>
  <c r="D710"/>
  <c r="D709"/>
  <c r="K683"/>
  <c r="E677"/>
  <c r="D677"/>
  <c r="E676"/>
  <c r="D676"/>
  <c r="E675"/>
  <c r="D675"/>
  <c r="D674"/>
  <c r="K651"/>
  <c r="E643"/>
  <c r="D643"/>
  <c r="E642"/>
  <c r="D642"/>
  <c r="E641"/>
  <c r="D641"/>
  <c r="E640"/>
  <c r="D640"/>
  <c r="E639"/>
  <c r="D639"/>
  <c r="E638"/>
  <c r="D638"/>
  <c r="D637"/>
  <c r="K609"/>
  <c r="E603"/>
  <c r="D603"/>
  <c r="E602"/>
  <c r="D602"/>
  <c r="E601"/>
  <c r="D601"/>
  <c r="E600"/>
  <c r="D600"/>
  <c r="E599"/>
  <c r="D599"/>
  <c r="E598"/>
  <c r="D598"/>
  <c r="E597"/>
  <c r="D597"/>
  <c r="E596"/>
  <c r="D596"/>
  <c r="E595"/>
  <c r="D595"/>
  <c r="E594"/>
  <c r="D594"/>
  <c r="E593"/>
  <c r="D593"/>
  <c r="E592"/>
  <c r="D592"/>
  <c r="E591"/>
  <c r="D591"/>
  <c r="E590"/>
  <c r="D590"/>
  <c r="E589"/>
  <c r="D589"/>
  <c r="E588"/>
  <c r="D588"/>
  <c r="D587"/>
  <c r="K560"/>
  <c r="F557"/>
  <c r="E561" s="1"/>
  <c r="E554"/>
  <c r="D554"/>
  <c r="E553"/>
  <c r="D553"/>
  <c r="E552"/>
  <c r="D552"/>
  <c r="E551"/>
  <c r="D551"/>
  <c r="E550"/>
  <c r="D550"/>
  <c r="E549"/>
  <c r="D549"/>
  <c r="E548"/>
  <c r="D548"/>
  <c r="E547"/>
  <c r="D547"/>
  <c r="D546"/>
  <c r="K524"/>
  <c r="E518"/>
  <c r="E517"/>
  <c r="E516"/>
  <c r="E555" l="1"/>
  <c r="E559"/>
  <c r="E515"/>
  <c r="D514"/>
  <c r="D415" l="1"/>
  <c r="D414"/>
  <c r="D413"/>
  <c r="D412"/>
  <c r="D411" l="1"/>
  <c r="D410"/>
  <c r="D377"/>
  <c r="D376"/>
  <c r="D375"/>
  <c r="D374" l="1"/>
  <c r="D341"/>
  <c r="D340"/>
  <c r="D339"/>
  <c r="D338"/>
  <c r="D311"/>
  <c r="D310"/>
  <c r="D309"/>
  <c r="D308"/>
  <c r="D307"/>
  <c r="D306"/>
  <c r="R305"/>
  <c r="D305"/>
  <c r="D279"/>
  <c r="D278"/>
  <c r="D277"/>
  <c r="D276"/>
  <c r="D275"/>
  <c r="D274"/>
  <c r="D273"/>
  <c r="D272"/>
  <c r="D271"/>
  <c r="D270"/>
  <c r="D269"/>
  <c r="D268"/>
  <c r="D267"/>
  <c r="D266"/>
  <c r="D265"/>
  <c r="D264"/>
  <c r="D263"/>
  <c r="D244"/>
  <c r="D243"/>
  <c r="D242"/>
  <c r="D241"/>
  <c r="D240"/>
  <c r="D239"/>
  <c r="D238"/>
  <c r="D237" l="1"/>
  <c r="R236"/>
  <c r="R374" s="1"/>
  <c r="D236"/>
  <c r="D224"/>
  <c r="D206"/>
  <c r="D518" s="1"/>
  <c r="D205"/>
  <c r="D517" s="1"/>
  <c r="D204"/>
  <c r="D516" s="1"/>
  <c r="D203"/>
  <c r="D202"/>
  <c r="R411" l="1"/>
  <c r="R338"/>
  <c r="R202"/>
  <c r="D515"/>
  <c r="D143"/>
  <c r="D141"/>
  <c r="D132"/>
  <c r="Q131"/>
  <c r="Q130"/>
  <c r="E7" i="34" l="1"/>
  <c r="H6"/>
  <c r="Q129" i="31"/>
  <c r="E6" i="34" s="1"/>
  <c r="I129" i="31"/>
  <c r="J127" s="1"/>
  <c r="Q128"/>
  <c r="D17" s="1"/>
  <c r="H5" i="34" l="1"/>
  <c r="H742" i="31"/>
  <c r="H745"/>
  <c r="H744"/>
  <c r="H743"/>
  <c r="I738"/>
  <c r="H711"/>
  <c r="H710"/>
  <c r="H677"/>
  <c r="H675"/>
  <c r="I671"/>
  <c r="H642"/>
  <c r="H640"/>
  <c r="H638"/>
  <c r="H603"/>
  <c r="H601"/>
  <c r="H599"/>
  <c r="H597"/>
  <c r="H593"/>
  <c r="H591"/>
  <c r="H590"/>
  <c r="H588"/>
  <c r="I586"/>
  <c r="H712"/>
  <c r="I707"/>
  <c r="H676"/>
  <c r="H643"/>
  <c r="H641"/>
  <c r="H639"/>
  <c r="H602"/>
  <c r="H600"/>
  <c r="H598"/>
  <c r="H596"/>
  <c r="H595"/>
  <c r="H594"/>
  <c r="H592"/>
  <c r="H589"/>
  <c r="I557"/>
  <c r="R554"/>
  <c r="R553"/>
  <c r="R552"/>
  <c r="H551"/>
  <c r="H550"/>
  <c r="H549"/>
  <c r="R547"/>
  <c r="H547"/>
  <c r="H518"/>
  <c r="I561"/>
  <c r="H562" s="1"/>
  <c r="H554"/>
  <c r="H553"/>
  <c r="H552"/>
  <c r="R551"/>
  <c r="R550"/>
  <c r="R549"/>
  <c r="R548"/>
  <c r="H548"/>
  <c r="H546"/>
  <c r="H517"/>
  <c r="H516"/>
  <c r="H515"/>
  <c r="I512"/>
  <c r="Q126"/>
  <c r="C9" i="27"/>
  <c r="C8"/>
  <c r="C7"/>
  <c r="C6"/>
  <c r="G2"/>
  <c r="H519" i="31" l="1"/>
  <c r="H555"/>
  <c r="I559"/>
  <c r="H604"/>
  <c r="H644"/>
  <c r="H646"/>
  <c r="H678"/>
  <c r="H713"/>
  <c r="I748"/>
  <c r="H741"/>
  <c r="C739"/>
  <c r="L738" s="1"/>
  <c r="H746"/>
  <c r="I525"/>
  <c r="H514"/>
  <c r="R513"/>
  <c r="R642"/>
  <c r="R640"/>
  <c r="R603"/>
  <c r="R601"/>
  <c r="R599"/>
  <c r="R597"/>
  <c r="R593"/>
  <c r="R591"/>
  <c r="R590"/>
  <c r="R643"/>
  <c r="R641"/>
  <c r="R639"/>
  <c r="R638"/>
  <c r="R602"/>
  <c r="R600"/>
  <c r="R598"/>
  <c r="R596"/>
  <c r="R595"/>
  <c r="R594"/>
  <c r="R592"/>
  <c r="R589"/>
  <c r="R588"/>
  <c r="I546"/>
  <c r="M570"/>
  <c r="T546"/>
  <c r="W545" s="1"/>
  <c r="W710"/>
  <c r="H709"/>
  <c r="I715"/>
  <c r="W587"/>
  <c r="I610"/>
  <c r="I606"/>
  <c r="H674"/>
  <c r="V673"/>
  <c r="L671" s="1"/>
  <c r="I680"/>
  <c r="F2" i="26"/>
  <c r="L586" i="31" l="1"/>
  <c r="K572"/>
  <c r="G571"/>
  <c r="T587"/>
  <c r="M619"/>
  <c r="I587"/>
  <c r="M693"/>
  <c r="M661"/>
  <c r="K663" s="1"/>
  <c r="C8" i="25"/>
  <c r="C7"/>
  <c r="C6"/>
  <c r="F2"/>
  <c r="C8" i="24"/>
  <c r="C7"/>
  <c r="C6"/>
  <c r="G2"/>
  <c r="C11" i="23"/>
  <c r="C10"/>
  <c r="C9"/>
  <c r="C8"/>
  <c r="C7"/>
  <c r="C6"/>
  <c r="G2"/>
  <c r="C21" i="21"/>
  <c r="C20"/>
  <c r="C19"/>
  <c r="C18"/>
  <c r="C17"/>
  <c r="C16"/>
  <c r="C15"/>
  <c r="C14"/>
  <c r="C13"/>
  <c r="C12"/>
  <c r="C11"/>
  <c r="C10"/>
  <c r="C9"/>
  <c r="C8"/>
  <c r="C7"/>
  <c r="C6"/>
  <c r="C6" i="12"/>
  <c r="T3" i="11"/>
  <c r="C13" i="19"/>
  <c r="C12"/>
  <c r="C11"/>
  <c r="C10"/>
  <c r="C9"/>
  <c r="C8"/>
  <c r="C7"/>
  <c r="C6"/>
  <c r="G2"/>
  <c r="D70" i="14"/>
  <c r="D69"/>
  <c r="D68"/>
  <c r="D67"/>
  <c r="D64"/>
  <c r="D63"/>
  <c r="D62"/>
  <c r="D61"/>
  <c r="D58"/>
  <c r="D57"/>
  <c r="D56"/>
  <c r="D47"/>
  <c r="D46"/>
  <c r="D45"/>
  <c r="D44"/>
  <c r="D43"/>
  <c r="D42"/>
  <c r="D39"/>
  <c r="D38"/>
  <c r="D37"/>
  <c r="C8" i="12" l="1"/>
  <c r="G662" i="31"/>
  <c r="H587"/>
  <c r="I741"/>
  <c r="I637"/>
  <c r="T637" s="1"/>
  <c r="I709"/>
  <c r="I674"/>
  <c r="I514"/>
  <c r="K621"/>
  <c r="G620"/>
  <c r="W593"/>
  <c r="D36" i="14"/>
  <c r="D35"/>
  <c r="D34"/>
  <c r="D33"/>
  <c r="D32"/>
  <c r="D31"/>
  <c r="D30"/>
  <c r="D29"/>
  <c r="D28"/>
  <c r="D27"/>
  <c r="D26"/>
  <c r="D25"/>
  <c r="D24"/>
  <c r="D18"/>
  <c r="D17"/>
  <c r="D16"/>
  <c r="D15"/>
  <c r="D14"/>
  <c r="D13"/>
  <c r="D12"/>
  <c r="D11"/>
  <c r="C9"/>
  <c r="C7"/>
  <c r="G29" s="1"/>
  <c r="P14" l="1"/>
  <c r="G15"/>
  <c r="G27"/>
  <c r="P29"/>
  <c r="M5"/>
  <c r="G8"/>
  <c r="G14"/>
  <c r="P17"/>
  <c r="G18"/>
  <c r="G24"/>
  <c r="P25"/>
  <c r="P27"/>
  <c r="G28"/>
  <c r="P74"/>
  <c r="G73"/>
  <c r="P70"/>
  <c r="G70"/>
  <c r="G69"/>
  <c r="G68"/>
  <c r="P64"/>
  <c r="G64"/>
  <c r="G63"/>
  <c r="G62"/>
  <c r="G61"/>
  <c r="P58"/>
  <c r="G58"/>
  <c r="G57"/>
  <c r="G56"/>
  <c r="P53"/>
  <c r="P47"/>
  <c r="G47"/>
  <c r="P45"/>
  <c r="G45"/>
  <c r="P43"/>
  <c r="G43"/>
  <c r="G42"/>
  <c r="P39"/>
  <c r="P37"/>
  <c r="G37"/>
  <c r="P38"/>
  <c r="G38"/>
  <c r="P36"/>
  <c r="G74"/>
  <c r="P73"/>
  <c r="P69"/>
  <c r="P68"/>
  <c r="P67"/>
  <c r="G67"/>
  <c r="P63"/>
  <c r="P62"/>
  <c r="P61"/>
  <c r="P57"/>
  <c r="P56"/>
  <c r="G53"/>
  <c r="P52"/>
  <c r="G52"/>
  <c r="P51"/>
  <c r="G51"/>
  <c r="P46"/>
  <c r="G46"/>
  <c r="P44"/>
  <c r="G44"/>
  <c r="P42"/>
  <c r="G39"/>
  <c r="H8"/>
  <c r="G11"/>
  <c r="P11"/>
  <c r="G12"/>
  <c r="P12"/>
  <c r="G13"/>
  <c r="P13"/>
  <c r="P15"/>
  <c r="G16"/>
  <c r="P16"/>
  <c r="G17"/>
  <c r="P18"/>
  <c r="P24"/>
  <c r="G25"/>
  <c r="G26"/>
  <c r="P26"/>
  <c r="P28"/>
  <c r="G30"/>
  <c r="P30"/>
  <c r="G33"/>
  <c r="P33"/>
  <c r="G35"/>
  <c r="G36"/>
  <c r="R675" i="31"/>
  <c r="G694" s="1"/>
  <c r="T674"/>
  <c r="R676"/>
  <c r="G31" i="14"/>
  <c r="P31"/>
  <c r="G32"/>
  <c r="P32"/>
  <c r="G34"/>
  <c r="P34"/>
  <c r="P35"/>
  <c r="J8" i="30"/>
  <c r="K8"/>
  <c r="P8"/>
  <c r="P7"/>
  <c r="Q127" i="31" l="1"/>
  <c r="D15" s="1"/>
  <c r="C6" i="14"/>
  <c r="E205" i="31"/>
  <c r="W591" s="1"/>
  <c r="Q132"/>
  <c r="F9" i="14"/>
  <c r="H9" s="1"/>
  <c r="E16" i="30"/>
  <c r="P773" i="31"/>
  <c r="E204"/>
  <c r="D9" i="14"/>
  <c r="H57" s="1"/>
  <c r="E12" i="30"/>
  <c r="H38" i="14"/>
  <c r="R836" i="31" l="1"/>
  <c r="D836"/>
  <c r="K5" i="23"/>
  <c r="K5" i="21"/>
  <c r="K5" i="19"/>
  <c r="K5" i="27"/>
  <c r="K5" i="26"/>
  <c r="L5" i="24"/>
  <c r="L5" i="25"/>
  <c r="L5" i="21"/>
  <c r="L5" i="19"/>
  <c r="L5" i="27"/>
  <c r="L5" i="26"/>
  <c r="K5" i="24"/>
  <c r="K5" i="25"/>
  <c r="L5" i="23"/>
  <c r="P507" i="31"/>
  <c r="H13" i="14"/>
  <c r="Q239" i="31" s="1"/>
  <c r="H12" i="14"/>
  <c r="H7" i="19" s="1"/>
  <c r="H69" i="14"/>
  <c r="J69" s="1"/>
  <c r="H16"/>
  <c r="Q242" i="31" s="1"/>
  <c r="H67" i="14"/>
  <c r="Q203" i="31" s="1"/>
  <c r="H51" i="14"/>
  <c r="Q339" i="31" s="1"/>
  <c r="H32" i="14"/>
  <c r="Q272" i="31" s="1"/>
  <c r="H36" i="14"/>
  <c r="H18" i="21" s="1"/>
  <c r="L18" s="1"/>
  <c r="H39" i="14"/>
  <c r="Q279" i="31" s="1"/>
  <c r="H17" i="14"/>
  <c r="H12" i="19" s="1"/>
  <c r="H25" i="14"/>
  <c r="H7" i="21" s="1"/>
  <c r="H56" i="14"/>
  <c r="Q375" i="31" s="1"/>
  <c r="H30" i="14"/>
  <c r="J30" s="1"/>
  <c r="H61"/>
  <c r="Q412" i="31" s="1"/>
  <c r="H53" i="14"/>
  <c r="J53" s="1"/>
  <c r="H44"/>
  <c r="Q308" i="31" s="1"/>
  <c r="H31" i="14"/>
  <c r="H13" i="21" s="1"/>
  <c r="H63" i="14"/>
  <c r="H8" i="26" s="1"/>
  <c r="H58" i="14"/>
  <c r="J58" s="1"/>
  <c r="H42"/>
  <c r="J42" s="1"/>
  <c r="H52"/>
  <c r="Q340" i="31" s="1"/>
  <c r="H46" i="14"/>
  <c r="H10" i="23" s="1"/>
  <c r="L10" s="1"/>
  <c r="H26" i="14"/>
  <c r="J26" s="1"/>
  <c r="H35"/>
  <c r="Q275" i="31" s="1"/>
  <c r="H34" i="14"/>
  <c r="J34" s="1"/>
  <c r="H73"/>
  <c r="H62"/>
  <c r="Q413" i="31" s="1"/>
  <c r="H68" i="14"/>
  <c r="Q204" i="31" s="1"/>
  <c r="H47" i="14"/>
  <c r="Q311" i="31" s="1"/>
  <c r="H70" i="14"/>
  <c r="J70" s="1"/>
  <c r="H64"/>
  <c r="Q415" i="31" s="1"/>
  <c r="E5" i="34"/>
  <c r="H7"/>
  <c r="E25" s="1"/>
  <c r="F743" i="31"/>
  <c r="J743" s="1"/>
  <c r="F745"/>
  <c r="J745" s="1"/>
  <c r="D739"/>
  <c r="C741" s="1"/>
  <c r="F710"/>
  <c r="G710" s="1"/>
  <c r="F675"/>
  <c r="G675" s="1"/>
  <c r="F640"/>
  <c r="J640" s="1"/>
  <c r="F603"/>
  <c r="J603" s="1"/>
  <c r="F599"/>
  <c r="J599" s="1"/>
  <c r="F593"/>
  <c r="J593" s="1"/>
  <c r="F591"/>
  <c r="J591" s="1"/>
  <c r="F588"/>
  <c r="G588" s="1"/>
  <c r="D708"/>
  <c r="C709" s="1"/>
  <c r="D672"/>
  <c r="C674" s="1"/>
  <c r="F641"/>
  <c r="J641" s="1"/>
  <c r="D635"/>
  <c r="C637" s="1"/>
  <c r="F600"/>
  <c r="J600" s="1"/>
  <c r="F596"/>
  <c r="J596" s="1"/>
  <c r="F594"/>
  <c r="J594" s="1"/>
  <c r="F589"/>
  <c r="J589" s="1"/>
  <c r="F550"/>
  <c r="J550" s="1"/>
  <c r="N550" s="1"/>
  <c r="O550" s="1"/>
  <c r="O560" s="1"/>
  <c r="F548"/>
  <c r="J548" s="1"/>
  <c r="F518"/>
  <c r="J518" s="1"/>
  <c r="F554"/>
  <c r="J554" s="1"/>
  <c r="F552"/>
  <c r="J552" s="1"/>
  <c r="F517"/>
  <c r="J517" s="1"/>
  <c r="F515"/>
  <c r="G515" s="1"/>
  <c r="F742"/>
  <c r="G742" s="1"/>
  <c r="F744"/>
  <c r="J744" s="1"/>
  <c r="F711"/>
  <c r="J711" s="1"/>
  <c r="F677"/>
  <c r="J677" s="1"/>
  <c r="F642"/>
  <c r="J642" s="1"/>
  <c r="F638"/>
  <c r="G638" s="1"/>
  <c r="F601"/>
  <c r="J601" s="1"/>
  <c r="F597"/>
  <c r="J597" s="1"/>
  <c r="W592"/>
  <c r="C587" s="1"/>
  <c r="P263" s="1"/>
  <c r="F590"/>
  <c r="J590" s="1"/>
  <c r="F712"/>
  <c r="J712" s="1"/>
  <c r="F676"/>
  <c r="J676" s="1"/>
  <c r="F643"/>
  <c r="J643" s="1"/>
  <c r="F639"/>
  <c r="J639" s="1"/>
  <c r="F602"/>
  <c r="J602" s="1"/>
  <c r="F598"/>
  <c r="J598" s="1"/>
  <c r="F595"/>
  <c r="J595" s="1"/>
  <c r="F592"/>
  <c r="J592" s="1"/>
  <c r="F551"/>
  <c r="J551" s="1"/>
  <c r="F549"/>
  <c r="J549" s="1"/>
  <c r="C546"/>
  <c r="H558"/>
  <c r="F553"/>
  <c r="J553" s="1"/>
  <c r="F547"/>
  <c r="G547" s="1"/>
  <c r="F516"/>
  <c r="J516" s="1"/>
  <c r="D513"/>
  <c r="C514" s="1"/>
  <c r="D115"/>
  <c r="H644" i="17"/>
  <c r="J642" s="1"/>
  <c r="J5" i="14"/>
  <c r="M4" s="1"/>
  <c r="J4" s="1"/>
  <c r="E53"/>
  <c r="E51"/>
  <c r="E44"/>
  <c r="E39"/>
  <c r="F39" s="1"/>
  <c r="I39" s="1"/>
  <c r="E73"/>
  <c r="M73" s="1"/>
  <c r="E69"/>
  <c r="E67"/>
  <c r="F67" s="1"/>
  <c r="P203" i="31" s="1"/>
  <c r="E63" i="14"/>
  <c r="E61"/>
  <c r="E57"/>
  <c r="M57" s="1"/>
  <c r="E47"/>
  <c r="M47" s="1"/>
  <c r="E43"/>
  <c r="M43" s="1"/>
  <c r="I8"/>
  <c r="F8"/>
  <c r="E12"/>
  <c r="M12" s="1"/>
  <c r="E14"/>
  <c r="E16"/>
  <c r="E24"/>
  <c r="M24" s="1"/>
  <c r="N24" s="1"/>
  <c r="O24" s="1"/>
  <c r="E25"/>
  <c r="F25" s="1"/>
  <c r="I25" s="1"/>
  <c r="E27"/>
  <c r="M27" s="1"/>
  <c r="E29"/>
  <c r="M29" s="1"/>
  <c r="E34"/>
  <c r="E11"/>
  <c r="M11" s="1"/>
  <c r="E26"/>
  <c r="E30"/>
  <c r="E33"/>
  <c r="M33" s="1"/>
  <c r="E74"/>
  <c r="M74" s="1"/>
  <c r="E52"/>
  <c r="E46"/>
  <c r="E38"/>
  <c r="E37"/>
  <c r="M37" s="1"/>
  <c r="E70"/>
  <c r="M70" s="1"/>
  <c r="E68"/>
  <c r="M68" s="1"/>
  <c r="E64"/>
  <c r="M64" s="1"/>
  <c r="E62"/>
  <c r="M62" s="1"/>
  <c r="E58"/>
  <c r="E56"/>
  <c r="E45"/>
  <c r="M45" s="1"/>
  <c r="E42"/>
  <c r="E8"/>
  <c r="E15"/>
  <c r="F15" s="1"/>
  <c r="P241" i="31" s="1"/>
  <c r="E13" i="14"/>
  <c r="E17"/>
  <c r="E31"/>
  <c r="E18"/>
  <c r="E28"/>
  <c r="F28" s="1"/>
  <c r="I28" s="1"/>
  <c r="E32"/>
  <c r="E35"/>
  <c r="E36"/>
  <c r="H11" i="19"/>
  <c r="Q278" i="31"/>
  <c r="H20" i="21"/>
  <c r="J67" i="14"/>
  <c r="J17"/>
  <c r="Q271" i="31"/>
  <c r="H24" i="14"/>
  <c r="H29"/>
  <c r="H27"/>
  <c r="H18"/>
  <c r="H28"/>
  <c r="H15"/>
  <c r="H14"/>
  <c r="D740" i="31"/>
  <c r="C708"/>
  <c r="L707" s="1"/>
  <c r="D673"/>
  <c r="V672" s="1"/>
  <c r="D354" s="1"/>
  <c r="C635"/>
  <c r="C513"/>
  <c r="L512" s="1"/>
  <c r="I516"/>
  <c r="V516" s="1"/>
  <c r="I554"/>
  <c r="V554" s="1"/>
  <c r="I550"/>
  <c r="V550" s="1"/>
  <c r="I594"/>
  <c r="I600"/>
  <c r="I643"/>
  <c r="I593"/>
  <c r="V593" s="1"/>
  <c r="I603"/>
  <c r="V603" s="1"/>
  <c r="I677"/>
  <c r="V677" s="1"/>
  <c r="I743"/>
  <c r="I515"/>
  <c r="V515" s="1"/>
  <c r="I548"/>
  <c r="V548" s="1"/>
  <c r="I638"/>
  <c r="I675"/>
  <c r="I710"/>
  <c r="I553"/>
  <c r="V553" s="1"/>
  <c r="I549"/>
  <c r="I592"/>
  <c r="V592" s="1"/>
  <c r="I598"/>
  <c r="I641"/>
  <c r="I712"/>
  <c r="V712" s="1"/>
  <c r="I597"/>
  <c r="I642"/>
  <c r="I552"/>
  <c r="V552" s="1"/>
  <c r="I518"/>
  <c r="V518" s="1"/>
  <c r="I589"/>
  <c r="I596"/>
  <c r="I639"/>
  <c r="I590"/>
  <c r="I599"/>
  <c r="I640"/>
  <c r="I711"/>
  <c r="I745"/>
  <c r="V745" s="1"/>
  <c r="I547"/>
  <c r="I588"/>
  <c r="I742"/>
  <c r="I517"/>
  <c r="I551"/>
  <c r="V551" s="1"/>
  <c r="I595"/>
  <c r="I602"/>
  <c r="I676"/>
  <c r="I591"/>
  <c r="V591" s="1"/>
  <c r="I601"/>
  <c r="I744"/>
  <c r="Q376"/>
  <c r="H7" i="25"/>
  <c r="J57" i="14"/>
  <c r="Q263" i="31"/>
  <c r="H45" i="14"/>
  <c r="H43"/>
  <c r="H37"/>
  <c r="H74"/>
  <c r="H11"/>
  <c r="H33"/>
  <c r="Q238" i="31" l="1"/>
  <c r="S280"/>
  <c r="F25" i="34"/>
  <c r="Q266" i="31"/>
  <c r="Q310"/>
  <c r="H6" i="26"/>
  <c r="H9" i="27"/>
  <c r="H8" i="23"/>
  <c r="L8" s="1"/>
  <c r="H6"/>
  <c r="L6" s="1"/>
  <c r="Q414" i="31"/>
  <c r="Q416" s="1"/>
  <c r="Q341"/>
  <c r="Q342" s="1"/>
  <c r="Q205"/>
  <c r="H21" i="21"/>
  <c r="J47" i="14"/>
  <c r="H7" i="26"/>
  <c r="L7" s="1"/>
  <c r="J13" i="14"/>
  <c r="J12"/>
  <c r="G598" i="31"/>
  <c r="G593"/>
  <c r="F12" i="14"/>
  <c r="I12" s="1"/>
  <c r="H7" i="27"/>
  <c r="L7" s="1"/>
  <c r="J46" i="14"/>
  <c r="J56"/>
  <c r="J59" s="1"/>
  <c r="H16" i="34" s="1"/>
  <c r="J63" i="14"/>
  <c r="H17" i="21"/>
  <c r="L17" s="1"/>
  <c r="Q243" i="31"/>
  <c r="Q276"/>
  <c r="H9" i="26"/>
  <c r="Q377" i="31"/>
  <c r="Q378" s="1"/>
  <c r="Q274"/>
  <c r="Q270"/>
  <c r="Q265"/>
  <c r="H14" i="21"/>
  <c r="L14" s="1"/>
  <c r="H8" i="19"/>
  <c r="L8" s="1"/>
  <c r="J36" i="14"/>
  <c r="J68"/>
  <c r="J71" s="1"/>
  <c r="H18" i="34" s="1"/>
  <c r="Q206" i="31"/>
  <c r="J44" i="14"/>
  <c r="Q306" i="31"/>
  <c r="J61" i="14"/>
  <c r="J16"/>
  <c r="J35"/>
  <c r="G743" i="31"/>
  <c r="G676"/>
  <c r="F73" i="14"/>
  <c r="G639" i="31"/>
  <c r="G552"/>
  <c r="L552" s="1"/>
  <c r="G590"/>
  <c r="P265"/>
  <c r="G6" i="27"/>
  <c r="K6" s="1"/>
  <c r="F11" i="14"/>
  <c r="G6" i="19" s="1"/>
  <c r="K6" s="1"/>
  <c r="G603" i="31"/>
  <c r="F62" i="14"/>
  <c r="G7" i="26" s="1"/>
  <c r="K7" s="1"/>
  <c r="J32" i="14"/>
  <c r="H11" i="23"/>
  <c r="L11" s="1"/>
  <c r="J62" i="14"/>
  <c r="H8" i="25"/>
  <c r="H16" i="21"/>
  <c r="L16" s="1"/>
  <c r="H12"/>
  <c r="L12" s="1"/>
  <c r="H8"/>
  <c r="L8" s="1"/>
  <c r="J64" i="14"/>
  <c r="P268" i="31"/>
  <c r="F29" i="14"/>
  <c r="P269" i="31" s="1"/>
  <c r="F37" i="14"/>
  <c r="P277" i="31" s="1"/>
  <c r="I15" i="14"/>
  <c r="G711" i="31"/>
  <c r="G517"/>
  <c r="L517" s="1"/>
  <c r="G596"/>
  <c r="G554"/>
  <c r="L554" s="1"/>
  <c r="G548"/>
  <c r="U548" s="1"/>
  <c r="G589"/>
  <c r="G642"/>
  <c r="G601"/>
  <c r="G712"/>
  <c r="G643"/>
  <c r="G602"/>
  <c r="G595"/>
  <c r="F33" i="14"/>
  <c r="I33" s="1"/>
  <c r="P279" i="31"/>
  <c r="V279" s="1"/>
  <c r="R279" s="1"/>
  <c r="G677"/>
  <c r="G518"/>
  <c r="L518" s="1"/>
  <c r="G744"/>
  <c r="I67" i="14"/>
  <c r="F74"/>
  <c r="F47"/>
  <c r="P311" i="31" s="1"/>
  <c r="V311" s="1"/>
  <c r="R311" s="1"/>
  <c r="F68" i="14"/>
  <c r="G7" i="27" s="1"/>
  <c r="K7" s="1"/>
  <c r="G516" i="31"/>
  <c r="L516" s="1"/>
  <c r="G592"/>
  <c r="G597"/>
  <c r="G549"/>
  <c r="L549" s="1"/>
  <c r="G551"/>
  <c r="L551" s="1"/>
  <c r="V203"/>
  <c r="R203" s="1"/>
  <c r="I678"/>
  <c r="G550"/>
  <c r="U550" s="1"/>
  <c r="G745"/>
  <c r="G640"/>
  <c r="G599"/>
  <c r="G591"/>
  <c r="G600"/>
  <c r="G594"/>
  <c r="G553"/>
  <c r="U553" s="1"/>
  <c r="G641"/>
  <c r="F45" i="14"/>
  <c r="P309" i="31" s="1"/>
  <c r="F57" i="14"/>
  <c r="G7" i="25" s="1"/>
  <c r="K7" s="1"/>
  <c r="F64" i="14"/>
  <c r="G9" i="26" s="1"/>
  <c r="K9" s="1"/>
  <c r="F70" i="14"/>
  <c r="G9" i="27" s="1"/>
  <c r="K9" s="1"/>
  <c r="F27" i="14"/>
  <c r="P267" i="31" s="1"/>
  <c r="F746"/>
  <c r="M35" i="14"/>
  <c r="F35"/>
  <c r="G17" i="21" s="1"/>
  <c r="K17" s="1"/>
  <c r="F31" i="14"/>
  <c r="G13" i="21" s="1"/>
  <c r="K13" s="1"/>
  <c r="M31" i="14"/>
  <c r="J31" s="1"/>
  <c r="M13"/>
  <c r="F13"/>
  <c r="G8" i="19" s="1"/>
  <c r="K8" s="1"/>
  <c r="M58" i="14"/>
  <c r="F58"/>
  <c r="G8" i="25" s="1"/>
  <c r="K8" s="1"/>
  <c r="M38" i="14"/>
  <c r="J38" s="1"/>
  <c r="F38"/>
  <c r="G20" i="21" s="1"/>
  <c r="K20" s="1"/>
  <c r="F52" i="14"/>
  <c r="M52"/>
  <c r="J52" s="1"/>
  <c r="M26"/>
  <c r="F26"/>
  <c r="G8" i="21" s="1"/>
  <c r="K8" s="1"/>
  <c r="M34" i="14"/>
  <c r="F34"/>
  <c r="G16" i="21" s="1"/>
  <c r="K16" s="1"/>
  <c r="M14" i="14"/>
  <c r="F14"/>
  <c r="F63"/>
  <c r="G8" i="26" s="1"/>
  <c r="K8" s="1"/>
  <c r="M63" i="14"/>
  <c r="F69"/>
  <c r="M69"/>
  <c r="F51"/>
  <c r="M51"/>
  <c r="J51" s="1"/>
  <c r="M36"/>
  <c r="F36"/>
  <c r="G18" i="21" s="1"/>
  <c r="K18" s="1"/>
  <c r="F32" i="14"/>
  <c r="G14" i="21" s="1"/>
  <c r="K14" s="1"/>
  <c r="M32" i="14"/>
  <c r="M18"/>
  <c r="F18"/>
  <c r="F17"/>
  <c r="G12" i="19" s="1"/>
  <c r="K12" s="1"/>
  <c r="M17" i="14"/>
  <c r="M42"/>
  <c r="F42"/>
  <c r="M56"/>
  <c r="F56"/>
  <c r="F46"/>
  <c r="M46"/>
  <c r="M30"/>
  <c r="F30"/>
  <c r="G12" i="21" s="1"/>
  <c r="K12" s="1"/>
  <c r="M16" i="14"/>
  <c r="F16"/>
  <c r="G11" i="19" s="1"/>
  <c r="K11" s="1"/>
  <c r="F61" i="14"/>
  <c r="G6" i="26" s="1"/>
  <c r="K6" s="1"/>
  <c r="M61" i="14"/>
  <c r="F44"/>
  <c r="M44"/>
  <c r="F53"/>
  <c r="M53"/>
  <c r="K535" i="31"/>
  <c r="P514"/>
  <c r="H524"/>
  <c r="G514"/>
  <c r="F555"/>
  <c r="J547"/>
  <c r="N549"/>
  <c r="O549" s="1"/>
  <c r="O559" s="1"/>
  <c r="P549"/>
  <c r="F646"/>
  <c r="J638"/>
  <c r="N554"/>
  <c r="O554" s="1"/>
  <c r="P554"/>
  <c r="P548"/>
  <c r="N548"/>
  <c r="O548" s="1"/>
  <c r="O558" s="1"/>
  <c r="H651"/>
  <c r="G637"/>
  <c r="P637"/>
  <c r="G674"/>
  <c r="H683"/>
  <c r="P674"/>
  <c r="J588"/>
  <c r="F604"/>
  <c r="J675"/>
  <c r="F678"/>
  <c r="P741"/>
  <c r="G741"/>
  <c r="H751"/>
  <c r="K762"/>
  <c r="I46" i="14"/>
  <c r="G21" i="21"/>
  <c r="K21" s="1"/>
  <c r="F43" i="14"/>
  <c r="G7" i="23" s="1"/>
  <c r="K7" s="1"/>
  <c r="F24" i="14"/>
  <c r="P264" i="31" s="1"/>
  <c r="N553"/>
  <c r="O553" s="1"/>
  <c r="P553"/>
  <c r="K570"/>
  <c r="P546"/>
  <c r="L546"/>
  <c r="H560"/>
  <c r="G546"/>
  <c r="N551"/>
  <c r="O551" s="1"/>
  <c r="P551"/>
  <c r="H609"/>
  <c r="G587"/>
  <c r="P587"/>
  <c r="F519"/>
  <c r="J515"/>
  <c r="N552"/>
  <c r="O552" s="1"/>
  <c r="P552"/>
  <c r="G709"/>
  <c r="H718"/>
  <c r="J710"/>
  <c r="F713"/>
  <c r="Q307"/>
  <c r="J43" i="14"/>
  <c r="H7" i="23"/>
  <c r="L7" s="1"/>
  <c r="Q273" i="31"/>
  <c r="H15" i="21"/>
  <c r="L15" s="1"/>
  <c r="J33" i="14"/>
  <c r="Q237" i="31"/>
  <c r="H6" i="19"/>
  <c r="L6" s="1"/>
  <c r="H19" i="14"/>
  <c r="J11"/>
  <c r="Q277" i="31"/>
  <c r="H19" i="21"/>
  <c r="Q309" i="31"/>
  <c r="J45" i="14"/>
  <c r="H9" i="23"/>
  <c r="L9" s="1"/>
  <c r="Q305" i="31"/>
  <c r="Q236"/>
  <c r="L7" i="25"/>
  <c r="U547" i="31"/>
  <c r="L547"/>
  <c r="I713"/>
  <c r="V710"/>
  <c r="L588"/>
  <c r="Q240"/>
  <c r="H9" i="19"/>
  <c r="J14" i="14"/>
  <c r="Q268" i="31"/>
  <c r="H10" i="21"/>
  <c r="Q267" i="31"/>
  <c r="H9" i="21"/>
  <c r="J27" i="14"/>
  <c r="Q264" i="31"/>
  <c r="H40" i="14"/>
  <c r="H6" i="21"/>
  <c r="L6" s="1"/>
  <c r="J24" i="14"/>
  <c r="G7" i="21"/>
  <c r="K7" s="1"/>
  <c r="L7"/>
  <c r="I604" i="31"/>
  <c r="I646"/>
  <c r="I519"/>
  <c r="H48" i="14"/>
  <c r="J37"/>
  <c r="P305" i="31"/>
  <c r="P236"/>
  <c r="L515"/>
  <c r="I555"/>
  <c r="V547"/>
  <c r="L638"/>
  <c r="L7" i="19"/>
  <c r="D433" i="31"/>
  <c r="D394"/>
  <c r="D221"/>
  <c r="Q241"/>
  <c r="V241" s="1"/>
  <c r="R241" s="1"/>
  <c r="H10" i="19"/>
  <c r="J15" i="14"/>
  <c r="Q244" i="31"/>
  <c r="H13" i="19"/>
  <c r="J18" i="14"/>
  <c r="Q269" i="31"/>
  <c r="H11" i="21"/>
  <c r="J29" i="14"/>
  <c r="L13" i="21"/>
  <c r="L12" i="19"/>
  <c r="L20" i="21"/>
  <c r="L11" i="19"/>
  <c r="I746" i="31"/>
  <c r="L12" i="23" l="1"/>
  <c r="L8" i="26"/>
  <c r="P237" i="31"/>
  <c r="L6" i="26"/>
  <c r="I37" i="14"/>
  <c r="P273" i="31"/>
  <c r="G7" i="19"/>
  <c r="K7" s="1"/>
  <c r="P238" i="31"/>
  <c r="V238" s="1"/>
  <c r="R238" s="1"/>
  <c r="I47" i="14"/>
  <c r="I68"/>
  <c r="V265" i="31"/>
  <c r="R265" s="1"/>
  <c r="U551"/>
  <c r="V268"/>
  <c r="R268" s="1"/>
  <c r="P206"/>
  <c r="V206" s="1"/>
  <c r="R206" s="1"/>
  <c r="G9" i="23"/>
  <c r="K9" s="1"/>
  <c r="I11" i="14"/>
  <c r="G678" i="31"/>
  <c r="U549"/>
  <c r="L548"/>
  <c r="J65" i="14"/>
  <c r="H17" i="34" s="1"/>
  <c r="U552" i="31"/>
  <c r="U554"/>
  <c r="T554" s="1"/>
  <c r="G746"/>
  <c r="I29" i="14"/>
  <c r="P413" i="31"/>
  <c r="V413" s="1"/>
  <c r="R413" s="1"/>
  <c r="L519"/>
  <c r="J536" s="1"/>
  <c r="I62" i="14"/>
  <c r="G11" i="23"/>
  <c r="K11" s="1"/>
  <c r="I64" i="14"/>
  <c r="L553" i="31"/>
  <c r="I27" i="14"/>
  <c r="I45"/>
  <c r="F48"/>
  <c r="T549" i="31"/>
  <c r="G6" i="21"/>
  <c r="K6" s="1"/>
  <c r="T552" i="31"/>
  <c r="I44" i="14"/>
  <c r="T553" i="31"/>
  <c r="G604"/>
  <c r="T548"/>
  <c r="G713"/>
  <c r="I24" i="14"/>
  <c r="P415" i="31"/>
  <c r="V415" s="1"/>
  <c r="R415" s="1"/>
  <c r="P204"/>
  <c r="V204" s="1"/>
  <c r="R204" s="1"/>
  <c r="P376"/>
  <c r="V376" s="1"/>
  <c r="R376" s="1"/>
  <c r="G519"/>
  <c r="P307"/>
  <c r="V307" s="1"/>
  <c r="R307" s="1"/>
  <c r="G644"/>
  <c r="V643" s="1"/>
  <c r="V309"/>
  <c r="R309" s="1"/>
  <c r="V273"/>
  <c r="R273" s="1"/>
  <c r="V277"/>
  <c r="R277" s="1"/>
  <c r="V264"/>
  <c r="R264" s="1"/>
  <c r="Q312"/>
  <c r="F40" i="14"/>
  <c r="F19"/>
  <c r="G646" i="31"/>
  <c r="G555"/>
  <c r="G13" i="19"/>
  <c r="K13" s="1"/>
  <c r="I70" i="14"/>
  <c r="I57"/>
  <c r="L550" i="31"/>
  <c r="C552"/>
  <c r="Q552"/>
  <c r="Q553"/>
  <c r="F562" s="1"/>
  <c r="C553"/>
  <c r="C548"/>
  <c r="Q548"/>
  <c r="I53" i="14"/>
  <c r="P341" i="31"/>
  <c r="V341" s="1"/>
  <c r="R341" s="1"/>
  <c r="G8" i="23"/>
  <c r="K8" s="1"/>
  <c r="P308" i="31"/>
  <c r="V308" s="1"/>
  <c r="R308" s="1"/>
  <c r="I61" i="14"/>
  <c r="P412" i="31"/>
  <c r="G10" i="23"/>
  <c r="K10" s="1"/>
  <c r="P310" i="31"/>
  <c r="V310" s="1"/>
  <c r="R310" s="1"/>
  <c r="I17" i="14"/>
  <c r="P243" i="31"/>
  <c r="V243" s="1"/>
  <c r="R243" s="1"/>
  <c r="I32" i="14"/>
  <c r="P272" i="31"/>
  <c r="V272" s="1"/>
  <c r="R272" s="1"/>
  <c r="I51" i="14"/>
  <c r="P339" i="31"/>
  <c r="I69" i="14"/>
  <c r="P205" i="31"/>
  <c r="V205" s="1"/>
  <c r="R205" s="1"/>
  <c r="I63" i="14"/>
  <c r="P414" i="31"/>
  <c r="V414" s="1"/>
  <c r="R414" s="1"/>
  <c r="I52" i="14"/>
  <c r="P340" i="31"/>
  <c r="V340" s="1"/>
  <c r="R340" s="1"/>
  <c r="I31" i="14"/>
  <c r="P271" i="31"/>
  <c r="V271" s="1"/>
  <c r="R271" s="1"/>
  <c r="K729"/>
  <c r="H716"/>
  <c r="K728"/>
  <c r="H607"/>
  <c r="K619"/>
  <c r="T551"/>
  <c r="C551"/>
  <c r="Q551"/>
  <c r="H749"/>
  <c r="K763"/>
  <c r="K693"/>
  <c r="H681"/>
  <c r="K661"/>
  <c r="W637"/>
  <c r="K662"/>
  <c r="H649"/>
  <c r="K694"/>
  <c r="Q554"/>
  <c r="C554"/>
  <c r="C549"/>
  <c r="Q549"/>
  <c r="P547"/>
  <c r="N547"/>
  <c r="O547" s="1"/>
  <c r="O557" s="1"/>
  <c r="K536"/>
  <c r="H522"/>
  <c r="I16" i="14"/>
  <c r="P242" i="31"/>
  <c r="V242" s="1"/>
  <c r="R242" s="1"/>
  <c r="I30" i="14"/>
  <c r="P270" i="31"/>
  <c r="V270" s="1"/>
  <c r="R270" s="1"/>
  <c r="I56" i="14"/>
  <c r="P375" i="31"/>
  <c r="I42" i="14"/>
  <c r="G6" i="23"/>
  <c r="K6" s="1"/>
  <c r="P306" i="31"/>
  <c r="I18" i="14"/>
  <c r="P244" i="31"/>
  <c r="P276"/>
  <c r="V276" s="1"/>
  <c r="R276" s="1"/>
  <c r="I36" i="14"/>
  <c r="I14"/>
  <c r="P240" i="31"/>
  <c r="V240" s="1"/>
  <c r="R240" s="1"/>
  <c r="I34" i="14"/>
  <c r="P274" i="31"/>
  <c r="V274" s="1"/>
  <c r="R274" s="1"/>
  <c r="I26" i="14"/>
  <c r="P266" i="31"/>
  <c r="V266" s="1"/>
  <c r="R266" s="1"/>
  <c r="I38" i="14"/>
  <c r="P278" i="31"/>
  <c r="V278" s="1"/>
  <c r="R278" s="1"/>
  <c r="I58" i="14"/>
  <c r="P377" i="31"/>
  <c r="V377" s="1"/>
  <c r="R377" s="1"/>
  <c r="I13" i="14"/>
  <c r="P239" i="31"/>
  <c r="V239" s="1"/>
  <c r="R239" s="1"/>
  <c r="I35" i="14"/>
  <c r="P275" i="31"/>
  <c r="V275" s="1"/>
  <c r="R275" s="1"/>
  <c r="V267"/>
  <c r="R267" s="1"/>
  <c r="G11" i="21"/>
  <c r="K11" s="1"/>
  <c r="L11"/>
  <c r="V237" i="31"/>
  <c r="R237" s="1"/>
  <c r="K519"/>
  <c r="J519" s="1"/>
  <c r="P374"/>
  <c r="P202"/>
  <c r="G9" i="19"/>
  <c r="K9" s="1"/>
  <c r="L9"/>
  <c r="G19" i="21"/>
  <c r="K19" s="1"/>
  <c r="L19"/>
  <c r="I43" i="14"/>
  <c r="J48"/>
  <c r="V269" i="31"/>
  <c r="R269" s="1"/>
  <c r="J19" i="14"/>
  <c r="G10" i="19"/>
  <c r="K10" s="1"/>
  <c r="L10"/>
  <c r="G9" i="21"/>
  <c r="K9" s="1"/>
  <c r="L9"/>
  <c r="G10"/>
  <c r="K10" s="1"/>
  <c r="L10"/>
  <c r="Q374" i="31"/>
  <c r="Q202"/>
  <c r="G15" i="21"/>
  <c r="K15" s="1"/>
  <c r="Q280" i="31"/>
  <c r="Q245"/>
  <c r="K12" i="23" l="1"/>
  <c r="K10" i="26"/>
  <c r="K22" i="21"/>
  <c r="K14" i="19"/>
  <c r="V140" i="31"/>
  <c r="H12" i="34"/>
  <c r="V142" i="31"/>
  <c r="H14" i="34"/>
  <c r="U555" i="31"/>
  <c r="L555"/>
  <c r="I65" i="14"/>
  <c r="I48"/>
  <c r="I19"/>
  <c r="I71"/>
  <c r="E18" i="34" s="1"/>
  <c r="I59" i="14"/>
  <c r="I40"/>
  <c r="P312" i="31"/>
  <c r="V312" s="1"/>
  <c r="R312" s="1"/>
  <c r="V306"/>
  <c r="R306" s="1"/>
  <c r="V375"/>
  <c r="R375" s="1"/>
  <c r="P378"/>
  <c r="P280"/>
  <c r="V280" s="1"/>
  <c r="R280" s="1"/>
  <c r="P245"/>
  <c r="V244" s="1"/>
  <c r="R244" s="1"/>
  <c r="I54" i="14"/>
  <c r="C547" i="31"/>
  <c r="Q547"/>
  <c r="T547"/>
  <c r="P342"/>
  <c r="V342" s="1"/>
  <c r="R342" s="1"/>
  <c r="V339"/>
  <c r="R339" s="1"/>
  <c r="V412"/>
  <c r="R412" s="1"/>
  <c r="P416"/>
  <c r="V416" s="1"/>
  <c r="R416" s="1"/>
  <c r="Q411"/>
  <c r="Q338"/>
  <c r="K555"/>
  <c r="J555" s="1"/>
  <c r="P555" s="1"/>
  <c r="O572"/>
  <c r="P411"/>
  <c r="P338"/>
  <c r="M468" l="1"/>
  <c r="E16" i="34"/>
  <c r="M464" i="31"/>
  <c r="E12" i="34"/>
  <c r="K65" i="14"/>
  <c r="L65" s="1"/>
  <c r="E17" i="34"/>
  <c r="M465" i="31"/>
  <c r="E13" i="34"/>
  <c r="K48" i="14"/>
  <c r="L48" s="1"/>
  <c r="E14" i="34"/>
  <c r="M467" i="31"/>
  <c r="E15" i="34"/>
  <c r="M466" i="31"/>
  <c r="K59" i="14"/>
  <c r="L59" s="1"/>
  <c r="M469" i="31"/>
  <c r="E11" i="34"/>
  <c r="M463" i="31"/>
  <c r="M492" s="1"/>
  <c r="K71" i="14"/>
  <c r="L71" s="1"/>
  <c r="H11" i="34"/>
  <c r="I72" i="14"/>
  <c r="G5" i="27"/>
  <c r="G5" i="26"/>
  <c r="G5" i="24"/>
  <c r="G5" i="23"/>
  <c r="G5" i="19"/>
  <c r="G5" i="25"/>
  <c r="G5" i="21"/>
  <c r="D662" i="31"/>
  <c r="E558"/>
  <c r="P556"/>
  <c r="J557"/>
  <c r="Q555"/>
  <c r="H557" s="1"/>
  <c r="G557" s="1"/>
  <c r="H5" i="27"/>
  <c r="H5" i="26"/>
  <c r="H5" i="25"/>
  <c r="H5" i="21"/>
  <c r="H5" i="24"/>
  <c r="H5" i="23"/>
  <c r="H5" i="19"/>
  <c r="P550" i="31"/>
  <c r="T550" s="1"/>
  <c r="T555" s="1"/>
  <c r="K571"/>
  <c r="M572" s="1"/>
  <c r="L13" i="19"/>
  <c r="L14" s="1"/>
  <c r="L21" i="21"/>
  <c r="L22" s="1"/>
  <c r="J54" i="14"/>
  <c r="J25"/>
  <c r="J28"/>
  <c r="J39"/>
  <c r="V711" i="31"/>
  <c r="V713" s="1"/>
  <c r="V549"/>
  <c r="V569" s="1"/>
  <c r="L9" i="26"/>
  <c r="L10" s="1"/>
  <c r="V517" i="31"/>
  <c r="V533" s="1"/>
  <c r="D533" s="1"/>
  <c r="V742"/>
  <c r="V743"/>
  <c r="V744"/>
  <c r="V675"/>
  <c r="V676"/>
  <c r="V638"/>
  <c r="V639"/>
  <c r="V640"/>
  <c r="V641"/>
  <c r="V642"/>
  <c r="V588"/>
  <c r="V589"/>
  <c r="V590"/>
  <c r="V594"/>
  <c r="V595"/>
  <c r="V596"/>
  <c r="V597"/>
  <c r="V598"/>
  <c r="V599"/>
  <c r="V600"/>
  <c r="V601"/>
  <c r="V602"/>
  <c r="L742"/>
  <c r="L743"/>
  <c r="L744"/>
  <c r="L745"/>
  <c r="L710"/>
  <c r="L711"/>
  <c r="L712"/>
  <c r="L675"/>
  <c r="L676"/>
  <c r="L677"/>
  <c r="L639"/>
  <c r="L640"/>
  <c r="L641"/>
  <c r="L642"/>
  <c r="L643"/>
  <c r="L589"/>
  <c r="L590"/>
  <c r="L591"/>
  <c r="L592"/>
  <c r="L593"/>
  <c r="L594"/>
  <c r="L595"/>
  <c r="L596"/>
  <c r="L597"/>
  <c r="L598"/>
  <c r="L599"/>
  <c r="L600"/>
  <c r="L601"/>
  <c r="L602"/>
  <c r="L603"/>
  <c r="J746"/>
  <c r="P746" s="1"/>
  <c r="J748" s="1"/>
  <c r="T741"/>
  <c r="R743" s="1"/>
  <c r="G762" s="1"/>
  <c r="M761" s="1"/>
  <c r="K761"/>
  <c r="N63" i="14"/>
  <c r="O63" s="1"/>
  <c r="N26"/>
  <c r="O26" s="1"/>
  <c r="N51"/>
  <c r="O51" s="1"/>
  <c r="N12"/>
  <c r="O12" s="1"/>
  <c r="N70"/>
  <c r="O70" s="1"/>
  <c r="N47"/>
  <c r="O47" s="1"/>
  <c r="N43"/>
  <c r="O43" s="1"/>
  <c r="N38"/>
  <c r="O38" s="1"/>
  <c r="N73"/>
  <c r="O73" s="1"/>
  <c r="N57"/>
  <c r="O57" s="1"/>
  <c r="N13"/>
  <c r="O13" s="1"/>
  <c r="N32"/>
  <c r="O32" s="1"/>
  <c r="N53"/>
  <c r="O53" s="1"/>
  <c r="N69"/>
  <c r="O69" s="1"/>
  <c r="N61"/>
  <c r="O61" s="1"/>
  <c r="N52"/>
  <c r="O52" s="1"/>
  <c r="N44"/>
  <c r="O44" s="1"/>
  <c r="N18"/>
  <c r="O18" s="1"/>
  <c r="N35"/>
  <c r="O35" s="1"/>
  <c r="M25"/>
  <c r="M28"/>
  <c r="N28" s="1"/>
  <c r="O28" s="1"/>
  <c r="M39"/>
  <c r="M67"/>
  <c r="N67" s="1"/>
  <c r="O67" s="1"/>
  <c r="N42"/>
  <c r="O42" s="1"/>
  <c r="N31"/>
  <c r="O31" s="1"/>
  <c r="N74"/>
  <c r="O74" s="1"/>
  <c r="N64"/>
  <c r="O64" s="1"/>
  <c r="N45"/>
  <c r="O45" s="1"/>
  <c r="N37"/>
  <c r="O37" s="1"/>
  <c r="N36"/>
  <c r="O36" s="1"/>
  <c r="N68"/>
  <c r="O68" s="1"/>
  <c r="N62"/>
  <c r="O62" s="1"/>
  <c r="N16"/>
  <c r="O16" s="1"/>
  <c r="N33"/>
  <c r="O33" s="1"/>
  <c r="N58"/>
  <c r="O58" s="1"/>
  <c r="N39"/>
  <c r="O39" s="1"/>
  <c r="N56"/>
  <c r="O56" s="1"/>
  <c r="N46"/>
  <c r="O46" s="1"/>
  <c r="N30"/>
  <c r="O30" s="1"/>
  <c r="N34"/>
  <c r="O34" s="1"/>
  <c r="N27"/>
  <c r="O27" s="1"/>
  <c r="N25"/>
  <c r="O25" s="1"/>
  <c r="N29"/>
  <c r="O29" s="1"/>
  <c r="N17"/>
  <c r="O17" s="1"/>
  <c r="N11"/>
  <c r="O11" s="1"/>
  <c r="N8" s="1"/>
  <c r="D107" i="17" s="1"/>
  <c r="K19" i="14"/>
  <c r="L19" s="1"/>
  <c r="N14"/>
  <c r="O14" s="1"/>
  <c r="T709" i="31"/>
  <c r="V708" s="1"/>
  <c r="M730" s="1"/>
  <c r="M15" i="14"/>
  <c r="N15" s="1"/>
  <c r="O15" s="1"/>
  <c r="H6" i="24"/>
  <c r="L6" s="1"/>
  <c r="G6"/>
  <c r="K6" s="1"/>
  <c r="H7"/>
  <c r="L7" s="1"/>
  <c r="G7"/>
  <c r="K7" s="1"/>
  <c r="H8"/>
  <c r="L8" s="1"/>
  <c r="G8"/>
  <c r="K8" s="1"/>
  <c r="J713" i="31"/>
  <c r="P713" s="1"/>
  <c r="J604"/>
  <c r="P604" s="1"/>
  <c r="H6" i="25"/>
  <c r="L6" s="1"/>
  <c r="G6"/>
  <c r="K6" s="1"/>
  <c r="K9" s="1"/>
  <c r="P709" i="31"/>
  <c r="J678"/>
  <c r="P678" s="1"/>
  <c r="D694" s="1"/>
  <c r="J742"/>
  <c r="P742" s="1"/>
  <c r="Q742" s="1"/>
  <c r="P743"/>
  <c r="T743" s="1"/>
  <c r="P744"/>
  <c r="T744" s="1"/>
  <c r="P745"/>
  <c r="T745" s="1"/>
  <c r="P643"/>
  <c r="Q643" s="1"/>
  <c r="F653" s="1"/>
  <c r="I752"/>
  <c r="H753" s="1"/>
  <c r="L8" i="25"/>
  <c r="V635" i="31"/>
  <c r="I25" i="34" s="1"/>
  <c r="P588" i="31"/>
  <c r="T588" s="1"/>
  <c r="P589"/>
  <c r="T589" s="1"/>
  <c r="P590"/>
  <c r="T590" s="1"/>
  <c r="P591"/>
  <c r="T591" s="1"/>
  <c r="P592"/>
  <c r="T592" s="1"/>
  <c r="P593"/>
  <c r="T593" s="1"/>
  <c r="P594"/>
  <c r="T594" s="1"/>
  <c r="P595"/>
  <c r="T595" s="1"/>
  <c r="P596"/>
  <c r="T596" s="1"/>
  <c r="P597"/>
  <c r="T597" s="1"/>
  <c r="P598"/>
  <c r="T598" s="1"/>
  <c r="P599"/>
  <c r="T599" s="1"/>
  <c r="P600"/>
  <c r="T600" s="1"/>
  <c r="P601"/>
  <c r="T601" s="1"/>
  <c r="P602"/>
  <c r="T602" s="1"/>
  <c r="P603"/>
  <c r="T603" s="1"/>
  <c r="P710"/>
  <c r="T710" s="1"/>
  <c r="P711"/>
  <c r="T711" s="1"/>
  <c r="P712"/>
  <c r="T712" s="1"/>
  <c r="I719"/>
  <c r="H720" s="1"/>
  <c r="P675"/>
  <c r="T675" s="1"/>
  <c r="P676"/>
  <c r="T676" s="1"/>
  <c r="P677"/>
  <c r="T677" s="1"/>
  <c r="R677"/>
  <c r="I684"/>
  <c r="H685" s="1"/>
  <c r="H6" i="27"/>
  <c r="L6" s="1"/>
  <c r="H8"/>
  <c r="L8" s="1"/>
  <c r="L9"/>
  <c r="G8"/>
  <c r="D140" i="31"/>
  <c r="D142"/>
  <c r="V144"/>
  <c r="K468" s="1"/>
  <c r="N468" s="1"/>
  <c r="D144"/>
  <c r="V145"/>
  <c r="K469" s="1"/>
  <c r="D145"/>
  <c r="V139"/>
  <c r="K463" s="1"/>
  <c r="P638"/>
  <c r="T638" s="1"/>
  <c r="P639"/>
  <c r="T639" s="1"/>
  <c r="P640"/>
  <c r="T640" s="1"/>
  <c r="P641"/>
  <c r="T641" s="1"/>
  <c r="P642"/>
  <c r="T642" s="1"/>
  <c r="J646"/>
  <c r="P646" s="1"/>
  <c r="P635"/>
  <c r="I648" s="1"/>
  <c r="I650" s="1"/>
  <c r="V245"/>
  <c r="R245" s="1"/>
  <c r="I608"/>
  <c r="D139"/>
  <c r="K464"/>
  <c r="N464" s="1"/>
  <c r="K466"/>
  <c r="N466" s="1"/>
  <c r="T514"/>
  <c r="R516" s="1"/>
  <c r="P515"/>
  <c r="C515" s="1"/>
  <c r="P516"/>
  <c r="P517"/>
  <c r="Q517" s="1"/>
  <c r="P518"/>
  <c r="C518" s="1"/>
  <c r="H526"/>
  <c r="P519"/>
  <c r="P520" s="1"/>
  <c r="G521" s="1"/>
  <c r="I521"/>
  <c r="I523" s="1"/>
  <c r="K534"/>
  <c r="H611"/>
  <c r="K620"/>
  <c r="M621" s="1"/>
  <c r="K604"/>
  <c r="M663"/>
  <c r="I682"/>
  <c r="K678"/>
  <c r="I717"/>
  <c r="K730"/>
  <c r="K646"/>
  <c r="K695"/>
  <c r="M695"/>
  <c r="V378"/>
  <c r="R378" s="1"/>
  <c r="K713"/>
  <c r="I750"/>
  <c r="K746"/>
  <c r="Q835"/>
  <c r="D835"/>
  <c r="Q838"/>
  <c r="R890"/>
  <c r="Q896" s="1"/>
  <c r="M8" i="14"/>
  <c r="J8"/>
  <c r="C550" i="31" l="1"/>
  <c r="K9" i="24"/>
  <c r="K8" i="27"/>
  <c r="K10" s="1"/>
  <c r="D28" i="34"/>
  <c r="D328" i="31"/>
  <c r="D484" s="1"/>
  <c r="K54" i="14"/>
  <c r="L54" s="1"/>
  <c r="H15" i="34"/>
  <c r="V513" i="31"/>
  <c r="M536" s="1"/>
  <c r="C592"/>
  <c r="V143"/>
  <c r="K467" s="1"/>
  <c r="N467" s="1"/>
  <c r="C677"/>
  <c r="Q598"/>
  <c r="Q545"/>
  <c r="E562" s="1"/>
  <c r="J562" s="1"/>
  <c r="R518"/>
  <c r="J40" i="14"/>
  <c r="R742" i="31"/>
  <c r="C745"/>
  <c r="V618"/>
  <c r="D618" s="1"/>
  <c r="R744"/>
  <c r="Q710"/>
  <c r="Q590"/>
  <c r="C600"/>
  <c r="R745"/>
  <c r="V660"/>
  <c r="G663" s="1"/>
  <c r="V692"/>
  <c r="G695" s="1"/>
  <c r="Q744"/>
  <c r="Q550"/>
  <c r="V545"/>
  <c r="D886"/>
  <c r="C744"/>
  <c r="Q745"/>
  <c r="Q743"/>
  <c r="Q592"/>
  <c r="C712"/>
  <c r="C596"/>
  <c r="C588"/>
  <c r="V519"/>
  <c r="Q595"/>
  <c r="Q589"/>
  <c r="R468"/>
  <c r="V760"/>
  <c r="G763" s="1"/>
  <c r="W638"/>
  <c r="Q593"/>
  <c r="Q518"/>
  <c r="R464"/>
  <c r="T518"/>
  <c r="P513"/>
  <c r="H637"/>
  <c r="Q638"/>
  <c r="I652"/>
  <c r="H653" s="1"/>
  <c r="Q603"/>
  <c r="R515"/>
  <c r="R466"/>
  <c r="C516"/>
  <c r="D522"/>
  <c r="G535"/>
  <c r="M534" s="1"/>
  <c r="D885"/>
  <c r="D103" s="1"/>
  <c r="R517"/>
  <c r="R469"/>
  <c r="R467"/>
  <c r="R465"/>
  <c r="R463"/>
  <c r="T516"/>
  <c r="C643"/>
  <c r="R739"/>
  <c r="C743"/>
  <c r="N463"/>
  <c r="N469"/>
  <c r="L10" i="27"/>
  <c r="D896" i="31"/>
  <c r="C638"/>
  <c r="V746"/>
  <c r="O763" s="1"/>
  <c r="V576"/>
  <c r="L9" i="25"/>
  <c r="V604" i="31"/>
  <c r="J621" s="1"/>
  <c r="G572"/>
  <c r="D569"/>
  <c r="L9" i="24"/>
  <c r="D892" i="31"/>
  <c r="C642"/>
  <c r="T643"/>
  <c r="T646" s="1"/>
  <c r="T647" s="1"/>
  <c r="V678"/>
  <c r="O695" s="1"/>
  <c r="V555"/>
  <c r="W555" s="1"/>
  <c r="W569" s="1"/>
  <c r="J570" s="1"/>
  <c r="V727"/>
  <c r="V644"/>
  <c r="J663" s="1"/>
  <c r="L644"/>
  <c r="O663" s="1"/>
  <c r="L713"/>
  <c r="J730" s="1"/>
  <c r="Q712"/>
  <c r="Q677"/>
  <c r="Q675"/>
  <c r="Q641"/>
  <c r="Q600"/>
  <c r="Q596"/>
  <c r="Q594"/>
  <c r="Q588"/>
  <c r="W709"/>
  <c r="R708" s="1"/>
  <c r="Q602"/>
  <c r="F611" s="1"/>
  <c r="C517"/>
  <c r="C602"/>
  <c r="C598"/>
  <c r="C594"/>
  <c r="C590"/>
  <c r="W635"/>
  <c r="R635" s="1"/>
  <c r="C675"/>
  <c r="C710"/>
  <c r="L604"/>
  <c r="O621" s="1"/>
  <c r="L678"/>
  <c r="J695" s="1"/>
  <c r="L746"/>
  <c r="J763" s="1"/>
  <c r="Q672"/>
  <c r="R673" s="1"/>
  <c r="Q642"/>
  <c r="Q599"/>
  <c r="D535"/>
  <c r="T517"/>
  <c r="Q515"/>
  <c r="P647"/>
  <c r="G648" s="1"/>
  <c r="C640"/>
  <c r="Q676"/>
  <c r="Q639"/>
  <c r="Q711"/>
  <c r="C676"/>
  <c r="Q635"/>
  <c r="K635" s="1"/>
  <c r="Q640"/>
  <c r="W589"/>
  <c r="Q601"/>
  <c r="Q597"/>
  <c r="Q591"/>
  <c r="T515"/>
  <c r="Q513"/>
  <c r="C603"/>
  <c r="C601"/>
  <c r="C599"/>
  <c r="C597"/>
  <c r="C595"/>
  <c r="C593"/>
  <c r="C591"/>
  <c r="C589"/>
  <c r="W588"/>
  <c r="Q646"/>
  <c r="H648" s="1"/>
  <c r="C641"/>
  <c r="C639"/>
  <c r="Q678"/>
  <c r="H680" s="1"/>
  <c r="P679"/>
  <c r="G680" s="1"/>
  <c r="E681"/>
  <c r="J680"/>
  <c r="Q713"/>
  <c r="H715" s="1"/>
  <c r="P714"/>
  <c r="G715" s="1"/>
  <c r="E716"/>
  <c r="J715"/>
  <c r="R710"/>
  <c r="G729" s="1"/>
  <c r="R712"/>
  <c r="M728"/>
  <c r="R711"/>
  <c r="D881" s="1"/>
  <c r="D102" s="1"/>
  <c r="D762"/>
  <c r="Q746"/>
  <c r="H748" s="1"/>
  <c r="P747"/>
  <c r="G748" s="1"/>
  <c r="E749"/>
  <c r="P891"/>
  <c r="Q892"/>
  <c r="T678"/>
  <c r="T679" s="1"/>
  <c r="K684" s="1"/>
  <c r="K681" s="1"/>
  <c r="T713"/>
  <c r="T604"/>
  <c r="F753"/>
  <c r="F720"/>
  <c r="F685"/>
  <c r="F526"/>
  <c r="T742"/>
  <c r="T746" s="1"/>
  <c r="Q740"/>
  <c r="C742"/>
  <c r="Q739"/>
  <c r="Q604"/>
  <c r="H606" s="1"/>
  <c r="P605"/>
  <c r="G606" s="1"/>
  <c r="E607"/>
  <c r="J606"/>
  <c r="O730"/>
  <c r="T556"/>
  <c r="J521"/>
  <c r="E522"/>
  <c r="Q519"/>
  <c r="H521" s="1"/>
  <c r="Q516"/>
  <c r="E649"/>
  <c r="Q673"/>
  <c r="C711"/>
  <c r="Q708"/>
  <c r="E560" l="1"/>
  <c r="D298"/>
  <c r="D255" s="1"/>
  <c r="K40" i="14"/>
  <c r="L40" s="1"/>
  <c r="H13" i="34"/>
  <c r="J72" i="14"/>
  <c r="K72" s="1"/>
  <c r="L72" s="1"/>
  <c r="M72" s="1"/>
  <c r="M75" s="1"/>
  <c r="W678" i="31"/>
  <c r="W692" s="1"/>
  <c r="I693" s="1"/>
  <c r="D559"/>
  <c r="R545"/>
  <c r="K652"/>
  <c r="K649" s="1"/>
  <c r="D561"/>
  <c r="D760"/>
  <c r="D660"/>
  <c r="G621"/>
  <c r="D525"/>
  <c r="K545"/>
  <c r="W644"/>
  <c r="W660" s="1"/>
  <c r="F662" s="1"/>
  <c r="D666" s="1"/>
  <c r="D692"/>
  <c r="V141"/>
  <c r="K465" s="1"/>
  <c r="L492" s="1"/>
  <c r="K492" s="1"/>
  <c r="E526"/>
  <c r="J526" s="1"/>
  <c r="J572"/>
  <c r="P140"/>
  <c r="J672"/>
  <c r="P775"/>
  <c r="V841" s="1"/>
  <c r="I570"/>
  <c r="D574" s="1"/>
  <c r="D542" s="1"/>
  <c r="W746"/>
  <c r="W760" s="1"/>
  <c r="P145" s="1"/>
  <c r="D735" s="1"/>
  <c r="D97" s="1"/>
  <c r="W713"/>
  <c r="W727" s="1"/>
  <c r="I728" s="1"/>
  <c r="F571"/>
  <c r="W519"/>
  <c r="W533" s="1"/>
  <c r="O536"/>
  <c r="P143"/>
  <c r="P774"/>
  <c r="F694"/>
  <c r="D698" s="1"/>
  <c r="W604"/>
  <c r="W618" s="1"/>
  <c r="J513"/>
  <c r="E524"/>
  <c r="J693"/>
  <c r="W513"/>
  <c r="M763"/>
  <c r="U856"/>
  <c r="D523"/>
  <c r="T519"/>
  <c r="T520" s="1"/>
  <c r="K522" s="1"/>
  <c r="G730"/>
  <c r="D727"/>
  <c r="D650"/>
  <c r="D682"/>
  <c r="E683"/>
  <c r="D649"/>
  <c r="E651"/>
  <c r="D608"/>
  <c r="E609"/>
  <c r="E611"/>
  <c r="J611" s="1"/>
  <c r="D610"/>
  <c r="D652"/>
  <c r="E653"/>
  <c r="J653" s="1"/>
  <c r="D658"/>
  <c r="D531"/>
  <c r="D717"/>
  <c r="E718"/>
  <c r="D719"/>
  <c r="E720"/>
  <c r="J720" s="1"/>
  <c r="K708"/>
  <c r="D684"/>
  <c r="E685"/>
  <c r="J685" s="1"/>
  <c r="K740"/>
  <c r="D750"/>
  <c r="E751"/>
  <c r="J739"/>
  <c r="R740"/>
  <c r="D752"/>
  <c r="E753"/>
  <c r="J753" s="1"/>
  <c r="D607"/>
  <c r="D616" s="1"/>
  <c r="T605"/>
  <c r="K673"/>
  <c r="D558"/>
  <c r="D567" s="1"/>
  <c r="D247" s="1"/>
  <c r="K558"/>
  <c r="K559"/>
  <c r="T747"/>
  <c r="T714"/>
  <c r="P142" l="1"/>
  <c r="D632" s="1"/>
  <c r="D94" s="1"/>
  <c r="Q147"/>
  <c r="Q148" s="1"/>
  <c r="D158" s="1"/>
  <c r="Q783"/>
  <c r="Q775" s="1"/>
  <c r="J661"/>
  <c r="I661"/>
  <c r="D697"/>
  <c r="D669" s="1"/>
  <c r="D575"/>
  <c r="D543" s="1"/>
  <c r="G465"/>
  <c r="N465"/>
  <c r="O492" s="1"/>
  <c r="N492" s="1"/>
  <c r="G466"/>
  <c r="G468"/>
  <c r="G467"/>
  <c r="G469"/>
  <c r="G463"/>
  <c r="G464"/>
  <c r="W143"/>
  <c r="D668"/>
  <c r="D95" s="1"/>
  <c r="D541"/>
  <c r="D92" s="1"/>
  <c r="L464"/>
  <c r="P144"/>
  <c r="D703" s="1"/>
  <c r="D96" s="1"/>
  <c r="I761"/>
  <c r="Q140"/>
  <c r="F729"/>
  <c r="D733" s="1"/>
  <c r="D706" s="1"/>
  <c r="F762"/>
  <c r="D766" s="1"/>
  <c r="D737" s="1"/>
  <c r="K523"/>
  <c r="K521" s="1"/>
  <c r="D527" s="1"/>
  <c r="W140"/>
  <c r="J728"/>
  <c r="D732" s="1"/>
  <c r="D705" s="1"/>
  <c r="J761"/>
  <c r="Q776"/>
  <c r="P776" s="1"/>
  <c r="D776" s="1"/>
  <c r="L467"/>
  <c r="Q143"/>
  <c r="D634"/>
  <c r="D314"/>
  <c r="J534"/>
  <c r="F535"/>
  <c r="D539" s="1"/>
  <c r="D511" s="1"/>
  <c r="P139"/>
  <c r="I534"/>
  <c r="P141"/>
  <c r="I619"/>
  <c r="F620"/>
  <c r="D624" s="1"/>
  <c r="D585" s="1"/>
  <c r="J619"/>
  <c r="K557"/>
  <c r="D563" s="1"/>
  <c r="D208"/>
  <c r="K650"/>
  <c r="K648" s="1"/>
  <c r="J648" s="1"/>
  <c r="D716"/>
  <c r="D725" s="1"/>
  <c r="D380" s="1"/>
  <c r="K716"/>
  <c r="K717"/>
  <c r="V842"/>
  <c r="D681"/>
  <c r="D690" s="1"/>
  <c r="D344" s="1"/>
  <c r="K682"/>
  <c r="D670"/>
  <c r="L469"/>
  <c r="Q145"/>
  <c r="W145"/>
  <c r="K749"/>
  <c r="D749"/>
  <c r="D758" s="1"/>
  <c r="D418" s="1"/>
  <c r="K750"/>
  <c r="K607"/>
  <c r="D282"/>
  <c r="K608"/>
  <c r="P779" l="1"/>
  <c r="Q779" s="1"/>
  <c r="R775" s="1"/>
  <c r="W142"/>
  <c r="Q142"/>
  <c r="L466"/>
  <c r="V776"/>
  <c r="D459" s="1"/>
  <c r="D88" s="1"/>
  <c r="Q144"/>
  <c r="D765"/>
  <c r="D736" s="1"/>
  <c r="D665"/>
  <c r="D633" s="1"/>
  <c r="W144"/>
  <c r="L468"/>
  <c r="D564"/>
  <c r="D568" s="1"/>
  <c r="D248" s="1"/>
  <c r="O464"/>
  <c r="V500"/>
  <c r="P816" s="1"/>
  <c r="V499"/>
  <c r="P815" s="1"/>
  <c r="V497"/>
  <c r="P813" s="1"/>
  <c r="Q497"/>
  <c r="Q499"/>
  <c r="Q498"/>
  <c r="V501"/>
  <c r="P817" s="1"/>
  <c r="O465"/>
  <c r="V498"/>
  <c r="P814" s="1"/>
  <c r="O467"/>
  <c r="O468"/>
  <c r="V502"/>
  <c r="O469"/>
  <c r="V496"/>
  <c r="P812" s="1"/>
  <c r="O463"/>
  <c r="R496" s="1"/>
  <c r="O466"/>
  <c r="Q500"/>
  <c r="Q496"/>
  <c r="Q502"/>
  <c r="Q501"/>
  <c r="R776"/>
  <c r="D583"/>
  <c r="D93" s="1"/>
  <c r="D509"/>
  <c r="D91" s="1"/>
  <c r="D528"/>
  <c r="D532" s="1"/>
  <c r="D209" s="1"/>
  <c r="K606"/>
  <c r="D612" s="1"/>
  <c r="P146"/>
  <c r="D146" s="1"/>
  <c r="D147" s="1"/>
  <c r="R146"/>
  <c r="Q146" s="1"/>
  <c r="R147" s="1"/>
  <c r="D538"/>
  <c r="D510" s="1"/>
  <c r="K715"/>
  <c r="D721" s="1"/>
  <c r="Q139"/>
  <c r="L463"/>
  <c r="W139"/>
  <c r="D867"/>
  <c r="D870"/>
  <c r="Q141"/>
  <c r="L465"/>
  <c r="W141"/>
  <c r="D623"/>
  <c r="D584" s="1"/>
  <c r="K680"/>
  <c r="D687" s="1"/>
  <c r="K748"/>
  <c r="D754" s="1"/>
  <c r="D655"/>
  <c r="D654"/>
  <c r="D868"/>
  <c r="D869"/>
  <c r="D844" l="1"/>
  <c r="D831"/>
  <c r="V503"/>
  <c r="P818"/>
  <c r="D491"/>
  <c r="D832"/>
  <c r="D828"/>
  <c r="D100" s="1"/>
  <c r="H25" i="34"/>
  <c r="D24"/>
  <c r="D830" i="31"/>
  <c r="D155"/>
  <c r="D137" s="1"/>
  <c r="D812"/>
  <c r="V775"/>
  <c r="D850" s="1"/>
  <c r="Q839"/>
  <c r="Q841" s="1"/>
  <c r="D152"/>
  <c r="R781"/>
  <c r="P781" s="1"/>
  <c r="Q781" s="1"/>
  <c r="D162"/>
  <c r="D613"/>
  <c r="D617" s="1"/>
  <c r="D283" s="1"/>
  <c r="D722"/>
  <c r="D726" s="1"/>
  <c r="D381" s="1"/>
  <c r="D686"/>
  <c r="D691" s="1"/>
  <c r="D345" s="1"/>
  <c r="Q504"/>
  <c r="E19" i="34" s="1"/>
  <c r="P28"/>
  <c r="R499" i="31"/>
  <c r="D815" s="1"/>
  <c r="V495"/>
  <c r="V504"/>
  <c r="P29" i="34"/>
  <c r="R500" i="31"/>
  <c r="D816" s="1"/>
  <c r="P27" i="34"/>
  <c r="R498" i="31"/>
  <c r="D814" s="1"/>
  <c r="P23" i="34"/>
  <c r="R497" i="31"/>
  <c r="D813" s="1"/>
  <c r="P31" i="34"/>
  <c r="R502" i="31"/>
  <c r="D818" s="1"/>
  <c r="P30" i="34"/>
  <c r="R501" i="31"/>
  <c r="D817" s="1"/>
  <c r="H469"/>
  <c r="D659"/>
  <c r="D315" s="1"/>
  <c r="V146"/>
  <c r="P147"/>
  <c r="H466"/>
  <c r="W146"/>
  <c r="H468"/>
  <c r="H463"/>
  <c r="H467"/>
  <c r="H464"/>
  <c r="H465"/>
  <c r="D755"/>
  <c r="D759" s="1"/>
  <c r="D419" s="1"/>
  <c r="R503" l="1"/>
  <c r="D506" s="1"/>
  <c r="V774"/>
  <c r="V857" s="1"/>
  <c r="D112"/>
  <c r="D460"/>
  <c r="E21" i="34"/>
  <c r="E22" s="1"/>
  <c r="D784" i="31"/>
  <c r="D148"/>
  <c r="V839"/>
  <c r="R838" s="1"/>
  <c r="D873"/>
  <c r="P148"/>
  <c r="U857"/>
  <c r="D872"/>
  <c r="V149"/>
  <c r="V781"/>
  <c r="D853" s="1"/>
  <c r="W148"/>
  <c r="V148" s="1"/>
  <c r="C146" s="1"/>
  <c r="D157" s="1"/>
  <c r="W497"/>
  <c r="Q813" s="1"/>
  <c r="W501"/>
  <c r="W499"/>
  <c r="Q815" s="1"/>
  <c r="W496"/>
  <c r="Q812" s="1"/>
  <c r="W498"/>
  <c r="Q814" s="1"/>
  <c r="W500"/>
  <c r="Q816" s="1"/>
  <c r="W502"/>
  <c r="H19" i="34"/>
  <c r="D23" s="1"/>
  <c r="W504" i="31"/>
  <c r="E463"/>
  <c r="P463" s="1"/>
  <c r="Q463" s="1"/>
  <c r="F464"/>
  <c r="E466"/>
  <c r="P466" s="1"/>
  <c r="S499" s="1"/>
  <c r="D466"/>
  <c r="F466"/>
  <c r="D161"/>
  <c r="D149"/>
  <c r="E465"/>
  <c r="P465" s="1"/>
  <c r="S498" s="1"/>
  <c r="F468"/>
  <c r="F465"/>
  <c r="F463"/>
  <c r="D468"/>
  <c r="D463"/>
  <c r="E469"/>
  <c r="P469" s="1"/>
  <c r="S502" s="1"/>
  <c r="F469"/>
  <c r="F467"/>
  <c r="D465"/>
  <c r="D464"/>
  <c r="E468"/>
  <c r="P468" s="1"/>
  <c r="D469"/>
  <c r="D467"/>
  <c r="E467"/>
  <c r="P467" s="1"/>
  <c r="E464"/>
  <c r="P464" s="1"/>
  <c r="D163"/>
  <c r="Q817" l="1"/>
  <c r="W503"/>
  <c r="Q818"/>
  <c r="D493"/>
  <c r="D785"/>
  <c r="D854" s="1"/>
  <c r="V867"/>
  <c r="C867" s="1"/>
  <c r="D855"/>
  <c r="R839"/>
  <c r="D150"/>
  <c r="S496"/>
  <c r="D21" i="34"/>
  <c r="H21"/>
  <c r="V870" i="31"/>
  <c r="C870" s="1"/>
  <c r="V868"/>
  <c r="C868" s="1"/>
  <c r="V838"/>
  <c r="V869"/>
  <c r="C869" s="1"/>
  <c r="D154"/>
  <c r="D120" s="1"/>
  <c r="D153"/>
  <c r="D119" s="1"/>
  <c r="R495"/>
  <c r="Q23" i="34"/>
  <c r="Q464" i="31"/>
  <c r="Q30" i="34"/>
  <c r="Q468" i="31"/>
  <c r="Q28" i="34"/>
  <c r="Q466" i="31"/>
  <c r="Q29" i="34"/>
  <c r="Q467" i="31"/>
  <c r="Q31" i="34"/>
  <c r="Q469" i="31"/>
  <c r="Q27" i="34"/>
  <c r="Q465" i="31"/>
  <c r="S497"/>
  <c r="S501"/>
  <c r="S500"/>
  <c r="H22" i="34" l="1"/>
  <c r="H20"/>
  <c r="D875" i="31"/>
  <c r="R148"/>
  <c r="D156" s="1"/>
  <c r="D117" s="1"/>
  <c r="D160" l="1"/>
  <c r="D462" l="1"/>
  <c r="D485"/>
  <c r="D906"/>
</calcChain>
</file>

<file path=xl/sharedStrings.xml><?xml version="1.0" encoding="utf-8"?>
<sst xmlns="http://schemas.openxmlformats.org/spreadsheetml/2006/main" count="5638" uniqueCount="1652">
  <si>
    <t xml:space="preserve"> </t>
  </si>
  <si>
    <t>Basic (Electricity, Heating, Water, Garbage) for 85m2 Apartment</t>
  </si>
  <si>
    <t>Zurich, Switzerland</t>
  </si>
  <si>
    <t>Trondheim, Norway</t>
  </si>
  <si>
    <t>Stavanger, Norway</t>
  </si>
  <si>
    <t>Geneva, Switzerland</t>
  </si>
  <si>
    <t>Bergen, Norway</t>
  </si>
  <si>
    <t>Oslo, Norway</t>
  </si>
  <si>
    <t>Lausanne, Switzerland</t>
  </si>
  <si>
    <t>Bern, Switzerland</t>
  </si>
  <si>
    <t>Perth, Australia</t>
  </si>
  <si>
    <t>Darwin, Australia</t>
  </si>
  <si>
    <t>Lugano, Switzerland</t>
  </si>
  <si>
    <t>Paris, France</t>
  </si>
  <si>
    <t>Arhus, Denmark</t>
  </si>
  <si>
    <t>Sydney, Australia</t>
  </si>
  <si>
    <t>Copenhagen, Denmark</t>
  </si>
  <si>
    <t>Melbourne, Australia</t>
  </si>
  <si>
    <t>Stockholm, Sweden</t>
  </si>
  <si>
    <t>Caracas, Venezuela</t>
  </si>
  <si>
    <t>Aberdeen, United Kingdom</t>
  </si>
  <si>
    <t>Dublin, Ireland</t>
  </si>
  <si>
    <t>Brisbane, Australia</t>
  </si>
  <si>
    <t>Odense, Denmark</t>
  </si>
  <si>
    <t>Adelaide, Australia</t>
  </si>
  <si>
    <t>Luxembourg, Luxembourg</t>
  </si>
  <si>
    <t>Jeddah (Jiddah), Saudi Arabia</t>
  </si>
  <si>
    <t>Fort McMurray, Canada</t>
  </si>
  <si>
    <t>Tokyo, Japan</t>
  </si>
  <si>
    <t>Canberra, Australia</t>
  </si>
  <si>
    <t>London, United Kingdom</t>
  </si>
  <si>
    <t>Barrie, Canada</t>
  </si>
  <si>
    <t>The Hague, Netherlands</t>
  </si>
  <si>
    <t>Aalborg, Denmark</t>
  </si>
  <si>
    <t>Auckland, New Zealand</t>
  </si>
  <si>
    <t>Genoa, Italy</t>
  </si>
  <si>
    <t>Helsinki, Finland</t>
  </si>
  <si>
    <t>Reykjavik, Iceland</t>
  </si>
  <si>
    <t>Bristol, United Kingdom</t>
  </si>
  <si>
    <t>Bergamo, Italy</t>
  </si>
  <si>
    <t>Osaka, Japan</t>
  </si>
  <si>
    <t>Cork, Ireland</t>
  </si>
  <si>
    <t>Florence, Italy</t>
  </si>
  <si>
    <t>Wellington, New Zealand</t>
  </si>
  <si>
    <t>Nice, France</t>
  </si>
  <si>
    <t>Cambridge, United Kingdom</t>
  </si>
  <si>
    <t>Guildford, United Kingdom</t>
  </si>
  <si>
    <t>Gold Coast, Australia</t>
  </si>
  <si>
    <t>Oxford, United Kingdom</t>
  </si>
  <si>
    <t>Halifax, Canada</t>
  </si>
  <si>
    <t>Cairns, Australia</t>
  </si>
  <si>
    <t>Honolulu, HI, United States</t>
  </si>
  <si>
    <t>Edinburgh, United Kingdom</t>
  </si>
  <si>
    <t>Gothenburg, Sweden</t>
  </si>
  <si>
    <t>Brussels, Belgium</t>
  </si>
  <si>
    <t>Groningen, Netherlands</t>
  </si>
  <si>
    <t>Christchurch, New Zealand</t>
  </si>
  <si>
    <t>Washington, DC, United States</t>
  </si>
  <si>
    <t>Calgary, Canada</t>
  </si>
  <si>
    <t>Vancouver, Canada</t>
  </si>
  <si>
    <t>Malmo, Sweden</t>
  </si>
  <si>
    <t>Tampere, Finland</t>
  </si>
  <si>
    <t>Punta del Este, Uruguay</t>
  </si>
  <si>
    <t>Utrecht, Netherlands</t>
  </si>
  <si>
    <t>Galway, Ireland</t>
  </si>
  <si>
    <t>Lyon, France</t>
  </si>
  <si>
    <t>Trieste, Italy</t>
  </si>
  <si>
    <t>Strasbourg, France</t>
  </si>
  <si>
    <t>Amsterdam, Netherlands</t>
  </si>
  <si>
    <t>Venice, Italy</t>
  </si>
  <si>
    <t>Toulouse, France</t>
  </si>
  <si>
    <t>Grenoble, France</t>
  </si>
  <si>
    <t>Limerick, Ireland</t>
  </si>
  <si>
    <t>Milan, Italy</t>
  </si>
  <si>
    <t>Birmingham, United Kingdom</t>
  </si>
  <si>
    <t>Leiden, Netherlands</t>
  </si>
  <si>
    <t>Padova, Italy</t>
  </si>
  <si>
    <t>Frankfurt, Germany</t>
  </si>
  <si>
    <t>Anchorage, AK, United States</t>
  </si>
  <si>
    <t>New York, NY, United States</t>
  </si>
  <si>
    <t>Mississauga, Canada</t>
  </si>
  <si>
    <t>Regina, Canada</t>
  </si>
  <si>
    <t>Stuttgart, Germany</t>
  </si>
  <si>
    <t>Lille, France</t>
  </si>
  <si>
    <t>Tel Aviv-yafo, Israel</t>
  </si>
  <si>
    <t>Heidelberg, Germany</t>
  </si>
  <si>
    <t>Nicosia, Cyprus</t>
  </si>
  <si>
    <t>Munich, Germany</t>
  </si>
  <si>
    <t>Eindhoven, Netherlands</t>
  </si>
  <si>
    <t>Rotterdam, Netherlands</t>
  </si>
  <si>
    <t>Saskatoon, Canada</t>
  </si>
  <si>
    <t>Antwerp, Belgium</t>
  </si>
  <si>
    <t>Leeds, United Kingdom</t>
  </si>
  <si>
    <t>Bordeaux, France</t>
  </si>
  <si>
    <t>Marseille, France</t>
  </si>
  <si>
    <t>Verona, Italy</t>
  </si>
  <si>
    <t>Toronto, Canada</t>
  </si>
  <si>
    <t>Liverpool, United Kingdom</t>
  </si>
  <si>
    <t>Bologna, Italy</t>
  </si>
  <si>
    <t>Quebec City, Canada</t>
  </si>
  <si>
    <t>Edmonton, Canada</t>
  </si>
  <si>
    <t>Rome, Italy</t>
  </si>
  <si>
    <t>Waterloo, Canada</t>
  </si>
  <si>
    <t>Nantes, France</t>
  </si>
  <si>
    <t>Ottawa, Canada</t>
  </si>
  <si>
    <t>Newcastle Upon Tyne, United Kingdom</t>
  </si>
  <si>
    <t>Vienna, Austria</t>
  </si>
  <si>
    <t>Dusseldorf, Germany</t>
  </si>
  <si>
    <t>Turin, Italy</t>
  </si>
  <si>
    <t>Surrey, Canada</t>
  </si>
  <si>
    <t>Boston, MA, United States</t>
  </si>
  <si>
    <t>San Francisco, CA, United States</t>
  </si>
  <si>
    <t>Leicester, United Kingdom</t>
  </si>
  <si>
    <t>Nottingham, United Kingdom</t>
  </si>
  <si>
    <t>Victoria, Canada</t>
  </si>
  <si>
    <t>London, Canada</t>
  </si>
  <si>
    <t>Minneapolis, MN, United States</t>
  </si>
  <si>
    <t>Richmond, VA, United States</t>
  </si>
  <si>
    <t>Cardiff, United Kingdom</t>
  </si>
  <si>
    <t>Busan, South Korea</t>
  </si>
  <si>
    <t>Sacramento, CA, United States</t>
  </si>
  <si>
    <t>Jerusalem, Israel</t>
  </si>
  <si>
    <t>Hamburg, Germany</t>
  </si>
  <si>
    <t>Hamilton, Canada</t>
  </si>
  <si>
    <t>Kitchener, Canada</t>
  </si>
  <si>
    <t>Athens, Greece</t>
  </si>
  <si>
    <t>Consumer Price Index</t>
  </si>
  <si>
    <t>Rent Index</t>
  </si>
  <si>
    <t>Consumer Price Plus Rent Index</t>
  </si>
  <si>
    <t>Groceries Index</t>
  </si>
  <si>
    <t>Restaurant Price Index</t>
  </si>
  <si>
    <t>Local Purchasing Power Index</t>
  </si>
  <si>
    <t>San Jose, CA, United States</t>
  </si>
  <si>
    <t>Seattle, WA, United States</t>
  </si>
  <si>
    <t>Naples, Italy</t>
  </si>
  <si>
    <t>Limassol, Cyprus</t>
  </si>
  <si>
    <t>Kelowna, Canada</t>
  </si>
  <si>
    <t>Saint Petersburg, FL, United States</t>
  </si>
  <si>
    <t>Cologne, Germany</t>
  </si>
  <si>
    <t>Haifa, Israel</t>
  </si>
  <si>
    <t>Gent, Belgium</t>
  </si>
  <si>
    <t>Philadelphia, PA, United States</t>
  </si>
  <si>
    <t>Winnipeg, Canada</t>
  </si>
  <si>
    <t>Montreal, Canada</t>
  </si>
  <si>
    <t>Sliema, Malta</t>
  </si>
  <si>
    <t>Miami, FL, United States</t>
  </si>
  <si>
    <t>Belfast, United Kingdom</t>
  </si>
  <si>
    <t>Santa Barbara, CA, United States</t>
  </si>
  <si>
    <t>Thessaloniki, Greece</t>
  </si>
  <si>
    <t>Seoul, South Korea</t>
  </si>
  <si>
    <t>Tucson, AZ, United States</t>
  </si>
  <si>
    <t>Patras, Greece</t>
  </si>
  <si>
    <t>Madison, WI, United States</t>
  </si>
  <si>
    <t>Barcelona, Spain</t>
  </si>
  <si>
    <t>Cleveland, OH, United States</t>
  </si>
  <si>
    <t>Berlin, Germany</t>
  </si>
  <si>
    <t>Kuwait City, Kuwait</t>
  </si>
  <si>
    <t>Lagos, Nigeria</t>
  </si>
  <si>
    <t>Denver, CO, United States</t>
  </si>
  <si>
    <t>Hong Kong, Hong Kong</t>
  </si>
  <si>
    <t>Austin, TX, United States</t>
  </si>
  <si>
    <t>Madrid, Spain</t>
  </si>
  <si>
    <t>San Juan, Puerto Rico</t>
  </si>
  <si>
    <t>Kingston, Jamaica</t>
  </si>
  <si>
    <t>Valencia, Spain</t>
  </si>
  <si>
    <t>Chicago, IL, United States</t>
  </si>
  <si>
    <t>Nuremberg, Germany</t>
  </si>
  <si>
    <t>Buffalo, NY, United States</t>
  </si>
  <si>
    <t>New Orleans, LA, United States</t>
  </si>
  <si>
    <t>Detroit, MI, United States</t>
  </si>
  <si>
    <t>San Diego, CA, United States</t>
  </si>
  <si>
    <t>Reno, NV, United States</t>
  </si>
  <si>
    <t>Orlando, FL, United States</t>
  </si>
  <si>
    <t>Ljubljana, Slovenia</t>
  </si>
  <si>
    <t>Graz, Austria</t>
  </si>
  <si>
    <t>Pittsburgh, PA, United States</t>
  </si>
  <si>
    <t>Newark, NJ, United States</t>
  </si>
  <si>
    <t>Atlanta, GA, United States</t>
  </si>
  <si>
    <t>Tampa, FL, United States</t>
  </si>
  <si>
    <t>Pamplona, Spain</t>
  </si>
  <si>
    <t>Las Vegas, NV, United States</t>
  </si>
  <si>
    <t>Raleigh, NC, United States</t>
  </si>
  <si>
    <t>Baltimore, MD, United States</t>
  </si>
  <si>
    <t>Moscow, Russia</t>
  </si>
  <si>
    <t>Shenzhen, China</t>
  </si>
  <si>
    <t>Columbus, OH, United States</t>
  </si>
  <si>
    <t>Dallas, TX, United States</t>
  </si>
  <si>
    <t>Alicante, Spain</t>
  </si>
  <si>
    <t>Dresden, Germany</t>
  </si>
  <si>
    <t>Beirut, Lebanon</t>
  </si>
  <si>
    <t>Vladivostok, Russia</t>
  </si>
  <si>
    <t>Rio De Janeiro, Brazil</t>
  </si>
  <si>
    <t>Houston, TX, United States</t>
  </si>
  <si>
    <t>Sevilla, Spain</t>
  </si>
  <si>
    <t>Portland, OR, United States</t>
  </si>
  <si>
    <t>Nashville, TN, United States</t>
  </si>
  <si>
    <t>Zaragoza, Spain</t>
  </si>
  <si>
    <t>Sao Paulo, Brazil</t>
  </si>
  <si>
    <t>Salt Lake City, UT, United States</t>
  </si>
  <si>
    <t>Rochester, NY, United States</t>
  </si>
  <si>
    <t>Kansas City, MO, United States</t>
  </si>
  <si>
    <t>Montevideo, Uruguay</t>
  </si>
  <si>
    <t>Doha, Qatar</t>
  </si>
  <si>
    <t>Albuquerque, NM, United States</t>
  </si>
  <si>
    <t>Lisbon, Portugal</t>
  </si>
  <si>
    <t>Indianapolis, IN, United States</t>
  </si>
  <si>
    <t>Phoenix, AZ, United States</t>
  </si>
  <si>
    <t>Split, Croatia</t>
  </si>
  <si>
    <t>Riyadh, Saudi Arabia</t>
  </si>
  <si>
    <t>Maribor, Slovenia</t>
  </si>
  <si>
    <t>Huntsville, AL, United States</t>
  </si>
  <si>
    <t>Los Angeles, CA, United States</t>
  </si>
  <si>
    <t>Zagreb, Croatia</t>
  </si>
  <si>
    <t>Saint Louis, MO, United States</t>
  </si>
  <si>
    <t>Buenos Aires, Argentina</t>
  </si>
  <si>
    <t>Oklahoma City, OK, United States</t>
  </si>
  <si>
    <t>Des Moines, IA, United States</t>
  </si>
  <si>
    <t>Dubai, United Arab Emirates</t>
  </si>
  <si>
    <t>Tallinn, Estonia</t>
  </si>
  <si>
    <t>Tulsa, OK, United States</t>
  </si>
  <si>
    <t>Ad Dammam, Saudi Arabia</t>
  </si>
  <si>
    <t>Kowloon, Hong Kong</t>
  </si>
  <si>
    <t>San Antonio, TX, United States</t>
  </si>
  <si>
    <t>Harare, Zimbabwe</t>
  </si>
  <si>
    <t>San Jose, Costa Rica</t>
  </si>
  <si>
    <t>Taichung, Taiwan</t>
  </si>
  <si>
    <t>Porto, Portugal</t>
  </si>
  <si>
    <t>Almaty, Kazakhstan</t>
  </si>
  <si>
    <t>Baku, Azerbaijan</t>
  </si>
  <si>
    <t>Coimbra, Portugal</t>
  </si>
  <si>
    <t>Riga, Latvia</t>
  </si>
  <si>
    <t>Macao, Macao</t>
  </si>
  <si>
    <t>Bratislava, Slovakia</t>
  </si>
  <si>
    <t>Brasilia, Brazil</t>
  </si>
  <si>
    <t>Osijek, Croatia</t>
  </si>
  <si>
    <t>Porto Alegre, Brazil</t>
  </si>
  <si>
    <t>Malaga, Spain</t>
  </si>
  <si>
    <t>Braga, Portugal</t>
  </si>
  <si>
    <t>Tartu, Estonia</t>
  </si>
  <si>
    <t>Rijeka, Croatia</t>
  </si>
  <si>
    <t>Campinas, Brazil</t>
  </si>
  <si>
    <t>Bandar Seri Begawan, Brunei</t>
  </si>
  <si>
    <t>Milwaukee, WI, United States</t>
  </si>
  <si>
    <t>Podgorica, Montenegro</t>
  </si>
  <si>
    <t>Saint Petersburg, Russia</t>
  </si>
  <si>
    <t>Yekaterinburg, Russia</t>
  </si>
  <si>
    <t>Accra, Ghana</t>
  </si>
  <si>
    <t>Amman, Jordan</t>
  </si>
  <si>
    <t>Prague, Czech Republic</t>
  </si>
  <si>
    <t>Khartoum, Sudan</t>
  </si>
  <si>
    <t>Santiago, Chile</t>
  </si>
  <si>
    <t>Shanghai, China</t>
  </si>
  <si>
    <t>Abu Dhabi, United Arab Emirates</t>
  </si>
  <si>
    <t>Kaunas, Lithuania</t>
  </si>
  <si>
    <t>Brno, Czech Republic</t>
  </si>
  <si>
    <t>Taipei, Taiwan</t>
  </si>
  <si>
    <t>Cordoba, Argentina</t>
  </si>
  <si>
    <t>Belo Horizonte, Brazil</t>
  </si>
  <si>
    <t>Perm, Russia</t>
  </si>
  <si>
    <t>Curitiba, Brazil</t>
  </si>
  <si>
    <t>Recife, Brazil</t>
  </si>
  <si>
    <t>Budapest, Hungary</t>
  </si>
  <si>
    <t>Manama, Bahrain</t>
  </si>
  <si>
    <t>Kosice, Slovakia</t>
  </si>
  <si>
    <t>Windhoek, Namibia</t>
  </si>
  <si>
    <t>Irbil, Iraq</t>
  </si>
  <si>
    <t>Istanbul, Turkey</t>
  </si>
  <si>
    <t>Vilnius, Lithuania</t>
  </si>
  <si>
    <t>Muscat, Oman</t>
  </si>
  <si>
    <t>Florianopolis, Brazil</t>
  </si>
  <si>
    <t>Hangzhou, China</t>
  </si>
  <si>
    <t>Novosibirsk, Russia</t>
  </si>
  <si>
    <t>Warsaw, Poland</t>
  </si>
  <si>
    <t>Nizhniy Novgorod, Russia</t>
  </si>
  <si>
    <t>Ufa, Russia</t>
  </si>
  <si>
    <t>Petaling Jaya, Malaysia</t>
  </si>
  <si>
    <t>Nairobi, Kenya</t>
  </si>
  <si>
    <t>Ulaanbaatar, Mongolia</t>
  </si>
  <si>
    <t>Addis Ababa, Ethiopia</t>
  </si>
  <si>
    <t>San Salvador, El Salvador</t>
  </si>
  <si>
    <t>Rostov-na-donu, Russia</t>
  </si>
  <si>
    <t>Phnum Penh, Cambodia</t>
  </si>
  <si>
    <t>Monterrey, Mexico</t>
  </si>
  <si>
    <t>Ostrava, Czech Republic</t>
  </si>
  <si>
    <t>Salvador, Brazil</t>
  </si>
  <si>
    <t>Beijing, China</t>
  </si>
  <si>
    <t>Bogota, Colombia</t>
  </si>
  <si>
    <t>Bangkok, Thailand</t>
  </si>
  <si>
    <t>Tashkent, Uzbekistan</t>
  </si>
  <si>
    <t>Johannesburg, South Africa</t>
  </si>
  <si>
    <t>Panama City, Panama</t>
  </si>
  <si>
    <t>Guatemala City, Guatemala</t>
  </si>
  <si>
    <t>Kuala Lumpur, Malaysia</t>
  </si>
  <si>
    <t>Poznan, Poland</t>
  </si>
  <si>
    <t>Lima, Peru</t>
  </si>
  <si>
    <t>Tehran, Iran</t>
  </si>
  <si>
    <t>Izmir, Turkey</t>
  </si>
  <si>
    <t>Dar Es Salaam, Tanzania</t>
  </si>
  <si>
    <t>Belgrade, Serbia</t>
  </si>
  <si>
    <t>Pretoria, South Africa</t>
  </si>
  <si>
    <t>Ankara, Turkey</t>
  </si>
  <si>
    <t>Wroclaw, Poland</t>
  </si>
  <si>
    <t>Bucharest, Romania</t>
  </si>
  <si>
    <t>Mexico City, Mexico</t>
  </si>
  <si>
    <t>Gdansk, Poland</t>
  </si>
  <si>
    <t>Krasnodar, Russia</t>
  </si>
  <si>
    <t>Merida, Mexico</t>
  </si>
  <si>
    <t>Antalya, Turkey</t>
  </si>
  <si>
    <t>Makati, Philippines</t>
  </si>
  <si>
    <t>Krakow (Cracow), Poland</t>
  </si>
  <si>
    <t>Lodz, Poland</t>
  </si>
  <si>
    <t>Novi Sad, Serbia</t>
  </si>
  <si>
    <t>Johor Baharu, Malaysia</t>
  </si>
  <si>
    <t>Kiev, Ukraine</t>
  </si>
  <si>
    <t>Medellin, Colombia</t>
  </si>
  <si>
    <t>Bydgoszcz, Poland</t>
  </si>
  <si>
    <t>Iasi, Romania</t>
  </si>
  <si>
    <t>Kampala, Uganda</t>
  </si>
  <si>
    <t>Brasov, Romania</t>
  </si>
  <si>
    <t>Guangzhou, China</t>
  </si>
  <si>
    <t>Sofia, Bulgaria</t>
  </si>
  <si>
    <t>Cape Town, South Africa</t>
  </si>
  <si>
    <t>Goiania, Brazil</t>
  </si>
  <si>
    <t>Minsk, Belarus</t>
  </si>
  <si>
    <t>Skopje, Macedonia</t>
  </si>
  <si>
    <t>Quezon City, Philippines</t>
  </si>
  <si>
    <t>Tirana, Albania</t>
  </si>
  <si>
    <t>Baghdad, Iraq</t>
  </si>
  <si>
    <t>Tbilisi, Georgia</t>
  </si>
  <si>
    <t>Lublin, Poland</t>
  </si>
  <si>
    <t>Bialystok, Poland</t>
  </si>
  <si>
    <t>Szczecin, Poland</t>
  </si>
  <si>
    <t>Hanoi, Vietnam</t>
  </si>
  <si>
    <t>Odesa, Ukraine</t>
  </si>
  <si>
    <t>Timisoara, Romania</t>
  </si>
  <si>
    <t>Gaborone, Botswana</t>
  </si>
  <si>
    <t>Katowice, Poland</t>
  </si>
  <si>
    <t>Cluj-napoca, Romania</t>
  </si>
  <si>
    <t>Penang, Malaysia</t>
  </si>
  <si>
    <t>Yangon, Myanmar</t>
  </si>
  <si>
    <t>Varna, Bulgaria</t>
  </si>
  <si>
    <t>Yerevan, Armenia</t>
  </si>
  <si>
    <t>Oradea, Romania</t>
  </si>
  <si>
    <t>Plovdiv, Bulgaria</t>
  </si>
  <si>
    <t>Lviv, Ukraine</t>
  </si>
  <si>
    <t>Quito, Ecuador</t>
  </si>
  <si>
    <t>Kharkiv, Ukraine</t>
  </si>
  <si>
    <t>Rzeszow, Poland</t>
  </si>
  <si>
    <t>Dnipropetrovsk, Ukraine</t>
  </si>
  <si>
    <t>Guadalajara, Mexico</t>
  </si>
  <si>
    <t>Cebu, Philippines</t>
  </si>
  <si>
    <t>Jakarta, Indonesia</t>
  </si>
  <si>
    <t>Nis, Serbia</t>
  </si>
  <si>
    <t>Donetsk, Ukraine</t>
  </si>
  <si>
    <t>Manila, Philippines</t>
  </si>
  <si>
    <t>Puerto Vallarta, Mexico</t>
  </si>
  <si>
    <t>Ho Chi Minh City, Vietnam</t>
  </si>
  <si>
    <t>Damascus, Syria</t>
  </si>
  <si>
    <t>Pattaya, Thailand</t>
  </si>
  <si>
    <t>Esfahan, Iran</t>
  </si>
  <si>
    <t>Cuenca, Ecuador</t>
  </si>
  <si>
    <t>Dhaka, Bangladesh</t>
  </si>
  <si>
    <t>Colombo, Sri Lanka</t>
  </si>
  <si>
    <t>Chiang Mai, Thailand</t>
  </si>
  <si>
    <t>Chisinau, Moldova</t>
  </si>
  <si>
    <t>Tunis, Tunisia</t>
  </si>
  <si>
    <t>Bandung, Indonesia</t>
  </si>
  <si>
    <t>Cairo, Egypt</t>
  </si>
  <si>
    <t>Alexandria, Egypt</t>
  </si>
  <si>
    <t>Davao, Philippines</t>
  </si>
  <si>
    <t>Algiers, Algeria</t>
  </si>
  <si>
    <t>Pondicherry, India</t>
  </si>
  <si>
    <t>Lahore, Pakistan</t>
  </si>
  <si>
    <t>Gurgaon, India</t>
  </si>
  <si>
    <t>Kathmandu, Nepal</t>
  </si>
  <si>
    <t>Mumbai, India</t>
  </si>
  <si>
    <t>Islamabad, Pakistan</t>
  </si>
  <si>
    <t>Karachi, Pakistan</t>
  </si>
  <si>
    <t>Delhi, India</t>
  </si>
  <si>
    <t>Noida, India</t>
  </si>
  <si>
    <t>Bangalore, India</t>
  </si>
  <si>
    <t>Navi Mumbai, India</t>
  </si>
  <si>
    <t>Pune, India</t>
  </si>
  <si>
    <t>Ahmedabad, India</t>
  </si>
  <si>
    <t>Surat, India</t>
  </si>
  <si>
    <t>Vadodara, India</t>
  </si>
  <si>
    <t>Visakhapatnam, India</t>
  </si>
  <si>
    <t>Bhopal, India</t>
  </si>
  <si>
    <t>Chennai, India</t>
  </si>
  <si>
    <t>Chandigarh, India</t>
  </si>
  <si>
    <t>Kolkata, India</t>
  </si>
  <si>
    <t>Nasik, India</t>
  </si>
  <si>
    <t>Kochi, India</t>
  </si>
  <si>
    <t>Nagpur, India</t>
  </si>
  <si>
    <t>Jaipur, India</t>
  </si>
  <si>
    <t>Hyderabad, India</t>
  </si>
  <si>
    <t>Coimbatore, India</t>
  </si>
  <si>
    <t>Bhubenswar, India</t>
  </si>
  <si>
    <t>Indore, India</t>
  </si>
  <si>
    <t>Thiruvananthapuram, India</t>
  </si>
  <si>
    <t>Groceries</t>
  </si>
  <si>
    <t>City</t>
  </si>
  <si>
    <t>Lethbridge, AB, Canada</t>
  </si>
  <si>
    <t>One-way Ticket (Local Transport)</t>
  </si>
  <si>
    <t>Monthly Pass (Regular Price)</t>
  </si>
  <si>
    <t>Gasoline (1 liter)</t>
  </si>
  <si>
    <t>Volkswagen Golf 1.4 90 KW Trendline (Or Equivalent New Car)</t>
  </si>
  <si>
    <t>1 min. of Prepaid Mobile Tariff Local (No Discounts or Plans)</t>
  </si>
  <si>
    <t>Internet (6 Mbps, Unlimited Data, Cable/ADSL)</t>
  </si>
  <si>
    <t>Taxi Start (Normal Tariff)</t>
  </si>
  <si>
    <t>Taxi 1km (Normal Tariff)</t>
  </si>
  <si>
    <t>Taxi 1hour Waiting (Normal Tariff)</t>
  </si>
  <si>
    <t>Zadar, Croatia</t>
  </si>
  <si>
    <t>Heraklion, Greece</t>
  </si>
  <si>
    <t>Port Elizabeth, South Africa</t>
  </si>
  <si>
    <t>Meal for 2, Mid-range Restaurant, Three-course</t>
  </si>
  <si>
    <t>Combo Meal at McDonalds or Similar</t>
  </si>
  <si>
    <t>Domestic Beer (0.5 liter draught)</t>
  </si>
  <si>
    <t>Imported Beer (0.33 liter bottle)</t>
  </si>
  <si>
    <t>Coke/Pepsi (0.33 liter bottle)</t>
  </si>
  <si>
    <t>Water (0.33 liter bottle)</t>
  </si>
  <si>
    <t>Milk (regular), 1 liter</t>
  </si>
  <si>
    <t>Loaf of Fresh White Bread (500g)</t>
  </si>
  <si>
    <t>Eggs (12)</t>
  </si>
  <si>
    <t>Local Cheese (1kg)</t>
  </si>
  <si>
    <t>Water (1.5 liter bottle)</t>
  </si>
  <si>
    <t>Bottle of Wine (Mid-Range)</t>
  </si>
  <si>
    <t>Domestic Beer (0.5 liter bottle)</t>
  </si>
  <si>
    <t>Pack of Cigarettes (Marlboro)</t>
  </si>
  <si>
    <t>Chicken Breasts (Boneless, Skinless), (1kg)</t>
  </si>
  <si>
    <t>Apartment (1 bedroom) in City Centre</t>
  </si>
  <si>
    <t>Apartment (1 bedroom) Outside of Centre</t>
  </si>
  <si>
    <t>Apartment (3 bedrooms) in City Centre</t>
  </si>
  <si>
    <t>Apartment (3 bedrooms) Outside of Centre</t>
  </si>
  <si>
    <t>Fitness Club, Monthly Fee for 1 Adult</t>
  </si>
  <si>
    <t>Tennis Court Rent (1 Hour on Weekend)</t>
  </si>
  <si>
    <t>Cinema, International Release, 1 Seat</t>
  </si>
  <si>
    <t>1 Pair of Jeans (Levis 501 Or Similar)</t>
  </si>
  <si>
    <t>1 Summer Dress in a Chain Store (Zara, H&amp;M, ...)</t>
  </si>
  <si>
    <t>1 Pair of Nike Shoes</t>
  </si>
  <si>
    <t>1 Pair of Men Leather Shoes</t>
  </si>
  <si>
    <t>Price per Square Meter to Buy Apartment in City Centre</t>
  </si>
  <si>
    <t>Price per Square Meter to Buy Apartment Outside of Centre</t>
  </si>
  <si>
    <t>Average Monthly Disposable Salary (After Tax)</t>
  </si>
  <si>
    <t>Mortgage Interest Rate in Percentages (%), Yearly</t>
  </si>
  <si>
    <t>Apples (1kg)</t>
  </si>
  <si>
    <t>Oranges (1kg)</t>
  </si>
  <si>
    <t>Potato (1kg)</t>
  </si>
  <si>
    <t>Lettuce (1 head)</t>
  </si>
  <si>
    <t>Cappuccino (regular)</t>
  </si>
  <si>
    <t>Rice (1kg)</t>
  </si>
  <si>
    <t>Tomato (1kg)</t>
  </si>
  <si>
    <t>utilities</t>
  </si>
  <si>
    <t>transport</t>
  </si>
  <si>
    <t>transport without car</t>
  </si>
  <si>
    <t>Argentine Peso</t>
  </si>
  <si>
    <t>Australian Dollar</t>
  </si>
  <si>
    <t>Bahraini Dinar</t>
  </si>
  <si>
    <t>Brazilian Real</t>
  </si>
  <si>
    <t>British Pound</t>
  </si>
  <si>
    <t>Canadian Dollar</t>
  </si>
  <si>
    <t>Chilean Peso</t>
  </si>
  <si>
    <t>Chinese Yuan Renminbi</t>
  </si>
  <si>
    <t>Colombian Peso</t>
  </si>
  <si>
    <t>Czech Koruna</t>
  </si>
  <si>
    <t>Danish Krone</t>
  </si>
  <si>
    <t>Euro</t>
  </si>
  <si>
    <t>Hong Kong Dollar</t>
  </si>
  <si>
    <t>Hungarian Forint</t>
  </si>
  <si>
    <t>Indian Rupee</t>
  </si>
  <si>
    <t>Indonesian Rupiah</t>
  </si>
  <si>
    <t>Japanese Yen</t>
  </si>
  <si>
    <t>Kuwaiti Dinar</t>
  </si>
  <si>
    <t>Malaysian Ringgit</t>
  </si>
  <si>
    <t>Mexican Peso</t>
  </si>
  <si>
    <t>Omani Rial</t>
  </si>
  <si>
    <t>Philippine Peso</t>
  </si>
  <si>
    <t>Singapore Dollar</t>
  </si>
  <si>
    <t>South African Rand</t>
  </si>
  <si>
    <t>Swedish Krona</t>
  </si>
  <si>
    <t>Swiss Franc</t>
  </si>
  <si>
    <t>Thai Baht</t>
  </si>
  <si>
    <t>Country</t>
  </si>
  <si>
    <t>Local Rate</t>
  </si>
  <si>
    <t>US Rate</t>
  </si>
  <si>
    <t xml:space="preserve"> Code</t>
  </si>
  <si>
    <t xml:space="preserve"> USD/1 Unit</t>
  </si>
  <si>
    <t xml:space="preserve"> Units/1 USD</t>
  </si>
  <si>
    <t>Utd. Arab Emir. Dirham</t>
  </si>
  <si>
    <t>AED</t>
  </si>
  <si>
    <t>ARS</t>
  </si>
  <si>
    <t>AUD</t>
  </si>
  <si>
    <t>BHD</t>
  </si>
  <si>
    <t>Bolivian Boliviano</t>
  </si>
  <si>
    <t>BOB</t>
  </si>
  <si>
    <t>BRL</t>
  </si>
  <si>
    <t>CAD</t>
  </si>
  <si>
    <t>CHF</t>
  </si>
  <si>
    <t>CLP</t>
  </si>
  <si>
    <t>CNY</t>
  </si>
  <si>
    <t>COP</t>
  </si>
  <si>
    <t>CZK</t>
  </si>
  <si>
    <t>DKK</t>
  </si>
  <si>
    <t>Egyptian Pound</t>
  </si>
  <si>
    <t>EGP</t>
  </si>
  <si>
    <t>EUR</t>
  </si>
  <si>
    <t>GBP</t>
  </si>
  <si>
    <t>HKD</t>
  </si>
  <si>
    <t>HUF</t>
  </si>
  <si>
    <t>IDR</t>
  </si>
  <si>
    <t>INR</t>
  </si>
  <si>
    <t>Jordanian Dinar</t>
  </si>
  <si>
    <t>JOD</t>
  </si>
  <si>
    <t>JPY</t>
  </si>
  <si>
    <t>Kenyan Shilling</t>
  </si>
  <si>
    <t>KES</t>
  </si>
  <si>
    <t>South-Korean Won</t>
  </si>
  <si>
    <t>KRW</t>
  </si>
  <si>
    <t>KWD</t>
  </si>
  <si>
    <t>Moroccan Dirham</t>
  </si>
  <si>
    <t>MAD</t>
  </si>
  <si>
    <t>MXN</t>
  </si>
  <si>
    <t>MYR</t>
  </si>
  <si>
    <t>Norwegian Kroner</t>
  </si>
  <si>
    <t>NOK</t>
  </si>
  <si>
    <t>OMR</t>
  </si>
  <si>
    <t>Peruvian Nuevo Sol</t>
  </si>
  <si>
    <t>PEN</t>
  </si>
  <si>
    <t>PHP</t>
  </si>
  <si>
    <t>Pakistan Rupee</t>
  </si>
  <si>
    <t>PKR</t>
  </si>
  <si>
    <t>Saudi Riyal</t>
  </si>
  <si>
    <t>SAR</t>
  </si>
  <si>
    <t>SEK</t>
  </si>
  <si>
    <t>SGD</t>
  </si>
  <si>
    <t>THB</t>
  </si>
  <si>
    <t>Tunisian Dinar</t>
  </si>
  <si>
    <t>TND</t>
  </si>
  <si>
    <t>Taiwan Dollar</t>
  </si>
  <si>
    <t>TWD</t>
  </si>
  <si>
    <t>US Dollar</t>
  </si>
  <si>
    <t>USD</t>
  </si>
  <si>
    <t>Venezuelan Bolivar Fuerte</t>
  </si>
  <si>
    <t>VEF</t>
  </si>
  <si>
    <t>ZAR</t>
  </si>
  <si>
    <t>This tool allows you to calculate and compare a sum of prices (goods and services) per city in quantities of your choice. It can be used for custom reports which suits better to your life style (i.e. how much it will cost per city if I eat every day in restaurants). Or it can be used to play with your own statistical models. If you are unsure should you use it or not, most likely you should use other tools.</t>
  </si>
  <si>
    <t>Currency you will use to show data in :   Default Currency</t>
  </si>
  <si>
    <t>Transportation</t>
  </si>
  <si>
    <t>Buy Apartment Price</t>
  </si>
  <si>
    <t>KL</t>
  </si>
  <si>
    <t xml:space="preserve"> Iran</t>
  </si>
  <si>
    <t xml:space="preserve"> Peru</t>
  </si>
  <si>
    <t>China</t>
  </si>
  <si>
    <t>Iraq</t>
  </si>
  <si>
    <t>United States</t>
  </si>
  <si>
    <t>Algeria</t>
  </si>
  <si>
    <t>Russia</t>
  </si>
  <si>
    <t>Japan</t>
  </si>
  <si>
    <t>Mexico</t>
  </si>
  <si>
    <t>Canada</t>
  </si>
  <si>
    <t>India</t>
  </si>
  <si>
    <t>Hong Kong</t>
  </si>
  <si>
    <t>Indonesia</t>
  </si>
  <si>
    <t>Italy</t>
  </si>
  <si>
    <t>Greece</t>
  </si>
  <si>
    <t>Ghana</t>
  </si>
  <si>
    <t>Germany</t>
  </si>
  <si>
    <t>Latvia</t>
  </si>
  <si>
    <t>Georgia</t>
  </si>
  <si>
    <t>France</t>
  </si>
  <si>
    <t>Israel</t>
  </si>
  <si>
    <t>Ireland</t>
  </si>
  <si>
    <t>Jordan</t>
  </si>
  <si>
    <t>Kazakhstan</t>
  </si>
  <si>
    <t xml:space="preserve"> Iraq</t>
  </si>
  <si>
    <t>srael</t>
  </si>
  <si>
    <t>Malaysia</t>
  </si>
  <si>
    <t>Norway</t>
  </si>
  <si>
    <t>Switzerland</t>
  </si>
  <si>
    <t>Australia</t>
  </si>
  <si>
    <t>Luxembourg</t>
  </si>
  <si>
    <t>Denmark</t>
  </si>
  <si>
    <t>Sweden</t>
  </si>
  <si>
    <t>New Zealand</t>
  </si>
  <si>
    <t>Bahrain</t>
  </si>
  <si>
    <t>Iceland</t>
  </si>
  <si>
    <t>Venezuela</t>
  </si>
  <si>
    <t>Belgium</t>
  </si>
  <si>
    <t>Finland</t>
  </si>
  <si>
    <t>Singapore</t>
  </si>
  <si>
    <t>Netherlands</t>
  </si>
  <si>
    <t>United Kingdom</t>
  </si>
  <si>
    <t>Cyprus</t>
  </si>
  <si>
    <t>Austria</t>
  </si>
  <si>
    <t>Nigeria</t>
  </si>
  <si>
    <t>Malta</t>
  </si>
  <si>
    <t>Spain</t>
  </si>
  <si>
    <t>Puerto Rico</t>
  </si>
  <si>
    <t>Qatar</t>
  </si>
  <si>
    <t>Slovenia</t>
  </si>
  <si>
    <t>Uruguay</t>
  </si>
  <si>
    <t>Kuwait</t>
  </si>
  <si>
    <t>South Korea</t>
  </si>
  <si>
    <t>Azerbaijan</t>
  </si>
  <si>
    <t>Lebanon</t>
  </si>
  <si>
    <t>United Arab Emirates</t>
  </si>
  <si>
    <t>Portugal</t>
  </si>
  <si>
    <t>Croatia</t>
  </si>
  <si>
    <t>Saudi Arabia</t>
  </si>
  <si>
    <t>Estonia</t>
  </si>
  <si>
    <t>Argentina</t>
  </si>
  <si>
    <t>Brazil</t>
  </si>
  <si>
    <t>Chile</t>
  </si>
  <si>
    <t>Taiwan</t>
  </si>
  <si>
    <t>Costa Rica</t>
  </si>
  <si>
    <t>Dominican Republic</t>
  </si>
  <si>
    <t>Slovakia</t>
  </si>
  <si>
    <t>Turkey</t>
  </si>
  <si>
    <t>Hungary</t>
  </si>
  <si>
    <t>Czech Republic</t>
  </si>
  <si>
    <t>Lithuania</t>
  </si>
  <si>
    <t>Montenegro</t>
  </si>
  <si>
    <t>Trinidad And Tobago</t>
  </si>
  <si>
    <t>South Africa</t>
  </si>
  <si>
    <t>Ethiopia</t>
  </si>
  <si>
    <t>Colombia</t>
  </si>
  <si>
    <t>Iran</t>
  </si>
  <si>
    <t>Kenya</t>
  </si>
  <si>
    <t>Cambodia</t>
  </si>
  <si>
    <t>Poland</t>
  </si>
  <si>
    <t>Tanzania</t>
  </si>
  <si>
    <t>Oman</t>
  </si>
  <si>
    <t>Mauritius</t>
  </si>
  <si>
    <t>Morocco</t>
  </si>
  <si>
    <t>Serbia</t>
  </si>
  <si>
    <t>Bosnia And Herzegovina</t>
  </si>
  <si>
    <t>Panama</t>
  </si>
  <si>
    <t>Bulgaria</t>
  </si>
  <si>
    <t>Romania</t>
  </si>
  <si>
    <t>Thailand</t>
  </si>
  <si>
    <t>Belarus</t>
  </si>
  <si>
    <t>Sri Lanka</t>
  </si>
  <si>
    <t>Tunisia</t>
  </si>
  <si>
    <t>Peru</t>
  </si>
  <si>
    <t>Albania</t>
  </si>
  <si>
    <t>Ukraine</t>
  </si>
  <si>
    <t>Philippines</t>
  </si>
  <si>
    <t>Syria</t>
  </si>
  <si>
    <t>Moldova</t>
  </si>
  <si>
    <t>Ecuador</t>
  </si>
  <si>
    <t>Macedonia</t>
  </si>
  <si>
    <t>Bangladesh</t>
  </si>
  <si>
    <t>Egypt</t>
  </si>
  <si>
    <t>Vietnam</t>
  </si>
  <si>
    <t>Bolivia</t>
  </si>
  <si>
    <t>Nepal</t>
  </si>
  <si>
    <t>Pakistan</t>
  </si>
  <si>
    <t>banon</t>
  </si>
  <si>
    <t>erbia</t>
  </si>
  <si>
    <t>rland</t>
  </si>
  <si>
    <t>oland</t>
  </si>
  <si>
    <t>rance</t>
  </si>
  <si>
    <t>Sudan</t>
  </si>
  <si>
    <t>Macao</t>
  </si>
  <si>
    <t>ntina</t>
  </si>
  <si>
    <t>ralia</t>
  </si>
  <si>
    <t>stria</t>
  </si>
  <si>
    <t>hrain</t>
  </si>
  <si>
    <t>adesh</t>
  </si>
  <si>
    <t>aijan</t>
  </si>
  <si>
    <t>ombia</t>
  </si>
  <si>
    <t>oatia</t>
  </si>
  <si>
    <t>yprus</t>
  </si>
  <si>
    <t>ublic</t>
  </si>
  <si>
    <t>nmark</t>
  </si>
  <si>
    <t>uador</t>
  </si>
  <si>
    <t>vador</t>
  </si>
  <si>
    <t>tonia</t>
  </si>
  <si>
    <t>iopia</t>
  </si>
  <si>
    <t>nland</t>
  </si>
  <si>
    <t>rmany</t>
  </si>
  <si>
    <t>reece</t>
  </si>
  <si>
    <t xml:space="preserve"> Kong</t>
  </si>
  <si>
    <t>nesia</t>
  </si>
  <si>
    <t>eland</t>
  </si>
  <si>
    <t>maica</t>
  </si>
  <si>
    <t>ordan</t>
  </si>
  <si>
    <t>hstan</t>
  </si>
  <si>
    <t>uwait</t>
  </si>
  <si>
    <t>atvia</t>
  </si>
  <si>
    <t>uania</t>
  </si>
  <si>
    <t>bourg</t>
  </si>
  <si>
    <t>donia</t>
  </si>
  <si>
    <t>exico</t>
  </si>
  <si>
    <t>ldova</t>
  </si>
  <si>
    <t>golia</t>
  </si>
  <si>
    <t>negro</t>
  </si>
  <si>
    <t>anmar</t>
  </si>
  <si>
    <t>mibia</t>
  </si>
  <si>
    <t>lands</t>
  </si>
  <si>
    <t>aland</t>
  </si>
  <si>
    <t>geria</t>
  </si>
  <si>
    <t>orway</t>
  </si>
  <si>
    <t>istan</t>
  </si>
  <si>
    <t>anama</t>
  </si>
  <si>
    <t>pines</t>
  </si>
  <si>
    <t>tugal</t>
  </si>
  <si>
    <t>mania</t>
  </si>
  <si>
    <t>ussia</t>
  </si>
  <si>
    <t>rabia</t>
  </si>
  <si>
    <t>apore</t>
  </si>
  <si>
    <t>vakia</t>
  </si>
  <si>
    <t>venia</t>
  </si>
  <si>
    <t>frica</t>
  </si>
  <si>
    <t>Korea</t>
  </si>
  <si>
    <t>Lanka</t>
  </si>
  <si>
    <t>weden</t>
  </si>
  <si>
    <t>aiwan</t>
  </si>
  <si>
    <t>zania</t>
  </si>
  <si>
    <t>iland</t>
  </si>
  <si>
    <t>nisia</t>
  </si>
  <si>
    <t>urkey</t>
  </si>
  <si>
    <t>ganda</t>
  </si>
  <si>
    <t>raine</t>
  </si>
  <si>
    <t>rates</t>
  </si>
  <si>
    <t>ngdom</t>
  </si>
  <si>
    <t>uguay</t>
  </si>
  <si>
    <t>zuela</t>
  </si>
  <si>
    <t>etnam</t>
  </si>
  <si>
    <t>babwe</t>
  </si>
  <si>
    <t>tates</t>
  </si>
  <si>
    <t>aysia</t>
  </si>
  <si>
    <t>larus</t>
  </si>
  <si>
    <t>lgium</t>
  </si>
  <si>
    <t>livia</t>
  </si>
  <si>
    <t>ovina</t>
  </si>
  <si>
    <t>razil</t>
  </si>
  <si>
    <t>garia</t>
  </si>
  <si>
    <t>bodia</t>
  </si>
  <si>
    <t>anada</t>
  </si>
  <si>
    <t>swana</t>
  </si>
  <si>
    <t>Santo Domingo, Dominican Rep</t>
  </si>
  <si>
    <t>n Rep</t>
  </si>
  <si>
    <t>runei</t>
  </si>
  <si>
    <t xml:space="preserve"> Rica</t>
  </si>
  <si>
    <t xml:space="preserve"> Rico</t>
  </si>
  <si>
    <t xml:space="preserve">A cost-of-living index is a theoretical price index that measures relative cost of living over time or regions. It is an index that measures differences in the price of goods and services, and allows for substitutions to other items as prices vary.[1]Each report looks deeply into a specific issue or trend, providing analysis in an easy-to-digest format that helps clients to understand and master their competitive environments.
There are many different methodologies that have been developed to approximate cost-of-living indexes, including methods that allow for substitution among items as relative prices change. </t>
  </si>
  <si>
    <t xml:space="preserve"> Oman</t>
  </si>
  <si>
    <t>Newcastle, United Kingdom</t>
  </si>
  <si>
    <t>menia</t>
  </si>
  <si>
    <t>Banja Luka, Bosnia Herzegovina</t>
  </si>
  <si>
    <t>Eating Out</t>
  </si>
  <si>
    <t>Brunei</t>
  </si>
  <si>
    <t>Botswana</t>
  </si>
  <si>
    <t>Guatemala</t>
  </si>
  <si>
    <t>Zimbabwe</t>
  </si>
  <si>
    <t>Uganda</t>
  </si>
  <si>
    <t>Jamaica</t>
  </si>
  <si>
    <t>Uzbekistan</t>
  </si>
  <si>
    <t>Mongolia</t>
  </si>
  <si>
    <t>Namibia</t>
  </si>
  <si>
    <t>Myanmar</t>
  </si>
  <si>
    <t>Armenia</t>
  </si>
  <si>
    <t>Bosnia Herzegovina</t>
  </si>
  <si>
    <t>El Salvador</t>
  </si>
  <si>
    <t>Dominican Rep</t>
  </si>
  <si>
    <t>Sarajevo, Bosnia Herzegovina</t>
  </si>
  <si>
    <t>How frequent you consume in a month ?</t>
  </si>
  <si>
    <t>Total</t>
  </si>
  <si>
    <t>in host country</t>
  </si>
  <si>
    <t>Mid-range Restaurant</t>
  </si>
  <si>
    <t>Combo Meal at McDonalds</t>
  </si>
  <si>
    <t>Domestic Beer</t>
  </si>
  <si>
    <t>Imported Beer</t>
  </si>
  <si>
    <t>Coke/Pepsi</t>
  </si>
  <si>
    <t>Water</t>
  </si>
  <si>
    <t>Aalborg</t>
  </si>
  <si>
    <t>Aberdeen</t>
  </si>
  <si>
    <t>Abu Dhabi</t>
  </si>
  <si>
    <t>Accra</t>
  </si>
  <si>
    <t>Ad Dammam</t>
  </si>
  <si>
    <t>Addis Ababa</t>
  </si>
  <si>
    <t>Adelaide</t>
  </si>
  <si>
    <t>Ahmedabad</t>
  </si>
  <si>
    <t>Albuquerque</t>
  </si>
  <si>
    <t>Alexandria</t>
  </si>
  <si>
    <t>Algiers</t>
  </si>
  <si>
    <t>Alicante</t>
  </si>
  <si>
    <t>Almaty</t>
  </si>
  <si>
    <t>Amman</t>
  </si>
  <si>
    <t>Amsterdam</t>
  </si>
  <si>
    <t>Anchorage</t>
  </si>
  <si>
    <t>Ankara</t>
  </si>
  <si>
    <t>Antalya</t>
  </si>
  <si>
    <t>Antwerp</t>
  </si>
  <si>
    <t>Arhus</t>
  </si>
  <si>
    <t>Athens</t>
  </si>
  <si>
    <t>Atlanta</t>
  </si>
  <si>
    <t>Auckland</t>
  </si>
  <si>
    <t>Austin</t>
  </si>
  <si>
    <t>Baghdad</t>
  </si>
  <si>
    <t>Baku</t>
  </si>
  <si>
    <t>Baltimore</t>
  </si>
  <si>
    <t>Bandar Seri Begawan</t>
  </si>
  <si>
    <t>Bandung</t>
  </si>
  <si>
    <t>Bangalore</t>
  </si>
  <si>
    <t>Bangkok</t>
  </si>
  <si>
    <t>Banja Luka</t>
  </si>
  <si>
    <t>Barcelona</t>
  </si>
  <si>
    <t>Barrie</t>
  </si>
  <si>
    <t>Beijing</t>
  </si>
  <si>
    <t>Beirut</t>
  </si>
  <si>
    <t>Belfast</t>
  </si>
  <si>
    <t>Belgrade</t>
  </si>
  <si>
    <t>Belo Horizonte</t>
  </si>
  <si>
    <t>Bergamo</t>
  </si>
  <si>
    <t>Bergen</t>
  </si>
  <si>
    <t>Berlin</t>
  </si>
  <si>
    <t>Bern</t>
  </si>
  <si>
    <t>Bhopal</t>
  </si>
  <si>
    <t>Bhubenswar</t>
  </si>
  <si>
    <t>Bialystok</t>
  </si>
  <si>
    <t>Birmingham</t>
  </si>
  <si>
    <t>Bogota</t>
  </si>
  <si>
    <t>Bologna</t>
  </si>
  <si>
    <t>Bordeaux</t>
  </si>
  <si>
    <t>Boston</t>
  </si>
  <si>
    <t>Braga</t>
  </si>
  <si>
    <t>Brasilia</t>
  </si>
  <si>
    <t>Brasov</t>
  </si>
  <si>
    <t>Bratislava</t>
  </si>
  <si>
    <t>Brisbane</t>
  </si>
  <si>
    <t>Bristol</t>
  </si>
  <si>
    <t>Brno</t>
  </si>
  <si>
    <t>Brussels</t>
  </si>
  <si>
    <t>Bucharest</t>
  </si>
  <si>
    <t>Budapest</t>
  </si>
  <si>
    <t>Buenos Aires</t>
  </si>
  <si>
    <t>Buffalo</t>
  </si>
  <si>
    <t>Busan</t>
  </si>
  <si>
    <t>Bydgoszcz</t>
  </si>
  <si>
    <t>Cairns</t>
  </si>
  <si>
    <t>Cairo</t>
  </si>
  <si>
    <t>Calgary</t>
  </si>
  <si>
    <t>Cambridge</t>
  </si>
  <si>
    <t>Campinas</t>
  </si>
  <si>
    <t>Canberra</t>
  </si>
  <si>
    <t>Cape Town</t>
  </si>
  <si>
    <t>Caracas</t>
  </si>
  <si>
    <t>Cardiff</t>
  </si>
  <si>
    <t>Cebu</t>
  </si>
  <si>
    <t>Chandigarh</t>
  </si>
  <si>
    <t>Chennai</t>
  </si>
  <si>
    <t>Chiang Mai</t>
  </si>
  <si>
    <t>Chicago</t>
  </si>
  <si>
    <t>Chisinau</t>
  </si>
  <si>
    <t>Christchurch</t>
  </si>
  <si>
    <t>Cleveland</t>
  </si>
  <si>
    <t>Cluj-napoca</t>
  </si>
  <si>
    <t>Coimbatore</t>
  </si>
  <si>
    <t>Coimbra</t>
  </si>
  <si>
    <t>Cologne</t>
  </si>
  <si>
    <t>Colombo</t>
  </si>
  <si>
    <t>Columbus</t>
  </si>
  <si>
    <t>Copenhagen</t>
  </si>
  <si>
    <t>Cordoba</t>
  </si>
  <si>
    <t>Cork</t>
  </si>
  <si>
    <t>Cuenca</t>
  </si>
  <si>
    <t>Curitiba</t>
  </si>
  <si>
    <t>Dallas</t>
  </si>
  <si>
    <t>Damascus</t>
  </si>
  <si>
    <t>Dar Es Salaam</t>
  </si>
  <si>
    <t>Darwin</t>
  </si>
  <si>
    <t>Davao</t>
  </si>
  <si>
    <t>Delhi</t>
  </si>
  <si>
    <t>Denver</t>
  </si>
  <si>
    <t>Des Moines</t>
  </si>
  <si>
    <t>Detroit</t>
  </si>
  <si>
    <t>Dhaka</t>
  </si>
  <si>
    <t>Dnipropetrovsk</t>
  </si>
  <si>
    <t>Doha</t>
  </si>
  <si>
    <t>Donetsk</t>
  </si>
  <si>
    <t>Dresden</t>
  </si>
  <si>
    <t>Dubai</t>
  </si>
  <si>
    <t>Dublin</t>
  </si>
  <si>
    <t>Dusseldorf</t>
  </si>
  <si>
    <t>Edinburgh</t>
  </si>
  <si>
    <t>Edmonton</t>
  </si>
  <si>
    <t>Eindhoven</t>
  </si>
  <si>
    <t>Esfahan</t>
  </si>
  <si>
    <t>Florence</t>
  </si>
  <si>
    <t>Florianopolis</t>
  </si>
  <si>
    <t>Fort McMurray</t>
  </si>
  <si>
    <t>Frankfurt</t>
  </si>
  <si>
    <t>Gaborone</t>
  </si>
  <si>
    <t>Galway</t>
  </si>
  <si>
    <t>Gdansk</t>
  </si>
  <si>
    <t>Geneva</t>
  </si>
  <si>
    <t>Genoa</t>
  </si>
  <si>
    <t>Gent</t>
  </si>
  <si>
    <t>Goiania</t>
  </si>
  <si>
    <t>Gold Coast</t>
  </si>
  <si>
    <t>Gothenburg</t>
  </si>
  <si>
    <t>Graz</t>
  </si>
  <si>
    <t>Grenoble</t>
  </si>
  <si>
    <t>Groningen</t>
  </si>
  <si>
    <t>Guadalajara</t>
  </si>
  <si>
    <t>Guangzhou</t>
  </si>
  <si>
    <t>Guatemala City</t>
  </si>
  <si>
    <t>Guildford</t>
  </si>
  <si>
    <t>Gurgaon</t>
  </si>
  <si>
    <t>Haifa</t>
  </si>
  <si>
    <t>Halifax</t>
  </si>
  <si>
    <t>Hamburg</t>
  </si>
  <si>
    <t>Hamilton</t>
  </si>
  <si>
    <t>Hangzhou</t>
  </si>
  <si>
    <t>Hanoi</t>
  </si>
  <si>
    <t>Harare</t>
  </si>
  <si>
    <t>Heidelberg</t>
  </si>
  <si>
    <t>Helsinki</t>
  </si>
  <si>
    <t>Ho Chi Minh City</t>
  </si>
  <si>
    <t>Honolulu</t>
  </si>
  <si>
    <t>Houston</t>
  </si>
  <si>
    <t>Huntsville</t>
  </si>
  <si>
    <t>Hyderabad</t>
  </si>
  <si>
    <t>Iasi</t>
  </si>
  <si>
    <t>Indianapolis</t>
  </si>
  <si>
    <t>Indore</t>
  </si>
  <si>
    <t>Irbil</t>
  </si>
  <si>
    <t>Islamabad</t>
  </si>
  <si>
    <t>Istanbul</t>
  </si>
  <si>
    <t>Izmir</t>
  </si>
  <si>
    <t>Jaipur</t>
  </si>
  <si>
    <t>Jakarta</t>
  </si>
  <si>
    <t>Jeddah (Jiddah)</t>
  </si>
  <si>
    <t>Jerusalem</t>
  </si>
  <si>
    <t>Johannesburg</t>
  </si>
  <si>
    <t>Johor Baharu</t>
  </si>
  <si>
    <t>Kampala</t>
  </si>
  <si>
    <t>Kansas City</t>
  </si>
  <si>
    <t>Karachi</t>
  </si>
  <si>
    <t>Kathmandu</t>
  </si>
  <si>
    <t>Katowice</t>
  </si>
  <si>
    <t>Kaunas</t>
  </si>
  <si>
    <t>Kelowna</t>
  </si>
  <si>
    <t>Kharkiv</t>
  </si>
  <si>
    <t>Khartoum</t>
  </si>
  <si>
    <t>Kiev</t>
  </si>
  <si>
    <t>Kingston</t>
  </si>
  <si>
    <t>Kitchener</t>
  </si>
  <si>
    <t>Kochi</t>
  </si>
  <si>
    <t>Kolkata</t>
  </si>
  <si>
    <t>Kosice</t>
  </si>
  <si>
    <t>Kowloon</t>
  </si>
  <si>
    <t>Krakow (Cracow)</t>
  </si>
  <si>
    <t>Krasnodar</t>
  </si>
  <si>
    <t>Kuala Lumpur</t>
  </si>
  <si>
    <t>Kuwait City</t>
  </si>
  <si>
    <t>Lagos</t>
  </si>
  <si>
    <t>Lahore</t>
  </si>
  <si>
    <t>Las Vegas</t>
  </si>
  <si>
    <t>Lausanne</t>
  </si>
  <si>
    <t>Leeds</t>
  </si>
  <si>
    <t>Leicester</t>
  </si>
  <si>
    <t>Leiden</t>
  </si>
  <si>
    <t>Lille</t>
  </si>
  <si>
    <t>Lima</t>
  </si>
  <si>
    <t>Limassol</t>
  </si>
  <si>
    <t>Limerick</t>
  </si>
  <si>
    <t>Lisbon</t>
  </si>
  <si>
    <t>Liverpool</t>
  </si>
  <si>
    <t>Ljubljana</t>
  </si>
  <si>
    <t>Lodz</t>
  </si>
  <si>
    <t>London</t>
  </si>
  <si>
    <t>Los Angeles</t>
  </si>
  <si>
    <t>Lublin</t>
  </si>
  <si>
    <t>Lugano</t>
  </si>
  <si>
    <t>Lviv</t>
  </si>
  <si>
    <t>Lyon</t>
  </si>
  <si>
    <t>Madison</t>
  </si>
  <si>
    <t>Madrid</t>
  </si>
  <si>
    <t>Makati</t>
  </si>
  <si>
    <t>Malaga</t>
  </si>
  <si>
    <t>Malmo</t>
  </si>
  <si>
    <t>Manama</t>
  </si>
  <si>
    <t>Manila</t>
  </si>
  <si>
    <t>Maribor</t>
  </si>
  <si>
    <t>Marseille</t>
  </si>
  <si>
    <t>Medellin</t>
  </si>
  <si>
    <t>Melbourne</t>
  </si>
  <si>
    <t>Merida</t>
  </si>
  <si>
    <t>Mexico City</t>
  </si>
  <si>
    <t>Miami</t>
  </si>
  <si>
    <t>Milan</t>
  </si>
  <si>
    <t>Milwaukee</t>
  </si>
  <si>
    <t>Minneapolis</t>
  </si>
  <si>
    <t>Minsk</t>
  </si>
  <si>
    <t>Mississauga</t>
  </si>
  <si>
    <t>Monterrey</t>
  </si>
  <si>
    <t>Montevideo</t>
  </si>
  <si>
    <t>Montreal</t>
  </si>
  <si>
    <t>Moscow</t>
  </si>
  <si>
    <t>Mumbai</t>
  </si>
  <si>
    <t>Munich</t>
  </si>
  <si>
    <t>Muscat</t>
  </si>
  <si>
    <t>Nagpur</t>
  </si>
  <si>
    <t>Nairobi</t>
  </si>
  <si>
    <t>Nantes</t>
  </si>
  <si>
    <t>Naples</t>
  </si>
  <si>
    <t>Nashville</t>
  </si>
  <si>
    <t>Nasik</t>
  </si>
  <si>
    <t>Navi Mumbai</t>
  </si>
  <si>
    <t>New Orleans</t>
  </si>
  <si>
    <t>New York</t>
  </si>
  <si>
    <t>Newark</t>
  </si>
  <si>
    <t>Newcastle</t>
  </si>
  <si>
    <t>Nice</t>
  </si>
  <si>
    <t>Nicosia</t>
  </si>
  <si>
    <t>Nis</t>
  </si>
  <si>
    <t>Nizhniy Novgorod</t>
  </si>
  <si>
    <t>Noida</t>
  </si>
  <si>
    <t>Nottingham</t>
  </si>
  <si>
    <t>Novi Sad</t>
  </si>
  <si>
    <t>Novosibirsk</t>
  </si>
  <si>
    <t>Nuremberg</t>
  </si>
  <si>
    <t>Odense</t>
  </si>
  <si>
    <t>Odesa</t>
  </si>
  <si>
    <t>Oklahoma City</t>
  </si>
  <si>
    <t>Oradea</t>
  </si>
  <si>
    <t>Orlando</t>
  </si>
  <si>
    <t>Osaka</t>
  </si>
  <si>
    <t>Osijek</t>
  </si>
  <si>
    <t>Oslo</t>
  </si>
  <si>
    <t>Ostrava</t>
  </si>
  <si>
    <t>Ottawa</t>
  </si>
  <si>
    <t>Oxford</t>
  </si>
  <si>
    <t>Padova</t>
  </si>
  <si>
    <t>Pamplona</t>
  </si>
  <si>
    <t>Panama City</t>
  </si>
  <si>
    <t>Paris</t>
  </si>
  <si>
    <t>Patras</t>
  </si>
  <si>
    <t>Pattaya</t>
  </si>
  <si>
    <t>Penang</t>
  </si>
  <si>
    <t>Perm</t>
  </si>
  <si>
    <t>Perth</t>
  </si>
  <si>
    <t>Petaling Jaya</t>
  </si>
  <si>
    <t>Philadelphia</t>
  </si>
  <si>
    <t>Phnum Penh</t>
  </si>
  <si>
    <t>Phoenix</t>
  </si>
  <si>
    <t>Pittsburgh</t>
  </si>
  <si>
    <t>Plovdiv</t>
  </si>
  <si>
    <t>Podgorica</t>
  </si>
  <si>
    <t>Pondicherry</t>
  </si>
  <si>
    <t>Portland</t>
  </si>
  <si>
    <t>Porto Alegre</t>
  </si>
  <si>
    <t>Porto</t>
  </si>
  <si>
    <t>Poznan</t>
  </si>
  <si>
    <t>Prague</t>
  </si>
  <si>
    <t>Pretoria</t>
  </si>
  <si>
    <t>Puerto Vallarta</t>
  </si>
  <si>
    <t>Pune</t>
  </si>
  <si>
    <t>Punta del Este</t>
  </si>
  <si>
    <t>Quebec City</t>
  </si>
  <si>
    <t>Quezon City</t>
  </si>
  <si>
    <t>Quito</t>
  </si>
  <si>
    <t>Raleigh</t>
  </si>
  <si>
    <t>Recife</t>
  </si>
  <si>
    <t>Regina</t>
  </si>
  <si>
    <t>Reno</t>
  </si>
  <si>
    <t>Reykjavik</t>
  </si>
  <si>
    <t>Richmond</t>
  </si>
  <si>
    <t>Riga</t>
  </si>
  <si>
    <t>Rijeka</t>
  </si>
  <si>
    <t>Rio De Janeiro</t>
  </si>
  <si>
    <t>Riyadh</t>
  </si>
  <si>
    <t>Rochester</t>
  </si>
  <si>
    <t>Rome</t>
  </si>
  <si>
    <t>Rostov-na-donu</t>
  </si>
  <si>
    <t>Rotterdam</t>
  </si>
  <si>
    <t>Rzeszow</t>
  </si>
  <si>
    <t>Sacramento</t>
  </si>
  <si>
    <t>Saint Louis</t>
  </si>
  <si>
    <t>Saint Petersburg</t>
  </si>
  <si>
    <t>Salt Lake City</t>
  </si>
  <si>
    <t>Salvador</t>
  </si>
  <si>
    <t>San Antonio</t>
  </si>
  <si>
    <t>San Diego</t>
  </si>
  <si>
    <t>San Francisco</t>
  </si>
  <si>
    <t>San Jose</t>
  </si>
  <si>
    <t>San Juan</t>
  </si>
  <si>
    <t>San Salvador</t>
  </si>
  <si>
    <t>Santa Barbara</t>
  </si>
  <si>
    <t>Santiago</t>
  </si>
  <si>
    <t>Santo Domingo</t>
  </si>
  <si>
    <t>Sao Paulo</t>
  </si>
  <si>
    <t>Sarajevo</t>
  </si>
  <si>
    <t>Saskatoon</t>
  </si>
  <si>
    <t>Seattle</t>
  </si>
  <si>
    <t>Seoul</t>
  </si>
  <si>
    <t>Sevilla</t>
  </si>
  <si>
    <t>Shanghai</t>
  </si>
  <si>
    <t>Shenzhen</t>
  </si>
  <si>
    <t>Skopje</t>
  </si>
  <si>
    <t>Sliema</t>
  </si>
  <si>
    <t>Sofia</t>
  </si>
  <si>
    <t>Split</t>
  </si>
  <si>
    <t>Stavanger</t>
  </si>
  <si>
    <t>Stockholm</t>
  </si>
  <si>
    <t>Strasbourg</t>
  </si>
  <si>
    <t>Stuttgart</t>
  </si>
  <si>
    <t>Surat</t>
  </si>
  <si>
    <t>Surrey</t>
  </si>
  <si>
    <t>Sydney</t>
  </si>
  <si>
    <t>Szczecin</t>
  </si>
  <si>
    <t>Taichung</t>
  </si>
  <si>
    <t>Taipei</t>
  </si>
  <si>
    <t>Tallinn</t>
  </si>
  <si>
    <t>Tampa</t>
  </si>
  <si>
    <t>Tampere</t>
  </si>
  <si>
    <t>Tartu</t>
  </si>
  <si>
    <t>Tashkent</t>
  </si>
  <si>
    <t>Tbilisi</t>
  </si>
  <si>
    <t>Tehran</t>
  </si>
  <si>
    <t>Tel Aviv-yafo</t>
  </si>
  <si>
    <t>The Hague</t>
  </si>
  <si>
    <t>Thessaloniki</t>
  </si>
  <si>
    <t>Thiruvananthapuram</t>
  </si>
  <si>
    <t>Timisoara</t>
  </si>
  <si>
    <t>Tirana</t>
  </si>
  <si>
    <t>Tokyo</t>
  </si>
  <si>
    <t>Toronto</t>
  </si>
  <si>
    <t>Toulouse</t>
  </si>
  <si>
    <t>Trieste</t>
  </si>
  <si>
    <t>Trondheim</t>
  </si>
  <si>
    <t>Tucson</t>
  </si>
  <si>
    <t>Tulsa</t>
  </si>
  <si>
    <t>Tunis</t>
  </si>
  <si>
    <t>Turin</t>
  </si>
  <si>
    <t>Ufa</t>
  </si>
  <si>
    <t>Ulaanbaatar</t>
  </si>
  <si>
    <t>Utrecht</t>
  </si>
  <si>
    <t>Vadodara</t>
  </si>
  <si>
    <t>Valencia</t>
  </si>
  <si>
    <t>Vancouver</t>
  </si>
  <si>
    <t>Varna</t>
  </si>
  <si>
    <t>Venice</t>
  </si>
  <si>
    <t>Verona</t>
  </si>
  <si>
    <t>Victoria</t>
  </si>
  <si>
    <t>Vienna</t>
  </si>
  <si>
    <t>Vilnius</t>
  </si>
  <si>
    <t>Visakhapatnam</t>
  </si>
  <si>
    <t>Vladivostok</t>
  </si>
  <si>
    <t>Warsaw</t>
  </si>
  <si>
    <t>Washington</t>
  </si>
  <si>
    <t>Waterloo</t>
  </si>
  <si>
    <t>Wellington</t>
  </si>
  <si>
    <t>Windhoek</t>
  </si>
  <si>
    <t>Winnipeg</t>
  </si>
  <si>
    <t>Wroclaw</t>
  </si>
  <si>
    <t>Yangon</t>
  </si>
  <si>
    <t>Yekaterinburg</t>
  </si>
  <si>
    <t>Yerevan</t>
  </si>
  <si>
    <t>Zagreb</t>
  </si>
  <si>
    <t>Zaragoza</t>
  </si>
  <si>
    <t>Zurich</t>
  </si>
  <si>
    <t>City and Country</t>
  </si>
  <si>
    <t>Facts :</t>
  </si>
  <si>
    <t>expensive</t>
  </si>
  <si>
    <t>cheapest</t>
  </si>
  <si>
    <t xml:space="preserve"> is the most expensive item in comparison to </t>
  </si>
  <si>
    <t xml:space="preserve"> is the cheapest item in comparison to </t>
  </si>
  <si>
    <t xml:space="preserve"> % more expensive in </t>
  </si>
  <si>
    <t xml:space="preserve">Overall, based on 8 items in the eating out category, the cost of eating out in </t>
  </si>
  <si>
    <t>You should compare between two different cities.</t>
  </si>
  <si>
    <t xml:space="preserve">. Its cost is </t>
  </si>
  <si>
    <t>Qty/frequency</t>
  </si>
  <si>
    <t>monthly cost</t>
  </si>
  <si>
    <t xml:space="preserve">Overall, based on 16 items in the groceries category, the cost of groceries in </t>
  </si>
  <si>
    <t>Milk</t>
  </si>
  <si>
    <t>Bread</t>
  </si>
  <si>
    <t>Chicken Breasts</t>
  </si>
  <si>
    <t>Bottle of Wine</t>
  </si>
  <si>
    <t>Cigarettes</t>
  </si>
  <si>
    <t>Local Cheese</t>
  </si>
  <si>
    <t>Apples</t>
  </si>
  <si>
    <t>Oranges</t>
  </si>
  <si>
    <t>Tomato</t>
  </si>
  <si>
    <t>Potato</t>
  </si>
  <si>
    <t>Lettuce</t>
  </si>
  <si>
    <t>Rice</t>
  </si>
  <si>
    <t>Eggs</t>
  </si>
  <si>
    <t>Singapore City</t>
  </si>
  <si>
    <t>Singapore City, Singapore</t>
  </si>
  <si>
    <t xml:space="preserve">One-way Ticket </t>
  </si>
  <si>
    <t xml:space="preserve">Monthly Pass </t>
  </si>
  <si>
    <t xml:space="preserve">Taxi Start </t>
  </si>
  <si>
    <t xml:space="preserve">Taxi 1km </t>
  </si>
  <si>
    <t>Taxi 1hour Waiting</t>
  </si>
  <si>
    <t>Fitness Club</t>
  </si>
  <si>
    <t>Tennis Court Rent</t>
  </si>
  <si>
    <t>Cinema</t>
  </si>
  <si>
    <t xml:space="preserve">Overall, based on 3 items in the Utilities category, the cost of utilities in </t>
  </si>
  <si>
    <t>your spending</t>
  </si>
  <si>
    <t xml:space="preserve"> in comparison to </t>
  </si>
  <si>
    <t xml:space="preserve">In other words, </t>
  </si>
  <si>
    <t xml:space="preserve"> in order to purchase these same items you paid in </t>
  </si>
  <si>
    <t xml:space="preserve"> while in </t>
  </si>
  <si>
    <t xml:space="preserve">. Hence, purchasing the same </t>
  </si>
  <si>
    <t xml:space="preserve"> you need to pay</t>
  </si>
  <si>
    <t xml:space="preserve"> items in this category, you need to pay an amount of </t>
  </si>
  <si>
    <t xml:space="preserve">. Hence, consuming the same </t>
  </si>
  <si>
    <t xml:space="preserve"> in order to utilise these same items you paid in </t>
  </si>
  <si>
    <t xml:space="preserve">Overall, based on 6 items in the transportation category, the cost of transportation in </t>
  </si>
  <si>
    <t xml:space="preserve">Overall, based on 4 apartments in the Rental category, the cost of rental in </t>
  </si>
  <si>
    <t xml:space="preserve">. Hence, renting the selected </t>
  </si>
  <si>
    <t xml:space="preserve"> apartment in this category, you need to pay an amount of </t>
  </si>
  <si>
    <t xml:space="preserve"> in order to rent a similar apartment you paid in </t>
  </si>
  <si>
    <t xml:space="preserve"> in order to utilize these same services you paid in </t>
  </si>
  <si>
    <t xml:space="preserve"> you need to pay approximately around</t>
  </si>
  <si>
    <t xml:space="preserve"> in order to enjoy these same recreation you paid in </t>
  </si>
  <si>
    <t xml:space="preserve">Overall, based on 3 items in the Recreation category, the cost of recreation in </t>
  </si>
  <si>
    <t xml:space="preserve">. Hence, using the same </t>
  </si>
  <si>
    <t>Cost per month</t>
  </si>
  <si>
    <t>Meal, in a budget Restaurant</t>
  </si>
  <si>
    <t>in a budget Restaurant</t>
  </si>
  <si>
    <t xml:space="preserve">. Therefore, using the same </t>
  </si>
  <si>
    <t>Electricity, Water etc</t>
  </si>
  <si>
    <t>1 min. of Prepaid Mobile Tariff</t>
  </si>
  <si>
    <t>Internet ( 6 Mbps , Unlimited Data)</t>
  </si>
  <si>
    <t xml:space="preserve">Destination City : </t>
  </si>
  <si>
    <t>Base City :</t>
  </si>
  <si>
    <t>Current net salary in home country :</t>
  </si>
  <si>
    <t>Currency used in this report :</t>
  </si>
  <si>
    <t>Difference</t>
  </si>
  <si>
    <t>current salary</t>
  </si>
  <si>
    <t>expect salary</t>
  </si>
  <si>
    <t>curent + amount of total salary</t>
  </si>
  <si>
    <t>amount to maintain</t>
  </si>
  <si>
    <t>total home expenditure</t>
  </si>
  <si>
    <t>total host expenditure</t>
  </si>
  <si>
    <t>average salary</t>
  </si>
  <si>
    <t>besar</t>
  </si>
  <si>
    <t>kecil</t>
  </si>
  <si>
    <t>base</t>
  </si>
  <si>
    <t>Conclusion</t>
  </si>
  <si>
    <t>frequent</t>
  </si>
  <si>
    <t>Therefore, based on this item preferences, your personal spending on eating out is</t>
  </si>
  <si>
    <t>Therefore, based on this item preferences, your personal spending on groceries is</t>
  </si>
  <si>
    <t>Therefore, based on this preferences, your personal spending on rental is</t>
  </si>
  <si>
    <t>Therefore, based on this item preferences, your personal spending on transportation is</t>
  </si>
  <si>
    <t>Therefore, based on this item preferences, your personal spending on utilities is</t>
  </si>
  <si>
    <t>Therefore, based on this item preferences, your personal spending on recreation is</t>
  </si>
  <si>
    <t>Therefore, based on this item preferences, your personal spending on apparel is</t>
  </si>
  <si>
    <t>Boneless Chicken Breasts (1kg)</t>
  </si>
  <si>
    <t>White Bread (500g)</t>
  </si>
  <si>
    <t>Meal for 2, Established Restaurant, 3-course</t>
  </si>
  <si>
    <t>Meal, in a Budget Restaurant</t>
  </si>
  <si>
    <t>Combo Meal at McDonalds etc.</t>
  </si>
  <si>
    <t>One-way Ticket (Public Transport)</t>
  </si>
  <si>
    <t>Recreation And Leisure</t>
  </si>
  <si>
    <t>Apparel And Footwear</t>
  </si>
  <si>
    <t>Accomodation</t>
  </si>
  <si>
    <t xml:space="preserve">Overall, based on 3 items in the Apparel and Footwear category, the cost of these items in </t>
  </si>
  <si>
    <t>1 min. of Prepaid Mobile Local Rate (No Plans)</t>
  </si>
  <si>
    <t>Petrol fuel (1 liter)</t>
  </si>
  <si>
    <t>1 Pair of Jeans (Levis 501 etc.)</t>
  </si>
  <si>
    <t>1 Pair of Sport Shoes (Nike etc.)</t>
  </si>
  <si>
    <t>Internet (6 Mbps, Unlimited Data, Wired)</t>
  </si>
  <si>
    <t>Utilities</t>
  </si>
  <si>
    <t>Movie Theatre, International Release, 1 Seat</t>
  </si>
  <si>
    <t>1 bed Apartment in City Centre</t>
  </si>
  <si>
    <t>1 bed Apartment Outside of Centre</t>
  </si>
  <si>
    <t>3 bed Apartment in City Centre</t>
  </si>
  <si>
    <t>3 bed Apartment Outside of Centre</t>
  </si>
  <si>
    <t>Recreational And Leisure</t>
  </si>
  <si>
    <t>Comparison of Cost : Eating Out</t>
  </si>
  <si>
    <t>Comparison of Cost : Groceries</t>
  </si>
  <si>
    <t>Comparison of Cost : Accomodation</t>
  </si>
  <si>
    <t>Average Salary</t>
  </si>
  <si>
    <t>On average the difference may seems negligible, while in other category the difference may seems significant. Merely averaging all the items in determining the differences is not a realistic calculation as each item have its own importance of usage (weight) for a person. Therefore, the more realistic cost of living for a person is calculated based on his/her specific spending pattern over a month. (that is explained later in Chapter 2)</t>
  </si>
  <si>
    <t xml:space="preserve">Total </t>
  </si>
  <si>
    <t xml:space="preserve">While data prices in most online cost of living calculators are fairly acceptable, most of them are using 'typical average person' spending pattern in their calculation algorithm which are not directly reflect your wants or needs. Your spending patterns are difference from those of other people so it is highly unlikely that your cost of living will exactly match the 'typical' expat spending pattern in most cost of living calculator. </t>
  </si>
  <si>
    <t>Salary Analysis</t>
  </si>
  <si>
    <t>FACTSHEET</t>
  </si>
  <si>
    <t>Results (Output)</t>
  </si>
  <si>
    <t>Cost of Living at a Glance</t>
  </si>
  <si>
    <t>Spending by Category</t>
  </si>
  <si>
    <t>surplus excess</t>
  </si>
  <si>
    <t>surplus shortage</t>
  </si>
  <si>
    <t>deficit excess</t>
  </si>
  <si>
    <t>deficit shortage</t>
  </si>
  <si>
    <t xml:space="preserve">The average salary (also called the mean) for a job is an average of all the salaries for a working population. It does not include those who have no income. The average salary is calculated by adding all the salaries for a job and divide it by the number of working population. Nevertheless, the average salary can vary based on location, demand for the job and other factors. </t>
  </si>
  <si>
    <t>leftover</t>
  </si>
  <si>
    <t>expected net salary</t>
  </si>
  <si>
    <t xml:space="preserve">As a general rule, it's a good sign when expected net salary is above the average. If your salary is above the average then this means that you are not very far from the better half. Keep in mind, average salaries can vary greatly due to company, location, industry, experience and benefits. Most probably the people who are earning better than you are only getting a slightly bit more or in a different industry. </t>
  </si>
  <si>
    <t>Expected net salary in host city :</t>
  </si>
  <si>
    <t>Host / Destination City</t>
  </si>
  <si>
    <t>Home / Based City</t>
  </si>
  <si>
    <t>Leftover</t>
  </si>
  <si>
    <t>Living Costs Difference by Category</t>
  </si>
  <si>
    <t>Comparable Spendable Income</t>
  </si>
  <si>
    <t>If the expected net salary is below the average then it is a red flag, or in other words, a warning of danger or a signal for you to think twice about the offer. You should ask for a raise/compesation/ allowance or consider reject the job offer.</t>
  </si>
  <si>
    <t>If the expected net salary in the host country is lower than the comparable spendable income, you will have a deficit and will be forced to borrow money to make up the difference (i.e; use your credit card). The amount you borrowed (and now owe) is your debt. If you have a deficit every month and you keep borrowing, your debt grows plus interest on your debt.  If this could happen, you should  think twice accepting the job offer. You MUST ask for a compensation/ allowance or demand a salary raise.</t>
  </si>
  <si>
    <t>PART 3</t>
  </si>
  <si>
    <t>Salary Comparative Analysis</t>
  </si>
  <si>
    <t xml:space="preserve">If you have a surplus, it is a good signal that the expected net salary is worth to consider. Nevertheless, you must check  the overall cost of relocation. Many people tend to overlook the multitude of hidden costs that come with relocation and their personal spending obligations back home (e.g. savings, mortgage, private/personal retirement/investment funding, private healthcare etc) together with home statutory obligations. If you really satisfied with the amount, the surplus can be considered as your saving or fund for emergencies/additional cost such as healthcare or car monthly payments (as this report did not include the healthcare / car ownership cost in your personal cost of living). 
 </t>
  </si>
  <si>
    <t xml:space="preserve">It’s always tricky to know exactly how much it will cost to live comfortably in a new place as we know that one person’s weekly budget might only last another person a couple of days. </t>
  </si>
  <si>
    <t xml:space="preserve">In this section, item-by-item comparison in each categories is analyzed. Then items in each categories is added and averaged to find its difference to determine if they have enough common-ground, equivalence, or similarities to permit a meaningful comparative analysis. </t>
  </si>
  <si>
    <t>If you just proceed with your overall "typical average person" estimation, as opposed to actually calculating your own numbers, it can be an ambiguous and confusing matter.  For instance, if you are from Western countries, it is likely that you consume less on rice compared to your Asian counterpart and they unlikely consume cheese more than their Western counterpart. In other case, it's easy to over-emphasize changes in the prices that are highly visible(housing, for example). On the contrary, you're likely to under-emphasize price changes in things that seem to be bargains (even if it's still cheap, a 15% higher in the price of cheese is significant if its accumulated for a month). Thus, averaging a spending pattern based on a "typical average person" can be misleading.</t>
  </si>
  <si>
    <t>Comparison of Cost : Recreation and Leisure</t>
  </si>
  <si>
    <t>Comparison of Cost : Apparel and Footwear</t>
  </si>
  <si>
    <t>Having accurate salary comparison data allows you confidently set the starting point in salary expectations and negotiate more effectively with your prospective employer. This section summarizes key findings and comparative data showing the relationship of the your salary the compareable. It also presents findings  showing the Expected Net Salary salary rank in relation to the average salary.</t>
  </si>
  <si>
    <t xml:space="preserve">This section also provide in-depth analysis and valuable insight into salary being offered —on an individual basis that customizes conclusion based on the unique characteristics of your situation thus presents you a comprehensive assessment of your expected salary. </t>
  </si>
  <si>
    <t>While the calculator do a technical analysis from the input data, this report is written in plain English that everyone can understand , explaining complex concepts and technical information without jargon . The survey report is also illustrated with numerous graph, chart and infographics and is designed to be an easy-to-use practical resource.</t>
  </si>
  <si>
    <t xml:space="preserve">The average salary is only a general benchmark which lets you know how much you get paid compared to the rest of the working population. </t>
  </si>
  <si>
    <r>
      <rPr>
        <b/>
        <sz val="22"/>
        <color rgb="FFC00000"/>
        <rFont val="Times New Roman"/>
        <family val="1"/>
      </rPr>
      <t>C</t>
    </r>
    <r>
      <rPr>
        <b/>
        <sz val="16"/>
        <color rgb="FFC00000"/>
        <rFont val="Times New Roman"/>
        <family val="1"/>
      </rPr>
      <t xml:space="preserve">OST OF </t>
    </r>
    <r>
      <rPr>
        <b/>
        <sz val="20"/>
        <color rgb="FFC00000"/>
        <rFont val="Times New Roman"/>
        <family val="1"/>
      </rPr>
      <t>L</t>
    </r>
    <r>
      <rPr>
        <b/>
        <sz val="16"/>
        <color rgb="FFC00000"/>
        <rFont val="Times New Roman"/>
        <family val="1"/>
      </rPr>
      <t xml:space="preserve">IVING AND </t>
    </r>
    <r>
      <rPr>
        <b/>
        <sz val="20"/>
        <color rgb="FFC00000"/>
        <rFont val="Times New Roman"/>
        <family val="1"/>
      </rPr>
      <t>S</t>
    </r>
    <r>
      <rPr>
        <b/>
        <sz val="16"/>
        <color rgb="FFC00000"/>
        <rFont val="Times New Roman"/>
        <family val="1"/>
      </rPr>
      <t xml:space="preserve">ALARY </t>
    </r>
    <r>
      <rPr>
        <b/>
        <sz val="20"/>
        <color rgb="FFC00000"/>
        <rFont val="Times New Roman"/>
        <family val="1"/>
      </rPr>
      <t>C</t>
    </r>
    <r>
      <rPr>
        <b/>
        <sz val="16"/>
        <color rgb="FFC00000"/>
        <rFont val="Times New Roman"/>
        <family val="1"/>
      </rPr>
      <t xml:space="preserve">OMPARISON </t>
    </r>
    <r>
      <rPr>
        <b/>
        <sz val="20"/>
        <color rgb="FFC00000"/>
        <rFont val="Times New Roman"/>
        <family val="1"/>
      </rPr>
      <t>R</t>
    </r>
    <r>
      <rPr>
        <b/>
        <sz val="16"/>
        <color rgb="FFC00000"/>
        <rFont val="Times New Roman"/>
        <family val="1"/>
      </rPr>
      <t>EPORT</t>
    </r>
  </si>
  <si>
    <r>
      <rPr>
        <b/>
        <sz val="28"/>
        <color rgb="FFFF0000"/>
        <rFont val="Times New Roman"/>
        <family val="1"/>
      </rPr>
      <t>E</t>
    </r>
    <r>
      <rPr>
        <b/>
        <sz val="16"/>
        <color rgb="FFFF0000"/>
        <rFont val="Times New Roman"/>
        <family val="1"/>
      </rPr>
      <t>XECUTIVE</t>
    </r>
    <r>
      <rPr>
        <b/>
        <sz val="28"/>
        <color rgb="FFFF0000"/>
        <rFont val="Times New Roman"/>
        <family val="1"/>
      </rPr>
      <t xml:space="preserve"> S</t>
    </r>
    <r>
      <rPr>
        <b/>
        <sz val="16"/>
        <color rgb="FFFF0000"/>
        <rFont val="Times New Roman"/>
        <family val="1"/>
      </rPr>
      <t>UMMARY</t>
    </r>
  </si>
  <si>
    <r>
      <t xml:space="preserve">The report aimed to analyze each categories of cost of living and its impact to the cost of living and subsequently the spendable income of the user. The report is divided into 3 parts ; </t>
    </r>
    <r>
      <rPr>
        <b/>
        <sz val="11"/>
        <color theme="1"/>
        <rFont val="Times New Roman"/>
        <family val="1"/>
      </rPr>
      <t xml:space="preserve">Overview, Personal Cost of Living </t>
    </r>
    <r>
      <rPr>
        <sz val="11"/>
        <color theme="1"/>
        <rFont val="Times New Roman"/>
        <family val="1"/>
      </rPr>
      <t>and</t>
    </r>
    <r>
      <rPr>
        <b/>
        <sz val="11"/>
        <color theme="1"/>
        <rFont val="Times New Roman"/>
        <family val="1"/>
      </rPr>
      <t xml:space="preserve"> Salary Analysis. </t>
    </r>
    <r>
      <rPr>
        <sz val="11"/>
        <color theme="1"/>
        <rFont val="Times New Roman"/>
        <family val="1"/>
      </rPr>
      <t xml:space="preserve">Data on cost of living subjects of the user across seven categories: accomodation rental, eating out, groceries, transportation, clothing &amp; footwear and recreation &amp; leisure. The data is analyzed and evaluated to determine its differences.  </t>
    </r>
  </si>
  <si>
    <r>
      <t xml:space="preserve">Comparison of Cost : </t>
    </r>
    <r>
      <rPr>
        <b/>
        <sz val="16"/>
        <color rgb="FFFF0000"/>
        <rFont val="Times New Roman"/>
        <family val="1"/>
      </rPr>
      <t>Transportation</t>
    </r>
  </si>
  <si>
    <r>
      <t>Comparison of Cost :</t>
    </r>
    <r>
      <rPr>
        <b/>
        <sz val="16"/>
        <color rgb="FFFF0000"/>
        <rFont val="Times New Roman"/>
        <family val="1"/>
      </rPr>
      <t xml:space="preserve"> Utilities</t>
    </r>
  </si>
  <si>
    <r>
      <rPr>
        <b/>
        <sz val="11"/>
        <color theme="1"/>
        <rFont val="Times New Roman"/>
        <family val="1"/>
      </rPr>
      <t xml:space="preserve">Part 1 : Overview </t>
    </r>
    <r>
      <rPr>
        <sz val="11"/>
        <color theme="1"/>
        <rFont val="Times New Roman"/>
        <family val="1"/>
      </rPr>
      <t xml:space="preserve">of the report presents a glance of prices for each item that represent the cost of </t>
    </r>
  </si>
  <si>
    <r>
      <rPr>
        <b/>
        <sz val="11"/>
        <color theme="1"/>
        <rFont val="Times New Roman"/>
        <family val="1"/>
      </rPr>
      <t xml:space="preserve">Part 2 : Personal Cost of Living </t>
    </r>
    <r>
      <rPr>
        <sz val="11"/>
        <color theme="1"/>
        <rFont val="Times New Roman"/>
        <family val="1"/>
      </rPr>
      <t xml:space="preserve">of the report calculates your monthly spending and arrives at an </t>
    </r>
  </si>
  <si>
    <r>
      <t xml:space="preserve">Part 3 :   Salary  Comparative  </t>
    </r>
    <r>
      <rPr>
        <sz val="11"/>
        <color theme="1"/>
        <rFont val="Times New Roman"/>
        <family val="1"/>
      </rPr>
      <t>of  the</t>
    </r>
  </si>
  <si>
    <t>EXECUTIVE SUMMARY</t>
  </si>
  <si>
    <t>Comparison of Cost: Accomodation</t>
  </si>
  <si>
    <t>Comparison of Cost: Eating Out</t>
  </si>
  <si>
    <t>Comparison of Cost: Groceries</t>
  </si>
  <si>
    <t>Comparison of Cost: Transportation</t>
  </si>
  <si>
    <t>Comparison of Cost: Utilities</t>
  </si>
  <si>
    <t>Comparison of Cost: Recreation and Leisure</t>
  </si>
  <si>
    <t>Comparison of Cost: Apparel and Footwear</t>
  </si>
  <si>
    <t>Is the Expected Net Salary good enough to maintain your lifestyle?</t>
  </si>
  <si>
    <t>TABLE OF CONTENTS</t>
  </si>
  <si>
    <t>………….</t>
  </si>
  <si>
    <t>Strictly speaking, the basis of resolving the real cost of living of an expatriates living in another country is finding the difference they have to pay by comparing the price of each items or goods/services that they usually consume in their country with the price of each same items/goods/services in the host/ destination country. In other words, the cost of their personal monthly spending budget in their home country is to be compared with cost of his personal monthly budget in the host/destination country.</t>
  </si>
  <si>
    <t xml:space="preserve">Anyone who has been working in foreign country would notice that price differences between countries are not the same for all goods and services, therefore impacting their cost of living. Cost of living differences are most often reported in the form of cost of living indexes. A cost of living index is the ratio comparison which takes into account the prices for a number of different goods and services between the home and host country. </t>
  </si>
  <si>
    <r>
      <rPr>
        <b/>
        <sz val="48"/>
        <rFont val="Cooper Black"/>
        <family val="1"/>
      </rPr>
      <t>C</t>
    </r>
    <r>
      <rPr>
        <b/>
        <sz val="36"/>
        <rFont val="Cooper Black"/>
        <family val="1"/>
      </rPr>
      <t xml:space="preserve">OST OF </t>
    </r>
    <r>
      <rPr>
        <b/>
        <sz val="48"/>
        <rFont val="Cooper Black"/>
        <family val="1"/>
      </rPr>
      <t>L</t>
    </r>
    <r>
      <rPr>
        <b/>
        <sz val="36"/>
        <rFont val="Cooper Black"/>
        <family val="1"/>
      </rPr>
      <t>IVING</t>
    </r>
  </si>
  <si>
    <t>and</t>
  </si>
  <si>
    <r>
      <t xml:space="preserve"> C</t>
    </r>
    <r>
      <rPr>
        <b/>
        <sz val="26"/>
        <rFont val="Cooper Black"/>
        <family val="1"/>
      </rPr>
      <t xml:space="preserve">OMPARATIVE </t>
    </r>
    <r>
      <rPr>
        <b/>
        <sz val="36"/>
        <rFont val="Cooper Black"/>
        <family val="1"/>
      </rPr>
      <t>R</t>
    </r>
    <r>
      <rPr>
        <b/>
        <sz val="26"/>
        <rFont val="Cooper Black"/>
        <family val="1"/>
      </rPr>
      <t>EPORT</t>
    </r>
  </si>
  <si>
    <t>PART 1 : Comparison Per Item</t>
  </si>
  <si>
    <t>Part 2 : Personal Monthly</t>
  </si>
  <si>
    <t xml:space="preserve"> Budget</t>
  </si>
  <si>
    <t>PART 2 : Personal Monthly Budget</t>
  </si>
  <si>
    <t>Estimating your Personal Cost of Living</t>
  </si>
  <si>
    <t>A more realistic calculation of your personal cost of living would require the user own input data of a wide variety of personal purchases every month. That means the calculation is resolved by weighting the items importance in your personal total spending over a month. The purpose of this section is to allow you to analyze your cost of living given by your individual spending patterns and usage in a month that you entered in the calculator.</t>
  </si>
  <si>
    <t>DISCLAMER</t>
  </si>
  <si>
    <t>Users should, before acting on this information, consider the appropriateness of this information having regard to their personal objectives, financial situation or needs. It is highly recommended that individuals seek the advice of qualified professionals before taking any action to whether other considerations may apply to their particular circumstances.</t>
  </si>
  <si>
    <t>The tool is intended to provide general information only and has been prepared by ExcelExpat without taking into account your specific objectives, financial situation or needs.  The information contained in this tool is of a general nature and should be used as a guide only.  This material is for information purposes only, and must not be relied on as a substitute for legal advice. No warranty is provided in relation to this material.</t>
  </si>
  <si>
    <t>The author is not affiliated with Numbeo.com except for the fact that we use their public data to provide you this service. The data used to produce this page is covered under a Creative Commons license.</t>
  </si>
  <si>
    <t>is comparable to</t>
  </si>
  <si>
    <t>Total Monthly Spending</t>
  </si>
  <si>
    <t>Preferred currency used in this report analysis</t>
  </si>
  <si>
    <t>=   1USD</t>
  </si>
  <si>
    <t>Salary Info Entry</t>
  </si>
  <si>
    <r>
      <rPr>
        <b/>
        <sz val="24"/>
        <color rgb="FFFF0000"/>
        <rFont val="Calibri"/>
        <family val="2"/>
        <scheme val="minor"/>
      </rPr>
      <t>T</t>
    </r>
    <r>
      <rPr>
        <b/>
        <sz val="18"/>
        <color rgb="FFFF0000"/>
        <rFont val="Calibri"/>
        <family val="2"/>
        <scheme val="minor"/>
      </rPr>
      <t>OTAL</t>
    </r>
    <r>
      <rPr>
        <b/>
        <sz val="20"/>
        <color rgb="FFFF0000"/>
        <rFont val="Calibri"/>
        <family val="2"/>
        <scheme val="minor"/>
      </rPr>
      <t xml:space="preserve"> M</t>
    </r>
    <r>
      <rPr>
        <b/>
        <sz val="18"/>
        <color rgb="FFFF0000"/>
        <rFont val="Calibri"/>
        <family val="2"/>
        <scheme val="minor"/>
      </rPr>
      <t>ONTHLY</t>
    </r>
    <r>
      <rPr>
        <b/>
        <sz val="20"/>
        <color rgb="FFFF0000"/>
        <rFont val="Calibri"/>
        <family val="2"/>
        <scheme val="minor"/>
      </rPr>
      <t xml:space="preserve"> B</t>
    </r>
    <r>
      <rPr>
        <b/>
        <sz val="18"/>
        <color rgb="FFFF0000"/>
        <rFont val="Calibri"/>
        <family val="2"/>
        <scheme val="minor"/>
      </rPr>
      <t>UDGET</t>
    </r>
    <r>
      <rPr>
        <b/>
        <sz val="20"/>
        <color rgb="FFFF0000"/>
        <rFont val="Calibri"/>
        <family val="2"/>
        <scheme val="minor"/>
      </rPr>
      <t xml:space="preserve"> C</t>
    </r>
    <r>
      <rPr>
        <b/>
        <sz val="18"/>
        <color rgb="FFFF0000"/>
        <rFont val="Calibri"/>
        <family val="2"/>
        <scheme val="minor"/>
      </rPr>
      <t xml:space="preserve">OMPARISON AND </t>
    </r>
    <r>
      <rPr>
        <b/>
        <sz val="20"/>
        <color rgb="FFFF0000"/>
        <rFont val="Calibri"/>
        <family val="2"/>
        <scheme val="minor"/>
      </rPr>
      <t>S</t>
    </r>
    <r>
      <rPr>
        <b/>
        <sz val="18"/>
        <color rgb="FFFF0000"/>
        <rFont val="Calibri"/>
        <family val="2"/>
        <scheme val="minor"/>
      </rPr>
      <t>UMMARY</t>
    </r>
  </si>
  <si>
    <t>This is a very comprehensive list; every item may not necessarily apply to your specific lifestyle spending patterns, therefore answer "0" if the item in the question is not applicable or irrelevant to your situation, thus can be ignored. For instance, if you are non-smoker, you definitely don't need a pack of cigarettes in your budget.</t>
  </si>
  <si>
    <r>
      <t>This calculator consist of 7 categories that are related to a person Cost of Living ;</t>
    </r>
    <r>
      <rPr>
        <b/>
        <sz val="10"/>
        <color theme="1" tint="0.249977111117893"/>
        <rFont val="Arial"/>
        <family val="2"/>
      </rPr>
      <t xml:space="preserve"> E</t>
    </r>
    <r>
      <rPr>
        <b/>
        <sz val="10"/>
        <color indexed="8"/>
        <rFont val="Arial"/>
        <family val="2"/>
      </rPr>
      <t>ating Out, Groceries, Transportation, Utilities, Recreation, Apparel and Accomodation.</t>
    </r>
  </si>
  <si>
    <r>
      <rPr>
        <b/>
        <sz val="10"/>
        <color theme="1" tint="0.249977111117893"/>
        <rFont val="Arial"/>
        <family val="2"/>
      </rPr>
      <t>Instructions</t>
    </r>
    <r>
      <rPr>
        <sz val="10"/>
        <color theme="1" tint="0.249977111117893"/>
        <rFont val="Arial"/>
        <family val="2"/>
      </rPr>
      <t xml:space="preserve"> : Read the questions carefully and be as honest as you can when answering them. Base your answers on your actual habits and facts hence a reliable report can be concluded. By this way then you can analyze and review which spending items influence your spending habit.</t>
    </r>
  </si>
  <si>
    <t>DISCLAIMER</t>
  </si>
  <si>
    <r>
      <rPr>
        <b/>
        <sz val="36"/>
        <color rgb="FFFF0000"/>
        <rFont val="Calibri"/>
        <family val="2"/>
        <scheme val="minor"/>
      </rPr>
      <t>G</t>
    </r>
    <r>
      <rPr>
        <b/>
        <sz val="26"/>
        <color rgb="FFFF0000"/>
        <rFont val="Calibri"/>
        <family val="2"/>
        <scheme val="minor"/>
      </rPr>
      <t xml:space="preserve">ETTING </t>
    </r>
    <r>
      <rPr>
        <b/>
        <sz val="28"/>
        <color rgb="FFFF0000"/>
        <rFont val="Calibri"/>
        <family val="2"/>
        <scheme val="minor"/>
      </rPr>
      <t>S</t>
    </r>
    <r>
      <rPr>
        <b/>
        <sz val="26"/>
        <color rgb="FFFF0000"/>
        <rFont val="Calibri"/>
        <family val="2"/>
        <scheme val="minor"/>
      </rPr>
      <t>TARTED</t>
    </r>
  </si>
  <si>
    <t>Net Salary/Spendable Income</t>
  </si>
  <si>
    <t>The input amount of a Current Net Salary in your home country is your current spendable income. It is the balance of a Gross Salary after accounting for taxes. Spendable income is also called after-tax cash flow or disposable income, because it represents the money you have to spend after taxes and other allowances. It represents the money available to a household for spending on goods or services. In other words, it is the income that maintained your lifestyle you want.</t>
  </si>
  <si>
    <t>ngary</t>
  </si>
  <si>
    <t>Part 1 : Cost of Living</t>
  </si>
  <si>
    <t>Part 2 : Salary Comparative Analysis</t>
  </si>
  <si>
    <t>Items</t>
  </si>
  <si>
    <t>% of share</t>
  </si>
  <si>
    <r>
      <t xml:space="preserve">This calculator using data from </t>
    </r>
    <r>
      <rPr>
        <sz val="10"/>
        <color rgb="FF3333FF"/>
        <rFont val="Arial"/>
        <family val="2"/>
      </rPr>
      <t>Numbeo.com</t>
    </r>
    <r>
      <rPr>
        <sz val="10"/>
        <color theme="1" tint="0.249977111117893"/>
        <rFont val="Arial"/>
        <family val="2"/>
      </rPr>
      <t>. However, the provider is not affiliated with Numbeo.com except for the fact that we use their crowdsourced data to provide you the personalized report and analysis.</t>
    </r>
  </si>
  <si>
    <t>The calculator is a protected worksheet in order to preserve the calculator formula. Therefore, you can only input or edit your data in a designated cell.</t>
  </si>
  <si>
    <t>* The input amount of a Net Salary is the Gross Salary after-taxes. Net Salary represents your spendable income or disposable income, because it is the money available to a household for spending on goods or services. In other words, it is the income that maintained your lifestyle you want.</t>
  </si>
  <si>
    <r>
      <rPr>
        <b/>
        <sz val="11"/>
        <color theme="1" tint="0.249977111117893"/>
        <rFont val="Arial Narrow"/>
        <family val="2"/>
      </rPr>
      <t>Monthly Current Net Salary*</t>
    </r>
    <r>
      <rPr>
        <sz val="11"/>
        <color theme="1" tint="0.249977111117893"/>
        <rFont val="Arial Narrow"/>
        <family val="2"/>
      </rPr>
      <t xml:space="preserve"> in home country</t>
    </r>
  </si>
  <si>
    <r>
      <rPr>
        <b/>
        <sz val="11"/>
        <color theme="1" tint="0.249977111117893"/>
        <rFont val="Arial Narrow"/>
        <family val="2"/>
      </rPr>
      <t>Monthly Offered Net Salary*</t>
    </r>
    <r>
      <rPr>
        <sz val="11"/>
        <color theme="1" tint="0.249977111117893"/>
        <rFont val="Arial Narrow"/>
        <family val="2"/>
      </rPr>
      <t xml:space="preserve"> in host country</t>
    </r>
  </si>
  <si>
    <r>
      <t xml:space="preserve">&amp; </t>
    </r>
    <r>
      <rPr>
        <b/>
        <sz val="48"/>
        <rFont val="Cooper Black"/>
        <family val="1"/>
      </rPr>
      <t>S</t>
    </r>
    <r>
      <rPr>
        <b/>
        <sz val="36"/>
        <rFont val="Cooper Black"/>
        <family val="1"/>
      </rPr>
      <t>ALARY</t>
    </r>
  </si>
  <si>
    <t>1 Summer Dress in a Chain Store (Zara, H&amp;M,..)</t>
  </si>
  <si>
    <r>
      <t>Basic (Electricity, Heating, Water, Garbage) for 85m</t>
    </r>
    <r>
      <rPr>
        <sz val="10"/>
        <color theme="1"/>
        <rFont val="Calibri"/>
        <family val="2"/>
      </rPr>
      <t>²</t>
    </r>
    <r>
      <rPr>
        <sz val="10"/>
        <color theme="1"/>
        <rFont val="Calibri"/>
        <family val="2"/>
        <scheme val="minor"/>
      </rPr>
      <t xml:space="preserve"> Apartment</t>
    </r>
  </si>
  <si>
    <r>
      <t>Spendable Income</t>
    </r>
    <r>
      <rPr>
        <sz val="10"/>
        <rFont val="Calibri"/>
        <family val="2"/>
        <scheme val="minor"/>
      </rPr>
      <t xml:space="preserve"> of</t>
    </r>
  </si>
  <si>
    <t xml:space="preserve">**Exchange rates : </t>
  </si>
  <si>
    <t>**The following exchange rate is used as the basis of the calculation.(3rd Qtr 2013)</t>
  </si>
  <si>
    <t>Pack of Cigarettes (20's)</t>
  </si>
  <si>
    <t>items</t>
  </si>
  <si>
    <t>How many times you purchase in a month</t>
  </si>
  <si>
    <t>How many times you purchase in a month ?</t>
  </si>
  <si>
    <t>Argentina Peso - United States Dollar</t>
  </si>
  <si>
    <t>Australian Dollar - United States Dollar</t>
  </si>
  <si>
    <t>Bahrain Dinar - United States Dollar</t>
  </si>
  <si>
    <t>Bolivia Bolvianos - United States Dollar</t>
  </si>
  <si>
    <t>Brazil Real - United States Dollar</t>
  </si>
  <si>
    <t>United Kingdom Pound - United States Dollar</t>
  </si>
  <si>
    <t>Canadian Dollar - United States Dollar</t>
  </si>
  <si>
    <t>Chile Peso - United States Dollar</t>
  </si>
  <si>
    <t>China Yuan - United States Dollar</t>
  </si>
  <si>
    <t>Colombia Peso - United States Dollar</t>
  </si>
  <si>
    <t>Czech Koruna - United States Dollar</t>
  </si>
  <si>
    <t>Denmark Krone - United States Dollar</t>
  </si>
  <si>
    <t>Euro - United States Dollar</t>
  </si>
  <si>
    <t>Egypt Pound - United States Dollar</t>
  </si>
  <si>
    <t>Hong Kong Dollar - United States Dollar</t>
  </si>
  <si>
    <t>Hungary Forint - United States Dollar</t>
  </si>
  <si>
    <t>India Rupee - United States Dollar</t>
  </si>
  <si>
    <t>Indonesia Rupiah - United States Dollar</t>
  </si>
  <si>
    <t>Japan Yen - United States Dollar</t>
  </si>
  <si>
    <t>Jordan Dinar - United States Dollar</t>
  </si>
  <si>
    <t>Kenya Shilling - United States Dollar</t>
  </si>
  <si>
    <t>Korea Won - United States Dollar</t>
  </si>
  <si>
    <t>Kuwait Dinar - United States Dollar</t>
  </si>
  <si>
    <t>Morocco Dihram - United States Dollar</t>
  </si>
  <si>
    <t>Malaysia Ringgit - United States Dollar</t>
  </si>
  <si>
    <t>Mexico New Peso - United States Dollar</t>
  </si>
  <si>
    <t>Norway Krone - United States Dollar</t>
  </si>
  <si>
    <t>Oman Rial - United States Dollar</t>
  </si>
  <si>
    <t>Peru Nuevos Soles - United States Dollar</t>
  </si>
  <si>
    <t>Philippines Peso - United States Dollar</t>
  </si>
  <si>
    <t>Pakistan Rupee - United States Dollar</t>
  </si>
  <si>
    <t>Saudi Arabia Riyal - United States Dollar</t>
  </si>
  <si>
    <t>Singapore Dollar - United States Dollar</t>
  </si>
  <si>
    <t>South Africa Rand - United States Dollar</t>
  </si>
  <si>
    <t>Sweden Krona - United States Dollar</t>
  </si>
  <si>
    <t>Switzerland Franc - United States Dollar</t>
  </si>
  <si>
    <t>Taiwan New Dollar - United States Dollar</t>
  </si>
  <si>
    <t>Thailand Bath - United States Dollar</t>
  </si>
  <si>
    <t>Tunisia Dinar - United States Dollar</t>
  </si>
  <si>
    <t>UAE Dirham - United States Dollar</t>
  </si>
  <si>
    <t>United States Dollar</t>
  </si>
  <si>
    <t>Venezuela Bolivar Fuertes - United States Dollar</t>
  </si>
  <si>
    <t>Chania, Greece</t>
  </si>
  <si>
    <t>This material is assembled in good faith, but are not intended to serve as recommendations of whether to make any crucial final decision and must not be relied on as a substitute for legal advocacy. No warranty is provided in relation to this material. Use of the information and data contained within this material or the report is at your sole risk.</t>
  </si>
  <si>
    <t>Accomodation Rental</t>
  </si>
  <si>
    <t xml:space="preserve">Note :Prices are dynamic and tend to change due to supply and demand, promotion, or inflation. Prices may even varies in difference shop along the same road in a small town due to competition. Therefore, data and results in this calculator can be considered only as a general estimation. </t>
  </si>
  <si>
    <t xml:space="preserve">Prices are dynamic and tend to change due to supply and demand, promotion, or inflation. Prices may even varies in difference shop along the same road in a small town due to competition. Therefore, data and results in this calculator can be considered only as general estimation. </t>
  </si>
  <si>
    <t>By default the calculator is not adapted to fit your specific needs ; it is your own discretion and judgment by inputting your personalized info and data relating to your specific situation. The information provided herein shall not be construed to constitute a legal advice; rather it is a self-assessment for personal review.</t>
  </si>
  <si>
    <t>Basically, when considering an overseas job, you want the Offered Net Salary (expected net salary) to be higher than your life expenses in the host country. In other words, you want the Offered Net Salary in the host country higher than the Comparable Spendable Income. If the Offered Net Salary end up being higher than the Comparable Spendable Income, then you have run a "surplus", meaning that the Offered Net Salary is sufficient or 'healthy'. On the contrary, if the Comparable Spendable Income end up being higher than the Offered Net Salary, then you have run a "deficit", meaning that there are insufficient funds.</t>
  </si>
  <si>
    <t>The information provided herein shall not be construed to constitute a legal advice; rather it is a self-assessment for personal review.</t>
  </si>
  <si>
    <r>
      <t xml:space="preserve">By default the calculator is not adapted to fit your specific needs ; it is your own discretion and judgment by inputting your personalized info and data relating to your spending patterns in the calculator. The information provided herein shall not be construed to constitute a legal opinion; rather it is a self-assessment for personal review. Use of this tool indicates unconditional acceptance of the disclaimer. Please read our </t>
    </r>
    <r>
      <rPr>
        <sz val="10"/>
        <color rgb="FF3333FF"/>
        <rFont val="Arial"/>
        <family val="2"/>
      </rPr>
      <t>disclaimer</t>
    </r>
    <r>
      <rPr>
        <sz val="10"/>
        <color theme="1" tint="0.249977111117893"/>
        <rFont val="Arial"/>
        <family val="2"/>
      </rPr>
      <t xml:space="preserve"> here.</t>
    </r>
  </si>
  <si>
    <t>World Cost of Living Personal Calculator and Salary Comparative Analysis 2013</t>
  </si>
  <si>
    <t>World Cost of Living Personal Calculator and Salary Comparative Analysis 2013 :</t>
  </si>
  <si>
    <t>This calculator using data from Numbeo.com therefore for that reason, the credit goes to . Numbeo.com. However, the provider is not affiliated with Numbeo.com except for the fact that we use their crowdsourced data to provide you this calculator. The data used to produce this report is covered under a Creative Commons license.  Therefore we have provided Hypertext link to Numbeo.com site as a requirement for using their data. This should NOT be taken as implying any link between us and Numbeo.com.</t>
  </si>
  <si>
    <r>
      <t xml:space="preserve">This report using data from </t>
    </r>
    <r>
      <rPr>
        <sz val="10"/>
        <color rgb="FF3333FF"/>
        <rFont val="Arial Narrow"/>
        <family val="2"/>
      </rPr>
      <t>Numbeo.com</t>
    </r>
    <r>
      <rPr>
        <sz val="10"/>
        <color theme="1"/>
        <rFont val="Arial Narrow"/>
        <family val="2"/>
      </rPr>
      <t xml:space="preserve"> (for Second Quarter 2013)</t>
    </r>
  </si>
  <si>
    <t>land.</t>
  </si>
  <si>
    <t>eria.</t>
  </si>
  <si>
    <t>antartic</t>
  </si>
  <si>
    <r>
      <rPr>
        <b/>
        <sz val="16"/>
        <color theme="1"/>
        <rFont val="Times New Roman"/>
        <family val="1"/>
      </rPr>
      <t xml:space="preserve">Be aware </t>
    </r>
    <r>
      <rPr>
        <sz val="11"/>
        <color theme="1"/>
        <rFont val="Times New Roman"/>
        <family val="1"/>
      </rPr>
      <t xml:space="preserve">that knowing the Cost of Living information and Salary , is only a small part of your financial concerns during expatriation. Accepting an overseas job as an expat deserve a special benefits and compensation. It is important to know what your prospective employer willing to offer that really suits your condition and lifestyle. Whilst the salary can look very attractive when translated into your home currency it is likely that the basic salary being offered is still not enough because working abroad has a lot of complex issues that are that are costly (up to thousand dollars!!) </t>
    </r>
  </si>
  <si>
    <r>
      <t xml:space="preserve">In order to get beyond basic Salary expectations, use the </t>
    </r>
    <r>
      <rPr>
        <b/>
        <sz val="12"/>
        <color rgb="FF3333FF"/>
        <rFont val="Times New Roman"/>
        <family val="1"/>
      </rPr>
      <t xml:space="preserve">Expat Compensation Benefits Q&amp;A Checklist. </t>
    </r>
    <r>
      <rPr>
        <sz val="12"/>
        <rFont val="Times New Roman"/>
        <family val="1"/>
      </rPr>
      <t>This tool is very useful because it allows you to discover what your realistic compensation and benefits you might get, based on your respective unique situation when working abroad.</t>
    </r>
  </si>
  <si>
    <t>Next Important Step</t>
  </si>
  <si>
    <t>COPYRIGHT 2013 | ALL RIGHTS RESERVED | XPATINSIGHT.WEEBLY.COM</t>
  </si>
  <si>
    <r>
      <rPr>
        <b/>
        <sz val="10"/>
        <color theme="1" tint="0.249977111117893"/>
        <rFont val="Arial"/>
        <family val="2"/>
      </rPr>
      <t>Objectives</t>
    </r>
    <r>
      <rPr>
        <sz val="10"/>
        <color theme="1" tint="0.249977111117893"/>
        <rFont val="Arial"/>
        <family val="2"/>
      </rPr>
      <t xml:space="preserve"> : This calculator will compare living-cost and salary differentials to help you make an informed comparison. It will show you how your spendable income will be affected by a relocation between any combination of 380+ cities in the world. The calculator also reports the salary adjustment, and will determine how much more (or less) you need to maintain your same standard of living.</t>
    </r>
  </si>
  <si>
    <t>Fill in your details (white columns)</t>
  </si>
  <si>
    <t xml:space="preserve"> Denmark</t>
  </si>
  <si>
    <t xml:space="preserve"> United Kingdom</t>
  </si>
  <si>
    <t xml:space="preserve"> United Arab Emirates</t>
  </si>
  <si>
    <t xml:space="preserve"> Ghana</t>
  </si>
  <si>
    <t xml:space="preserve"> Saudi Arabia</t>
  </si>
  <si>
    <t xml:space="preserve"> Ethiopia</t>
  </si>
  <si>
    <t xml:space="preserve"> Australia</t>
  </si>
  <si>
    <t xml:space="preserve"> India</t>
  </si>
  <si>
    <t xml:space="preserve"> United States</t>
  </si>
  <si>
    <t xml:space="preserve"> Egypt</t>
  </si>
  <si>
    <t xml:space="preserve"> Algeria</t>
  </si>
  <si>
    <t xml:space="preserve"> Spain</t>
  </si>
  <si>
    <t xml:space="preserve"> Kazakhstan</t>
  </si>
  <si>
    <t xml:space="preserve"> Jordan</t>
  </si>
  <si>
    <t xml:space="preserve"> Netherlands</t>
  </si>
  <si>
    <t xml:space="preserve"> Turkey</t>
  </si>
  <si>
    <t xml:space="preserve"> Belgium</t>
  </si>
  <si>
    <t xml:space="preserve"> Greece</t>
  </si>
  <si>
    <t xml:space="preserve"> New Zealand</t>
  </si>
  <si>
    <t xml:space="preserve"> Azerbaijan</t>
  </si>
  <si>
    <t xml:space="preserve"> Brunei</t>
  </si>
  <si>
    <t xml:space="preserve"> Indonesia</t>
  </si>
  <si>
    <t xml:space="preserve"> Thailand</t>
  </si>
  <si>
    <t xml:space="preserve"> Bosnia And Herzegovina</t>
  </si>
  <si>
    <t>Banja Luka, Bosnia And Herzegovina</t>
  </si>
  <si>
    <t xml:space="preserve"> Canada</t>
  </si>
  <si>
    <t xml:space="preserve"> China</t>
  </si>
  <si>
    <t xml:space="preserve"> Lebanon</t>
  </si>
  <si>
    <t xml:space="preserve"> Serbia</t>
  </si>
  <si>
    <t xml:space="preserve"> Brazil</t>
  </si>
  <si>
    <t xml:space="preserve"> Italy</t>
  </si>
  <si>
    <t xml:space="preserve"> Norway</t>
  </si>
  <si>
    <t xml:space="preserve"> Germany</t>
  </si>
  <si>
    <t xml:space="preserve"> Switzerland</t>
  </si>
  <si>
    <t>Bhubaneswar</t>
  </si>
  <si>
    <t>Bhubaneswar, India</t>
  </si>
  <si>
    <t xml:space="preserve"> Colombia</t>
  </si>
  <si>
    <t xml:space="preserve"> Romania</t>
  </si>
  <si>
    <t xml:space="preserve"> Slovakia</t>
  </si>
  <si>
    <t xml:space="preserve"> Czech Republic</t>
  </si>
  <si>
    <t xml:space="preserve"> Hungary</t>
  </si>
  <si>
    <t xml:space="preserve"> Argentina</t>
  </si>
  <si>
    <t xml:space="preserve"> South Korea</t>
  </si>
  <si>
    <t xml:space="preserve"> South Africa</t>
  </si>
  <si>
    <t xml:space="preserve"> Philippines</t>
  </si>
  <si>
    <t>Chania</t>
  </si>
  <si>
    <t xml:space="preserve"> Moldova</t>
  </si>
  <si>
    <t xml:space="preserve"> Portugal</t>
  </si>
  <si>
    <t xml:space="preserve"> Sri Lanka</t>
  </si>
  <si>
    <t xml:space="preserve"> Syria</t>
  </si>
  <si>
    <t xml:space="preserve"> Tanzania</t>
  </si>
  <si>
    <t xml:space="preserve"> Bangladesh</t>
  </si>
  <si>
    <t xml:space="preserve"> Ukraine</t>
  </si>
  <si>
    <t xml:space="preserve"> Qatar</t>
  </si>
  <si>
    <t xml:space="preserve"> Ireland</t>
  </si>
  <si>
    <t xml:space="preserve"> Botswana</t>
  </si>
  <si>
    <t xml:space="preserve"> Poland</t>
  </si>
  <si>
    <t xml:space="preserve"> Sweden</t>
  </si>
  <si>
    <t xml:space="preserve"> Austria</t>
  </si>
  <si>
    <t xml:space="preserve"> France</t>
  </si>
  <si>
    <t xml:space="preserve"> Mexico</t>
  </si>
  <si>
    <t xml:space="preserve"> Guatemala</t>
  </si>
  <si>
    <t xml:space="preserve"> Israel</t>
  </si>
  <si>
    <t xml:space="preserve"> Vietnam</t>
  </si>
  <si>
    <t xml:space="preserve"> Zimbabwe</t>
  </si>
  <si>
    <t xml:space="preserve"> Finland</t>
  </si>
  <si>
    <t>Heraklion</t>
  </si>
  <si>
    <t xml:space="preserve"> Hong Kong</t>
  </si>
  <si>
    <t xml:space="preserve"> Pakistan</t>
  </si>
  <si>
    <t xml:space="preserve"> Malaysia</t>
  </si>
  <si>
    <t xml:space="preserve"> Uganda</t>
  </si>
  <si>
    <t xml:space="preserve"> Nepal</t>
  </si>
  <si>
    <t xml:space="preserve"> Lithuania</t>
  </si>
  <si>
    <t xml:space="preserve"> Sudan</t>
  </si>
  <si>
    <t>Kingston, Canada</t>
  </si>
  <si>
    <t xml:space="preserve"> Kuwait</t>
  </si>
  <si>
    <t xml:space="preserve"> Nigeria</t>
  </si>
  <si>
    <t xml:space="preserve"> Cyprus</t>
  </si>
  <si>
    <t xml:space="preserve"> Luxembourg</t>
  </si>
  <si>
    <t xml:space="preserve"> Bahrain</t>
  </si>
  <si>
    <t xml:space="preserve"> Slovenia</t>
  </si>
  <si>
    <t xml:space="preserve"> Belarus</t>
  </si>
  <si>
    <t xml:space="preserve"> Uruguay</t>
  </si>
  <si>
    <t xml:space="preserve"> Russia</t>
  </si>
  <si>
    <t xml:space="preserve"> Kenya</t>
  </si>
  <si>
    <t>Newcastle Upon Tyne</t>
  </si>
  <si>
    <t>Oakland</t>
  </si>
  <si>
    <t>Oakland, CA, United States</t>
  </si>
  <si>
    <t xml:space="preserve"> Japan</t>
  </si>
  <si>
    <t xml:space="preserve"> Croatia</t>
  </si>
  <si>
    <t xml:space="preserve"> Panama</t>
  </si>
  <si>
    <t>Phnom Penh</t>
  </si>
  <si>
    <t xml:space="preserve"> Cambodia</t>
  </si>
  <si>
    <t>Phnom Penh, Cambodia</t>
  </si>
  <si>
    <t xml:space="preserve"> Bulgaria</t>
  </si>
  <si>
    <t xml:space="preserve"> Montenegro</t>
  </si>
  <si>
    <t>Queretaro</t>
  </si>
  <si>
    <t>Queretaro, Mexico</t>
  </si>
  <si>
    <t xml:space="preserve"> Ecuador</t>
  </si>
  <si>
    <t xml:space="preserve"> Iceland</t>
  </si>
  <si>
    <t xml:space="preserve"> Latvia</t>
  </si>
  <si>
    <t xml:space="preserve"> Costa Rica</t>
  </si>
  <si>
    <t xml:space="preserve"> Puerto Rico</t>
  </si>
  <si>
    <t xml:space="preserve"> El Salvador</t>
  </si>
  <si>
    <t xml:space="preserve"> Chile</t>
  </si>
  <si>
    <t xml:space="preserve"> Dominican Republic</t>
  </si>
  <si>
    <t>Santo Domingo, Dominican Republic</t>
  </si>
  <si>
    <t>Sarajevo, Bosnia And Herzegovina</t>
  </si>
  <si>
    <t xml:space="preserve"> Singapore</t>
  </si>
  <si>
    <t>Singapore, Singapore</t>
  </si>
  <si>
    <t xml:space="preserve"> Macedonia</t>
  </si>
  <si>
    <t xml:space="preserve"> Malta</t>
  </si>
  <si>
    <t xml:space="preserve"> Taiwan</t>
  </si>
  <si>
    <t xml:space="preserve"> Estonia</t>
  </si>
  <si>
    <t xml:space="preserve"> Uzbekistan</t>
  </si>
  <si>
    <t xml:space="preserve"> Georgia</t>
  </si>
  <si>
    <t xml:space="preserve"> Tunisia</t>
  </si>
  <si>
    <t xml:space="preserve"> Mongolia</t>
  </si>
  <si>
    <t xml:space="preserve"> Namibia</t>
  </si>
  <si>
    <t xml:space="preserve"> Myanmar</t>
  </si>
  <si>
    <t xml:space="preserve"> Armenia</t>
  </si>
  <si>
    <t>Lethbridge</t>
  </si>
  <si>
    <t>Zadar</t>
  </si>
  <si>
    <t>UnitedKingdom</t>
  </si>
  <si>
    <t>AbuDhabi</t>
  </si>
  <si>
    <t>UnitedArabEmirates</t>
  </si>
  <si>
    <t>AdDammam</t>
  </si>
  <si>
    <t>SaudiArabia</t>
  </si>
  <si>
    <t>AddisAbaba</t>
  </si>
  <si>
    <t>NM</t>
  </si>
  <si>
    <t>AK</t>
  </si>
  <si>
    <t>GA</t>
  </si>
  <si>
    <t>NewZealand</t>
  </si>
  <si>
    <t>TX</t>
  </si>
  <si>
    <t>MD</t>
  </si>
  <si>
    <t>BandarSeriBegawan</t>
  </si>
  <si>
    <t>BanjaLuka</t>
  </si>
  <si>
    <t>BosniaHerzegovina</t>
  </si>
  <si>
    <t>BeloHorizonte</t>
  </si>
  <si>
    <t>MA</t>
  </si>
  <si>
    <t>CzechRepublic</t>
  </si>
  <si>
    <t>BuenosAires</t>
  </si>
  <si>
    <t>NY</t>
  </si>
  <si>
    <t>SouthKorea</t>
  </si>
  <si>
    <t>CapeTown</t>
  </si>
  <si>
    <t>SouthAfrica</t>
  </si>
  <si>
    <t>ChiangMai</t>
  </si>
  <si>
    <t>IL</t>
  </si>
  <si>
    <t>OH</t>
  </si>
  <si>
    <t>SriLanka</t>
  </si>
  <si>
    <t>DarEsSalaam</t>
  </si>
  <si>
    <t>CO</t>
  </si>
  <si>
    <t>DesMoines</t>
  </si>
  <si>
    <t>IA</t>
  </si>
  <si>
    <t>MI</t>
  </si>
  <si>
    <t>FortMcMurray</t>
  </si>
  <si>
    <t>GoldCoast</t>
  </si>
  <si>
    <t>GuatemalaCity</t>
  </si>
  <si>
    <t>HoChiMinhCity</t>
  </si>
  <si>
    <t>HongKong</t>
  </si>
  <si>
    <t>UnitedStates</t>
  </si>
  <si>
    <t>Jeddah(Jiddah)</t>
  </si>
  <si>
    <t>JohorBaharu</t>
  </si>
  <si>
    <t>KansasCity</t>
  </si>
  <si>
    <t>Krakow(Cracow)</t>
  </si>
  <si>
    <t>KualaLumpur</t>
  </si>
  <si>
    <t>KuwaitCity</t>
  </si>
  <si>
    <t>LasVegas</t>
  </si>
  <si>
    <t>LosAngeles</t>
  </si>
  <si>
    <t>MexicoCity</t>
  </si>
  <si>
    <t>NaviMumbai</t>
  </si>
  <si>
    <t>NewOrleans</t>
  </si>
  <si>
    <t>NewYork</t>
  </si>
  <si>
    <t>NizhniyNovgorod</t>
  </si>
  <si>
    <t>NoviSad</t>
  </si>
  <si>
    <t>OklahomaCity</t>
  </si>
  <si>
    <t>PanamaCity</t>
  </si>
  <si>
    <t>PetalingJaya</t>
  </si>
  <si>
    <t>PhnumPenh</t>
  </si>
  <si>
    <t>PortElizabeth</t>
  </si>
  <si>
    <t>PortoAlegre</t>
  </si>
  <si>
    <t>PuertoVallarta</t>
  </si>
  <si>
    <t>PuntadelEste</t>
  </si>
  <si>
    <t>QuebecCity</t>
  </si>
  <si>
    <t>QuezonCity</t>
  </si>
  <si>
    <t>RioDeJaneiro</t>
  </si>
  <si>
    <t>SaintLouis</t>
  </si>
  <si>
    <t>SaintPetersburg</t>
  </si>
  <si>
    <t>SaltLakeCity</t>
  </si>
  <si>
    <t>SanAntonio</t>
  </si>
  <si>
    <t>SanDiego</t>
  </si>
  <si>
    <t>SanFrancisco</t>
  </si>
  <si>
    <t>SanJose</t>
  </si>
  <si>
    <t>CostaRica</t>
  </si>
  <si>
    <t>SanJuan</t>
  </si>
  <si>
    <t>PuertoRico</t>
  </si>
  <si>
    <t>SanSalvador</t>
  </si>
  <si>
    <t>ElSalvador</t>
  </si>
  <si>
    <t>SantaBarbara</t>
  </si>
  <si>
    <t>SantoDomingo</t>
  </si>
  <si>
    <t>DominicanRep</t>
  </si>
  <si>
    <t>SaoPaulo</t>
  </si>
  <si>
    <t>SingaporeCity</t>
  </si>
  <si>
    <t>TelAviv-yafo</t>
  </si>
  <si>
    <t>TheHague</t>
  </si>
  <si>
    <t>Important : Fill in the white columns carefully and customised your inputs based on your actual habits and facts hence a reliable report can be concluded. For instance ; if you buy thirty (30) bottles of (0.33 liter) water in a month , type "30" in the cell., meaning "30 bottles" not "30 liter". When you change the selection of items you are likely to get different results in the final report, as some items may cost relatively more and some relatively less between the home and host country.</t>
  </si>
</sst>
</file>

<file path=xl/styles.xml><?xml version="1.0" encoding="utf-8"?>
<styleSheet xmlns="http://schemas.openxmlformats.org/spreadsheetml/2006/main">
  <numFmts count="11">
    <numFmt numFmtId="44" formatCode="_(&quot;$&quot;* #,##0.00_);_(&quot;$&quot;* \(#,##0.00\);_(&quot;$&quot;* &quot;-&quot;??_);_(@_)"/>
    <numFmt numFmtId="43" formatCode="_(* #,##0.00_);_(* \(#,##0.00\);_(* &quot;-&quot;??_);_(@_)"/>
    <numFmt numFmtId="164" formatCode="[$MYR]\ #,##0.00"/>
    <numFmt numFmtId="165" formatCode="_(* #,##0_);_(* \(#,##0\);_(* &quot;-&quot;??_);_(@_)"/>
    <numFmt numFmtId="166" formatCode="#,##0.00;[Red]#,##0.00"/>
    <numFmt numFmtId="167" formatCode="0.0%"/>
    <numFmt numFmtId="168" formatCode="0.00;[Red]0.00"/>
    <numFmt numFmtId="169" formatCode="#,##0.0_);\(#,##0.0\)"/>
    <numFmt numFmtId="170" formatCode="."/>
    <numFmt numFmtId="171" formatCode="_(* #,##0.00000_);_(* \(#,##0.00000\);_(* &quot;-&quot;??_);_(@_)"/>
    <numFmt numFmtId="172" formatCode="0.000"/>
  </numFmts>
  <fonts count="192">
    <font>
      <sz val="11"/>
      <color theme="1"/>
      <name val="Calibri"/>
      <family val="2"/>
      <scheme val="minor"/>
    </font>
    <font>
      <sz val="11"/>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16"/>
      <color theme="1"/>
      <name val="Calibri"/>
      <family val="2"/>
      <scheme val="minor"/>
    </font>
    <font>
      <sz val="10"/>
      <color rgb="FFC00000"/>
      <name val="Copperplate Gothic Bold"/>
      <family val="2"/>
    </font>
    <font>
      <sz val="8"/>
      <color theme="1"/>
      <name val="Calibri"/>
      <family val="2"/>
      <scheme val="minor"/>
    </font>
    <font>
      <sz val="9"/>
      <color theme="0"/>
      <name val="Calibri"/>
      <family val="2"/>
      <scheme val="minor"/>
    </font>
    <font>
      <i/>
      <sz val="9"/>
      <color theme="1"/>
      <name val="Calibri"/>
      <family val="2"/>
      <scheme val="minor"/>
    </font>
    <font>
      <i/>
      <sz val="9"/>
      <color theme="0"/>
      <name val="Calibri"/>
      <family val="2"/>
      <scheme val="minor"/>
    </font>
    <font>
      <sz val="10"/>
      <color theme="1"/>
      <name val="Calibri"/>
      <family val="2"/>
      <scheme val="minor"/>
    </font>
    <font>
      <b/>
      <sz val="10"/>
      <color rgb="FFC00000"/>
      <name val="Calibri"/>
      <family val="2"/>
      <scheme val="minor"/>
    </font>
    <font>
      <b/>
      <sz val="10"/>
      <color rgb="FFFF0000"/>
      <name val="Calibri"/>
      <family val="2"/>
      <scheme val="minor"/>
    </font>
    <font>
      <sz val="18"/>
      <color theme="1"/>
      <name val="Calibri"/>
      <family val="2"/>
      <scheme val="minor"/>
    </font>
    <font>
      <sz val="26"/>
      <color theme="1"/>
      <name val="Webdings"/>
      <family val="1"/>
      <charset val="2"/>
    </font>
    <font>
      <b/>
      <sz val="10"/>
      <color rgb="FF000000"/>
      <name val="Arial Unicode MS"/>
      <family val="2"/>
    </font>
    <font>
      <sz val="16"/>
      <color rgb="FF333333"/>
      <name val="Arial Unicode MS"/>
      <family val="2"/>
    </font>
    <font>
      <b/>
      <sz val="11"/>
      <color theme="1"/>
      <name val="Calibri"/>
      <family val="2"/>
      <scheme val="minor"/>
    </font>
    <font>
      <sz val="11"/>
      <color rgb="FF1E0FE1"/>
      <name val="Calibri"/>
      <family val="2"/>
      <scheme val="minor"/>
    </font>
    <font>
      <b/>
      <sz val="16"/>
      <color rgb="FFFF0000"/>
      <name val="Calibri"/>
      <family val="2"/>
      <scheme val="minor"/>
    </font>
    <font>
      <b/>
      <sz val="11"/>
      <color rgb="FF1E0FE1"/>
      <name val="Calibri"/>
      <family val="2"/>
      <scheme val="minor"/>
    </font>
    <font>
      <sz val="10"/>
      <color theme="1" tint="0.249977111117893"/>
      <name val="Calibri"/>
      <family val="2"/>
      <scheme val="minor"/>
    </font>
    <font>
      <sz val="11"/>
      <color theme="0" tint="-0.499984740745262"/>
      <name val="Calibri"/>
      <family val="2"/>
      <scheme val="minor"/>
    </font>
    <font>
      <sz val="18"/>
      <color theme="0" tint="-0.499984740745262"/>
      <name val="Calibri"/>
      <family val="2"/>
      <scheme val="minor"/>
    </font>
    <font>
      <sz val="10"/>
      <color theme="0" tint="-0.499984740745262"/>
      <name val="Calibri"/>
      <family val="2"/>
      <scheme val="minor"/>
    </font>
    <font>
      <sz val="11"/>
      <name val="Calibri"/>
      <family val="2"/>
      <scheme val="minor"/>
    </font>
    <font>
      <b/>
      <sz val="11"/>
      <name val="Calibri"/>
      <family val="2"/>
      <scheme val="minor"/>
    </font>
    <font>
      <sz val="11"/>
      <color theme="0"/>
      <name val="Calibri"/>
      <family val="2"/>
      <scheme val="minor"/>
    </font>
    <font>
      <b/>
      <sz val="26"/>
      <name val="Cooper Black"/>
      <family val="1"/>
    </font>
    <font>
      <b/>
      <sz val="36"/>
      <name val="Cooper Black"/>
      <family val="1"/>
    </font>
    <font>
      <sz val="10"/>
      <color theme="0"/>
      <name val="Calibri"/>
      <family val="2"/>
      <scheme val="minor"/>
    </font>
    <font>
      <sz val="11"/>
      <color rgb="FF000000"/>
      <name val="Calibri"/>
      <family val="2"/>
      <scheme val="minor"/>
    </font>
    <font>
      <sz val="10"/>
      <color theme="1" tint="0.499984740745262"/>
      <name val="Calibri"/>
      <family val="2"/>
      <scheme val="minor"/>
    </font>
    <font>
      <sz val="11"/>
      <color rgb="FF3333FF"/>
      <name val="Calibri"/>
      <family val="2"/>
      <scheme val="minor"/>
    </font>
    <font>
      <b/>
      <sz val="11"/>
      <color theme="1" tint="0.499984740745262"/>
      <name val="Calibri"/>
      <family val="2"/>
      <scheme val="minor"/>
    </font>
    <font>
      <i/>
      <sz val="11"/>
      <color rgb="FF1E0FE1"/>
      <name val="Calibri"/>
      <family val="2"/>
      <scheme val="minor"/>
    </font>
    <font>
      <sz val="8"/>
      <color rgb="FF1E0FE1"/>
      <name val="Calibri"/>
      <family val="2"/>
      <scheme val="minor"/>
    </font>
    <font>
      <sz val="10"/>
      <color rgb="FF1E0FE1"/>
      <name val="Copperplate Gothic Bold"/>
      <family val="2"/>
    </font>
    <font>
      <sz val="16"/>
      <color rgb="FF1E0FE1"/>
      <name val="Arial Unicode MS"/>
      <family val="2"/>
    </font>
    <font>
      <sz val="10"/>
      <color rgb="FF1E0FE1"/>
      <name val="Calibri"/>
      <family val="2"/>
      <scheme val="minor"/>
    </font>
    <font>
      <b/>
      <sz val="10"/>
      <color rgb="FF1E0FE1"/>
      <name val="Calibri"/>
      <family val="2"/>
      <scheme val="minor"/>
    </font>
    <font>
      <sz val="10"/>
      <color theme="1" tint="0.34998626667073579"/>
      <name val="Calibri"/>
      <family val="2"/>
      <scheme val="minor"/>
    </font>
    <font>
      <sz val="18"/>
      <color theme="0"/>
      <name val="Calibri"/>
      <family val="2"/>
      <scheme val="minor"/>
    </font>
    <font>
      <sz val="10"/>
      <color rgb="FF3333FF"/>
      <name val="Calibri"/>
      <family val="2"/>
      <scheme val="minor"/>
    </font>
    <font>
      <sz val="10"/>
      <color theme="1" tint="0.14999847407452621"/>
      <name val="Calibri"/>
      <family val="2"/>
      <scheme val="minor"/>
    </font>
    <font>
      <b/>
      <sz val="26"/>
      <color rgb="FFFF0000"/>
      <name val="Calibri"/>
      <family val="2"/>
      <scheme val="minor"/>
    </font>
    <font>
      <b/>
      <sz val="10"/>
      <color rgb="FF3333FF"/>
      <name val="Calibri"/>
      <family val="2"/>
      <scheme val="minor"/>
    </font>
    <font>
      <b/>
      <sz val="20"/>
      <color rgb="FFFF0000"/>
      <name val="Calibri"/>
      <family val="2"/>
      <scheme val="minor"/>
    </font>
    <font>
      <b/>
      <sz val="12"/>
      <color rgb="FF3333FF"/>
      <name val="Calibri"/>
      <family val="2"/>
      <scheme val="minor"/>
    </font>
    <font>
      <b/>
      <sz val="10"/>
      <color theme="1" tint="0.499984740745262"/>
      <name val="Calibri"/>
      <family val="2"/>
      <scheme val="minor"/>
    </font>
    <font>
      <sz val="11"/>
      <name val="Times New Roman"/>
      <family val="1"/>
    </font>
    <font>
      <sz val="11"/>
      <color theme="1"/>
      <name val="Times New Roman"/>
      <family val="1"/>
    </font>
    <font>
      <b/>
      <sz val="15"/>
      <color theme="1"/>
      <name val="Times New Roman"/>
      <family val="1"/>
    </font>
    <font>
      <sz val="11"/>
      <color theme="0"/>
      <name val="Times New Roman"/>
      <family val="1"/>
    </font>
    <font>
      <b/>
      <sz val="16"/>
      <color theme="1"/>
      <name val="Times New Roman"/>
      <family val="1"/>
    </font>
    <font>
      <b/>
      <sz val="16"/>
      <color rgb="FFC00000"/>
      <name val="Times New Roman"/>
      <family val="1"/>
    </font>
    <font>
      <b/>
      <sz val="22"/>
      <color rgb="FFC00000"/>
      <name val="Times New Roman"/>
      <family val="1"/>
    </font>
    <font>
      <b/>
      <sz val="20"/>
      <color rgb="FFC00000"/>
      <name val="Times New Roman"/>
      <family val="1"/>
    </font>
    <font>
      <sz val="10"/>
      <color rgb="FFC00000"/>
      <name val="Times New Roman"/>
      <family val="1"/>
    </font>
    <font>
      <sz val="9"/>
      <color theme="1"/>
      <name val="Times New Roman"/>
      <family val="1"/>
    </font>
    <font>
      <sz val="10"/>
      <color theme="1"/>
      <name val="Times New Roman"/>
      <family val="1"/>
    </font>
    <font>
      <b/>
      <sz val="20"/>
      <color theme="1"/>
      <name val="Times New Roman"/>
      <family val="1"/>
    </font>
    <font>
      <b/>
      <sz val="14"/>
      <color theme="1"/>
      <name val="Times New Roman"/>
      <family val="1"/>
    </font>
    <font>
      <b/>
      <sz val="16"/>
      <color rgb="FFFF0000"/>
      <name val="Times New Roman"/>
      <family val="1"/>
    </font>
    <font>
      <b/>
      <sz val="28"/>
      <color rgb="FFFF0000"/>
      <name val="Times New Roman"/>
      <family val="1"/>
    </font>
    <font>
      <b/>
      <sz val="11"/>
      <color theme="1"/>
      <name val="Times New Roman"/>
      <family val="1"/>
    </font>
    <font>
      <sz val="11"/>
      <color rgb="FFFF0000"/>
      <name val="Times New Roman"/>
      <family val="1"/>
    </font>
    <font>
      <i/>
      <sz val="11"/>
      <color theme="1"/>
      <name val="Times New Roman"/>
      <family val="1"/>
    </font>
    <font>
      <b/>
      <sz val="22"/>
      <color rgb="FFFF0000"/>
      <name val="Times New Roman"/>
      <family val="1"/>
    </font>
    <font>
      <sz val="9"/>
      <color theme="0"/>
      <name val="Times New Roman"/>
      <family val="1"/>
    </font>
    <font>
      <b/>
      <sz val="10"/>
      <color rgb="FF000000"/>
      <name val="Times New Roman"/>
      <family val="1"/>
    </font>
    <font>
      <sz val="10"/>
      <color rgb="FF000000"/>
      <name val="Times New Roman"/>
      <family val="1"/>
    </font>
    <font>
      <sz val="11"/>
      <color rgb="FF000000"/>
      <name val="Times New Roman"/>
      <family val="1"/>
    </font>
    <font>
      <b/>
      <sz val="11"/>
      <color rgb="FF000000"/>
      <name val="Times New Roman"/>
      <family val="1"/>
    </font>
    <font>
      <b/>
      <sz val="10"/>
      <color theme="1"/>
      <name val="Times New Roman"/>
      <family val="1"/>
    </font>
    <font>
      <sz val="10"/>
      <color rgb="FFFF0000"/>
      <name val="Times New Roman"/>
      <family val="1"/>
    </font>
    <font>
      <sz val="11"/>
      <color theme="1" tint="0.34998626667073579"/>
      <name val="Times New Roman"/>
      <family val="1"/>
    </font>
    <font>
      <sz val="10"/>
      <color theme="1" tint="0.34998626667073579"/>
      <name val="Times New Roman"/>
      <family val="1"/>
    </font>
    <font>
      <sz val="10"/>
      <color theme="0"/>
      <name val="Times New Roman"/>
      <family val="1"/>
    </font>
    <font>
      <b/>
      <sz val="28"/>
      <color theme="1"/>
      <name val="Times New Roman"/>
      <family val="1"/>
    </font>
    <font>
      <b/>
      <sz val="22"/>
      <color theme="1"/>
      <name val="Times New Roman"/>
      <family val="1"/>
    </font>
    <font>
      <i/>
      <sz val="10"/>
      <name val="Times New Roman"/>
      <family val="1"/>
    </font>
    <font>
      <i/>
      <sz val="10"/>
      <color theme="0"/>
      <name val="Times New Roman"/>
      <family val="1"/>
    </font>
    <font>
      <b/>
      <sz val="18"/>
      <name val="Times New Roman"/>
      <family val="1"/>
    </font>
    <font>
      <b/>
      <sz val="14"/>
      <color rgb="FFFF0000"/>
      <name val="Times New Roman"/>
      <family val="1"/>
    </font>
    <font>
      <b/>
      <sz val="10"/>
      <color rgb="FFFF0000"/>
      <name val="Times New Roman"/>
      <family val="1"/>
    </font>
    <font>
      <i/>
      <sz val="9"/>
      <color theme="1"/>
      <name val="Times New Roman"/>
      <family val="1"/>
    </font>
    <font>
      <i/>
      <sz val="10"/>
      <color theme="1"/>
      <name val="Times New Roman"/>
      <family val="1"/>
    </font>
    <font>
      <b/>
      <sz val="10"/>
      <color rgb="FFC00000"/>
      <name val="Times New Roman"/>
      <family val="1"/>
    </font>
    <font>
      <b/>
      <sz val="12"/>
      <color rgb="FFFF0000"/>
      <name val="Times New Roman"/>
      <family val="1"/>
    </font>
    <font>
      <sz val="10"/>
      <color theme="0" tint="-0.499984740745262"/>
      <name val="Times New Roman"/>
      <family val="1"/>
    </font>
    <font>
      <sz val="11"/>
      <color theme="0" tint="-0.499984740745262"/>
      <name val="Times New Roman"/>
      <family val="1"/>
    </font>
    <font>
      <sz val="10"/>
      <name val="Times New Roman"/>
      <family val="1"/>
    </font>
    <font>
      <b/>
      <sz val="11"/>
      <name val="Times New Roman"/>
      <family val="1"/>
    </font>
    <font>
      <sz val="9"/>
      <name val="Times New Roman"/>
      <family val="1"/>
    </font>
    <font>
      <sz val="9"/>
      <color rgb="FFFF0000"/>
      <name val="Times New Roman"/>
      <family val="1"/>
    </font>
    <font>
      <b/>
      <sz val="10"/>
      <color theme="1" tint="0.249977111117893"/>
      <name val="Times New Roman"/>
      <family val="1"/>
    </font>
    <font>
      <sz val="10"/>
      <color theme="1" tint="0.249977111117893"/>
      <name val="Times New Roman"/>
      <family val="1"/>
    </font>
    <font>
      <b/>
      <sz val="14"/>
      <color theme="4" tint="-0.249977111117893"/>
      <name val="Times New Roman"/>
      <family val="1"/>
    </font>
    <font>
      <sz val="11"/>
      <color theme="4" tint="-0.249977111117893"/>
      <name val="Times New Roman"/>
      <family val="1"/>
    </font>
    <font>
      <b/>
      <sz val="10"/>
      <color theme="4" tint="-0.249977111117893"/>
      <name val="Times New Roman"/>
      <family val="1"/>
    </font>
    <font>
      <b/>
      <sz val="14"/>
      <name val="Times New Roman"/>
      <family val="1"/>
    </font>
    <font>
      <b/>
      <sz val="16"/>
      <name val="Times New Roman"/>
      <family val="1"/>
    </font>
    <font>
      <b/>
      <sz val="11"/>
      <color rgb="FFFF0000"/>
      <name val="Times New Roman"/>
      <family val="1"/>
    </font>
    <font>
      <sz val="9"/>
      <color theme="0" tint="-0.499984740745262"/>
      <name val="Times New Roman"/>
      <family val="1"/>
    </font>
    <font>
      <i/>
      <sz val="9"/>
      <color theme="0" tint="-0.499984740745262"/>
      <name val="Times New Roman"/>
      <family val="1"/>
    </font>
    <font>
      <sz val="14"/>
      <name val="Times New Roman"/>
      <family val="1"/>
    </font>
    <font>
      <b/>
      <sz val="10"/>
      <color theme="0"/>
      <name val="Times New Roman"/>
      <family val="1"/>
    </font>
    <font>
      <sz val="10"/>
      <color theme="4" tint="0.79998168889431442"/>
      <name val="Times New Roman"/>
      <family val="1"/>
    </font>
    <font>
      <sz val="10.8"/>
      <color theme="1"/>
      <name val="Times New Roman"/>
      <family val="1"/>
    </font>
    <font>
      <sz val="10.7"/>
      <color theme="1"/>
      <name val="Times New Roman"/>
      <family val="1"/>
    </font>
    <font>
      <i/>
      <sz val="10"/>
      <color theme="0" tint="-0.499984740745262"/>
      <name val="Times New Roman"/>
      <family val="1"/>
    </font>
    <font>
      <b/>
      <sz val="9"/>
      <color theme="0" tint="-0.499984740745262"/>
      <name val="Times New Roman"/>
      <family val="1"/>
    </font>
    <font>
      <sz val="10"/>
      <color rgb="FF3333FF"/>
      <name val="Times New Roman"/>
      <family val="1"/>
    </font>
    <font>
      <b/>
      <sz val="18"/>
      <color theme="1"/>
      <name val="Times New Roman"/>
      <family val="1"/>
    </font>
    <font>
      <b/>
      <sz val="14"/>
      <color theme="1" tint="0.499984740745262"/>
      <name val="Times New Roman"/>
      <family val="1"/>
    </font>
    <font>
      <sz val="12"/>
      <color theme="1"/>
      <name val="Times New Roman"/>
      <family val="1"/>
    </font>
    <font>
      <b/>
      <sz val="48"/>
      <name val="Cooper Black"/>
      <family val="1"/>
    </font>
    <font>
      <sz val="18"/>
      <color theme="1"/>
      <name val="Cooper Black"/>
      <family val="1"/>
    </font>
    <font>
      <b/>
      <sz val="16"/>
      <color theme="1"/>
      <name val="Bookman Old Style"/>
      <family val="1"/>
    </font>
    <font>
      <b/>
      <sz val="34"/>
      <color theme="1"/>
      <name val="Times New Roman"/>
      <family val="1"/>
    </font>
    <font>
      <b/>
      <shadow/>
      <sz val="34"/>
      <color rgb="FF505050"/>
      <name val="Times New Roman"/>
      <family val="1"/>
    </font>
    <font>
      <sz val="2"/>
      <color theme="0"/>
      <name val="Times New Roman"/>
      <family val="1"/>
    </font>
    <font>
      <b/>
      <sz val="36"/>
      <color rgb="FFFF0000"/>
      <name val="Times New Roman"/>
      <family val="1"/>
    </font>
    <font>
      <b/>
      <shadow/>
      <sz val="54"/>
      <color rgb="FFFF0000"/>
      <name val="Times New Roman"/>
      <family val="1"/>
    </font>
    <font>
      <i/>
      <sz val="10"/>
      <color theme="1" tint="0.249977111117893"/>
      <name val="Calibri"/>
      <family val="2"/>
      <scheme val="minor"/>
    </font>
    <font>
      <sz val="11"/>
      <color theme="1" tint="0.249977111117893"/>
      <name val="Times New Roman"/>
      <family val="1"/>
    </font>
    <font>
      <b/>
      <sz val="18"/>
      <color rgb="FFFF0000"/>
      <name val="Calibri"/>
      <family val="2"/>
      <scheme val="minor"/>
    </font>
    <font>
      <sz val="8.4"/>
      <name val="Calibri"/>
      <family val="2"/>
      <scheme val="minor"/>
    </font>
    <font>
      <sz val="10.8"/>
      <color theme="1" tint="0.249977111117893"/>
      <name val="Times New Roman"/>
      <family val="1"/>
    </font>
    <font>
      <i/>
      <sz val="10"/>
      <color theme="1" tint="0.249977111117893"/>
      <name val="Times New Roman"/>
      <family val="1"/>
    </font>
    <font>
      <sz val="10"/>
      <color theme="1" tint="0.499984740745262"/>
      <name val="Arial Narrow"/>
      <family val="2"/>
    </font>
    <font>
      <sz val="10"/>
      <color theme="1"/>
      <name val="Arial Narrow"/>
      <family val="2"/>
    </font>
    <font>
      <i/>
      <sz val="10.8"/>
      <color theme="1"/>
      <name val="Times New Roman"/>
      <family val="1"/>
    </font>
    <font>
      <sz val="11"/>
      <color theme="1"/>
      <name val="Arial Narrow"/>
      <family val="2"/>
    </font>
    <font>
      <sz val="10"/>
      <color theme="1" tint="0.34998626667073579"/>
      <name val="Arial Narrow"/>
      <family val="2"/>
    </font>
    <font>
      <b/>
      <sz val="12"/>
      <color theme="0"/>
      <name val="Calibri"/>
      <family val="2"/>
      <scheme val="minor"/>
    </font>
    <font>
      <b/>
      <sz val="24"/>
      <color rgb="FFFF0000"/>
      <name val="Calibri"/>
      <family val="2"/>
      <scheme val="minor"/>
    </font>
    <font>
      <b/>
      <sz val="11"/>
      <color rgb="FFFF0000"/>
      <name val="Calibri"/>
      <family val="2"/>
      <scheme val="minor"/>
    </font>
    <font>
      <b/>
      <sz val="11"/>
      <color rgb="FF3333FF"/>
      <name val="Calibri"/>
      <family val="2"/>
      <scheme val="minor"/>
    </font>
    <font>
      <sz val="12"/>
      <color indexed="8"/>
      <name val="Calibri"/>
      <family val="2"/>
    </font>
    <font>
      <b/>
      <sz val="14"/>
      <color indexed="8"/>
      <name val="Calibri"/>
      <family val="2"/>
    </font>
    <font>
      <sz val="10"/>
      <color indexed="8"/>
      <name val="Calibri"/>
      <family val="2"/>
    </font>
    <font>
      <sz val="10"/>
      <color theme="1"/>
      <name val="Arial"/>
      <family val="2"/>
    </font>
    <font>
      <b/>
      <sz val="10"/>
      <color indexed="8"/>
      <name val="Arial"/>
      <family val="2"/>
    </font>
    <font>
      <b/>
      <sz val="18"/>
      <color theme="1"/>
      <name val="Calibri"/>
      <family val="2"/>
      <scheme val="minor"/>
    </font>
    <font>
      <sz val="9"/>
      <color theme="1" tint="0.34998626667073579"/>
      <name val="Calibri"/>
      <family val="2"/>
      <scheme val="minor"/>
    </font>
    <font>
      <sz val="10"/>
      <color theme="1" tint="0.249977111117893"/>
      <name val="Arial"/>
      <family val="2"/>
    </font>
    <font>
      <sz val="11"/>
      <color theme="1" tint="0.249977111117893"/>
      <name val="Arial Narrow"/>
      <family val="2"/>
    </font>
    <font>
      <b/>
      <sz val="10"/>
      <color theme="1" tint="0.249977111117893"/>
      <name val="Arial"/>
      <family val="2"/>
    </font>
    <font>
      <sz val="10"/>
      <color rgb="FF3333FF"/>
      <name val="Arial"/>
      <family val="2"/>
    </font>
    <font>
      <b/>
      <sz val="28"/>
      <color rgb="FFFF0000"/>
      <name val="Calibri"/>
      <family val="2"/>
      <scheme val="minor"/>
    </font>
    <font>
      <b/>
      <sz val="36"/>
      <color rgb="FFFF0000"/>
      <name val="Calibri"/>
      <family val="2"/>
      <scheme val="minor"/>
    </font>
    <font>
      <b/>
      <sz val="26"/>
      <color theme="0" tint="-0.499984740745262"/>
      <name val="Times New Roman"/>
      <family val="1"/>
    </font>
    <font>
      <b/>
      <i/>
      <sz val="10"/>
      <color theme="1"/>
      <name val="Times New Roman"/>
      <family val="1"/>
    </font>
    <font>
      <b/>
      <sz val="72"/>
      <name val="Cooper Black"/>
      <family val="1"/>
    </font>
    <font>
      <b/>
      <sz val="11"/>
      <color theme="1" tint="0.249977111117893"/>
      <name val="Arial Narrow"/>
      <family val="2"/>
    </font>
    <font>
      <sz val="11"/>
      <color theme="1" tint="0.34998626667073579"/>
      <name val="Arial Narrow"/>
      <family val="2"/>
    </font>
    <font>
      <sz val="11"/>
      <color theme="1" tint="0.499984740745262"/>
      <name val="Arial Narrow"/>
      <family val="2"/>
    </font>
    <font>
      <b/>
      <sz val="12"/>
      <color theme="1"/>
      <name val="Calibri"/>
      <family val="2"/>
      <scheme val="minor"/>
    </font>
    <font>
      <sz val="11"/>
      <color theme="4" tint="0.79998168889431442"/>
      <name val="Calibri"/>
      <family val="2"/>
      <scheme val="minor"/>
    </font>
    <font>
      <sz val="11"/>
      <color theme="1" tint="0.499984740745262"/>
      <name val="Arial"/>
      <family val="2"/>
    </font>
    <font>
      <sz val="10"/>
      <name val="Calibri"/>
      <family val="2"/>
      <scheme val="minor"/>
    </font>
    <font>
      <sz val="11"/>
      <color theme="1" tint="0.34998626667073579"/>
      <name val="Calibri"/>
      <family val="2"/>
      <scheme val="minor"/>
    </font>
    <font>
      <b/>
      <sz val="11"/>
      <color theme="1" tint="0.34998626667073579"/>
      <name val="Calibri"/>
      <family val="2"/>
      <scheme val="minor"/>
    </font>
    <font>
      <b/>
      <sz val="10"/>
      <name val="Calibri"/>
      <family val="2"/>
      <scheme val="minor"/>
    </font>
    <font>
      <i/>
      <sz val="10"/>
      <name val="Calibri"/>
      <family val="2"/>
      <scheme val="minor"/>
    </font>
    <font>
      <i/>
      <sz val="10"/>
      <color theme="1" tint="0.34998626667073579"/>
      <name val="Times New Roman"/>
      <family val="1"/>
    </font>
    <font>
      <b/>
      <sz val="10"/>
      <color rgb="FFFF0000"/>
      <name val="Arial Narrow"/>
      <family val="2"/>
    </font>
    <font>
      <sz val="10"/>
      <color theme="1"/>
      <name val="Calibri"/>
      <family val="2"/>
    </font>
    <font>
      <i/>
      <sz val="10"/>
      <name val="Arial Narrow"/>
      <family val="2"/>
    </font>
    <font>
      <sz val="10"/>
      <color theme="1" tint="0.249977111117893"/>
      <name val="Arial Narrow"/>
      <family val="2"/>
    </font>
    <font>
      <b/>
      <sz val="12"/>
      <color theme="1" tint="0.499984740745262"/>
      <name val="Times New Roman"/>
      <family val="1"/>
    </font>
    <font>
      <sz val="11"/>
      <color theme="1" tint="0.499984740745262"/>
      <name val="Times New Roman"/>
      <family val="1"/>
    </font>
    <font>
      <sz val="12"/>
      <color theme="1" tint="0.499984740745262"/>
      <name val="Arial Narrow"/>
      <family val="2"/>
    </font>
    <font>
      <sz val="12"/>
      <name val="Arial Narrow"/>
      <family val="2"/>
    </font>
    <font>
      <sz val="9"/>
      <color theme="1" tint="0.499984740745262"/>
      <name val="Arial Narrow"/>
      <family val="2"/>
    </font>
    <font>
      <b/>
      <u/>
      <sz val="11"/>
      <color theme="0"/>
      <name val="Calibri"/>
      <family val="2"/>
      <scheme val="minor"/>
    </font>
    <font>
      <sz val="10"/>
      <color rgb="FF3333FF"/>
      <name val="Arial Narrow"/>
      <family val="2"/>
    </font>
    <font>
      <sz val="11"/>
      <color rgb="FFFF0000"/>
      <name val="Calibri"/>
      <family val="2"/>
      <scheme val="minor"/>
    </font>
    <font>
      <b/>
      <sz val="12"/>
      <color rgb="FF3333FF"/>
      <name val="Times New Roman"/>
      <family val="1"/>
    </font>
    <font>
      <sz val="12"/>
      <name val="Times New Roman"/>
      <family val="1"/>
    </font>
    <font>
      <sz val="11"/>
      <color theme="1" tint="0.249977111117893"/>
      <name val="Calibri"/>
      <family val="2"/>
      <scheme val="minor"/>
    </font>
    <font>
      <sz val="10"/>
      <color theme="0" tint="-0.34998626667073579"/>
      <name val="Calibri"/>
      <family val="2"/>
      <scheme val="minor"/>
    </font>
    <font>
      <sz val="8"/>
      <color theme="0" tint="-0.499984740745262"/>
      <name val="Calibri"/>
      <family val="2"/>
      <scheme val="minor"/>
    </font>
    <font>
      <b/>
      <sz val="11"/>
      <color theme="0"/>
      <name val="Calibri"/>
      <family val="2"/>
      <scheme val="minor"/>
    </font>
    <font>
      <sz val="11"/>
      <color theme="0" tint="-4.9989318521683403E-2"/>
      <name val="Calibri"/>
      <family val="2"/>
      <scheme val="minor"/>
    </font>
    <font>
      <i/>
      <sz val="10"/>
      <color theme="0"/>
      <name val="Calibri"/>
      <family val="2"/>
      <scheme val="minor"/>
    </font>
    <font>
      <sz val="11"/>
      <color theme="1" tint="0.14999847407452621"/>
      <name val="Calibri"/>
      <family val="2"/>
      <scheme val="minor"/>
    </font>
    <font>
      <i/>
      <sz val="10"/>
      <color theme="1" tint="0.14999847407452621"/>
      <name val="Calibri"/>
      <family val="2"/>
      <scheme val="minor"/>
    </font>
    <font>
      <b/>
      <sz val="10"/>
      <name val="Arial Narrow"/>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2060"/>
        <bgColor indexed="64"/>
      </patternFill>
    </fill>
    <fill>
      <patternFill patternType="solid">
        <fgColor theme="4" tint="0.59999389629810485"/>
        <bgColor indexed="64"/>
      </patternFill>
    </fill>
    <fill>
      <patternFill patternType="solid">
        <fgColor theme="4" tint="0.39997558519241921"/>
        <bgColor indexed="64"/>
      </patternFill>
    </fill>
  </fills>
  <borders count="43">
    <border>
      <left/>
      <right/>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theme="4"/>
      </left>
      <right style="thin">
        <color indexed="64"/>
      </right>
      <top style="thin">
        <color theme="4"/>
      </top>
      <bottom style="thin">
        <color theme="4"/>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249977111117893"/>
      </right>
      <top/>
      <bottom/>
      <diagonal/>
    </border>
    <border>
      <left/>
      <right style="thin">
        <color theme="4" tint="-0.249977111117893"/>
      </right>
      <top style="thin">
        <color theme="4" tint="0.39997558519241921"/>
      </top>
      <bottom style="thin">
        <color theme="4" tint="0.39997558519241921"/>
      </bottom>
      <diagonal/>
    </border>
    <border>
      <left style="medium">
        <color theme="4" tint="0.79998168889431442"/>
      </left>
      <right style="medium">
        <color theme="4" tint="0.79998168889431442"/>
      </right>
      <top style="medium">
        <color theme="4" tint="0.79998168889431442"/>
      </top>
      <bottom style="medium">
        <color theme="4" tint="0.79998168889431442"/>
      </bottom>
      <diagonal/>
    </border>
    <border>
      <left style="medium">
        <color theme="4" tint="0.79998168889431442"/>
      </left>
      <right style="medium">
        <color theme="4" tint="0.79998168889431442"/>
      </right>
      <top style="medium">
        <color theme="4" tint="0.79998168889431442"/>
      </top>
      <bottom/>
      <diagonal/>
    </border>
    <border>
      <left/>
      <right/>
      <top style="thin">
        <color indexed="64"/>
      </top>
      <bottom style="medium">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n">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right/>
      <top/>
      <bottom style="medium">
        <color indexed="64"/>
      </bottom>
      <diagonal/>
    </border>
    <border>
      <left/>
      <right style="thin">
        <color theme="4" tint="-0.249977111117893"/>
      </right>
      <top/>
      <bottom style="medium">
        <color indexed="64"/>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right/>
      <top style="medium">
        <color theme="0"/>
      </top>
      <bottom style="medium">
        <color theme="0"/>
      </bottom>
      <diagonal/>
    </border>
    <border>
      <left/>
      <right style="thin">
        <color theme="4" tint="0.39997558519241921"/>
      </right>
      <top style="medium">
        <color theme="0"/>
      </top>
      <bottom style="medium">
        <color theme="0"/>
      </bottom>
      <diagonal/>
    </border>
    <border>
      <left/>
      <right style="thin">
        <color theme="4" tint="-0.249977111117893"/>
      </right>
      <top style="medium">
        <color theme="0"/>
      </top>
      <bottom style="medium">
        <color theme="0"/>
      </bottom>
      <diagonal/>
    </border>
    <border>
      <left style="medium">
        <color theme="4" tint="0.79998168889431442"/>
      </left>
      <right style="thin">
        <color theme="4" tint="0.39997558519241921"/>
      </right>
      <top style="thin">
        <color theme="4" tint="0.39997558519241921"/>
      </top>
      <bottom style="thin">
        <color theme="4" tint="0.39997558519241921"/>
      </bottom>
      <diagonal/>
    </border>
    <border>
      <left/>
      <right/>
      <top style="thin">
        <color theme="4" tint="0.39997558519241921"/>
      </top>
      <bottom style="double">
        <color theme="4" tint="0.39997558519241921"/>
      </bottom>
      <diagonal/>
    </border>
    <border>
      <left/>
      <right style="medium">
        <color theme="0"/>
      </right>
      <top/>
      <bottom/>
      <diagonal/>
    </border>
    <border>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right/>
      <top style="thin">
        <color indexed="64"/>
      </top>
      <bottom style="double">
        <color indexed="64"/>
      </bottom>
      <diagonal/>
    </border>
    <border>
      <left style="medium">
        <color theme="0"/>
      </left>
      <right style="medium">
        <color theme="0"/>
      </right>
      <top style="thin">
        <color theme="4" tint="0.39997558519241921"/>
      </top>
      <bottom style="double">
        <color theme="4" tint="0.39997558519241921"/>
      </bottom>
      <diagonal/>
    </border>
    <border>
      <left/>
      <right style="medium">
        <color theme="0"/>
      </right>
      <top style="thin">
        <color theme="4" tint="0.39997558519241921"/>
      </top>
      <bottom style="double">
        <color theme="4" tint="0.39997558519241921"/>
      </bottom>
      <diagonal/>
    </border>
    <border>
      <left/>
      <right style="thin">
        <color theme="4" tint="-0.249977111117893"/>
      </right>
      <top/>
      <bottom style="thin">
        <color indexed="64"/>
      </bottom>
      <diagonal/>
    </border>
    <border>
      <left/>
      <right/>
      <top/>
      <bottom style="double">
        <color theme="0"/>
      </bottom>
      <diagonal/>
    </border>
    <border>
      <left style="thin">
        <color theme="4" tint="0.79998168889431442"/>
      </left>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1033">
    <xf numFmtId="0" fontId="0" fillId="0" borderId="0" xfId="0"/>
    <xf numFmtId="0" fontId="0" fillId="2" borderId="0" xfId="0" applyFill="1"/>
    <xf numFmtId="43" fontId="0" fillId="2" borderId="0" xfId="0" applyNumberFormat="1" applyFill="1"/>
    <xf numFmtId="43" fontId="0" fillId="2" borderId="0" xfId="1" applyFont="1" applyFill="1"/>
    <xf numFmtId="43" fontId="0" fillId="0" borderId="0" xfId="1" applyFont="1"/>
    <xf numFmtId="10" fontId="0" fillId="2" borderId="0" xfId="2" applyNumberFormat="1" applyFont="1" applyFill="1"/>
    <xf numFmtId="0" fontId="0" fillId="0" borderId="0" xfId="0" applyAlignment="1">
      <alignment horizontal="center"/>
    </xf>
    <xf numFmtId="0" fontId="3" fillId="0" borderId="0" xfId="0" applyFont="1" applyAlignment="1">
      <alignment horizontal="center" wrapText="1"/>
    </xf>
    <xf numFmtId="11" fontId="0" fillId="0" borderId="0" xfId="0" applyNumberFormat="1"/>
    <xf numFmtId="0" fontId="5" fillId="0" borderId="0" xfId="0" applyFont="1"/>
    <xf numFmtId="0" fontId="0" fillId="0" borderId="0" xfId="0" applyFill="1"/>
    <xf numFmtId="0" fontId="0" fillId="2" borderId="0" xfId="0" applyFill="1" applyAlignment="1">
      <alignment horizontal="center"/>
    </xf>
    <xf numFmtId="2" fontId="0" fillId="2" borderId="0" xfId="3" applyNumberFormat="1" applyFont="1" applyFill="1"/>
    <xf numFmtId="165" fontId="0" fillId="2" borderId="0" xfId="1" applyNumberFormat="1" applyFont="1" applyFill="1" applyAlignment="1">
      <alignment horizontal="center"/>
    </xf>
    <xf numFmtId="10" fontId="0" fillId="2" borderId="0" xfId="1" applyNumberFormat="1" applyFont="1" applyFill="1"/>
    <xf numFmtId="43" fontId="0" fillId="0" borderId="0" xfId="1" applyFont="1" applyFill="1"/>
    <xf numFmtId="43" fontId="0" fillId="0" borderId="0" xfId="1" applyFont="1" applyFill="1" applyAlignment="1">
      <alignment horizontal="center"/>
    </xf>
    <xf numFmtId="10" fontId="0" fillId="0" borderId="0" xfId="1" applyNumberFormat="1" applyFont="1" applyFill="1"/>
    <xf numFmtId="0" fontId="2" fillId="0" borderId="0" xfId="0" applyFont="1" applyFill="1"/>
    <xf numFmtId="2" fontId="6" fillId="0" borderId="0" xfId="0" applyNumberFormat="1" applyFont="1" applyFill="1" applyAlignment="1">
      <alignment horizontal="center"/>
    </xf>
    <xf numFmtId="2" fontId="0" fillId="0" borderId="0" xfId="3" applyNumberFormat="1" applyFont="1" applyFill="1"/>
    <xf numFmtId="0" fontId="0" fillId="0" borderId="0" xfId="0" applyFill="1" applyAlignment="1">
      <alignment horizontal="center"/>
    </xf>
    <xf numFmtId="10" fontId="0" fillId="0" borderId="0" xfId="2" applyNumberFormat="1" applyFont="1" applyFill="1"/>
    <xf numFmtId="0" fontId="8" fillId="0" borderId="0" xfId="0" applyFont="1" applyFill="1" applyAlignment="1">
      <alignment horizontal="center"/>
    </xf>
    <xf numFmtId="43" fontId="4" fillId="0" borderId="0" xfId="1" applyFont="1" applyFill="1" applyAlignment="1">
      <alignment horizontal="center"/>
    </xf>
    <xf numFmtId="0" fontId="9" fillId="0" borderId="0" xfId="0" applyFont="1" applyFill="1" applyAlignment="1">
      <alignment horizontal="center"/>
    </xf>
    <xf numFmtId="0" fontId="9" fillId="2" borderId="0" xfId="0" applyFont="1" applyFill="1" applyAlignment="1">
      <alignment horizontal="center"/>
    </xf>
    <xf numFmtId="0" fontId="8" fillId="2" borderId="0" xfId="0" applyFont="1" applyFill="1" applyAlignment="1">
      <alignment horizontal="center"/>
    </xf>
    <xf numFmtId="0" fontId="10" fillId="2" borderId="0" xfId="0" applyFont="1" applyFill="1" applyAlignment="1">
      <alignment horizontal="center" wrapText="1"/>
    </xf>
    <xf numFmtId="43" fontId="8" fillId="2" borderId="0" xfId="0" applyNumberFormat="1" applyFont="1" applyFill="1" applyAlignment="1">
      <alignment horizontal="center"/>
    </xf>
    <xf numFmtId="0" fontId="11" fillId="0" borderId="0" xfId="0" applyFont="1" applyFill="1"/>
    <xf numFmtId="164" fontId="12" fillId="0" borderId="2" xfId="0" applyNumberFormat="1" applyFont="1" applyFill="1" applyBorder="1" applyAlignment="1">
      <alignment horizontal="center"/>
    </xf>
    <xf numFmtId="0" fontId="13" fillId="0" borderId="0" xfId="0" applyFont="1" applyFill="1"/>
    <xf numFmtId="0" fontId="11" fillId="2" borderId="0" xfId="0" applyFont="1" applyFill="1"/>
    <xf numFmtId="0" fontId="13" fillId="2" borderId="0" xfId="0" applyFont="1" applyFill="1"/>
    <xf numFmtId="0" fontId="0" fillId="0" borderId="0" xfId="0" applyFill="1" applyAlignment="1">
      <alignment horizontal="left"/>
    </xf>
    <xf numFmtId="2" fontId="0" fillId="0" borderId="0" xfId="1" applyNumberFormat="1" applyFont="1" applyFill="1"/>
    <xf numFmtId="43" fontId="0" fillId="0" borderId="0" xfId="1" applyFont="1" applyFill="1" applyAlignment="1">
      <alignment horizontal="right"/>
    </xf>
    <xf numFmtId="10" fontId="11" fillId="0" borderId="0" xfId="2" applyNumberFormat="1" applyFont="1" applyFill="1"/>
    <xf numFmtId="10" fontId="11" fillId="0" borderId="0" xfId="1" applyNumberFormat="1" applyFont="1" applyFill="1"/>
    <xf numFmtId="0" fontId="3" fillId="0" borderId="0" xfId="0" applyFont="1" applyFill="1" applyAlignment="1">
      <alignment horizontal="center"/>
    </xf>
    <xf numFmtId="0" fontId="11" fillId="0" borderId="0" xfId="0" applyFont="1"/>
    <xf numFmtId="0" fontId="14" fillId="0" borderId="0" xfId="0" applyFont="1"/>
    <xf numFmtId="43" fontId="0" fillId="3" borderId="0" xfId="1" applyFont="1" applyFill="1"/>
    <xf numFmtId="43" fontId="7" fillId="3" borderId="0" xfId="1" applyFont="1" applyFill="1" applyAlignment="1">
      <alignment horizontal="center" vertical="top" wrapText="1"/>
    </xf>
    <xf numFmtId="0" fontId="14" fillId="0" borderId="0" xfId="0" applyFont="1" applyFill="1"/>
    <xf numFmtId="0" fontId="13" fillId="0" borderId="1" xfId="0" applyFont="1" applyFill="1" applyBorder="1"/>
    <xf numFmtId="0" fontId="15" fillId="0" borderId="0" xfId="0" applyFont="1" applyFill="1" applyAlignment="1">
      <alignment horizontal="center"/>
    </xf>
    <xf numFmtId="0" fontId="11" fillId="0" borderId="0" xfId="0" applyFont="1" applyFill="1" applyAlignment="1">
      <alignment vertical="center"/>
    </xf>
    <xf numFmtId="0" fontId="13" fillId="0" borderId="0" xfId="0" applyFont="1" applyFill="1" applyBorder="1"/>
    <xf numFmtId="2" fontId="6" fillId="3" borderId="0" xfId="0" applyNumberFormat="1" applyFont="1" applyFill="1" applyAlignment="1">
      <alignment horizontal="center"/>
    </xf>
    <xf numFmtId="0" fontId="17" fillId="3" borderId="0" xfId="0" applyFont="1" applyFill="1" applyAlignment="1">
      <alignment horizontal="center"/>
    </xf>
    <xf numFmtId="43" fontId="0" fillId="4" borderId="0" xfId="1" applyFont="1" applyFill="1"/>
    <xf numFmtId="43" fontId="7" fillId="4" borderId="0" xfId="1" applyFont="1" applyFill="1" applyAlignment="1">
      <alignment horizontal="center" vertical="top" wrapText="1"/>
    </xf>
    <xf numFmtId="0" fontId="0" fillId="4" borderId="0" xfId="0" applyFill="1"/>
    <xf numFmtId="2" fontId="6" fillId="4" borderId="0" xfId="0" applyNumberFormat="1" applyFont="1" applyFill="1" applyAlignment="1">
      <alignment horizontal="center"/>
    </xf>
    <xf numFmtId="0" fontId="16" fillId="4" borderId="0" xfId="0" applyFont="1" applyFill="1" applyAlignment="1">
      <alignment horizontal="center"/>
    </xf>
    <xf numFmtId="2" fontId="11" fillId="4" borderId="0" xfId="3" applyNumberFormat="1" applyFont="1" applyFill="1"/>
    <xf numFmtId="43" fontId="11" fillId="4" borderId="0" xfId="1" applyFont="1" applyFill="1"/>
    <xf numFmtId="9" fontId="0" fillId="0" borderId="0" xfId="2" applyFont="1"/>
    <xf numFmtId="0" fontId="0" fillId="2" borderId="0" xfId="0" applyFill="1" applyBorder="1"/>
    <xf numFmtId="0" fontId="11" fillId="2" borderId="0" xfId="0" applyFont="1" applyFill="1" applyBorder="1"/>
    <xf numFmtId="2" fontId="6" fillId="2" borderId="0" xfId="0" applyNumberFormat="1" applyFont="1" applyFill="1" applyBorder="1" applyAlignment="1">
      <alignment horizontal="center"/>
    </xf>
    <xf numFmtId="0" fontId="5" fillId="0" borderId="0" xfId="0" applyFont="1" applyFill="1"/>
    <xf numFmtId="0" fontId="0" fillId="0" borderId="0" xfId="0" applyFill="1" applyAlignment="1">
      <alignment horizontal="left" indent="2"/>
    </xf>
    <xf numFmtId="164" fontId="12" fillId="2" borderId="0" xfId="0" applyNumberFormat="1" applyFont="1" applyFill="1" applyBorder="1" applyAlignment="1">
      <alignment horizontal="center"/>
    </xf>
    <xf numFmtId="43" fontId="0" fillId="2" borderId="0" xfId="1" applyFont="1" applyFill="1" applyBorder="1"/>
    <xf numFmtId="0" fontId="11" fillId="3" borderId="7" xfId="0" applyFont="1" applyFill="1" applyBorder="1" applyAlignment="1">
      <alignment horizontal="left" vertical="center" indent="1"/>
    </xf>
    <xf numFmtId="0" fontId="11" fillId="3" borderId="7" xfId="0" applyFont="1" applyFill="1" applyBorder="1" applyAlignment="1">
      <alignment horizontal="left" indent="1"/>
    </xf>
    <xf numFmtId="0" fontId="11" fillId="3" borderId="9" xfId="0" applyFont="1" applyFill="1" applyBorder="1" applyAlignment="1">
      <alignment horizontal="left" indent="1"/>
    </xf>
    <xf numFmtId="0" fontId="8" fillId="2" borderId="0" xfId="0" applyFont="1" applyFill="1" applyAlignment="1">
      <alignment horizontal="left"/>
    </xf>
    <xf numFmtId="0" fontId="8" fillId="0" borderId="0" xfId="0" applyFont="1" applyFill="1" applyAlignment="1">
      <alignment horizontal="left"/>
    </xf>
    <xf numFmtId="0" fontId="8" fillId="2" borderId="0" xfId="0" applyFont="1" applyFill="1" applyBorder="1" applyAlignment="1">
      <alignment horizontal="left"/>
    </xf>
    <xf numFmtId="43" fontId="0" fillId="2" borderId="0" xfId="1" applyFont="1" applyFill="1" applyBorder="1" applyAlignment="1">
      <alignment horizontal="center"/>
    </xf>
    <xf numFmtId="0" fontId="2" fillId="2" borderId="0" xfId="0" applyFont="1" applyFill="1" applyBorder="1"/>
    <xf numFmtId="43" fontId="4" fillId="2" borderId="0" xfId="1" applyFont="1" applyFill="1" applyBorder="1" applyAlignment="1">
      <alignment horizontal="left"/>
    </xf>
    <xf numFmtId="0" fontId="0" fillId="2" borderId="11" xfId="0" applyFill="1" applyBorder="1"/>
    <xf numFmtId="0" fontId="11" fillId="0" borderId="0" xfId="0" applyFont="1" applyFill="1" applyBorder="1"/>
    <xf numFmtId="0" fontId="0" fillId="0" borderId="0" xfId="0" applyFill="1" applyBorder="1"/>
    <xf numFmtId="0" fontId="23" fillId="0" borderId="0" xfId="0" applyFont="1"/>
    <xf numFmtId="10" fontId="0" fillId="0" borderId="0" xfId="0" applyNumberFormat="1"/>
    <xf numFmtId="164" fontId="11" fillId="2" borderId="0" xfId="0" applyNumberFormat="1" applyFont="1" applyFill="1" applyBorder="1" applyAlignment="1">
      <alignment horizontal="left"/>
    </xf>
    <xf numFmtId="0" fontId="11" fillId="2" borderId="0" xfId="0" applyFont="1" applyFill="1" applyBorder="1" applyAlignment="1"/>
    <xf numFmtId="0" fontId="11" fillId="0" borderId="0" xfId="0" applyFont="1" applyAlignment="1"/>
    <xf numFmtId="0" fontId="11" fillId="0" borderId="0" xfId="0" applyFont="1" applyFill="1" applyAlignment="1"/>
    <xf numFmtId="0" fontId="0" fillId="0" borderId="0" xfId="0" applyAlignment="1">
      <alignment horizontal="left"/>
    </xf>
    <xf numFmtId="0" fontId="23" fillId="0" borderId="0" xfId="0" applyFont="1" applyFill="1"/>
    <xf numFmtId="0" fontId="14" fillId="0" borderId="0" xfId="0" applyFont="1" applyFill="1" applyBorder="1"/>
    <xf numFmtId="0" fontId="28" fillId="2" borderId="0" xfId="0" applyFont="1" applyFill="1" applyBorder="1"/>
    <xf numFmtId="0" fontId="24" fillId="0" borderId="0" xfId="0" applyFont="1" applyFill="1" applyBorder="1"/>
    <xf numFmtId="43" fontId="0" fillId="2" borderId="0" xfId="1" applyFont="1" applyFill="1" applyBorder="1"/>
    <xf numFmtId="0" fontId="11" fillId="2" borderId="0" xfId="0" applyFont="1" applyFill="1" applyBorder="1" applyAlignment="1"/>
    <xf numFmtId="0" fontId="0" fillId="2" borderId="0" xfId="0" applyFill="1" applyBorder="1"/>
    <xf numFmtId="0" fontId="0" fillId="2" borderId="0" xfId="0" applyFill="1"/>
    <xf numFmtId="0" fontId="0" fillId="2" borderId="11" xfId="0" applyFill="1" applyBorder="1"/>
    <xf numFmtId="0" fontId="0" fillId="4" borderId="0" xfId="0" applyFill="1" applyAlignment="1">
      <alignment horizontal="center"/>
    </xf>
    <xf numFmtId="0" fontId="0" fillId="4" borderId="0" xfId="0" applyFill="1" applyAlignment="1">
      <alignment horizontal="left"/>
    </xf>
    <xf numFmtId="43" fontId="11" fillId="0" borderId="0" xfId="0" applyNumberFormat="1" applyFont="1" applyFill="1"/>
    <xf numFmtId="0" fontId="0" fillId="0" borderId="3" xfId="0" applyFill="1" applyBorder="1"/>
    <xf numFmtId="0" fontId="28" fillId="2" borderId="0" xfId="0" applyFont="1" applyFill="1"/>
    <xf numFmtId="0" fontId="35" fillId="4" borderId="0" xfId="0" applyFont="1" applyFill="1" applyAlignment="1">
      <alignment horizontal="left" indent="2"/>
    </xf>
    <xf numFmtId="0" fontId="27" fillId="2" borderId="13" xfId="0" applyFont="1" applyFill="1" applyBorder="1" applyAlignment="1">
      <alignment horizontal="center"/>
    </xf>
    <xf numFmtId="2" fontId="33" fillId="4" borderId="0" xfId="0" applyNumberFormat="1" applyFont="1" applyFill="1" applyAlignment="1">
      <alignment horizontal="right" indent="4"/>
    </xf>
    <xf numFmtId="0" fontId="35" fillId="6" borderId="0" xfId="0" applyFont="1" applyFill="1" applyAlignment="1">
      <alignment horizontal="left" indent="2"/>
    </xf>
    <xf numFmtId="0" fontId="0" fillId="6" borderId="0" xfId="0" applyFill="1" applyAlignment="1">
      <alignment horizontal="center"/>
    </xf>
    <xf numFmtId="0" fontId="14" fillId="0" borderId="0" xfId="0" applyFont="1" applyFill="1" applyBorder="1" applyAlignment="1">
      <alignment vertical="top"/>
    </xf>
    <xf numFmtId="0" fontId="0" fillId="0" borderId="0" xfId="0" applyFill="1" applyAlignment="1">
      <alignment vertical="top"/>
    </xf>
    <xf numFmtId="43" fontId="0" fillId="0" borderId="0" xfId="0" applyNumberFormat="1" applyFill="1" applyAlignment="1">
      <alignment horizontal="center"/>
    </xf>
    <xf numFmtId="43" fontId="0" fillId="2" borderId="0" xfId="0" applyNumberFormat="1" applyFill="1" applyAlignment="1">
      <alignment horizontal="center"/>
    </xf>
    <xf numFmtId="0" fontId="11" fillId="0" borderId="0" xfId="0" applyFont="1" applyFill="1" applyAlignment="1">
      <alignment horizontal="center" vertical="center"/>
    </xf>
    <xf numFmtId="0" fontId="11" fillId="0" borderId="0" xfId="0" applyFont="1" applyFill="1" applyAlignment="1">
      <alignment horizontal="center"/>
    </xf>
    <xf numFmtId="43" fontId="7" fillId="0" borderId="0" xfId="1" applyFont="1" applyFill="1" applyAlignment="1">
      <alignment horizontal="center" vertical="top" wrapText="1"/>
    </xf>
    <xf numFmtId="43" fontId="0" fillId="0" borderId="0" xfId="1" applyFont="1" applyFill="1" applyAlignment="1">
      <alignment horizontal="center" wrapText="1"/>
    </xf>
    <xf numFmtId="2" fontId="11" fillId="0" borderId="0" xfId="3" applyNumberFormat="1" applyFont="1" applyFill="1"/>
    <xf numFmtId="43" fontId="0" fillId="0" borderId="0" xfId="1" applyFont="1" applyFill="1" applyProtection="1">
      <protection hidden="1"/>
    </xf>
    <xf numFmtId="43" fontId="19" fillId="0" borderId="0" xfId="1" applyFont="1" applyFill="1" applyAlignment="1">
      <alignment horizontal="center"/>
    </xf>
    <xf numFmtId="10" fontId="36" fillId="0" borderId="0" xfId="1" applyNumberFormat="1" applyFont="1" applyFill="1"/>
    <xf numFmtId="43" fontId="19" fillId="0" borderId="0" xfId="1" applyFont="1" applyFill="1"/>
    <xf numFmtId="43" fontId="37" fillId="0" borderId="0" xfId="1" applyFont="1" applyFill="1" applyAlignment="1">
      <alignment horizontal="center" vertical="top" wrapText="1"/>
    </xf>
    <xf numFmtId="2" fontId="38" fillId="0" borderId="0" xfId="0" applyNumberFormat="1" applyFont="1" applyFill="1" applyAlignment="1">
      <alignment horizontal="center"/>
    </xf>
    <xf numFmtId="0" fontId="39" fillId="0" borderId="0" xfId="0" applyFont="1" applyFill="1" applyAlignment="1">
      <alignment horizontal="center"/>
    </xf>
    <xf numFmtId="43" fontId="40" fillId="0" borderId="0" xfId="1" applyFont="1" applyFill="1"/>
    <xf numFmtId="43" fontId="19" fillId="2" borderId="0" xfId="1" applyFont="1" applyFill="1"/>
    <xf numFmtId="43" fontId="41" fillId="0" borderId="0" xfId="0" applyNumberFormat="1" applyFont="1" applyFill="1"/>
    <xf numFmtId="43" fontId="21" fillId="0" borderId="0" xfId="1" applyFont="1" applyFill="1"/>
    <xf numFmtId="0" fontId="11" fillId="2" borderId="0" xfId="0" applyFont="1" applyFill="1" applyAlignment="1">
      <alignment horizontal="center"/>
    </xf>
    <xf numFmtId="43" fontId="21" fillId="2" borderId="0" xfId="1" applyFont="1" applyFill="1"/>
    <xf numFmtId="10" fontId="19" fillId="0" borderId="0" xfId="2" applyNumberFormat="1" applyFont="1" applyFill="1"/>
    <xf numFmtId="10" fontId="21" fillId="2" borderId="0" xfId="2" applyNumberFormat="1" applyFont="1" applyFill="1"/>
    <xf numFmtId="10" fontId="21" fillId="2" borderId="0" xfId="1" applyNumberFormat="1" applyFont="1" applyFill="1"/>
    <xf numFmtId="0" fontId="0" fillId="7" borderId="0" xfId="0" applyFill="1"/>
    <xf numFmtId="0" fontId="20" fillId="7" borderId="0" xfId="0" applyFont="1" applyFill="1" applyAlignment="1">
      <alignment horizontal="left" indent="2"/>
    </xf>
    <xf numFmtId="43" fontId="20" fillId="0" borderId="0" xfId="1" applyFont="1" applyFill="1" applyAlignment="1">
      <alignment shrinkToFit="1"/>
    </xf>
    <xf numFmtId="10" fontId="20" fillId="2" borderId="0" xfId="2" applyNumberFormat="1" applyFont="1" applyFill="1" applyAlignment="1">
      <alignment shrinkToFit="1"/>
    </xf>
    <xf numFmtId="10" fontId="20" fillId="2" borderId="0" xfId="1" applyNumberFormat="1" applyFont="1" applyFill="1" applyAlignment="1">
      <alignment shrinkToFit="1"/>
    </xf>
    <xf numFmtId="0" fontId="31" fillId="0" borderId="0" xfId="0" applyFont="1" applyFill="1" applyBorder="1" applyAlignment="1">
      <alignment horizontal="left" wrapText="1"/>
    </xf>
    <xf numFmtId="10" fontId="31" fillId="0" borderId="0" xfId="2" applyNumberFormat="1" applyFont="1" applyFill="1" applyBorder="1"/>
    <xf numFmtId="0" fontId="28" fillId="0" borderId="0" xfId="0" applyFont="1" applyFill="1" applyBorder="1"/>
    <xf numFmtId="0" fontId="28" fillId="0" borderId="0" xfId="0" applyFont="1" applyFill="1"/>
    <xf numFmtId="0" fontId="26" fillId="0" borderId="0" xfId="0" applyFont="1" applyFill="1"/>
    <xf numFmtId="0" fontId="43" fillId="0" borderId="0" xfId="0" applyFont="1" applyFill="1"/>
    <xf numFmtId="0" fontId="28" fillId="5" borderId="0" xfId="0" applyFont="1" applyFill="1"/>
    <xf numFmtId="0" fontId="0" fillId="0" borderId="0" xfId="0" applyFill="1" applyAlignment="1">
      <alignment vertical="center"/>
    </xf>
    <xf numFmtId="0" fontId="14" fillId="0" borderId="0" xfId="0" applyFont="1" applyFill="1" applyBorder="1" applyAlignment="1">
      <alignment vertical="center"/>
    </xf>
    <xf numFmtId="0" fontId="0" fillId="0" borderId="0" xfId="0" applyAlignment="1">
      <alignment vertical="center"/>
    </xf>
    <xf numFmtId="0" fontId="0" fillId="0" borderId="0" xfId="0" applyAlignment="1">
      <alignment horizontal="left" vertical="top"/>
    </xf>
    <xf numFmtId="0" fontId="14" fillId="0" borderId="0" xfId="0" applyFont="1" applyFill="1" applyBorder="1" applyAlignment="1">
      <alignment horizontal="left" vertical="top"/>
    </xf>
    <xf numFmtId="0" fontId="0" fillId="0" borderId="0" xfId="0" applyFill="1" applyAlignment="1">
      <alignment horizontal="left" vertical="top"/>
    </xf>
    <xf numFmtId="2" fontId="33" fillId="0" borderId="0" xfId="0" applyNumberFormat="1" applyFont="1" applyFill="1" applyAlignment="1">
      <alignment horizontal="right" indent="4"/>
    </xf>
    <xf numFmtId="0" fontId="0" fillId="7" borderId="0" xfId="0" applyFill="1" applyAlignment="1"/>
    <xf numFmtId="0" fontId="35" fillId="0" borderId="0" xfId="0" applyFont="1" applyFill="1" applyAlignment="1"/>
    <xf numFmtId="0" fontId="18" fillId="0" borderId="0" xfId="0" applyFont="1" applyFill="1" applyAlignment="1"/>
    <xf numFmtId="0" fontId="0" fillId="0" borderId="0" xfId="0" applyFill="1" applyAlignment="1"/>
    <xf numFmtId="0" fontId="0" fillId="0" borderId="0" xfId="0" applyAlignment="1"/>
    <xf numFmtId="0" fontId="0" fillId="4" borderId="0" xfId="0" applyFill="1" applyAlignment="1">
      <alignment horizontal="center" vertical="center"/>
    </xf>
    <xf numFmtId="2" fontId="33" fillId="4" borderId="0" xfId="0" applyNumberFormat="1" applyFont="1" applyFill="1" applyAlignment="1">
      <alignment horizontal="center" vertical="center"/>
    </xf>
    <xf numFmtId="0" fontId="25" fillId="6" borderId="0" xfId="0" applyFont="1" applyFill="1" applyAlignment="1"/>
    <xf numFmtId="0" fontId="25" fillId="4" borderId="0" xfId="0" applyFont="1" applyFill="1" applyAlignment="1"/>
    <xf numFmtId="2" fontId="33" fillId="4" borderId="0" xfId="0" applyNumberFormat="1" applyFont="1" applyFill="1" applyAlignment="1">
      <alignment horizontal="center" vertical="center" wrapText="1"/>
    </xf>
    <xf numFmtId="2" fontId="22" fillId="4" borderId="0" xfId="0" applyNumberFormat="1" applyFont="1" applyFill="1" applyAlignment="1">
      <alignment horizontal="center" vertical="center" wrapText="1"/>
    </xf>
    <xf numFmtId="0" fontId="46" fillId="7" borderId="0" xfId="0" applyFont="1" applyFill="1" applyAlignment="1">
      <alignment horizontal="left" indent="2"/>
    </xf>
    <xf numFmtId="0" fontId="46" fillId="7" borderId="0" xfId="0" applyFont="1" applyFill="1" applyAlignment="1">
      <alignment horizontal="left"/>
    </xf>
    <xf numFmtId="0" fontId="46" fillId="7" borderId="0" xfId="0" applyFont="1" applyFill="1" applyAlignment="1">
      <alignment horizontal="left" indent="3"/>
    </xf>
    <xf numFmtId="0" fontId="46" fillId="7" borderId="0" xfId="0" applyFont="1" applyFill="1" applyAlignment="1"/>
    <xf numFmtId="0" fontId="46" fillId="7" borderId="0" xfId="0" applyFont="1" applyFill="1" applyAlignment="1">
      <alignment horizontal="left" indent="1"/>
    </xf>
    <xf numFmtId="0" fontId="44" fillId="4" borderId="0" xfId="0" applyFont="1" applyFill="1" applyBorder="1" applyAlignment="1">
      <alignment horizontal="center" vertical="center" wrapText="1"/>
    </xf>
    <xf numFmtId="0" fontId="35" fillId="4" borderId="0" xfId="0" applyFont="1" applyFill="1" applyAlignment="1">
      <alignment horizontal="right"/>
    </xf>
    <xf numFmtId="0" fontId="34" fillId="4" borderId="0" xfId="0" applyFont="1" applyFill="1"/>
    <xf numFmtId="43" fontId="32" fillId="0" borderId="0" xfId="0" applyNumberFormat="1" applyFont="1"/>
    <xf numFmtId="0" fontId="11" fillId="0" borderId="0" xfId="0" applyFont="1" applyAlignment="1">
      <alignment horizontal="left" vertical="top"/>
    </xf>
    <xf numFmtId="43" fontId="11" fillId="0" borderId="0" xfId="0" applyNumberFormat="1" applyFont="1" applyAlignment="1">
      <alignment horizontal="left" vertical="top"/>
    </xf>
    <xf numFmtId="0" fontId="0" fillId="2" borderId="0" xfId="0" applyFill="1"/>
    <xf numFmtId="0" fontId="35" fillId="0" borderId="0" xfId="0" applyFont="1" applyFill="1" applyBorder="1" applyAlignment="1">
      <alignment horizontal="left" indent="2"/>
    </xf>
    <xf numFmtId="0" fontId="27" fillId="0" borderId="0" xfId="0" applyFont="1" applyFill="1" applyBorder="1" applyAlignment="1">
      <alignment horizontal="center"/>
    </xf>
    <xf numFmtId="0" fontId="19" fillId="0" borderId="0" xfId="0" applyFont="1" applyFill="1" applyBorder="1" applyAlignment="1">
      <alignment horizontal="center"/>
    </xf>
    <xf numFmtId="0" fontId="11" fillId="0" borderId="0" xfId="0" applyFont="1" applyFill="1" applyAlignment="1">
      <alignment horizontal="left"/>
    </xf>
    <xf numFmtId="0" fontId="53" fillId="2" borderId="0" xfId="0" applyFont="1" applyFill="1" applyBorder="1" applyAlignment="1">
      <alignment vertical="top"/>
    </xf>
    <xf numFmtId="0" fontId="52" fillId="2" borderId="0" xfId="0" applyFont="1" applyFill="1"/>
    <xf numFmtId="0" fontId="54" fillId="2" borderId="0" xfId="0" applyFont="1" applyFill="1" applyBorder="1"/>
    <xf numFmtId="0" fontId="55" fillId="2" borderId="0" xfId="0" applyFont="1" applyFill="1" applyBorder="1" applyAlignment="1">
      <alignment vertical="top"/>
    </xf>
    <xf numFmtId="0" fontId="52" fillId="2" borderId="0" xfId="0" applyFont="1" applyFill="1" applyBorder="1"/>
    <xf numFmtId="2" fontId="59" fillId="2" borderId="0" xfId="0" applyNumberFormat="1" applyFont="1" applyFill="1" applyBorder="1" applyAlignment="1">
      <alignment horizontal="center"/>
    </xf>
    <xf numFmtId="43" fontId="52" fillId="2" borderId="0" xfId="1" applyFont="1" applyFill="1" applyBorder="1"/>
    <xf numFmtId="43" fontId="60" fillId="2" borderId="0" xfId="1" applyFont="1" applyFill="1" applyBorder="1" applyAlignment="1">
      <alignment horizontal="left"/>
    </xf>
    <xf numFmtId="0" fontId="61" fillId="2" borderId="0" xfId="0" applyFont="1" applyFill="1" applyBorder="1" applyAlignment="1"/>
    <xf numFmtId="0" fontId="52" fillId="2" borderId="11" xfId="0" applyFont="1" applyFill="1" applyBorder="1"/>
    <xf numFmtId="0" fontId="54" fillId="2" borderId="0" xfId="0" applyFont="1" applyFill="1"/>
    <xf numFmtId="0" fontId="54" fillId="2" borderId="0" xfId="0" applyFont="1" applyFill="1" applyBorder="1" applyAlignment="1">
      <alignment vertical="top"/>
    </xf>
    <xf numFmtId="0" fontId="52" fillId="2" borderId="0" xfId="0" applyFont="1" applyFill="1" applyBorder="1" applyAlignment="1">
      <alignment vertical="top"/>
    </xf>
    <xf numFmtId="0" fontId="52" fillId="2" borderId="11" xfId="0" applyFont="1" applyFill="1" applyBorder="1" applyAlignment="1">
      <alignment vertical="top"/>
    </xf>
    <xf numFmtId="0" fontId="52" fillId="2" borderId="0" xfId="0" applyFont="1" applyFill="1" applyAlignment="1">
      <alignment vertical="top"/>
    </xf>
    <xf numFmtId="0" fontId="54" fillId="2" borderId="0" xfId="0" applyFont="1" applyFill="1" applyAlignment="1">
      <alignment vertical="top"/>
    </xf>
    <xf numFmtId="0" fontId="61" fillId="2" borderId="0" xfId="0" applyFont="1" applyFill="1" applyAlignment="1">
      <alignment vertical="top" wrapText="1"/>
    </xf>
    <xf numFmtId="0" fontId="54" fillId="0" borderId="0" xfId="0" applyFont="1" applyFill="1" applyBorder="1"/>
    <xf numFmtId="0" fontId="52" fillId="0" borderId="0" xfId="0" applyFont="1" applyFill="1"/>
    <xf numFmtId="0" fontId="54" fillId="0" borderId="0" xfId="0" applyFont="1" applyFill="1"/>
    <xf numFmtId="0" fontId="61" fillId="2" borderId="0" xfId="0" applyFont="1" applyFill="1" applyAlignment="1">
      <alignment horizontal="left" vertical="top" wrapText="1" indent="10"/>
    </xf>
    <xf numFmtId="0" fontId="63" fillId="2" borderId="0" xfId="0" applyFont="1" applyFill="1"/>
    <xf numFmtId="0" fontId="52" fillId="2" borderId="0" xfId="0" applyFont="1" applyFill="1" applyAlignment="1">
      <alignment vertical="top" wrapText="1"/>
    </xf>
    <xf numFmtId="0" fontId="64" fillId="2" borderId="0" xfId="0" applyFont="1" applyFill="1"/>
    <xf numFmtId="0" fontId="66" fillId="2" borderId="0" xfId="0" applyFont="1" applyFill="1" applyAlignment="1">
      <alignment horizontal="left" vertical="top"/>
    </xf>
    <xf numFmtId="0" fontId="52" fillId="2" borderId="0" xfId="0" applyFont="1" applyFill="1" applyAlignment="1">
      <alignment horizontal="left" vertical="top" wrapText="1"/>
    </xf>
    <xf numFmtId="0" fontId="67" fillId="2" borderId="0" xfId="0" applyFont="1" applyFill="1" applyBorder="1"/>
    <xf numFmtId="0" fontId="54" fillId="2" borderId="3" xfId="0" applyFont="1" applyFill="1" applyBorder="1"/>
    <xf numFmtId="0" fontId="61" fillId="2" borderId="3" xfId="0" applyFont="1" applyFill="1" applyBorder="1"/>
    <xf numFmtId="43" fontId="52" fillId="2" borderId="3" xfId="1" applyFont="1" applyFill="1" applyBorder="1"/>
    <xf numFmtId="43" fontId="52" fillId="2" borderId="3" xfId="1" applyFont="1" applyFill="1" applyBorder="1" applyAlignment="1">
      <alignment horizontal="center"/>
    </xf>
    <xf numFmtId="0" fontId="68" fillId="2" borderId="3" xfId="0" applyFont="1" applyFill="1" applyBorder="1"/>
    <xf numFmtId="0" fontId="69" fillId="2" borderId="3" xfId="0" applyFont="1" applyFill="1" applyBorder="1" applyAlignment="1">
      <alignment horizontal="right"/>
    </xf>
    <xf numFmtId="0" fontId="70" fillId="2" borderId="3" xfId="0" applyFont="1" applyFill="1" applyBorder="1" applyAlignment="1">
      <alignment horizontal="left"/>
    </xf>
    <xf numFmtId="0" fontId="61" fillId="2" borderId="3" xfId="0" applyFont="1" applyFill="1" applyBorder="1" applyAlignment="1"/>
    <xf numFmtId="0" fontId="52" fillId="2" borderId="3" xfId="0" applyFont="1" applyFill="1" applyBorder="1"/>
    <xf numFmtId="0" fontId="52" fillId="2" borderId="39" xfId="0" applyFont="1" applyFill="1" applyBorder="1"/>
    <xf numFmtId="43" fontId="52" fillId="2" borderId="0" xfId="1" applyFont="1" applyFill="1" applyBorder="1" applyAlignment="1">
      <alignment horizontal="center"/>
    </xf>
    <xf numFmtId="0" fontId="61" fillId="2" borderId="0" xfId="0" applyFont="1" applyFill="1" applyBorder="1"/>
    <xf numFmtId="0" fontId="68" fillId="2" borderId="0" xfId="0" applyFont="1" applyFill="1" applyBorder="1"/>
    <xf numFmtId="43" fontId="54" fillId="2" borderId="0" xfId="1" applyFont="1" applyFill="1" applyAlignment="1">
      <alignment horizontal="left" vertical="top"/>
    </xf>
    <xf numFmtId="170" fontId="71" fillId="2" borderId="0" xfId="1" applyNumberFormat="1" applyFont="1" applyFill="1" applyBorder="1" applyAlignment="1">
      <alignment horizontal="right" vertical="center"/>
    </xf>
    <xf numFmtId="164" fontId="71" fillId="2" borderId="0" xfId="0" applyNumberFormat="1" applyFont="1" applyFill="1" applyBorder="1" applyAlignment="1">
      <alignment horizontal="left" vertical="center"/>
    </xf>
    <xf numFmtId="2" fontId="72" fillId="2" borderId="0" xfId="0" applyNumberFormat="1" applyFont="1" applyFill="1" applyBorder="1" applyAlignment="1">
      <alignment horizontal="center" vertical="center"/>
    </xf>
    <xf numFmtId="0" fontId="73" fillId="2" borderId="0" xfId="0" applyFont="1" applyFill="1" applyBorder="1" applyAlignment="1">
      <alignment vertical="center"/>
    </xf>
    <xf numFmtId="43" fontId="73" fillId="2" borderId="0" xfId="1" applyFont="1" applyFill="1" applyBorder="1" applyAlignment="1">
      <alignment vertical="center"/>
    </xf>
    <xf numFmtId="164" fontId="73" fillId="2" borderId="0" xfId="0" applyNumberFormat="1" applyFont="1" applyFill="1" applyBorder="1" applyAlignment="1">
      <alignment horizontal="left" vertical="center"/>
    </xf>
    <xf numFmtId="164" fontId="74" fillId="2" borderId="0" xfId="0" applyNumberFormat="1" applyFont="1" applyFill="1" applyBorder="1" applyAlignment="1">
      <alignment horizontal="left" vertical="center"/>
    </xf>
    <xf numFmtId="0" fontId="72" fillId="2" borderId="0" xfId="0" applyFont="1" applyFill="1" applyBorder="1" applyAlignment="1"/>
    <xf numFmtId="2" fontId="73" fillId="2" borderId="0" xfId="0" applyNumberFormat="1" applyFont="1" applyFill="1" applyBorder="1" applyAlignment="1">
      <alignment horizontal="center" vertical="top"/>
    </xf>
    <xf numFmtId="0" fontId="73" fillId="2" borderId="0" xfId="0" applyFont="1" applyFill="1" applyBorder="1" applyAlignment="1">
      <alignment vertical="top"/>
    </xf>
    <xf numFmtId="43" fontId="73" fillId="2" borderId="0" xfId="1" applyFont="1" applyFill="1" applyBorder="1" applyAlignment="1">
      <alignment vertical="top"/>
    </xf>
    <xf numFmtId="43" fontId="74" fillId="2" borderId="0" xfId="1" applyFont="1" applyFill="1" applyBorder="1" applyAlignment="1">
      <alignment horizontal="left" vertical="top"/>
    </xf>
    <xf numFmtId="4" fontId="73" fillId="2" borderId="0" xfId="1" applyNumberFormat="1" applyFont="1" applyFill="1" applyAlignment="1">
      <alignment horizontal="left" vertical="center"/>
    </xf>
    <xf numFmtId="0" fontId="72" fillId="2" borderId="0" xfId="0" applyFont="1" applyFill="1" applyBorder="1" applyAlignment="1">
      <alignment vertical="top"/>
    </xf>
    <xf numFmtId="0" fontId="73" fillId="2" borderId="0" xfId="0" applyFont="1" applyFill="1" applyAlignment="1">
      <alignment horizontal="left" vertical="center"/>
    </xf>
    <xf numFmtId="0" fontId="73" fillId="2" borderId="0" xfId="0" applyFont="1" applyFill="1" applyAlignment="1">
      <alignment vertical="top"/>
    </xf>
    <xf numFmtId="0" fontId="61" fillId="2" borderId="0" xfId="0" applyFont="1" applyFill="1" applyAlignment="1">
      <alignment horizontal="left" vertical="top"/>
    </xf>
    <xf numFmtId="0" fontId="52" fillId="2" borderId="0" xfId="0" applyFont="1" applyFill="1" applyAlignment="1">
      <alignment vertical="center"/>
    </xf>
    <xf numFmtId="165" fontId="71" fillId="2" borderId="0" xfId="1" applyNumberFormat="1" applyFont="1" applyFill="1" applyBorder="1" applyAlignment="1">
      <alignment horizontal="right" vertical="center"/>
    </xf>
    <xf numFmtId="0" fontId="61" fillId="2" borderId="0" xfId="0" applyFont="1" applyFill="1" applyBorder="1" applyAlignment="1">
      <alignment vertical="top"/>
    </xf>
    <xf numFmtId="0" fontId="64" fillId="2" borderId="0" xfId="0" applyFont="1" applyFill="1" applyAlignment="1">
      <alignment vertical="top"/>
    </xf>
    <xf numFmtId="170" fontId="71" fillId="2" borderId="0" xfId="1" applyNumberFormat="1" applyFont="1" applyFill="1" applyBorder="1" applyAlignment="1">
      <alignment horizontal="right" vertical="top"/>
    </xf>
    <xf numFmtId="0" fontId="67" fillId="2" borderId="0" xfId="0" applyFont="1" applyFill="1" applyAlignment="1">
      <alignment vertical="top"/>
    </xf>
    <xf numFmtId="0" fontId="52" fillId="4" borderId="18" xfId="0" applyFont="1" applyFill="1" applyBorder="1" applyAlignment="1">
      <alignment horizontal="left" vertical="center" indent="2"/>
    </xf>
    <xf numFmtId="10" fontId="52" fillId="4" borderId="0" xfId="2" applyNumberFormat="1" applyFont="1" applyFill="1" applyBorder="1" applyAlignment="1">
      <alignment horizontal="right" vertical="center"/>
    </xf>
    <xf numFmtId="10" fontId="52" fillId="4" borderId="32" xfId="2" applyNumberFormat="1" applyFont="1" applyFill="1" applyBorder="1" applyAlignment="1">
      <alignment horizontal="left" vertical="center"/>
    </xf>
    <xf numFmtId="0" fontId="54" fillId="2" borderId="11" xfId="0" applyFont="1" applyFill="1" applyBorder="1"/>
    <xf numFmtId="0" fontId="67" fillId="2" borderId="0" xfId="0" applyFont="1" applyFill="1"/>
    <xf numFmtId="0" fontId="52" fillId="2" borderId="18" xfId="0" applyFont="1" applyFill="1" applyBorder="1" applyAlignment="1">
      <alignment horizontal="left" vertical="center" indent="2"/>
    </xf>
    <xf numFmtId="10" fontId="52" fillId="2" borderId="0" xfId="2" applyNumberFormat="1" applyFont="1" applyFill="1" applyBorder="1" applyAlignment="1">
      <alignment horizontal="right" vertical="center"/>
    </xf>
    <xf numFmtId="10" fontId="52" fillId="2" borderId="32" xfId="2" applyNumberFormat="1" applyFont="1" applyFill="1" applyBorder="1" applyAlignment="1">
      <alignment horizontal="left" vertical="center"/>
    </xf>
    <xf numFmtId="0" fontId="52" fillId="4" borderId="19" xfId="0" applyFont="1" applyFill="1" applyBorder="1" applyAlignment="1">
      <alignment horizontal="left" vertical="center" indent="2"/>
    </xf>
    <xf numFmtId="10" fontId="52" fillId="2" borderId="0" xfId="0" applyNumberFormat="1" applyFont="1" applyFill="1" applyAlignment="1">
      <alignment horizontal="left" vertical="center" indent="2"/>
    </xf>
    <xf numFmtId="10" fontId="52" fillId="4" borderId="33" xfId="2" applyNumberFormat="1" applyFont="1" applyFill="1" applyBorder="1" applyAlignment="1">
      <alignment horizontal="left" vertical="center"/>
    </xf>
    <xf numFmtId="0" fontId="77" fillId="2" borderId="0" xfId="0" applyFont="1" applyFill="1"/>
    <xf numFmtId="10" fontId="77" fillId="2" borderId="0" xfId="0" applyNumberFormat="1" applyFont="1" applyFill="1"/>
    <xf numFmtId="10" fontId="78" fillId="2" borderId="0" xfId="0" applyNumberFormat="1" applyFont="1" applyFill="1" applyBorder="1" applyAlignment="1"/>
    <xf numFmtId="0" fontId="77" fillId="2" borderId="0" xfId="0" applyFont="1" applyFill="1" applyBorder="1"/>
    <xf numFmtId="0" fontId="77" fillId="2" borderId="11" xfId="0" applyFont="1" applyFill="1" applyBorder="1"/>
    <xf numFmtId="0" fontId="78" fillId="2" borderId="0" xfId="0" applyFont="1" applyFill="1" applyBorder="1" applyAlignment="1"/>
    <xf numFmtId="0" fontId="79" fillId="2" borderId="0" xfId="0" applyFont="1" applyFill="1" applyBorder="1" applyAlignment="1"/>
    <xf numFmtId="0" fontId="51" fillId="2" borderId="0" xfId="0" applyFont="1" applyFill="1" applyAlignment="1">
      <alignment horizontal="left" wrapText="1"/>
    </xf>
    <xf numFmtId="0" fontId="77" fillId="2" borderId="0" xfId="0" applyFont="1" applyFill="1" applyAlignment="1">
      <alignment horizontal="left" vertical="top" wrapText="1"/>
    </xf>
    <xf numFmtId="0" fontId="80" fillId="2" borderId="0" xfId="0" applyFont="1" applyFill="1"/>
    <xf numFmtId="43" fontId="61" fillId="2" borderId="0" xfId="0" applyNumberFormat="1" applyFont="1" applyFill="1" applyBorder="1" applyAlignment="1"/>
    <xf numFmtId="10" fontId="52" fillId="2" borderId="0" xfId="2" applyNumberFormat="1" applyFont="1" applyFill="1" applyBorder="1"/>
    <xf numFmtId="43" fontId="52" fillId="2" borderId="0" xfId="0" applyNumberFormat="1" applyFont="1" applyFill="1" applyBorder="1"/>
    <xf numFmtId="0" fontId="81" fillId="2" borderId="0" xfId="0" applyFont="1" applyFill="1" applyBorder="1"/>
    <xf numFmtId="2" fontId="54" fillId="2" borderId="0" xfId="0" applyNumberFormat="1" applyFont="1" applyFill="1"/>
    <xf numFmtId="43" fontId="52" fillId="2" borderId="0" xfId="1" applyFont="1" applyFill="1"/>
    <xf numFmtId="0" fontId="54" fillId="2" borderId="0" xfId="0" applyFont="1" applyFill="1" applyAlignment="1">
      <alignment horizontal="left"/>
    </xf>
    <xf numFmtId="0" fontId="52" fillId="2" borderId="0" xfId="0" applyFont="1" applyFill="1" applyAlignment="1"/>
    <xf numFmtId="0" fontId="61" fillId="2" borderId="0" xfId="0" applyFont="1" applyFill="1"/>
    <xf numFmtId="0" fontId="70" fillId="2" borderId="0" xfId="0" applyFont="1" applyFill="1" applyAlignment="1">
      <alignment horizontal="left"/>
    </xf>
    <xf numFmtId="0" fontId="52" fillId="0" borderId="0" xfId="0" applyFont="1"/>
    <xf numFmtId="0" fontId="52" fillId="2" borderId="18" xfId="0" applyFont="1" applyFill="1" applyBorder="1"/>
    <xf numFmtId="2" fontId="52" fillId="2" borderId="0" xfId="0" applyNumberFormat="1" applyFont="1" applyFill="1" applyBorder="1" applyAlignment="1">
      <alignment horizontal="center"/>
    </xf>
    <xf numFmtId="43" fontId="52" fillId="2" borderId="18" xfId="0" applyNumberFormat="1" applyFont="1" applyFill="1" applyBorder="1"/>
    <xf numFmtId="43" fontId="52" fillId="2" borderId="0" xfId="0" applyNumberFormat="1" applyFont="1" applyFill="1" applyAlignment="1">
      <alignment horizontal="left"/>
    </xf>
    <xf numFmtId="10" fontId="52" fillId="2" borderId="0" xfId="2" applyNumberFormat="1" applyFont="1" applyFill="1" applyAlignment="1">
      <alignment horizontal="right" indent="1"/>
    </xf>
    <xf numFmtId="43" fontId="52" fillId="2" borderId="18" xfId="1" applyFont="1" applyFill="1" applyBorder="1"/>
    <xf numFmtId="43" fontId="52" fillId="2" borderId="0" xfId="1" applyFont="1" applyFill="1" applyBorder="1" applyAlignment="1">
      <alignment horizontal="left"/>
    </xf>
    <xf numFmtId="0" fontId="52" fillId="2" borderId="19" xfId="0" applyFont="1" applyFill="1" applyBorder="1"/>
    <xf numFmtId="43" fontId="52" fillId="2" borderId="19" xfId="1" applyFont="1" applyFill="1" applyBorder="1"/>
    <xf numFmtId="0" fontId="61" fillId="2" borderId="0" xfId="0" applyFont="1" applyFill="1" applyAlignment="1"/>
    <xf numFmtId="10" fontId="52" fillId="2" borderId="0" xfId="2" applyNumberFormat="1" applyFont="1" applyFill="1"/>
    <xf numFmtId="0" fontId="82" fillId="0" borderId="0" xfId="0" applyFont="1" applyFill="1" applyBorder="1" applyAlignment="1">
      <alignment horizontal="center" vertical="top" wrapText="1"/>
    </xf>
    <xf numFmtId="0" fontId="83" fillId="0" borderId="0" xfId="0" applyFont="1" applyFill="1" applyBorder="1" applyAlignment="1">
      <alignment horizontal="center" vertical="top" wrapText="1"/>
    </xf>
    <xf numFmtId="0" fontId="82" fillId="2" borderId="0" xfId="0" applyFont="1" applyFill="1" applyBorder="1" applyAlignment="1">
      <alignment horizontal="center" vertical="top" wrapText="1"/>
    </xf>
    <xf numFmtId="0" fontId="83" fillId="2" borderId="0" xfId="0" applyFont="1" applyFill="1" applyBorder="1" applyAlignment="1">
      <alignment horizontal="center" vertical="top" wrapText="1"/>
    </xf>
    <xf numFmtId="0" fontId="63" fillId="2" borderId="0" xfId="0" applyFont="1" applyFill="1" applyBorder="1"/>
    <xf numFmtId="168" fontId="84" fillId="2" borderId="0" xfId="0" applyNumberFormat="1" applyFont="1" applyFill="1" applyBorder="1" applyAlignment="1">
      <alignment horizontal="right" shrinkToFit="1"/>
    </xf>
    <xf numFmtId="0" fontId="82" fillId="2" borderId="0" xfId="0" applyFont="1" applyFill="1" applyBorder="1" applyAlignment="1">
      <alignment horizontal="center" wrapText="1"/>
    </xf>
    <xf numFmtId="168" fontId="82" fillId="2" borderId="0" xfId="0" applyNumberFormat="1" applyFont="1" applyFill="1" applyBorder="1" applyAlignment="1">
      <alignment horizontal="left" wrapText="1"/>
    </xf>
    <xf numFmtId="0" fontId="85" fillId="4" borderId="17" xfId="0" applyFont="1" applyFill="1" applyBorder="1" applyAlignment="1">
      <alignment horizontal="left" vertical="center" indent="1"/>
    </xf>
    <xf numFmtId="0" fontId="52" fillId="4" borderId="0" xfId="0" applyFont="1" applyFill="1"/>
    <xf numFmtId="10" fontId="86" fillId="4" borderId="20" xfId="2" applyNumberFormat="1" applyFont="1" applyFill="1" applyBorder="1" applyAlignment="1">
      <alignment horizontal="center" vertical="center" wrapText="1"/>
    </xf>
    <xf numFmtId="10" fontId="86" fillId="4" borderId="0" xfId="0" applyNumberFormat="1" applyFont="1" applyFill="1" applyBorder="1" applyAlignment="1">
      <alignment horizontal="center" vertical="center" wrapText="1"/>
    </xf>
    <xf numFmtId="43" fontId="52" fillId="4" borderId="0" xfId="0" applyNumberFormat="1" applyFont="1" applyFill="1" applyBorder="1"/>
    <xf numFmtId="0" fontId="52" fillId="4" borderId="0" xfId="0" applyFont="1" applyFill="1" applyBorder="1"/>
    <xf numFmtId="10" fontId="54" fillId="2" borderId="35" xfId="2" applyNumberFormat="1" applyFont="1" applyFill="1" applyBorder="1"/>
    <xf numFmtId="0" fontId="61" fillId="2" borderId="18" xfId="0" applyFont="1" applyFill="1" applyBorder="1"/>
    <xf numFmtId="43" fontId="61" fillId="2" borderId="18" xfId="0" applyNumberFormat="1" applyFont="1" applyFill="1" applyBorder="1"/>
    <xf numFmtId="43" fontId="61" fillId="2" borderId="0" xfId="0" applyNumberFormat="1" applyFont="1" applyFill="1"/>
    <xf numFmtId="10" fontId="54" fillId="2" borderId="32" xfId="2" applyNumberFormat="1" applyFont="1" applyFill="1" applyBorder="1"/>
    <xf numFmtId="0" fontId="61" fillId="4" borderId="18" xfId="0" applyFont="1" applyFill="1" applyBorder="1"/>
    <xf numFmtId="2" fontId="61" fillId="4" borderId="0" xfId="0" applyNumberFormat="1" applyFont="1" applyFill="1" applyBorder="1" applyAlignment="1">
      <alignment horizontal="center"/>
    </xf>
    <xf numFmtId="0" fontId="61" fillId="4" borderId="0" xfId="0" applyFont="1" applyFill="1" applyBorder="1"/>
    <xf numFmtId="43" fontId="61" fillId="4" borderId="0" xfId="1" applyFont="1" applyFill="1" applyBorder="1"/>
    <xf numFmtId="43" fontId="61" fillId="4" borderId="0" xfId="1" applyFont="1" applyFill="1"/>
    <xf numFmtId="43" fontId="61" fillId="4" borderId="18" xfId="0" applyNumberFormat="1" applyFont="1" applyFill="1" applyBorder="1"/>
    <xf numFmtId="43" fontId="61" fillId="4" borderId="0" xfId="0" applyNumberFormat="1" applyFont="1" applyFill="1" applyAlignment="1">
      <alignment horizontal="left"/>
    </xf>
    <xf numFmtId="10" fontId="52" fillId="4" borderId="0" xfId="2" applyNumberFormat="1" applyFont="1" applyFill="1" applyAlignment="1">
      <alignment horizontal="right" indent="1"/>
    </xf>
    <xf numFmtId="2" fontId="61" fillId="2" borderId="0" xfId="0" applyNumberFormat="1" applyFont="1" applyFill="1" applyBorder="1" applyAlignment="1">
      <alignment horizontal="center"/>
    </xf>
    <xf numFmtId="43" fontId="61" fillId="2" borderId="0" xfId="1" applyFont="1" applyFill="1" applyBorder="1"/>
    <xf numFmtId="43" fontId="61" fillId="2" borderId="18" xfId="1" applyFont="1" applyFill="1" applyBorder="1"/>
    <xf numFmtId="43" fontId="61" fillId="2" borderId="0" xfId="1" applyFont="1" applyFill="1" applyBorder="1" applyAlignment="1">
      <alignment horizontal="left"/>
    </xf>
    <xf numFmtId="0" fontId="61" fillId="4" borderId="19" xfId="0" applyFont="1" applyFill="1" applyBorder="1"/>
    <xf numFmtId="43" fontId="61" fillId="4" borderId="19" xfId="1" applyFont="1" applyFill="1" applyBorder="1"/>
    <xf numFmtId="43" fontId="61" fillId="4" borderId="0" xfId="1" applyFont="1" applyFill="1" applyBorder="1" applyAlignment="1">
      <alignment horizontal="left"/>
    </xf>
    <xf numFmtId="10" fontId="54" fillId="2" borderId="33" xfId="2" applyNumberFormat="1" applyFont="1" applyFill="1" applyBorder="1"/>
    <xf numFmtId="10" fontId="54" fillId="2" borderId="0" xfId="2" applyNumberFormat="1" applyFont="1" applyFill="1"/>
    <xf numFmtId="2" fontId="52" fillId="2" borderId="0" xfId="3" applyNumberFormat="1" applyFont="1" applyFill="1" applyBorder="1"/>
    <xf numFmtId="0" fontId="52" fillId="2" borderId="0" xfId="0" applyFont="1" applyFill="1" applyBorder="1" applyAlignment="1">
      <alignment horizontal="center"/>
    </xf>
    <xf numFmtId="10" fontId="52" fillId="2" borderId="0" xfId="1" applyNumberFormat="1" applyFont="1" applyFill="1" applyBorder="1"/>
    <xf numFmtId="0" fontId="87" fillId="2" borderId="0" xfId="0" applyFont="1" applyFill="1" applyBorder="1" applyAlignment="1">
      <alignment horizontal="left"/>
    </xf>
    <xf numFmtId="0" fontId="61" fillId="2" borderId="0" xfId="0" applyFont="1" applyFill="1" applyBorder="1" applyAlignment="1"/>
    <xf numFmtId="0" fontId="52" fillId="2" borderId="0" xfId="0" applyFont="1" applyFill="1"/>
    <xf numFmtId="0" fontId="61" fillId="0" borderId="0" xfId="0" applyFont="1" applyAlignment="1"/>
    <xf numFmtId="0" fontId="61" fillId="2" borderId="0" xfId="0" applyFont="1" applyFill="1" applyAlignment="1">
      <alignment horizontal="left" wrapText="1"/>
    </xf>
    <xf numFmtId="0" fontId="79" fillId="2" borderId="0" xfId="0" applyFont="1" applyFill="1" applyBorder="1"/>
    <xf numFmtId="0" fontId="79" fillId="2" borderId="0" xfId="0" applyFont="1" applyFill="1"/>
    <xf numFmtId="0" fontId="61" fillId="0" borderId="0" xfId="0" applyFont="1" applyFill="1"/>
    <xf numFmtId="43" fontId="52" fillId="0" borderId="0" xfId="1" applyFont="1" applyFill="1"/>
    <xf numFmtId="0" fontId="70" fillId="0" borderId="0" xfId="0" applyFont="1" applyFill="1" applyAlignment="1">
      <alignment horizontal="left"/>
    </xf>
    <xf numFmtId="0" fontId="55" fillId="2" borderId="0" xfId="0" applyFont="1" applyFill="1" applyBorder="1"/>
    <xf numFmtId="10" fontId="84" fillId="2" borderId="0" xfId="0" applyNumberFormat="1" applyFont="1" applyFill="1" applyBorder="1" applyAlignment="1">
      <alignment horizontal="right" shrinkToFit="1"/>
    </xf>
    <xf numFmtId="0" fontId="85" fillId="2" borderId="0" xfId="0" applyFont="1" applyFill="1" applyBorder="1" applyAlignment="1">
      <alignment horizontal="left" wrapText="1"/>
    </xf>
    <xf numFmtId="164" fontId="89" fillId="2" borderId="0" xfId="0" applyNumberFormat="1" applyFont="1" applyFill="1" applyBorder="1" applyAlignment="1">
      <alignment horizontal="center"/>
    </xf>
    <xf numFmtId="43" fontId="60" fillId="2" borderId="0" xfId="1" applyFont="1" applyFill="1" applyBorder="1" applyAlignment="1">
      <alignment horizontal="center" wrapText="1"/>
    </xf>
    <xf numFmtId="10" fontId="90" fillId="4" borderId="20" xfId="2" applyNumberFormat="1" applyFont="1" applyFill="1" applyBorder="1" applyAlignment="1">
      <alignment horizontal="left" vertical="center" indent="1"/>
    </xf>
    <xf numFmtId="0" fontId="61" fillId="4" borderId="24" xfId="0" applyFont="1" applyFill="1" applyBorder="1" applyAlignment="1">
      <alignment horizontal="left" wrapText="1"/>
    </xf>
    <xf numFmtId="10" fontId="86" fillId="4" borderId="24" xfId="0" applyNumberFormat="1" applyFont="1" applyFill="1" applyBorder="1" applyAlignment="1">
      <alignment horizontal="center" vertical="center"/>
    </xf>
    <xf numFmtId="0" fontId="61" fillId="4" borderId="18" xfId="0" applyFont="1" applyFill="1" applyBorder="1" applyAlignment="1">
      <alignment horizontal="left" indent="2"/>
    </xf>
    <xf numFmtId="0" fontId="61" fillId="4" borderId="25" xfId="0" applyFont="1" applyFill="1" applyBorder="1" applyAlignment="1">
      <alignment horizontal="left" indent="2"/>
    </xf>
    <xf numFmtId="0" fontId="61" fillId="2" borderId="18" xfId="0" applyFont="1" applyFill="1" applyBorder="1" applyAlignment="1">
      <alignment horizontal="left" indent="2"/>
    </xf>
    <xf numFmtId="2" fontId="91" fillId="2" borderId="18" xfId="0" applyNumberFormat="1" applyFont="1" applyFill="1" applyBorder="1" applyAlignment="1">
      <alignment horizontal="right" indent="2"/>
    </xf>
    <xf numFmtId="10" fontId="61" fillId="2" borderId="18" xfId="2" applyNumberFormat="1" applyFont="1" applyFill="1" applyBorder="1" applyAlignment="1">
      <alignment horizontal="right" indent="2"/>
    </xf>
    <xf numFmtId="2" fontId="61" fillId="2" borderId="18" xfId="2" applyNumberFormat="1" applyFont="1" applyFill="1" applyBorder="1" applyAlignment="1">
      <alignment horizontal="right" indent="2"/>
    </xf>
    <xf numFmtId="2" fontId="61" fillId="2" borderId="25" xfId="2" applyNumberFormat="1" applyFont="1" applyFill="1" applyBorder="1" applyAlignment="1">
      <alignment horizontal="right" indent="2"/>
    </xf>
    <xf numFmtId="2" fontId="79" fillId="2" borderId="0" xfId="2" applyNumberFormat="1" applyFont="1" applyFill="1" applyBorder="1" applyAlignment="1">
      <alignment horizontal="right" indent="2"/>
    </xf>
    <xf numFmtId="2" fontId="91" fillId="4" borderId="18" xfId="0" applyNumberFormat="1" applyFont="1" applyFill="1" applyBorder="1" applyAlignment="1">
      <alignment horizontal="right" indent="2"/>
    </xf>
    <xf numFmtId="10" fontId="61" fillId="4" borderId="18" xfId="2" applyNumberFormat="1" applyFont="1" applyFill="1" applyBorder="1" applyAlignment="1">
      <alignment horizontal="right" indent="2"/>
    </xf>
    <xf numFmtId="2" fontId="61" fillId="4" borderId="18" xfId="2" applyNumberFormat="1" applyFont="1" applyFill="1" applyBorder="1" applyAlignment="1">
      <alignment horizontal="right" indent="2"/>
    </xf>
    <xf numFmtId="2" fontId="61" fillId="4" borderId="25" xfId="2" applyNumberFormat="1" applyFont="1" applyFill="1" applyBorder="1" applyAlignment="1">
      <alignment horizontal="right" indent="2"/>
    </xf>
    <xf numFmtId="10" fontId="61" fillId="4" borderId="18" xfId="0" applyNumberFormat="1" applyFont="1" applyFill="1" applyBorder="1" applyAlignment="1">
      <alignment horizontal="right" indent="2"/>
    </xf>
    <xf numFmtId="2" fontId="61" fillId="4" borderId="18" xfId="0" applyNumberFormat="1" applyFont="1" applyFill="1" applyBorder="1" applyAlignment="1">
      <alignment horizontal="right" indent="2"/>
    </xf>
    <xf numFmtId="2" fontId="61" fillId="4" borderId="25" xfId="0" applyNumberFormat="1" applyFont="1" applyFill="1" applyBorder="1" applyAlignment="1">
      <alignment horizontal="right" indent="2"/>
    </xf>
    <xf numFmtId="2" fontId="79" fillId="2" borderId="0" xfId="0" applyNumberFormat="1" applyFont="1" applyFill="1" applyBorder="1" applyAlignment="1">
      <alignment horizontal="right" indent="2"/>
    </xf>
    <xf numFmtId="0" fontId="61" fillId="2" borderId="31" xfId="0" applyFont="1" applyFill="1" applyBorder="1" applyAlignment="1">
      <alignment horizontal="center"/>
    </xf>
    <xf numFmtId="43" fontId="92" fillId="2" borderId="31" xfId="1" applyFont="1" applyFill="1" applyBorder="1"/>
    <xf numFmtId="43" fontId="91" fillId="2" borderId="31" xfId="0" applyNumberFormat="1" applyFont="1" applyFill="1" applyBorder="1" applyAlignment="1"/>
    <xf numFmtId="10" fontId="52" fillId="2" borderId="31" xfId="2" applyNumberFormat="1" applyFont="1" applyFill="1" applyBorder="1" applyAlignment="1">
      <alignment horizontal="center"/>
    </xf>
    <xf numFmtId="43" fontId="52" fillId="2" borderId="15" xfId="0" applyNumberFormat="1" applyFont="1" applyFill="1" applyBorder="1"/>
    <xf numFmtId="0" fontId="52" fillId="2" borderId="15" xfId="0" applyFont="1" applyFill="1" applyBorder="1"/>
    <xf numFmtId="10" fontId="54" fillId="2" borderId="0" xfId="2" applyNumberFormat="1" applyFont="1" applyFill="1" applyBorder="1"/>
    <xf numFmtId="0" fontId="75" fillId="2" borderId="0" xfId="0" applyFont="1" applyFill="1" applyAlignment="1">
      <alignment horizontal="left" wrapText="1"/>
    </xf>
    <xf numFmtId="0" fontId="79" fillId="2" borderId="0" xfId="0" applyFont="1" applyFill="1" applyBorder="1" applyAlignment="1">
      <alignment horizontal="left" wrapText="1"/>
    </xf>
    <xf numFmtId="0" fontId="86" fillId="4" borderId="16" xfId="0" applyFont="1" applyFill="1" applyBorder="1" applyAlignment="1">
      <alignment horizontal="center" vertical="center" wrapText="1"/>
    </xf>
    <xf numFmtId="0" fontId="86" fillId="4" borderId="24" xfId="0" applyFont="1" applyFill="1" applyBorder="1" applyAlignment="1">
      <alignment horizontal="center" vertical="center"/>
    </xf>
    <xf numFmtId="0" fontId="54" fillId="2" borderId="0" xfId="0" applyFont="1" applyFill="1" applyBorder="1" applyAlignment="1">
      <alignment vertical="center"/>
    </xf>
    <xf numFmtId="2" fontId="95" fillId="2" borderId="0" xfId="1" applyNumberFormat="1" applyFont="1" applyFill="1" applyBorder="1" applyAlignment="1">
      <alignment horizontal="left" vertical="center" indent="2"/>
    </xf>
    <xf numFmtId="43" fontId="76" fillId="2" borderId="0" xfId="1" applyFont="1" applyFill="1" applyBorder="1" applyAlignment="1">
      <alignment horizontal="left" vertical="center"/>
    </xf>
    <xf numFmtId="2" fontId="76" fillId="2" borderId="0" xfId="0" applyNumberFormat="1" applyFont="1" applyFill="1" applyBorder="1" applyAlignment="1">
      <alignment vertical="center"/>
    </xf>
    <xf numFmtId="43" fontId="76" fillId="2" borderId="0" xfId="0" applyNumberFormat="1" applyFont="1" applyFill="1" applyBorder="1" applyAlignment="1">
      <alignment vertical="center"/>
    </xf>
    <xf numFmtId="2" fontId="76" fillId="2" borderId="11" xfId="0" applyNumberFormat="1" applyFont="1" applyFill="1" applyBorder="1" applyAlignment="1">
      <alignment vertical="center"/>
    </xf>
    <xf numFmtId="43" fontId="61" fillId="2" borderId="0" xfId="1" applyFont="1" applyFill="1" applyBorder="1" applyAlignment="1">
      <alignment vertical="center"/>
    </xf>
    <xf numFmtId="2" fontId="93" fillId="2" borderId="0" xfId="1" applyNumberFormat="1" applyFont="1" applyFill="1" applyBorder="1" applyAlignment="1">
      <alignment horizontal="right" vertical="center" indent="1"/>
    </xf>
    <xf numFmtId="2" fontId="61" fillId="2" borderId="18" xfId="0" applyNumberFormat="1" applyFont="1" applyFill="1" applyBorder="1" applyAlignment="1">
      <alignment horizontal="right" vertical="center" indent="1"/>
    </xf>
    <xf numFmtId="10" fontId="61" fillId="2" borderId="18" xfId="2" applyNumberFormat="1" applyFont="1" applyFill="1" applyBorder="1" applyAlignment="1">
      <alignment horizontal="right" vertical="center" indent="1"/>
    </xf>
    <xf numFmtId="10" fontId="61" fillId="2" borderId="18" xfId="2" applyNumberFormat="1" applyFont="1" applyFill="1" applyBorder="1" applyAlignment="1">
      <alignment vertical="center"/>
    </xf>
    <xf numFmtId="10" fontId="61" fillId="2" borderId="25" xfId="2" applyNumberFormat="1" applyFont="1" applyFill="1" applyBorder="1" applyAlignment="1">
      <alignment vertical="center"/>
    </xf>
    <xf numFmtId="10" fontId="79" fillId="2" borderId="0" xfId="2" applyNumberFormat="1" applyFont="1" applyFill="1" applyBorder="1" applyAlignment="1">
      <alignment vertical="center"/>
    </xf>
    <xf numFmtId="0" fontId="54" fillId="2" borderId="0" xfId="0" applyFont="1" applyFill="1" applyAlignment="1">
      <alignment vertical="center"/>
    </xf>
    <xf numFmtId="2" fontId="95" fillId="4" borderId="0" xfId="1" applyNumberFormat="1" applyFont="1" applyFill="1" applyBorder="1" applyAlignment="1">
      <alignment horizontal="left" vertical="center" indent="2"/>
    </xf>
    <xf numFmtId="2" fontId="93" fillId="4" borderId="0" xfId="1" applyNumberFormat="1" applyFont="1" applyFill="1" applyBorder="1" applyAlignment="1">
      <alignment horizontal="right" vertical="center" indent="1"/>
    </xf>
    <xf numFmtId="2" fontId="61" fillId="4" borderId="18" xfId="0" applyNumberFormat="1" applyFont="1" applyFill="1" applyBorder="1" applyAlignment="1">
      <alignment horizontal="right" vertical="center" indent="1"/>
    </xf>
    <xf numFmtId="10" fontId="61" fillId="4" borderId="18" xfId="2" applyNumberFormat="1" applyFont="1" applyFill="1" applyBorder="1" applyAlignment="1">
      <alignment horizontal="right" vertical="center" indent="1"/>
    </xf>
    <xf numFmtId="10" fontId="61" fillId="4" borderId="18" xfId="2" applyNumberFormat="1" applyFont="1" applyFill="1" applyBorder="1" applyAlignment="1">
      <alignment vertical="center"/>
    </xf>
    <xf numFmtId="10" fontId="61" fillId="4" borderId="25" xfId="2" applyNumberFormat="1" applyFont="1" applyFill="1" applyBorder="1" applyAlignment="1">
      <alignment vertical="center"/>
    </xf>
    <xf numFmtId="43" fontId="76" fillId="4" borderId="0" xfId="1" applyFont="1" applyFill="1" applyBorder="1" applyAlignment="1">
      <alignment horizontal="left" vertical="center"/>
    </xf>
    <xf numFmtId="2" fontId="76" fillId="4" borderId="0" xfId="0" applyNumberFormat="1" applyFont="1" applyFill="1" applyBorder="1" applyAlignment="1">
      <alignment vertical="center"/>
    </xf>
    <xf numFmtId="2" fontId="76" fillId="4" borderId="11" xfId="0" applyNumberFormat="1" applyFont="1" applyFill="1" applyBorder="1" applyAlignment="1">
      <alignment vertical="center"/>
    </xf>
    <xf numFmtId="43" fontId="61" fillId="4" borderId="0" xfId="1" applyFont="1" applyFill="1" applyBorder="1" applyAlignment="1">
      <alignment vertical="center"/>
    </xf>
    <xf numFmtId="2" fontId="76" fillId="2" borderId="0" xfId="0" applyNumberFormat="1" applyFont="1" applyFill="1" applyBorder="1" applyAlignment="1">
      <alignment horizontal="left" vertical="center"/>
    </xf>
    <xf numFmtId="2" fontId="76" fillId="4" borderId="0" xfId="0" applyNumberFormat="1" applyFont="1" applyFill="1" applyBorder="1" applyAlignment="1">
      <alignment horizontal="left" vertical="center"/>
    </xf>
    <xf numFmtId="2" fontId="76" fillId="4" borderId="26" xfId="0" applyNumberFormat="1" applyFont="1" applyFill="1" applyBorder="1" applyAlignment="1">
      <alignment horizontal="left" vertical="center"/>
    </xf>
    <xf numFmtId="2" fontId="76" fillId="4" borderId="26" xfId="0" applyNumberFormat="1" applyFont="1" applyFill="1" applyBorder="1" applyAlignment="1">
      <alignment vertical="center"/>
    </xf>
    <xf numFmtId="43" fontId="61" fillId="4" borderId="26" xfId="1" applyFont="1" applyFill="1" applyBorder="1" applyAlignment="1">
      <alignment vertical="center"/>
    </xf>
    <xf numFmtId="10" fontId="61" fillId="4" borderId="19" xfId="2" applyNumberFormat="1" applyFont="1" applyFill="1" applyBorder="1" applyAlignment="1">
      <alignment vertical="center"/>
    </xf>
    <xf numFmtId="10" fontId="61" fillId="4" borderId="34" xfId="2" applyNumberFormat="1" applyFont="1" applyFill="1" applyBorder="1" applyAlignment="1">
      <alignment vertical="center"/>
    </xf>
    <xf numFmtId="0" fontId="61" fillId="2" borderId="37" xfId="0" applyFont="1" applyFill="1" applyBorder="1" applyAlignment="1">
      <alignment horizontal="center"/>
    </xf>
    <xf numFmtId="43" fontId="52" fillId="2" borderId="31" xfId="1" applyFont="1" applyFill="1" applyBorder="1"/>
    <xf numFmtId="43" fontId="95" fillId="2" borderId="31" xfId="0" applyNumberFormat="1" applyFont="1" applyFill="1" applyBorder="1" applyAlignment="1">
      <alignment horizontal="left"/>
    </xf>
    <xf numFmtId="10" fontId="52" fillId="2" borderId="31" xfId="2" applyNumberFormat="1" applyFont="1" applyFill="1" applyBorder="1" applyAlignment="1">
      <alignment horizontal="right" indent="1"/>
    </xf>
    <xf numFmtId="43" fontId="52" fillId="2" borderId="21" xfId="0" applyNumberFormat="1" applyFont="1" applyFill="1" applyBorder="1"/>
    <xf numFmtId="0" fontId="52" fillId="2" borderId="22" xfId="0" applyFont="1" applyFill="1" applyBorder="1"/>
    <xf numFmtId="0" fontId="52" fillId="2" borderId="21" xfId="0" applyFont="1" applyFill="1" applyBorder="1"/>
    <xf numFmtId="0" fontId="75" fillId="2" borderId="0" xfId="0" applyFont="1" applyFill="1" applyBorder="1"/>
    <xf numFmtId="0" fontId="79" fillId="2" borderId="0" xfId="0" applyFont="1" applyFill="1" applyAlignment="1">
      <alignment horizontal="left"/>
    </xf>
    <xf numFmtId="0" fontId="61" fillId="0" borderId="0" xfId="0" applyFont="1" applyFill="1" applyAlignment="1">
      <alignment horizontal="left" wrapText="1"/>
    </xf>
    <xf numFmtId="10" fontId="86" fillId="4" borderId="24" xfId="0" applyNumberFormat="1" applyFont="1" applyFill="1" applyBorder="1" applyAlignment="1">
      <alignment horizontal="left" vertical="center" indent="1"/>
    </xf>
    <xf numFmtId="0" fontId="61" fillId="4" borderId="0" xfId="0" applyFont="1" applyFill="1" applyBorder="1" applyAlignment="1">
      <alignment horizontal="left" wrapText="1"/>
    </xf>
    <xf numFmtId="43" fontId="96" fillId="2" borderId="0" xfId="1" applyFont="1" applyFill="1" applyBorder="1" applyAlignment="1">
      <alignment horizontal="left"/>
    </xf>
    <xf numFmtId="2" fontId="67" fillId="2" borderId="0" xfId="0" applyNumberFormat="1" applyFont="1" applyFill="1" applyBorder="1"/>
    <xf numFmtId="43" fontId="67" fillId="2" borderId="0" xfId="0" applyNumberFormat="1" applyFont="1" applyFill="1" applyBorder="1"/>
    <xf numFmtId="2" fontId="67" fillId="2" borderId="11" xfId="0" applyNumberFormat="1" applyFont="1" applyFill="1" applyBorder="1"/>
    <xf numFmtId="2" fontId="51" fillId="2" borderId="0" xfId="1" applyNumberFormat="1" applyFont="1" applyFill="1" applyBorder="1" applyAlignment="1">
      <alignment horizontal="right" indent="2"/>
    </xf>
    <xf numFmtId="2" fontId="61" fillId="2" borderId="18" xfId="0" applyNumberFormat="1" applyFont="1" applyFill="1" applyBorder="1" applyAlignment="1">
      <alignment horizontal="right" indent="2"/>
    </xf>
    <xf numFmtId="10" fontId="61" fillId="2" borderId="18" xfId="2" applyNumberFormat="1" applyFont="1" applyFill="1" applyBorder="1" applyAlignment="1">
      <alignment horizontal="center"/>
    </xf>
    <xf numFmtId="10" fontId="61" fillId="2" borderId="25" xfId="2" applyNumberFormat="1" applyFont="1" applyFill="1" applyBorder="1"/>
    <xf numFmtId="10" fontId="61" fillId="2" borderId="0" xfId="2" applyNumberFormat="1" applyFont="1" applyFill="1" applyBorder="1"/>
    <xf numFmtId="2" fontId="51" fillId="4" borderId="0" xfId="1" applyNumberFormat="1" applyFont="1" applyFill="1" applyBorder="1" applyAlignment="1">
      <alignment horizontal="right" indent="2"/>
    </xf>
    <xf numFmtId="10" fontId="61" fillId="4" borderId="18" xfId="2" applyNumberFormat="1" applyFont="1" applyFill="1" applyBorder="1" applyAlignment="1">
      <alignment horizontal="center"/>
    </xf>
    <xf numFmtId="10" fontId="61" fillId="4" borderId="25" xfId="2" applyNumberFormat="1" applyFont="1" applyFill="1" applyBorder="1"/>
    <xf numFmtId="10" fontId="61" fillId="4" borderId="0" xfId="2" applyNumberFormat="1" applyFont="1" applyFill="1" applyBorder="1"/>
    <xf numFmtId="10" fontId="79" fillId="2" borderId="0" xfId="2" applyNumberFormat="1" applyFont="1" applyFill="1" applyBorder="1"/>
    <xf numFmtId="2" fontId="76" fillId="2" borderId="0" xfId="0" applyNumberFormat="1" applyFont="1" applyFill="1" applyBorder="1" applyAlignment="1"/>
    <xf numFmtId="43" fontId="96" fillId="4" borderId="0" xfId="1" applyFont="1" applyFill="1" applyBorder="1" applyAlignment="1">
      <alignment horizontal="left"/>
    </xf>
    <xf numFmtId="2" fontId="76" fillId="4" borderId="0" xfId="0" applyNumberFormat="1" applyFont="1" applyFill="1" applyBorder="1" applyAlignment="1"/>
    <xf numFmtId="2" fontId="67" fillId="4" borderId="0" xfId="0" applyNumberFormat="1" applyFont="1" applyFill="1" applyBorder="1"/>
    <xf numFmtId="2" fontId="67" fillId="4" borderId="11" xfId="0" applyNumberFormat="1" applyFont="1" applyFill="1" applyBorder="1"/>
    <xf numFmtId="43" fontId="52" fillId="4" borderId="0" xfId="1" applyFont="1" applyFill="1" applyBorder="1"/>
    <xf numFmtId="2" fontId="96" fillId="2" borderId="0" xfId="0" applyNumberFormat="1" applyFont="1" applyFill="1" applyBorder="1" applyAlignment="1">
      <alignment horizontal="left"/>
    </xf>
    <xf numFmtId="2" fontId="96" fillId="4" borderId="0" xfId="0" applyNumberFormat="1" applyFont="1" applyFill="1" applyBorder="1" applyAlignment="1">
      <alignment horizontal="left"/>
    </xf>
    <xf numFmtId="2" fontId="51" fillId="2" borderId="31" xfId="1" applyNumberFormat="1" applyFont="1" applyFill="1" applyBorder="1" applyAlignment="1">
      <alignment horizontal="right" indent="2"/>
    </xf>
    <xf numFmtId="2" fontId="61" fillId="2" borderId="37" xfId="0" applyNumberFormat="1" applyFont="1" applyFill="1" applyBorder="1" applyAlignment="1">
      <alignment horizontal="right" indent="2"/>
    </xf>
    <xf numFmtId="0" fontId="93" fillId="2" borderId="0" xfId="0" applyFont="1" applyFill="1" applyBorder="1" applyAlignment="1">
      <alignment horizontal="left" vertical="center" wrapText="1"/>
    </xf>
    <xf numFmtId="0" fontId="61" fillId="2" borderId="0" xfId="0" applyFont="1" applyFill="1" applyAlignment="1">
      <alignment horizontal="left" vertical="center" wrapText="1"/>
    </xf>
    <xf numFmtId="43" fontId="96" fillId="2" borderId="0" xfId="1" applyFont="1" applyFill="1" applyBorder="1" applyAlignment="1">
      <alignment horizontal="left" vertical="center"/>
    </xf>
    <xf numFmtId="2" fontId="67" fillId="2" borderId="0" xfId="0" applyNumberFormat="1" applyFont="1" applyFill="1" applyBorder="1" applyAlignment="1">
      <alignment vertical="center"/>
    </xf>
    <xf numFmtId="43" fontId="67" fillId="2" borderId="0" xfId="0" applyNumberFormat="1" applyFont="1" applyFill="1" applyBorder="1" applyAlignment="1">
      <alignment vertical="center"/>
    </xf>
    <xf numFmtId="43" fontId="52" fillId="2" borderId="0" xfId="1" applyFont="1" applyFill="1" applyBorder="1" applyAlignment="1">
      <alignment vertical="center"/>
    </xf>
    <xf numFmtId="10" fontId="86" fillId="4" borderId="24" xfId="0" applyNumberFormat="1" applyFont="1" applyFill="1" applyBorder="1" applyAlignment="1">
      <alignment horizontal="center" vertical="center" wrapText="1"/>
    </xf>
    <xf numFmtId="0" fontId="61" fillId="4" borderId="24" xfId="0" applyFont="1" applyFill="1" applyBorder="1" applyAlignment="1">
      <alignment horizontal="left" vertical="center" wrapText="1"/>
    </xf>
    <xf numFmtId="0" fontId="79" fillId="2" borderId="20" xfId="0" applyFont="1" applyFill="1" applyBorder="1" applyAlignment="1">
      <alignment horizontal="left" wrapText="1"/>
    </xf>
    <xf numFmtId="0" fontId="52" fillId="2" borderId="18" xfId="0" applyFont="1" applyFill="1" applyBorder="1" applyAlignment="1">
      <alignment horizontal="left" vertical="center" wrapText="1" indent="1"/>
    </xf>
    <xf numFmtId="2" fontId="67" fillId="2" borderId="11" xfId="0" applyNumberFormat="1" applyFont="1" applyFill="1" applyBorder="1" applyAlignment="1">
      <alignment vertical="center"/>
    </xf>
    <xf numFmtId="43" fontId="51" fillId="2" borderId="0" xfId="1" applyFont="1" applyFill="1" applyBorder="1" applyAlignment="1">
      <alignment horizontal="right" vertical="center" indent="1"/>
    </xf>
    <xf numFmtId="10" fontId="61" fillId="2" borderId="18" xfId="2" applyNumberFormat="1" applyFont="1" applyFill="1" applyBorder="1" applyAlignment="1">
      <alignment horizontal="center" vertical="center"/>
    </xf>
    <xf numFmtId="10" fontId="61" fillId="2" borderId="18" xfId="2" applyNumberFormat="1" applyFont="1" applyFill="1" applyBorder="1"/>
    <xf numFmtId="43" fontId="51" fillId="4" borderId="0" xfId="1" applyFont="1" applyFill="1" applyBorder="1" applyAlignment="1">
      <alignment horizontal="left" vertical="center" wrapText="1" indent="1"/>
    </xf>
    <xf numFmtId="2" fontId="61" fillId="4" borderId="20" xfId="1" applyNumberFormat="1" applyFont="1" applyFill="1" applyBorder="1" applyAlignment="1">
      <alignment horizontal="right" vertical="center" wrapText="1" indent="1"/>
    </xf>
    <xf numFmtId="10" fontId="61" fillId="4" borderId="0" xfId="2" applyNumberFormat="1" applyFont="1" applyFill="1" applyBorder="1" applyAlignment="1">
      <alignment horizontal="center" vertical="center"/>
    </xf>
    <xf numFmtId="10" fontId="61" fillId="4" borderId="0" xfId="2" applyNumberFormat="1" applyFont="1" applyFill="1" applyBorder="1" applyAlignment="1">
      <alignment vertical="center"/>
    </xf>
    <xf numFmtId="10" fontId="61" fillId="4" borderId="32" xfId="2" applyNumberFormat="1" applyFont="1" applyFill="1" applyBorder="1"/>
    <xf numFmtId="10" fontId="61" fillId="4" borderId="18" xfId="2" applyNumberFormat="1" applyFont="1" applyFill="1" applyBorder="1"/>
    <xf numFmtId="0" fontId="97" fillId="4" borderId="37" xfId="0" applyFont="1" applyFill="1" applyBorder="1" applyAlignment="1">
      <alignment horizontal="center"/>
    </xf>
    <xf numFmtId="2" fontId="98" fillId="4" borderId="31" xfId="0" applyNumberFormat="1" applyFont="1" applyFill="1" applyBorder="1" applyAlignment="1">
      <alignment horizontal="center"/>
    </xf>
    <xf numFmtId="0" fontId="98" fillId="4" borderId="31" xfId="0" applyFont="1" applyFill="1" applyBorder="1"/>
    <xf numFmtId="43" fontId="98" fillId="4" borderId="31" xfId="1" applyFont="1" applyFill="1" applyBorder="1"/>
    <xf numFmtId="43" fontId="97" fillId="4" borderId="37" xfId="0" applyNumberFormat="1" applyFont="1" applyFill="1" applyBorder="1" applyAlignment="1">
      <alignment horizontal="center"/>
    </xf>
    <xf numFmtId="10" fontId="97" fillId="4" borderId="38" xfId="2" applyNumberFormat="1" applyFont="1" applyFill="1" applyBorder="1" applyAlignment="1">
      <alignment horizontal="center"/>
    </xf>
    <xf numFmtId="0" fontId="51" fillId="2" borderId="0" xfId="0" applyFont="1" applyFill="1" applyBorder="1" applyAlignment="1">
      <alignment horizontal="left" vertical="top" wrapText="1"/>
    </xf>
    <xf numFmtId="0" fontId="93" fillId="2" borderId="0" xfId="0" applyFont="1" applyFill="1" applyBorder="1" applyAlignment="1">
      <alignment vertical="top" wrapText="1"/>
    </xf>
    <xf numFmtId="0" fontId="67" fillId="2" borderId="0" xfId="0" applyFont="1" applyFill="1" applyBorder="1" applyAlignment="1">
      <alignment horizontal="left" wrapText="1"/>
    </xf>
    <xf numFmtId="0" fontId="92" fillId="2" borderId="0" xfId="0" applyFont="1" applyFill="1" applyBorder="1"/>
    <xf numFmtId="0" fontId="92" fillId="2" borderId="0" xfId="0" applyFont="1" applyFill="1"/>
    <xf numFmtId="0" fontId="54" fillId="2" borderId="0" xfId="0" applyFont="1" applyFill="1" applyBorder="1" applyAlignment="1"/>
    <xf numFmtId="0" fontId="55" fillId="2" borderId="0" xfId="0" applyFont="1" applyFill="1" applyBorder="1" applyAlignment="1"/>
    <xf numFmtId="0" fontId="99" fillId="4" borderId="17" xfId="0" applyFont="1" applyFill="1" applyBorder="1"/>
    <xf numFmtId="0" fontId="100" fillId="4" borderId="0" xfId="0" applyFont="1" applyFill="1"/>
    <xf numFmtId="10" fontId="101" fillId="4" borderId="20" xfId="2" applyNumberFormat="1" applyFont="1" applyFill="1" applyBorder="1" applyAlignment="1">
      <alignment horizontal="center" vertical="center" wrapText="1"/>
    </xf>
    <xf numFmtId="10" fontId="101" fillId="4" borderId="24" xfId="0" applyNumberFormat="1" applyFont="1" applyFill="1" applyBorder="1" applyAlignment="1">
      <alignment horizontal="center" vertical="center" wrapText="1"/>
    </xf>
    <xf numFmtId="0" fontId="85" fillId="4" borderId="17" xfId="0" applyFont="1" applyFill="1" applyBorder="1"/>
    <xf numFmtId="9" fontId="79" fillId="2" borderId="0" xfId="2" applyFont="1" applyFill="1" applyBorder="1" applyAlignment="1">
      <alignment horizontal="center" wrapText="1"/>
    </xf>
    <xf numFmtId="0" fontId="98" fillId="2" borderId="18" xfId="0" applyFont="1" applyFill="1" applyBorder="1" applyAlignment="1">
      <alignment horizontal="left" indent="1"/>
    </xf>
    <xf numFmtId="0" fontId="98" fillId="2" borderId="0" xfId="0" applyFont="1" applyFill="1"/>
    <xf numFmtId="43" fontId="98" fillId="2" borderId="18" xfId="0" applyNumberFormat="1" applyFont="1" applyFill="1" applyBorder="1"/>
    <xf numFmtId="10" fontId="98" fillId="2" borderId="0" xfId="2" applyNumberFormat="1" applyFont="1" applyFill="1"/>
    <xf numFmtId="0" fontId="98" fillId="4" borderId="18" xfId="0" applyFont="1" applyFill="1" applyBorder="1" applyAlignment="1">
      <alignment horizontal="left" indent="1"/>
    </xf>
    <xf numFmtId="2" fontId="98" fillId="4" borderId="0" xfId="0" applyNumberFormat="1" applyFont="1" applyFill="1" applyBorder="1" applyAlignment="1">
      <alignment horizontal="center"/>
    </xf>
    <xf numFmtId="0" fontId="98" fillId="4" borderId="0" xfId="0" applyFont="1" applyFill="1" applyBorder="1"/>
    <xf numFmtId="43" fontId="98" fillId="4" borderId="0" xfId="1" applyFont="1" applyFill="1" applyBorder="1"/>
    <xf numFmtId="43" fontId="98" fillId="4" borderId="0" xfId="1" applyFont="1" applyFill="1"/>
    <xf numFmtId="43" fontId="98" fillId="4" borderId="18" xfId="0" applyNumberFormat="1" applyFont="1" applyFill="1" applyBorder="1"/>
    <xf numFmtId="10" fontId="98" fillId="4" borderId="0" xfId="2" applyNumberFormat="1" applyFont="1" applyFill="1" applyBorder="1"/>
    <xf numFmtId="9" fontId="79" fillId="2" borderId="0" xfId="2" applyFont="1" applyFill="1" applyBorder="1" applyAlignment="1">
      <alignment horizontal="center"/>
    </xf>
    <xf numFmtId="2" fontId="98" fillId="2" borderId="0" xfId="0" applyNumberFormat="1" applyFont="1" applyFill="1" applyBorder="1" applyAlignment="1">
      <alignment horizontal="center"/>
    </xf>
    <xf numFmtId="0" fontId="98" fillId="2" borderId="0" xfId="0" applyFont="1" applyFill="1" applyBorder="1"/>
    <xf numFmtId="43" fontId="98" fillId="2" borderId="0" xfId="1" applyFont="1" applyFill="1" applyBorder="1"/>
    <xf numFmtId="43" fontId="98" fillId="2" borderId="18" xfId="1" applyFont="1" applyFill="1" applyBorder="1"/>
    <xf numFmtId="10" fontId="98" fillId="2" borderId="0" xfId="2" applyNumberFormat="1" applyFont="1" applyFill="1" applyBorder="1"/>
    <xf numFmtId="43" fontId="97" fillId="4" borderId="37" xfId="0" applyNumberFormat="1" applyFont="1" applyFill="1" applyBorder="1"/>
    <xf numFmtId="10" fontId="97" fillId="4" borderId="38" xfId="2" applyNumberFormat="1" applyFont="1" applyFill="1" applyBorder="1"/>
    <xf numFmtId="9" fontId="61" fillId="2" borderId="0" xfId="2" applyFont="1" applyFill="1" applyBorder="1" applyAlignment="1">
      <alignment horizontal="center"/>
    </xf>
    <xf numFmtId="0" fontId="85" fillId="4" borderId="17" xfId="0" applyFont="1" applyFill="1" applyBorder="1" applyAlignment="1">
      <alignment horizontal="center" vertical="center"/>
    </xf>
    <xf numFmtId="10" fontId="61" fillId="2" borderId="0" xfId="2" applyNumberFormat="1" applyFont="1" applyFill="1"/>
    <xf numFmtId="2" fontId="61" fillId="2" borderId="31" xfId="0" applyNumberFormat="1" applyFont="1" applyFill="1" applyBorder="1" applyAlignment="1">
      <alignment horizontal="center"/>
    </xf>
    <xf numFmtId="0" fontId="61" fillId="2" borderId="31" xfId="0" applyFont="1" applyFill="1" applyBorder="1"/>
    <xf numFmtId="43" fontId="61" fillId="2" borderId="31" xfId="1" applyFont="1" applyFill="1" applyBorder="1"/>
    <xf numFmtId="43" fontId="61" fillId="2" borderId="37" xfId="1" applyFont="1" applyFill="1" applyBorder="1"/>
    <xf numFmtId="43" fontId="61" fillId="2" borderId="31" xfId="1" applyFont="1" applyFill="1" applyBorder="1" applyAlignment="1">
      <alignment horizontal="left"/>
    </xf>
    <xf numFmtId="10" fontId="61" fillId="2" borderId="38" xfId="2" applyNumberFormat="1" applyFont="1" applyFill="1" applyBorder="1"/>
    <xf numFmtId="0" fontId="88" fillId="2" borderId="0" xfId="0" applyFont="1" applyFill="1" applyAlignment="1">
      <alignment horizontal="center" vertical="center" wrapText="1"/>
    </xf>
    <xf numFmtId="0" fontId="55" fillId="2" borderId="0" xfId="0" applyFont="1" applyFill="1" applyAlignment="1">
      <alignment horizontal="left" vertical="center" wrapText="1"/>
    </xf>
    <xf numFmtId="0" fontId="52" fillId="2" borderId="0" xfId="0" applyFont="1" applyFill="1" applyAlignment="1">
      <alignment vertical="center" wrapText="1"/>
    </xf>
    <xf numFmtId="0" fontId="52" fillId="2" borderId="0" xfId="0" applyFont="1" applyFill="1" applyAlignment="1">
      <alignment horizontal="left" vertical="center" wrapText="1"/>
    </xf>
    <xf numFmtId="0" fontId="83" fillId="2" borderId="0" xfId="0" applyNumberFormat="1" applyFont="1" applyFill="1" applyAlignment="1">
      <alignment horizontal="right" vertical="center" wrapText="1"/>
    </xf>
    <xf numFmtId="0" fontId="79" fillId="2" borderId="0" xfId="0" applyNumberFormat="1" applyFont="1" applyFill="1" applyBorder="1" applyAlignment="1">
      <alignment horizontal="right"/>
    </xf>
    <xf numFmtId="43" fontId="61" fillId="2" borderId="0" xfId="0" applyNumberFormat="1" applyFont="1" applyFill="1" applyAlignment="1">
      <alignment horizontal="center" vertical="center" wrapText="1"/>
    </xf>
    <xf numFmtId="10" fontId="52" fillId="2" borderId="0" xfId="1" applyNumberFormat="1" applyFont="1" applyFill="1"/>
    <xf numFmtId="10" fontId="88" fillId="2" borderId="0" xfId="0" applyNumberFormat="1" applyFont="1" applyFill="1" applyAlignment="1">
      <alignment horizontal="center" vertical="center" wrapText="1"/>
    </xf>
    <xf numFmtId="43" fontId="102" fillId="2" borderId="0" xfId="0" applyNumberFormat="1" applyFont="1" applyFill="1" applyAlignment="1">
      <alignment horizontal="center" vertical="center" wrapText="1"/>
    </xf>
    <xf numFmtId="9" fontId="52" fillId="2" borderId="0" xfId="0" applyNumberFormat="1" applyFont="1" applyFill="1"/>
    <xf numFmtId="43" fontId="52" fillId="2" borderId="0" xfId="0" applyNumberFormat="1" applyFont="1" applyFill="1"/>
    <xf numFmtId="43" fontId="54" fillId="2" borderId="0" xfId="0" applyNumberFormat="1" applyFont="1" applyFill="1" applyAlignment="1">
      <alignment horizontal="left" vertical="top"/>
    </xf>
    <xf numFmtId="0" fontId="54" fillId="2" borderId="0" xfId="0" applyFont="1" applyFill="1" applyAlignment="1">
      <alignment horizontal="left" vertical="top"/>
    </xf>
    <xf numFmtId="43" fontId="104" fillId="2" borderId="0" xfId="1" applyFont="1" applyFill="1" applyBorder="1" applyAlignment="1">
      <alignment horizontal="left"/>
    </xf>
    <xf numFmtId="0" fontId="70" fillId="2" borderId="0" xfId="0" applyFont="1" applyFill="1" applyBorder="1" applyAlignment="1">
      <alignment horizontal="left"/>
    </xf>
    <xf numFmtId="2" fontId="79" fillId="2" borderId="0" xfId="0" applyNumberFormat="1" applyFont="1" applyFill="1" applyBorder="1" applyAlignment="1">
      <alignment horizontal="center"/>
    </xf>
    <xf numFmtId="164" fontId="89" fillId="2" borderId="0" xfId="0" applyNumberFormat="1" applyFont="1" applyFill="1" applyBorder="1" applyAlignment="1">
      <alignment horizontal="right"/>
    </xf>
    <xf numFmtId="10" fontId="52" fillId="2" borderId="0" xfId="0" applyNumberFormat="1" applyFont="1" applyFill="1" applyBorder="1"/>
    <xf numFmtId="43" fontId="61" fillId="2" borderId="11" xfId="0" applyNumberFormat="1" applyFont="1" applyFill="1" applyBorder="1" applyAlignment="1"/>
    <xf numFmtId="43" fontId="79" fillId="2" borderId="0" xfId="1" applyFont="1" applyFill="1" applyBorder="1" applyAlignment="1"/>
    <xf numFmtId="1" fontId="61" fillId="2" borderId="27" xfId="0" applyNumberFormat="1" applyFont="1" applyFill="1" applyBorder="1" applyAlignment="1">
      <alignment horizontal="center"/>
    </xf>
    <xf numFmtId="2" fontId="61" fillId="2" borderId="27" xfId="3" applyNumberFormat="1" applyFont="1" applyFill="1" applyBorder="1"/>
    <xf numFmtId="43" fontId="61" fillId="2" borderId="27" xfId="1" applyFont="1" applyFill="1" applyBorder="1"/>
    <xf numFmtId="2" fontId="52" fillId="2" borderId="27" xfId="1" applyNumberFormat="1" applyFont="1" applyFill="1" applyBorder="1" applyAlignment="1">
      <alignment horizontal="right" indent="2"/>
    </xf>
    <xf numFmtId="10" fontId="61" fillId="2" borderId="27" xfId="2" applyNumberFormat="1" applyFont="1" applyFill="1" applyBorder="1"/>
    <xf numFmtId="43" fontId="52" fillId="2" borderId="27" xfId="1" applyFont="1" applyFill="1" applyBorder="1"/>
    <xf numFmtId="10" fontId="75" fillId="2" borderId="27" xfId="2" applyNumberFormat="1" applyFont="1" applyFill="1" applyBorder="1"/>
    <xf numFmtId="0" fontId="52" fillId="2" borderId="27" xfId="0" applyFont="1" applyFill="1" applyBorder="1"/>
    <xf numFmtId="0" fontId="52" fillId="2" borderId="28" xfId="0" applyFont="1" applyFill="1" applyBorder="1"/>
    <xf numFmtId="0" fontId="52" fillId="2" borderId="29" xfId="0" applyFont="1" applyFill="1" applyBorder="1"/>
    <xf numFmtId="44" fontId="75" fillId="2" borderId="27" xfId="3" applyFont="1" applyFill="1" applyBorder="1"/>
    <xf numFmtId="10" fontId="54" fillId="2" borderId="0" xfId="1" applyNumberFormat="1" applyFont="1" applyFill="1" applyBorder="1"/>
    <xf numFmtId="1" fontId="61" fillId="2" borderId="0" xfId="0" applyNumberFormat="1" applyFont="1" applyFill="1" applyBorder="1" applyAlignment="1">
      <alignment horizontal="center"/>
    </xf>
    <xf numFmtId="2" fontId="61" fillId="2" borderId="0" xfId="3" applyNumberFormat="1" applyFont="1" applyFill="1" applyBorder="1"/>
    <xf numFmtId="2" fontId="52" fillId="2" borderId="0" xfId="1" applyNumberFormat="1" applyFont="1" applyFill="1" applyBorder="1" applyAlignment="1">
      <alignment horizontal="right" indent="2"/>
    </xf>
    <xf numFmtId="10" fontId="75" fillId="2" borderId="0" xfId="2" applyNumberFormat="1" applyFont="1" applyFill="1" applyBorder="1"/>
    <xf numFmtId="10" fontId="61" fillId="2" borderId="0" xfId="1" applyNumberFormat="1" applyFont="1" applyFill="1" applyBorder="1"/>
    <xf numFmtId="10" fontId="61" fillId="2" borderId="0" xfId="1" applyNumberFormat="1" applyFont="1" applyFill="1" applyBorder="1" applyAlignment="1">
      <alignment horizontal="center"/>
    </xf>
    <xf numFmtId="10" fontId="61" fillId="2" borderId="0" xfId="1" applyNumberFormat="1" applyFont="1" applyFill="1" applyBorder="1" applyAlignment="1">
      <alignment shrinkToFit="1"/>
    </xf>
    <xf numFmtId="0" fontId="52" fillId="2" borderId="8" xfId="0" applyFont="1" applyFill="1" applyBorder="1"/>
    <xf numFmtId="44" fontId="75" fillId="2" borderId="0" xfId="3" applyFont="1" applyFill="1" applyBorder="1"/>
    <xf numFmtId="43" fontId="61" fillId="2" borderId="18" xfId="1" applyFont="1" applyFill="1" applyBorder="1" applyAlignment="1">
      <alignment horizontal="center" vertical="center"/>
    </xf>
    <xf numFmtId="0" fontId="61" fillId="2" borderId="0" xfId="0" applyFont="1" applyFill="1" applyBorder="1" applyAlignment="1">
      <alignment horizontal="center"/>
    </xf>
    <xf numFmtId="1" fontId="61" fillId="2" borderId="6" xfId="0" applyNumberFormat="1" applyFont="1" applyFill="1" applyBorder="1" applyAlignment="1">
      <alignment horizontal="center"/>
    </xf>
    <xf numFmtId="2" fontId="61" fillId="2" borderId="6" xfId="3" applyNumberFormat="1" applyFont="1" applyFill="1" applyBorder="1"/>
    <xf numFmtId="43" fontId="61" fillId="2" borderId="6" xfId="1" applyFont="1" applyFill="1" applyBorder="1"/>
    <xf numFmtId="2" fontId="52" fillId="2" borderId="6" xfId="1" applyNumberFormat="1" applyFont="1" applyFill="1" applyBorder="1" applyAlignment="1">
      <alignment horizontal="right" indent="2"/>
    </xf>
    <xf numFmtId="10" fontId="61" fillId="2" borderId="6" xfId="2" applyNumberFormat="1" applyFont="1" applyFill="1" applyBorder="1"/>
    <xf numFmtId="43" fontId="52" fillId="2" borderId="6" xfId="1" applyFont="1" applyFill="1" applyBorder="1"/>
    <xf numFmtId="10" fontId="75" fillId="2" borderId="6" xfId="2" applyNumberFormat="1" applyFont="1" applyFill="1" applyBorder="1"/>
    <xf numFmtId="0" fontId="52" fillId="2" borderId="6" xfId="0" applyFont="1" applyFill="1" applyBorder="1"/>
    <xf numFmtId="0" fontId="52" fillId="2" borderId="5" xfId="0" applyFont="1" applyFill="1" applyBorder="1"/>
    <xf numFmtId="0" fontId="52" fillId="2" borderId="12" xfId="0" applyFont="1" applyFill="1" applyBorder="1"/>
    <xf numFmtId="44" fontId="75" fillId="2" borderId="6" xfId="3" applyFont="1" applyFill="1" applyBorder="1"/>
    <xf numFmtId="43" fontId="52" fillId="2" borderId="0" xfId="0" applyNumberFormat="1" applyFont="1" applyFill="1" applyBorder="1" applyAlignment="1">
      <alignment horizontal="center" shrinkToFit="1"/>
    </xf>
    <xf numFmtId="43" fontId="61" fillId="2" borderId="0" xfId="0" applyNumberFormat="1" applyFont="1" applyFill="1" applyBorder="1"/>
    <xf numFmtId="10" fontId="61" fillId="2" borderId="10" xfId="2" applyNumberFormat="1" applyFont="1" applyFill="1" applyBorder="1"/>
    <xf numFmtId="43" fontId="52" fillId="2" borderId="0" xfId="2" applyNumberFormat="1" applyFont="1" applyFill="1" applyBorder="1"/>
    <xf numFmtId="43" fontId="54" fillId="2" borderId="0" xfId="1" applyFont="1" applyFill="1"/>
    <xf numFmtId="43" fontId="54" fillId="2" borderId="0" xfId="1" applyFont="1" applyFill="1" applyAlignment="1">
      <alignment horizontal="center"/>
    </xf>
    <xf numFmtId="43" fontId="66" fillId="2" borderId="31" xfId="1" applyFont="1" applyFill="1" applyBorder="1"/>
    <xf numFmtId="9" fontId="61" fillId="2" borderId="0" xfId="0" applyNumberFormat="1" applyFont="1" applyFill="1" applyBorder="1"/>
    <xf numFmtId="1" fontId="52" fillId="2" borderId="11" xfId="0" applyNumberFormat="1" applyFont="1" applyFill="1" applyBorder="1"/>
    <xf numFmtId="164" fontId="52" fillId="2" borderId="0" xfId="1" applyNumberFormat="1" applyFont="1" applyFill="1" applyBorder="1"/>
    <xf numFmtId="0" fontId="52" fillId="2" borderId="0" xfId="0" applyFont="1" applyFill="1" applyBorder="1" applyAlignment="1">
      <alignment horizontal="left"/>
    </xf>
    <xf numFmtId="165" fontId="52" fillId="2" borderId="0" xfId="1" applyNumberFormat="1" applyFont="1" applyFill="1" applyBorder="1"/>
    <xf numFmtId="165" fontId="52" fillId="2" borderId="0" xfId="1" applyNumberFormat="1" applyFont="1" applyFill="1"/>
    <xf numFmtId="165" fontId="87" fillId="2" borderId="0" xfId="0" applyNumberFormat="1" applyFont="1" applyFill="1" applyBorder="1" applyAlignment="1">
      <alignment horizontal="left"/>
    </xf>
    <xf numFmtId="164" fontId="52" fillId="2" borderId="0" xfId="0" applyNumberFormat="1" applyFont="1" applyFill="1" applyBorder="1" applyAlignment="1">
      <alignment horizontal="left"/>
    </xf>
    <xf numFmtId="165" fontId="52" fillId="2" borderId="0" xfId="2" applyNumberFormat="1" applyFont="1" applyFill="1" applyBorder="1"/>
    <xf numFmtId="164" fontId="92" fillId="2" borderId="0" xfId="1" applyNumberFormat="1" applyFont="1" applyFill="1" applyBorder="1"/>
    <xf numFmtId="2" fontId="92" fillId="2" borderId="0" xfId="0" applyNumberFormat="1" applyFont="1" applyFill="1" applyBorder="1" applyAlignment="1">
      <alignment horizontal="left"/>
    </xf>
    <xf numFmtId="165" fontId="92" fillId="2" borderId="0" xfId="1" applyNumberFormat="1" applyFont="1" applyFill="1" applyBorder="1"/>
    <xf numFmtId="165" fontId="105" fillId="2" borderId="0" xfId="0" applyNumberFormat="1" applyFont="1" applyFill="1" applyAlignment="1">
      <alignment horizontal="left"/>
    </xf>
    <xf numFmtId="0" fontId="92" fillId="2" borderId="11" xfId="0" applyFont="1" applyFill="1" applyBorder="1"/>
    <xf numFmtId="0" fontId="105" fillId="2" borderId="0" xfId="0" applyFont="1" applyFill="1" applyAlignment="1">
      <alignment horizontal="left"/>
    </xf>
    <xf numFmtId="164" fontId="92" fillId="2" borderId="0" xfId="2" applyNumberFormat="1" applyFont="1" applyFill="1" applyBorder="1"/>
    <xf numFmtId="164" fontId="91" fillId="2" borderId="0" xfId="0" applyNumberFormat="1" applyFont="1" applyFill="1" applyBorder="1"/>
    <xf numFmtId="0" fontId="91" fillId="2" borderId="0" xfId="0" applyFont="1" applyFill="1"/>
    <xf numFmtId="0" fontId="51" fillId="2" borderId="0" xfId="0" applyFont="1" applyFill="1" applyBorder="1" applyAlignment="1">
      <alignment horizontal="left" vertical="center" wrapText="1"/>
    </xf>
    <xf numFmtId="10" fontId="51" fillId="2" borderId="0" xfId="0" applyNumberFormat="1" applyFont="1" applyFill="1" applyBorder="1" applyAlignment="1">
      <alignment horizontal="left" vertical="center" wrapText="1"/>
    </xf>
    <xf numFmtId="43" fontId="67" fillId="2" borderId="0" xfId="0" applyNumberFormat="1" applyFont="1" applyFill="1" applyBorder="1" applyAlignment="1">
      <alignment horizontal="left" wrapText="1"/>
    </xf>
    <xf numFmtId="43" fontId="51" fillId="2" borderId="0" xfId="0" applyNumberFormat="1" applyFont="1" applyFill="1" applyBorder="1" applyAlignment="1">
      <alignment horizontal="left" vertical="center" wrapText="1"/>
    </xf>
    <xf numFmtId="10" fontId="93" fillId="2" borderId="0" xfId="0" applyNumberFormat="1" applyFont="1" applyFill="1" applyBorder="1" applyAlignment="1">
      <alignment horizontal="left" vertical="center" wrapText="1"/>
    </xf>
    <xf numFmtId="43" fontId="61" fillId="2" borderId="0" xfId="1" applyFont="1" applyFill="1" applyBorder="1" applyAlignment="1"/>
    <xf numFmtId="0" fontId="61" fillId="2" borderId="18" xfId="0" applyFont="1" applyFill="1" applyBorder="1" applyAlignment="1">
      <alignment horizontal="left" indent="1"/>
    </xf>
    <xf numFmtId="10" fontId="79" fillId="2" borderId="0" xfId="1" applyNumberFormat="1" applyFont="1" applyFill="1" applyBorder="1"/>
    <xf numFmtId="10" fontId="79" fillId="2" borderId="0" xfId="1" applyNumberFormat="1" applyFont="1" applyFill="1" applyBorder="1" applyAlignment="1">
      <alignment horizontal="center"/>
    </xf>
    <xf numFmtId="43" fontId="75" fillId="2" borderId="37" xfId="1" applyFont="1" applyFill="1" applyBorder="1" applyAlignment="1">
      <alignment horizontal="center" vertical="center"/>
    </xf>
    <xf numFmtId="0" fontId="51" fillId="2" borderId="0" xfId="0" applyFont="1" applyFill="1" applyBorder="1" applyAlignment="1">
      <alignment horizontal="left" vertical="top"/>
    </xf>
    <xf numFmtId="0" fontId="107" fillId="2" borderId="0" xfId="0" applyFont="1" applyFill="1" applyBorder="1" applyAlignment="1">
      <alignment horizontal="left" vertical="top" wrapText="1"/>
    </xf>
    <xf numFmtId="166" fontId="107" fillId="2" borderId="0" xfId="1" applyNumberFormat="1" applyFont="1" applyFill="1" applyBorder="1" applyAlignment="1">
      <alignment horizontal="left" vertical="top" wrapText="1"/>
    </xf>
    <xf numFmtId="10" fontId="51" fillId="2" borderId="0" xfId="2" applyNumberFormat="1" applyFont="1" applyFill="1" applyBorder="1" applyAlignment="1">
      <alignment horizontal="left" vertical="top"/>
    </xf>
    <xf numFmtId="10" fontId="92" fillId="2" borderId="0" xfId="0" applyNumberFormat="1" applyFont="1" applyFill="1"/>
    <xf numFmtId="0" fontId="107" fillId="2" borderId="0" xfId="0" applyFont="1" applyFill="1" applyBorder="1" applyAlignment="1">
      <alignment horizontal="left" vertical="top"/>
    </xf>
    <xf numFmtId="44" fontId="51" fillId="2" borderId="0" xfId="0" applyNumberFormat="1" applyFont="1" applyFill="1" applyBorder="1" applyAlignment="1">
      <alignment horizontal="left" vertical="top"/>
    </xf>
    <xf numFmtId="2" fontId="54" fillId="2" borderId="0" xfId="0" applyNumberFormat="1" applyFont="1" applyFill="1" applyAlignment="1">
      <alignment horizontal="center"/>
    </xf>
    <xf numFmtId="43" fontId="61" fillId="2" borderId="0" xfId="1" applyFont="1" applyFill="1"/>
    <xf numFmtId="2" fontId="61" fillId="2" borderId="0" xfId="0" applyNumberFormat="1" applyFont="1" applyFill="1" applyAlignment="1">
      <alignment horizontal="left" vertical="center"/>
    </xf>
    <xf numFmtId="43" fontId="61" fillId="2" borderId="18" xfId="1" applyFont="1" applyFill="1" applyBorder="1" applyAlignment="1">
      <alignment horizontal="right" vertical="center" indent="2"/>
    </xf>
    <xf numFmtId="10" fontId="54" fillId="2" borderId="0" xfId="0" applyNumberFormat="1" applyFont="1" applyFill="1" applyBorder="1"/>
    <xf numFmtId="43" fontId="54" fillId="2" borderId="0" xfId="1" applyFont="1" applyFill="1" applyBorder="1"/>
    <xf numFmtId="164" fontId="108" fillId="2" borderId="0" xfId="0" applyNumberFormat="1" applyFont="1" applyFill="1" applyBorder="1" applyAlignment="1">
      <alignment horizontal="right"/>
    </xf>
    <xf numFmtId="0" fontId="60" fillId="2" borderId="0" xfId="0" applyFont="1" applyFill="1" applyBorder="1" applyAlignment="1">
      <alignment horizontal="left"/>
    </xf>
    <xf numFmtId="2" fontId="51" fillId="2" borderId="0" xfId="0" applyNumberFormat="1" applyFont="1" applyFill="1" applyBorder="1" applyAlignment="1">
      <alignment horizontal="left" vertical="center" wrapText="1"/>
    </xf>
    <xf numFmtId="0" fontId="51" fillId="2" borderId="0" xfId="0" applyFont="1" applyFill="1" applyBorder="1" applyAlignment="1">
      <alignment horizontal="center" vertical="top" wrapText="1"/>
    </xf>
    <xf numFmtId="0" fontId="54" fillId="2" borderId="0" xfId="0" applyFont="1" applyFill="1" applyBorder="1" applyAlignment="1">
      <alignment horizontal="left" vertical="top" wrapText="1"/>
    </xf>
    <xf numFmtId="43" fontId="54" fillId="2" borderId="0" xfId="0" applyNumberFormat="1" applyFont="1" applyFill="1" applyBorder="1" applyAlignment="1">
      <alignment horizontal="left" vertical="center" wrapText="1"/>
    </xf>
    <xf numFmtId="0" fontId="54" fillId="2" borderId="0" xfId="0" applyFont="1" applyFill="1" applyBorder="1" applyAlignment="1">
      <alignment horizontal="left" vertical="center" wrapText="1"/>
    </xf>
    <xf numFmtId="43" fontId="54" fillId="2" borderId="0" xfId="0" applyNumberFormat="1" applyFont="1" applyFill="1"/>
    <xf numFmtId="0" fontId="52" fillId="2" borderId="0" xfId="0" applyFont="1" applyFill="1" applyAlignment="1">
      <alignment horizontal="left"/>
    </xf>
    <xf numFmtId="0" fontId="95" fillId="2" borderId="0" xfId="0" applyFont="1" applyFill="1" applyBorder="1" applyAlignment="1">
      <alignment horizontal="left" vertical="center" wrapText="1"/>
    </xf>
    <xf numFmtId="0" fontId="51" fillId="2" borderId="0" xfId="0" applyFont="1" applyFill="1"/>
    <xf numFmtId="0" fontId="52" fillId="2" borderId="0" xfId="0" applyFont="1" applyFill="1" applyBorder="1" applyAlignment="1">
      <alignment horizontal="left" vertical="center" wrapText="1"/>
    </xf>
    <xf numFmtId="0" fontId="79" fillId="2" borderId="0" xfId="0" applyFont="1" applyFill="1" applyAlignment="1"/>
    <xf numFmtId="43" fontId="54" fillId="2" borderId="0" xfId="1" applyFont="1" applyFill="1" applyBorder="1" applyAlignment="1">
      <alignment horizontal="left" vertical="center" wrapText="1"/>
    </xf>
    <xf numFmtId="0" fontId="92" fillId="2" borderId="0" xfId="0" applyFont="1" applyFill="1" applyBorder="1" applyAlignment="1">
      <alignment horizontal="left" vertical="top"/>
    </xf>
    <xf numFmtId="0" fontId="52" fillId="2" borderId="0" xfId="0" applyFont="1" applyFill="1" applyBorder="1" applyAlignment="1">
      <alignment horizontal="left" vertical="top" wrapText="1"/>
    </xf>
    <xf numFmtId="0" fontId="52" fillId="0" borderId="0" xfId="0" applyFont="1" applyAlignment="1">
      <alignment horizontal="left" vertical="top"/>
    </xf>
    <xf numFmtId="0" fontId="52" fillId="2" borderId="0" xfId="0" applyFont="1" applyFill="1" applyAlignment="1">
      <alignment horizontal="left" vertical="top"/>
    </xf>
    <xf numFmtId="0" fontId="55" fillId="2" borderId="0" xfId="0" applyFont="1" applyFill="1" applyBorder="1" applyAlignment="1">
      <alignment horizontal="left" vertical="top" wrapText="1"/>
    </xf>
    <xf numFmtId="0" fontId="55" fillId="2" borderId="0" xfId="0" applyFont="1" applyFill="1"/>
    <xf numFmtId="43" fontId="91" fillId="2" borderId="0" xfId="1" applyFont="1" applyFill="1"/>
    <xf numFmtId="43" fontId="92" fillId="2" borderId="0" xfId="1" applyFont="1" applyFill="1"/>
    <xf numFmtId="43" fontId="70" fillId="2" borderId="0" xfId="0" applyNumberFormat="1" applyFont="1" applyFill="1" applyAlignment="1">
      <alignment horizontal="center"/>
    </xf>
    <xf numFmtId="43" fontId="55" fillId="2" borderId="0" xfId="1" applyFont="1" applyFill="1" applyAlignment="1">
      <alignment vertical="top" shrinkToFit="1"/>
    </xf>
    <xf numFmtId="43" fontId="112" fillId="2" borderId="0" xfId="1" applyFont="1" applyFill="1" applyAlignment="1">
      <alignment horizontal="right"/>
    </xf>
    <xf numFmtId="43" fontId="55" fillId="2" borderId="0" xfId="1" applyFont="1" applyFill="1" applyAlignment="1">
      <alignment horizontal="right"/>
    </xf>
    <xf numFmtId="43" fontId="55" fillId="2" borderId="0" xfId="1" applyFont="1" applyFill="1" applyAlignment="1">
      <alignment horizontal="right" vertical="top" shrinkToFit="1"/>
    </xf>
    <xf numFmtId="0" fontId="105" fillId="2" borderId="0" xfId="0" applyFont="1" applyFill="1" applyAlignment="1">
      <alignment horizontal="center"/>
    </xf>
    <xf numFmtId="43" fontId="91" fillId="2" borderId="0" xfId="0" applyNumberFormat="1" applyFont="1" applyFill="1" applyAlignment="1"/>
    <xf numFmtId="0" fontId="86" fillId="2" borderId="0" xfId="0" applyFont="1" applyFill="1" applyAlignment="1">
      <alignment horizontal="center" vertical="top" wrapText="1"/>
    </xf>
    <xf numFmtId="0" fontId="113" fillId="2" borderId="0" xfId="0" applyFont="1" applyFill="1" applyAlignment="1">
      <alignment horizontal="left" vertical="top"/>
    </xf>
    <xf numFmtId="0" fontId="86" fillId="2" borderId="0" xfId="0" applyFont="1" applyFill="1" applyAlignment="1">
      <alignment vertical="top" wrapText="1"/>
    </xf>
    <xf numFmtId="0" fontId="115" fillId="2" borderId="0" xfId="0" applyFont="1" applyFill="1"/>
    <xf numFmtId="165" fontId="73" fillId="2" borderId="0" xfId="1" applyNumberFormat="1" applyFont="1" applyFill="1" applyBorder="1" applyAlignment="1">
      <alignment horizontal="left" vertical="top"/>
    </xf>
    <xf numFmtId="0" fontId="52" fillId="2" borderId="0" xfId="0" applyFont="1" applyFill="1" applyBorder="1" applyAlignment="1"/>
    <xf numFmtId="0" fontId="54" fillId="2" borderId="0" xfId="0" applyFont="1" applyFill="1" applyBorder="1" applyAlignment="1">
      <alignment horizontal="center" vertical="center"/>
    </xf>
    <xf numFmtId="164" fontId="56" fillId="2" borderId="0" xfId="0" applyNumberFormat="1" applyFont="1" applyFill="1" applyBorder="1" applyAlignment="1">
      <alignment horizontal="left" vertical="center"/>
    </xf>
    <xf numFmtId="0" fontId="52" fillId="2" borderId="0" xfId="0" applyFont="1" applyFill="1"/>
    <xf numFmtId="0" fontId="117" fillId="2" borderId="0" xfId="0" applyFont="1" applyFill="1"/>
    <xf numFmtId="0" fontId="52" fillId="2" borderId="0" xfId="0" applyFont="1" applyFill="1" applyAlignment="1">
      <alignment horizontal="left" indent="1"/>
    </xf>
    <xf numFmtId="0" fontId="51" fillId="2" borderId="0" xfId="0" applyFont="1" applyFill="1" applyBorder="1"/>
    <xf numFmtId="0" fontId="51" fillId="2" borderId="11" xfId="0" applyFont="1" applyFill="1" applyBorder="1"/>
    <xf numFmtId="0" fontId="51" fillId="2" borderId="0" xfId="0" applyFont="1" applyFill="1" applyAlignment="1">
      <alignment vertical="top" wrapText="1"/>
    </xf>
    <xf numFmtId="0" fontId="82" fillId="2" borderId="0" xfId="0" applyFont="1" applyFill="1" applyAlignment="1">
      <alignment horizontal="left"/>
    </xf>
    <xf numFmtId="9" fontId="54" fillId="2" borderId="0" xfId="0" applyNumberFormat="1" applyFont="1" applyFill="1"/>
    <xf numFmtId="0" fontId="54" fillId="0" borderId="0" xfId="0" applyFont="1"/>
    <xf numFmtId="0" fontId="83" fillId="2" borderId="0" xfId="0" applyFont="1" applyFill="1" applyAlignment="1">
      <alignment vertical="top" wrapText="1"/>
    </xf>
    <xf numFmtId="43" fontId="79" fillId="2" borderId="0" xfId="0" applyNumberFormat="1" applyFont="1" applyFill="1" applyAlignment="1">
      <alignment vertical="top"/>
    </xf>
    <xf numFmtId="43" fontId="79" fillId="2" borderId="0" xfId="0" applyNumberFormat="1" applyFont="1" applyFill="1" applyAlignment="1">
      <alignment horizontal="left" vertical="top"/>
    </xf>
    <xf numFmtId="167" fontId="70" fillId="2" borderId="0" xfId="0" applyNumberFormat="1" applyFont="1" applyFill="1" applyAlignment="1">
      <alignment vertical="top"/>
    </xf>
    <xf numFmtId="0" fontId="70" fillId="2" borderId="0" xfId="0" applyFont="1" applyFill="1" applyAlignment="1">
      <alignment horizontal="center" vertical="top"/>
    </xf>
    <xf numFmtId="0" fontId="79" fillId="2" borderId="0" xfId="0" applyFont="1" applyFill="1" applyAlignment="1">
      <alignment horizontal="left" vertical="top"/>
    </xf>
    <xf numFmtId="0" fontId="83" fillId="2" borderId="0" xfId="0" applyFont="1" applyFill="1" applyAlignment="1">
      <alignment horizontal="left" vertical="top" wrapText="1"/>
    </xf>
    <xf numFmtId="43" fontId="83" fillId="2" borderId="0" xfId="0" applyNumberFormat="1" applyFont="1" applyFill="1" applyAlignment="1">
      <alignment horizontal="left" vertical="top" wrapText="1"/>
    </xf>
    <xf numFmtId="10" fontId="70" fillId="2" borderId="0" xfId="0" applyNumberFormat="1" applyFont="1" applyFill="1" applyAlignment="1">
      <alignment vertical="top"/>
    </xf>
    <xf numFmtId="0" fontId="11" fillId="2" borderId="0" xfId="0" applyFont="1" applyFill="1" applyAlignment="1"/>
    <xf numFmtId="43" fontId="94" fillId="2" borderId="36" xfId="1" applyFont="1" applyFill="1" applyBorder="1" applyAlignment="1">
      <alignment horizontal="right"/>
    </xf>
    <xf numFmtId="0" fontId="30" fillId="2" borderId="0" xfId="0" applyFont="1" applyFill="1" applyBorder="1" applyAlignment="1"/>
    <xf numFmtId="0" fontId="29" fillId="2" borderId="0" xfId="0" applyFont="1" applyFill="1" applyBorder="1" applyAlignment="1"/>
    <xf numFmtId="43" fontId="120" fillId="2" borderId="0" xfId="1" applyFont="1" applyFill="1" applyBorder="1"/>
    <xf numFmtId="0" fontId="121" fillId="2" borderId="0" xfId="0" applyFont="1" applyFill="1" applyBorder="1"/>
    <xf numFmtId="0" fontId="122" fillId="2" borderId="0" xfId="0" applyFont="1" applyFill="1" applyAlignment="1">
      <alignment horizontal="left"/>
    </xf>
    <xf numFmtId="0" fontId="122" fillId="2" borderId="0" xfId="0" applyFont="1" applyFill="1" applyAlignment="1">
      <alignment horizontal="left" indent="16"/>
    </xf>
    <xf numFmtId="0" fontId="52" fillId="2" borderId="0" xfId="0" applyFont="1" applyFill="1" applyAlignment="1">
      <alignment wrapText="1"/>
    </xf>
    <xf numFmtId="0" fontId="123" fillId="2" borderId="0" xfId="0" applyFont="1" applyFill="1"/>
    <xf numFmtId="0" fontId="52" fillId="2" borderId="0" xfId="0" applyFont="1" applyFill="1"/>
    <xf numFmtId="2" fontId="61" fillId="2" borderId="18" xfId="1" applyNumberFormat="1" applyFont="1" applyFill="1" applyBorder="1" applyAlignment="1">
      <alignment horizontal="right" vertical="center" indent="1"/>
    </xf>
    <xf numFmtId="2" fontId="51" fillId="2" borderId="0" xfId="1" applyNumberFormat="1" applyFont="1" applyFill="1" applyBorder="1" applyAlignment="1">
      <alignment horizontal="right" vertical="center" indent="1"/>
    </xf>
    <xf numFmtId="0" fontId="52" fillId="2" borderId="0" xfId="0" applyFont="1" applyFill="1" applyBorder="1" applyAlignment="1">
      <alignment horizontal="left" vertical="center" wrapText="1"/>
    </xf>
    <xf numFmtId="0" fontId="52" fillId="2" borderId="0" xfId="0" applyFont="1" applyFill="1" applyBorder="1" applyAlignment="1">
      <alignment horizontal="left" vertical="top" wrapText="1"/>
    </xf>
    <xf numFmtId="0" fontId="51" fillId="2" borderId="0" xfId="0" applyFont="1" applyFill="1" applyBorder="1" applyAlignment="1">
      <alignment horizontal="left" vertical="center" wrapText="1"/>
    </xf>
    <xf numFmtId="0" fontId="91" fillId="2" borderId="0" xfId="0" applyFont="1" applyFill="1" applyBorder="1"/>
    <xf numFmtId="9" fontId="91" fillId="2" borderId="0" xfId="0" applyNumberFormat="1" applyFont="1" applyFill="1" applyBorder="1"/>
    <xf numFmtId="2" fontId="92" fillId="2" borderId="0" xfId="3" applyNumberFormat="1" applyFont="1" applyFill="1" applyBorder="1"/>
    <xf numFmtId="0" fontId="92" fillId="2" borderId="0" xfId="0" applyFont="1" applyFill="1" applyBorder="1" applyAlignment="1">
      <alignment horizontal="center"/>
    </xf>
    <xf numFmtId="10" fontId="92" fillId="2" borderId="0" xfId="2" applyNumberFormat="1" applyFont="1" applyFill="1" applyBorder="1"/>
    <xf numFmtId="10" fontId="92" fillId="2" borderId="0" xfId="1" applyNumberFormat="1" applyFont="1" applyFill="1" applyBorder="1"/>
    <xf numFmtId="0" fontId="106" fillId="2" borderId="0" xfId="0" applyFont="1" applyFill="1" applyBorder="1" applyAlignment="1">
      <alignment horizontal="left"/>
    </xf>
    <xf numFmtId="0" fontId="91" fillId="2" borderId="0" xfId="0" applyFont="1" applyFill="1" applyBorder="1" applyAlignment="1"/>
    <xf numFmtId="0" fontId="92" fillId="2" borderId="0" xfId="0" applyFont="1" applyFill="1" applyBorder="1"/>
    <xf numFmtId="0" fontId="67" fillId="2" borderId="0" xfId="0" applyFont="1" applyFill="1" applyBorder="1" applyAlignment="1">
      <alignment horizontal="left" wrapText="1"/>
    </xf>
    <xf numFmtId="0" fontId="93" fillId="2" borderId="0" xfId="0" applyFont="1" applyFill="1" applyBorder="1" applyAlignment="1">
      <alignment horizontal="left" vertical="center" wrapText="1"/>
    </xf>
    <xf numFmtId="0" fontId="51" fillId="2" borderId="0" xfId="0" applyFont="1" applyFill="1" applyBorder="1" applyAlignment="1">
      <alignment horizontal="left" vertical="center"/>
    </xf>
    <xf numFmtId="0" fontId="76" fillId="2" borderId="0" xfId="0" applyFont="1" applyFill="1" applyBorder="1" applyAlignment="1">
      <alignment wrapText="1"/>
    </xf>
    <xf numFmtId="0" fontId="51" fillId="2" borderId="0" xfId="0" applyFont="1" applyFill="1" applyBorder="1" applyAlignment="1">
      <alignment horizontal="left" vertical="top" wrapText="1"/>
    </xf>
    <xf numFmtId="0" fontId="88" fillId="2" borderId="0" xfId="0" applyFont="1" applyFill="1" applyAlignment="1">
      <alignment horizontal="center" vertical="center" wrapText="1"/>
    </xf>
    <xf numFmtId="0" fontId="61" fillId="2" borderId="0" xfId="0" applyFont="1" applyFill="1" applyBorder="1"/>
    <xf numFmtId="2" fontId="52" fillId="2" borderId="0" xfId="3" applyNumberFormat="1" applyFont="1" applyFill="1" applyBorder="1"/>
    <xf numFmtId="0" fontId="52" fillId="2" borderId="0" xfId="0" applyFont="1" applyFill="1" applyBorder="1" applyAlignment="1">
      <alignment horizontal="center"/>
    </xf>
    <xf numFmtId="43" fontId="52" fillId="2" borderId="0" xfId="1" applyFont="1" applyFill="1" applyBorder="1"/>
    <xf numFmtId="10" fontId="52" fillId="2" borderId="0" xfId="2" applyNumberFormat="1" applyFont="1" applyFill="1" applyBorder="1"/>
    <xf numFmtId="10" fontId="52" fillId="2" borderId="0" xfId="1" applyNumberFormat="1" applyFont="1" applyFill="1" applyBorder="1"/>
    <xf numFmtId="0" fontId="87" fillId="2" borderId="0" xfId="0" applyFont="1" applyFill="1" applyBorder="1" applyAlignment="1">
      <alignment horizontal="left"/>
    </xf>
    <xf numFmtId="0" fontId="61" fillId="2" borderId="0" xfId="0" applyFont="1" applyFill="1" applyBorder="1" applyAlignment="1"/>
    <xf numFmtId="0" fontId="52" fillId="2" borderId="0" xfId="0" applyFont="1" applyFill="1" applyBorder="1"/>
    <xf numFmtId="0" fontId="52" fillId="2" borderId="0" xfId="0" applyFont="1" applyFill="1"/>
    <xf numFmtId="0" fontId="52" fillId="2" borderId="11" xfId="0" applyFont="1" applyFill="1" applyBorder="1"/>
    <xf numFmtId="0" fontId="61" fillId="2" borderId="0" xfId="0" applyFont="1" applyFill="1" applyAlignment="1">
      <alignment horizontal="left" vertical="center" wrapText="1"/>
    </xf>
    <xf numFmtId="0" fontId="61" fillId="2" borderId="0" xfId="0" applyFont="1" applyFill="1" applyAlignment="1">
      <alignment horizontal="left" vertical="top" wrapText="1"/>
    </xf>
    <xf numFmtId="0" fontId="52" fillId="2" borderId="0" xfId="0" applyFont="1" applyFill="1"/>
    <xf numFmtId="0" fontId="67" fillId="2" borderId="0" xfId="0" applyFont="1" applyFill="1" applyBorder="1" applyAlignment="1">
      <alignment horizontal="left" vertical="top" wrapText="1"/>
    </xf>
    <xf numFmtId="0" fontId="76" fillId="2" borderId="0" xfId="0" applyFont="1" applyFill="1" applyBorder="1" applyAlignment="1">
      <alignment vertical="top" wrapText="1"/>
    </xf>
    <xf numFmtId="0" fontId="67" fillId="2" borderId="0" xfId="0" applyFont="1" applyFill="1" applyBorder="1" applyAlignment="1">
      <alignment horizontal="right" vertical="top" wrapText="1"/>
    </xf>
    <xf numFmtId="43" fontId="67" fillId="2" borderId="0" xfId="1" applyFont="1" applyFill="1" applyBorder="1" applyAlignment="1">
      <alignment horizontal="left" vertical="top" wrapText="1"/>
    </xf>
    <xf numFmtId="0" fontId="67" fillId="2" borderId="0" xfId="0" applyFont="1" applyFill="1" applyBorder="1" applyAlignment="1">
      <alignment horizontal="right" vertical="center" wrapText="1"/>
    </xf>
    <xf numFmtId="0" fontId="67" fillId="2" borderId="0" xfId="0" applyFont="1" applyFill="1" applyBorder="1" applyAlignment="1">
      <alignment horizontal="left" vertical="center" wrapText="1"/>
    </xf>
    <xf numFmtId="43" fontId="67" fillId="2" borderId="0" xfId="0" applyNumberFormat="1" applyFont="1" applyFill="1" applyAlignment="1">
      <alignment vertical="center"/>
    </xf>
    <xf numFmtId="43" fontId="67" fillId="2" borderId="0" xfId="1" applyFont="1" applyFill="1" applyAlignment="1">
      <alignment vertical="center"/>
    </xf>
    <xf numFmtId="43" fontId="67" fillId="2" borderId="0" xfId="1" applyFont="1" applyFill="1" applyBorder="1" applyAlignment="1">
      <alignment horizontal="left" vertical="center" wrapText="1"/>
    </xf>
    <xf numFmtId="43" fontId="76" fillId="2" borderId="0" xfId="1" applyFont="1" applyFill="1" applyBorder="1" applyAlignment="1">
      <alignment vertical="center" wrapText="1"/>
    </xf>
    <xf numFmtId="43" fontId="67" fillId="2" borderId="0" xfId="0" applyNumberFormat="1" applyFont="1" applyFill="1"/>
    <xf numFmtId="10" fontId="67" fillId="2" borderId="0" xfId="2" applyNumberFormat="1" applyFont="1" applyFill="1" applyBorder="1" applyAlignment="1">
      <alignment horizontal="right" vertical="center" wrapText="1"/>
    </xf>
    <xf numFmtId="168" fontId="67" fillId="2" borderId="0" xfId="2" applyNumberFormat="1" applyFont="1" applyFill="1" applyAlignment="1">
      <alignment vertical="center"/>
    </xf>
    <xf numFmtId="0" fontId="67" fillId="2" borderId="0" xfId="0" applyFont="1" applyFill="1" applyAlignment="1">
      <alignment vertical="center"/>
    </xf>
    <xf numFmtId="0" fontId="67" fillId="2" borderId="0" xfId="0" applyFont="1" applyFill="1" applyAlignment="1">
      <alignment horizontal="right"/>
    </xf>
    <xf numFmtId="43" fontId="67" fillId="2" borderId="0" xfId="1" applyFont="1" applyFill="1" applyAlignment="1">
      <alignment horizontal="center"/>
    </xf>
    <xf numFmtId="0" fontId="67" fillId="2" borderId="0" xfId="0" applyFont="1" applyFill="1" applyAlignment="1">
      <alignment horizontal="center"/>
    </xf>
    <xf numFmtId="10" fontId="67" fillId="2" borderId="0" xfId="0" applyNumberFormat="1" applyFont="1" applyFill="1" applyAlignment="1">
      <alignment horizontal="center"/>
    </xf>
    <xf numFmtId="43" fontId="67" fillId="2" borderId="0" xfId="1" applyFont="1" applyFill="1"/>
    <xf numFmtId="10" fontId="67" fillId="2" borderId="0" xfId="0" applyNumberFormat="1" applyFont="1" applyFill="1"/>
    <xf numFmtId="10" fontId="67" fillId="2" borderId="0" xfId="2" applyNumberFormat="1" applyFont="1" applyFill="1"/>
    <xf numFmtId="0" fontId="124" fillId="2" borderId="0" xfId="0" applyFont="1" applyFill="1" applyAlignment="1">
      <alignment horizontal="right"/>
    </xf>
    <xf numFmtId="0" fontId="125" fillId="2" borderId="0" xfId="0" applyFont="1" applyFill="1" applyAlignment="1">
      <alignment horizontal="left"/>
    </xf>
    <xf numFmtId="9" fontId="22" fillId="4" borderId="0" xfId="2" applyFont="1" applyFill="1" applyAlignment="1">
      <alignment vertical="center"/>
    </xf>
    <xf numFmtId="0" fontId="22" fillId="4" borderId="0" xfId="0" applyFont="1" applyFill="1" applyAlignment="1">
      <alignment vertical="center"/>
    </xf>
    <xf numFmtId="0" fontId="22" fillId="4" borderId="0" xfId="0" applyFont="1" applyFill="1" applyAlignment="1">
      <alignment horizontal="right" vertical="center"/>
    </xf>
    <xf numFmtId="2" fontId="22" fillId="4" borderId="0" xfId="0" applyNumberFormat="1" applyFont="1" applyFill="1" applyBorder="1" applyAlignment="1">
      <alignment vertical="center"/>
    </xf>
    <xf numFmtId="0" fontId="22" fillId="4" borderId="0" xfId="0" applyFont="1" applyFill="1" applyBorder="1" applyAlignment="1">
      <alignment vertical="center"/>
    </xf>
    <xf numFmtId="43" fontId="22" fillId="4" borderId="0" xfId="0" applyNumberFormat="1" applyFont="1" applyFill="1" applyBorder="1" applyAlignment="1">
      <alignment vertical="center"/>
    </xf>
    <xf numFmtId="10" fontId="22" fillId="4" borderId="0" xfId="0" applyNumberFormat="1" applyFont="1" applyFill="1" applyAlignment="1">
      <alignment vertical="center"/>
    </xf>
    <xf numFmtId="43" fontId="126" fillId="4" borderId="0" xfId="0" applyNumberFormat="1" applyFont="1" applyFill="1" applyAlignment="1">
      <alignment horizontal="center" vertical="center" wrapText="1"/>
    </xf>
    <xf numFmtId="10" fontId="126" fillId="4" borderId="0" xfId="0" applyNumberFormat="1" applyFont="1" applyFill="1" applyAlignment="1">
      <alignment horizontal="center" vertical="center" wrapText="1"/>
    </xf>
    <xf numFmtId="0" fontId="126" fillId="4" borderId="0" xfId="0" applyFont="1" applyFill="1" applyAlignment="1">
      <alignment horizontal="center" vertical="center" wrapText="1"/>
    </xf>
    <xf numFmtId="9" fontId="22" fillId="4" borderId="0" xfId="0" applyNumberFormat="1" applyFont="1" applyFill="1" applyAlignment="1">
      <alignment vertical="center"/>
    </xf>
    <xf numFmtId="0" fontId="127" fillId="0" borderId="0" xfId="0" applyFont="1"/>
    <xf numFmtId="0" fontId="127" fillId="2" borderId="0" xfId="0" applyFont="1" applyFill="1"/>
    <xf numFmtId="2" fontId="22" fillId="2" borderId="0" xfId="0" applyNumberFormat="1" applyFont="1" applyFill="1" applyBorder="1" applyAlignment="1">
      <alignment vertical="center"/>
    </xf>
    <xf numFmtId="0" fontId="22" fillId="2" borderId="0" xfId="0" applyFont="1" applyFill="1" applyBorder="1" applyAlignment="1">
      <alignment vertical="center"/>
    </xf>
    <xf numFmtId="43" fontId="22" fillId="2" borderId="0" xfId="0" applyNumberFormat="1" applyFont="1" applyFill="1" applyBorder="1" applyAlignment="1">
      <alignment vertical="center"/>
    </xf>
    <xf numFmtId="10" fontId="22" fillId="2" borderId="0" xfId="0" applyNumberFormat="1" applyFont="1" applyFill="1" applyAlignment="1">
      <alignment vertical="center"/>
    </xf>
    <xf numFmtId="43" fontId="126" fillId="2" borderId="0" xfId="0" applyNumberFormat="1" applyFont="1" applyFill="1" applyAlignment="1">
      <alignment horizontal="center" vertical="center" wrapText="1"/>
    </xf>
    <xf numFmtId="9" fontId="22" fillId="2" borderId="0" xfId="0" applyNumberFormat="1" applyFont="1" applyFill="1" applyAlignment="1">
      <alignment vertical="center"/>
    </xf>
    <xf numFmtId="9" fontId="22" fillId="4" borderId="0" xfId="0" applyNumberFormat="1" applyFont="1" applyFill="1" applyAlignment="1">
      <alignment horizontal="center" vertical="center"/>
    </xf>
    <xf numFmtId="0" fontId="85" fillId="2" borderId="16" xfId="0" applyFont="1" applyFill="1" applyBorder="1" applyAlignment="1">
      <alignment horizontal="center" vertical="center"/>
    </xf>
    <xf numFmtId="10" fontId="104" fillId="2" borderId="0" xfId="1" applyNumberFormat="1" applyFont="1" applyFill="1" applyBorder="1" applyAlignment="1">
      <alignment vertical="center"/>
    </xf>
    <xf numFmtId="43" fontId="86" fillId="2" borderId="16" xfId="1" applyFont="1" applyFill="1" applyBorder="1" applyAlignment="1">
      <alignment horizontal="center" vertical="center" wrapText="1"/>
    </xf>
    <xf numFmtId="0" fontId="61" fillId="2" borderId="19" xfId="0" applyFont="1" applyFill="1" applyBorder="1"/>
    <xf numFmtId="10" fontId="104" fillId="2" borderId="0" xfId="1" applyNumberFormat="1" applyFont="1" applyFill="1" applyBorder="1" applyAlignment="1">
      <alignment horizontal="left" vertical="center"/>
    </xf>
    <xf numFmtId="10" fontId="104" fillId="2" borderId="0" xfId="1" applyNumberFormat="1" applyFont="1" applyFill="1" applyBorder="1" applyAlignment="1">
      <alignment horizontal="left" vertical="center" shrinkToFit="1"/>
    </xf>
    <xf numFmtId="0" fontId="23" fillId="2" borderId="0" xfId="0" applyFont="1" applyFill="1"/>
    <xf numFmtId="10" fontId="86" fillId="2" borderId="0" xfId="1" applyNumberFormat="1" applyFont="1" applyFill="1" applyBorder="1"/>
    <xf numFmtId="10" fontId="86" fillId="2" borderId="0" xfId="1" applyNumberFormat="1" applyFont="1" applyFill="1" applyBorder="1" applyAlignment="1">
      <alignment horizontal="center"/>
    </xf>
    <xf numFmtId="10" fontId="86" fillId="2" borderId="0" xfId="1" applyNumberFormat="1" applyFont="1" applyFill="1" applyBorder="1" applyAlignment="1">
      <alignment shrinkToFit="1"/>
    </xf>
    <xf numFmtId="43" fontId="61" fillId="2" borderId="18" xfId="1" applyFont="1" applyFill="1" applyBorder="1" applyAlignment="1">
      <alignment horizontal="left" indent="1"/>
    </xf>
    <xf numFmtId="10" fontId="86" fillId="2" borderId="23" xfId="1" applyNumberFormat="1" applyFont="1" applyFill="1" applyBorder="1" applyAlignment="1">
      <alignment horizontal="left" vertical="center"/>
    </xf>
    <xf numFmtId="43" fontId="61" fillId="2" borderId="19" xfId="1" applyFont="1" applyFill="1" applyBorder="1" applyAlignment="1">
      <alignment horizontal="center" vertical="center"/>
    </xf>
    <xf numFmtId="43" fontId="61" fillId="2" borderId="0" xfId="1" applyFont="1" applyFill="1" applyBorder="1" applyAlignment="1">
      <alignment shrinkToFit="1"/>
    </xf>
    <xf numFmtId="167" fontId="61" fillId="2" borderId="10" xfId="2" applyNumberFormat="1" applyFont="1" applyFill="1" applyBorder="1"/>
    <xf numFmtId="0" fontId="61" fillId="2" borderId="10" xfId="0" applyFont="1" applyFill="1" applyBorder="1" applyAlignment="1">
      <alignment horizontal="center"/>
    </xf>
    <xf numFmtId="10" fontId="109" fillId="2" borderId="0" xfId="1" applyNumberFormat="1" applyFont="1" applyFill="1" applyBorder="1"/>
    <xf numFmtId="10" fontId="109" fillId="2" borderId="0" xfId="1" applyNumberFormat="1" applyFont="1" applyFill="1" applyBorder="1" applyAlignment="1">
      <alignment horizontal="center"/>
    </xf>
    <xf numFmtId="43" fontId="61" fillId="2" borderId="37" xfId="1" applyFont="1" applyFill="1" applyBorder="1" applyAlignment="1">
      <alignment horizontal="center" vertical="center"/>
    </xf>
    <xf numFmtId="0" fontId="35" fillId="6" borderId="0" xfId="0" applyFont="1" applyFill="1" applyAlignment="1">
      <alignment horizontal="left"/>
    </xf>
    <xf numFmtId="0" fontId="132" fillId="4" borderId="0" xfId="0" applyFont="1" applyFill="1"/>
    <xf numFmtId="0" fontId="79" fillId="0" borderId="0" xfId="0" applyNumberFormat="1" applyFont="1" applyFill="1" applyBorder="1" applyAlignment="1">
      <alignment horizontal="right"/>
    </xf>
    <xf numFmtId="0" fontId="67" fillId="0" borderId="0" xfId="0" applyFont="1" applyFill="1"/>
    <xf numFmtId="9" fontId="22" fillId="4" borderId="0" xfId="0" applyNumberFormat="1" applyFont="1" applyFill="1" applyAlignment="1">
      <alignment horizontal="left" vertical="center" indent="5"/>
    </xf>
    <xf numFmtId="9" fontId="22" fillId="2" borderId="0" xfId="0" applyNumberFormat="1" applyFont="1" applyFill="1" applyAlignment="1">
      <alignment horizontal="left" vertical="center" indent="5"/>
    </xf>
    <xf numFmtId="0" fontId="135" fillId="2" borderId="0" xfId="0" applyFont="1" applyFill="1" applyAlignment="1">
      <alignment vertical="center"/>
    </xf>
    <xf numFmtId="43" fontId="133" fillId="2" borderId="0" xfId="0" applyNumberFormat="1" applyFont="1" applyFill="1" applyAlignment="1">
      <alignment vertical="center"/>
    </xf>
    <xf numFmtId="43" fontId="133" fillId="2" borderId="0" xfId="0" applyNumberFormat="1" applyFont="1" applyFill="1" applyAlignment="1">
      <alignment horizontal="left" vertical="center" indent="3"/>
    </xf>
    <xf numFmtId="10" fontId="133" fillId="2" borderId="0" xfId="1" applyNumberFormat="1" applyFont="1" applyFill="1" applyAlignment="1">
      <alignment vertical="center"/>
    </xf>
    <xf numFmtId="43" fontId="133" fillId="4" borderId="0" xfId="0" applyNumberFormat="1" applyFont="1" applyFill="1" applyAlignment="1">
      <alignment horizontal="left" vertical="center" indent="3"/>
    </xf>
    <xf numFmtId="0" fontId="135" fillId="4" borderId="0" xfId="0" applyFont="1" applyFill="1" applyAlignment="1">
      <alignment vertical="center"/>
    </xf>
    <xf numFmtId="43" fontId="133" fillId="4" borderId="0" xfId="0" applyNumberFormat="1" applyFont="1" applyFill="1" applyAlignment="1">
      <alignment vertical="center"/>
    </xf>
    <xf numFmtId="10" fontId="133" fillId="4" borderId="0" xfId="1" applyNumberFormat="1" applyFont="1" applyFill="1" applyAlignment="1">
      <alignment vertical="center"/>
    </xf>
    <xf numFmtId="0" fontId="51" fillId="2" borderId="0" xfId="0" applyFont="1" applyFill="1" applyBorder="1" applyAlignment="1">
      <alignment horizontal="left" vertical="center" wrapText="1"/>
    </xf>
    <xf numFmtId="0" fontId="52" fillId="2" borderId="0" xfId="0" applyFont="1" applyFill="1"/>
    <xf numFmtId="0" fontId="132" fillId="4" borderId="0" xfId="0" applyFont="1" applyFill="1" applyAlignment="1">
      <alignment horizontal="right"/>
    </xf>
    <xf numFmtId="0" fontId="132" fillId="4" borderId="0" xfId="0" quotePrefix="1" applyFont="1" applyFill="1" applyAlignment="1">
      <alignment horizontal="left"/>
    </xf>
    <xf numFmtId="0" fontId="137" fillId="0" borderId="0" xfId="0" applyFont="1"/>
    <xf numFmtId="0" fontId="18" fillId="2" borderId="0" xfId="0" applyFont="1" applyFill="1" applyAlignment="1">
      <alignment horizontal="center"/>
    </xf>
    <xf numFmtId="0" fontId="140" fillId="2" borderId="30" xfId="0" applyFont="1" applyFill="1" applyBorder="1" applyAlignment="1">
      <alignment horizontal="center"/>
    </xf>
    <xf numFmtId="0" fontId="140" fillId="2" borderId="13" xfId="0" applyFont="1" applyFill="1" applyBorder="1" applyAlignment="1">
      <alignment horizontal="center" vertical="center"/>
    </xf>
    <xf numFmtId="0" fontId="34" fillId="2" borderId="14" xfId="0" applyFont="1" applyFill="1" applyBorder="1" applyAlignment="1">
      <alignment horizontal="center"/>
    </xf>
    <xf numFmtId="0" fontId="142" fillId="2" borderId="0" xfId="0" applyFont="1" applyFill="1" applyBorder="1" applyAlignment="1">
      <alignment vertical="center"/>
    </xf>
    <xf numFmtId="0" fontId="146" fillId="2" borderId="0" xfId="0" applyFont="1" applyFill="1"/>
    <xf numFmtId="0" fontId="46" fillId="2" borderId="0" xfId="0" applyFont="1" applyFill="1" applyAlignment="1">
      <alignment horizontal="left"/>
    </xf>
    <xf numFmtId="0" fontId="35" fillId="2" borderId="0" xfId="0" applyFont="1" applyFill="1" applyAlignment="1">
      <alignment horizontal="left" indent="2"/>
    </xf>
    <xf numFmtId="2" fontId="33" fillId="2" borderId="0" xfId="0" applyNumberFormat="1" applyFont="1" applyFill="1" applyBorder="1" applyAlignment="1">
      <alignment horizontal="right" indent="4"/>
    </xf>
    <xf numFmtId="2" fontId="45" fillId="2" borderId="0" xfId="0" applyNumberFormat="1" applyFont="1" applyFill="1" applyBorder="1" applyAlignment="1">
      <alignment horizontal="right" indent="4"/>
    </xf>
    <xf numFmtId="0" fontId="136" fillId="0" borderId="0" xfId="0" applyNumberFormat="1" applyFont="1" applyFill="1" applyAlignment="1">
      <alignment wrapText="1"/>
    </xf>
    <xf numFmtId="0" fontId="136" fillId="2" borderId="0" xfId="0" applyNumberFormat="1" applyFont="1" applyFill="1" applyAlignment="1">
      <alignment wrapText="1"/>
    </xf>
    <xf numFmtId="0" fontId="139" fillId="2" borderId="0" xfId="0" applyFont="1" applyFill="1"/>
    <xf numFmtId="0" fontId="147" fillId="2" borderId="0" xfId="0" applyFont="1" applyFill="1" applyAlignment="1">
      <alignment horizontal="left" vertical="center"/>
    </xf>
    <xf numFmtId="43" fontId="42" fillId="2" borderId="0" xfId="0" applyNumberFormat="1" applyFont="1" applyFill="1" applyAlignment="1">
      <alignment vertical="center"/>
    </xf>
    <xf numFmtId="0" fontId="42" fillId="2" borderId="0" xfId="0" applyFont="1" applyFill="1" applyAlignment="1">
      <alignment vertical="center"/>
    </xf>
    <xf numFmtId="0" fontId="11" fillId="2" borderId="0" xfId="0" applyFont="1" applyFill="1" applyBorder="1" applyAlignment="1">
      <alignment horizontal="left" vertical="top"/>
    </xf>
    <xf numFmtId="43" fontId="25" fillId="2" borderId="0" xfId="0" applyNumberFormat="1" applyFont="1" applyFill="1" applyAlignment="1">
      <alignment vertical="center"/>
    </xf>
    <xf numFmtId="43" fontId="25" fillId="2" borderId="0" xfId="0" applyNumberFormat="1" applyFont="1" applyFill="1" applyAlignment="1"/>
    <xf numFmtId="0" fontId="25" fillId="2" borderId="0" xfId="0" applyFont="1" applyFill="1" applyAlignment="1"/>
    <xf numFmtId="0" fontId="50" fillId="2" borderId="0" xfId="0" applyFont="1" applyFill="1" applyAlignment="1">
      <alignment horizontal="center"/>
    </xf>
    <xf numFmtId="43" fontId="35" fillId="2" borderId="0" xfId="0" applyNumberFormat="1" applyFont="1" applyFill="1" applyAlignment="1">
      <alignment horizontal="left" indent="2"/>
    </xf>
    <xf numFmtId="0" fontId="50" fillId="2" borderId="0" xfId="0" applyFont="1" applyFill="1" applyAlignment="1">
      <alignment horizontal="left" wrapText="1"/>
    </xf>
    <xf numFmtId="43" fontId="27" fillId="2" borderId="0" xfId="0" applyNumberFormat="1" applyFont="1" applyFill="1" applyAlignment="1">
      <alignment horizontal="left" vertical="center" indent="2" shrinkToFit="1"/>
    </xf>
    <xf numFmtId="0" fontId="33" fillId="2" borderId="0" xfId="0" applyFont="1" applyFill="1" applyAlignment="1">
      <alignment horizontal="left" vertical="center"/>
    </xf>
    <xf numFmtId="0" fontId="49" fillId="2" borderId="0" xfId="0" applyFont="1" applyFill="1"/>
    <xf numFmtId="0" fontId="136" fillId="2" borderId="0" xfId="0" applyFont="1" applyFill="1" applyAlignment="1">
      <alignment horizontal="left" vertical="center" indent="6"/>
    </xf>
    <xf numFmtId="0" fontId="143" fillId="2" borderId="0" xfId="0" applyFont="1" applyFill="1" applyBorder="1" applyAlignment="1">
      <alignment vertical="top" wrapText="1"/>
    </xf>
    <xf numFmtId="0" fontId="143" fillId="0" borderId="0" xfId="0" applyFont="1" applyFill="1" applyBorder="1" applyAlignment="1">
      <alignment vertical="top" wrapText="1"/>
    </xf>
    <xf numFmtId="0" fontId="149" fillId="6" borderId="0" xfId="0" applyFont="1" applyFill="1" applyAlignment="1">
      <alignment horizontal="left"/>
    </xf>
    <xf numFmtId="0" fontId="149" fillId="4" borderId="0" xfId="0" applyFont="1" applyFill="1"/>
    <xf numFmtId="0" fontId="149" fillId="6" borderId="0" xfId="0" applyFont="1" applyFill="1" applyAlignment="1">
      <alignment horizontal="right"/>
    </xf>
    <xf numFmtId="0" fontId="149" fillId="4" borderId="0" xfId="0" applyFont="1" applyFill="1" applyAlignment="1">
      <alignment horizontal="right"/>
    </xf>
    <xf numFmtId="0" fontId="18" fillId="2" borderId="0" xfId="0" applyFont="1" applyFill="1"/>
    <xf numFmtId="0" fontId="148" fillId="2" borderId="0" xfId="0" applyNumberFormat="1" applyFont="1" applyFill="1" applyAlignment="1">
      <alignment horizontal="center" vertical="top" wrapText="1"/>
    </xf>
    <xf numFmtId="0" fontId="46" fillId="2" borderId="0" xfId="0" applyFont="1" applyFill="1"/>
    <xf numFmtId="4" fontId="54" fillId="2" borderId="0" xfId="0" applyNumberFormat="1" applyFont="1" applyFill="1" applyBorder="1" applyAlignment="1">
      <alignment horizontal="left" vertical="center" wrapText="1"/>
    </xf>
    <xf numFmtId="43" fontId="54" fillId="2" borderId="0" xfId="0" applyNumberFormat="1" applyFont="1" applyFill="1" applyBorder="1" applyAlignment="1">
      <alignment horizontal="center" vertical="center" wrapText="1"/>
    </xf>
    <xf numFmtId="0" fontId="70" fillId="2" borderId="0" xfId="0" applyFont="1" applyFill="1" applyBorder="1" applyAlignment="1">
      <alignment horizontal="left" vertical="center" wrapText="1"/>
    </xf>
    <xf numFmtId="169" fontId="54" fillId="2" borderId="0" xfId="0" applyNumberFormat="1" applyFont="1" applyFill="1" applyBorder="1" applyAlignment="1">
      <alignment horizontal="center" vertical="center" wrapText="1"/>
    </xf>
    <xf numFmtId="0" fontId="88" fillId="2" borderId="0" xfId="0" applyFont="1" applyFill="1" applyAlignment="1">
      <alignment horizontal="center" vertical="center" wrapText="1"/>
    </xf>
    <xf numFmtId="0" fontId="52" fillId="2" borderId="0" xfId="0" applyFont="1" applyFill="1"/>
    <xf numFmtId="0" fontId="67" fillId="2" borderId="0" xfId="0" applyFont="1" applyFill="1" applyBorder="1" applyAlignment="1">
      <alignment horizontal="left" vertical="center" wrapText="1"/>
    </xf>
    <xf numFmtId="0" fontId="154" fillId="2" borderId="0" xfId="0" applyFont="1" applyFill="1" applyAlignment="1">
      <alignment horizontal="left" vertical="center"/>
    </xf>
    <xf numFmtId="0" fontId="154" fillId="2" borderId="0" xfId="0" applyFont="1" applyFill="1" applyAlignment="1">
      <alignment horizontal="left" vertical="top"/>
    </xf>
    <xf numFmtId="0" fontId="155" fillId="2" borderId="0" xfId="0" applyFont="1" applyFill="1" applyAlignment="1">
      <alignment horizontal="left" vertical="center" wrapText="1" indent="4"/>
    </xf>
    <xf numFmtId="0" fontId="155" fillId="2" borderId="0" xfId="0" applyFont="1" applyFill="1" applyAlignment="1">
      <alignment horizontal="center" vertical="center" wrapText="1"/>
    </xf>
    <xf numFmtId="0" fontId="155" fillId="2" borderId="0" xfId="0" applyFont="1" applyFill="1" applyAlignment="1">
      <alignment horizontal="right" vertical="center" wrapText="1"/>
    </xf>
    <xf numFmtId="0" fontId="159" fillId="6" borderId="0" xfId="0" applyFont="1" applyFill="1" applyAlignment="1">
      <alignment horizontal="left" indent="2"/>
    </xf>
    <xf numFmtId="0" fontId="159" fillId="4" borderId="0" xfId="0" applyFont="1" applyFill="1" applyAlignment="1">
      <alignment horizontal="left" indent="2"/>
    </xf>
    <xf numFmtId="2" fontId="160" fillId="4" borderId="31" xfId="1" applyNumberFormat="1" applyFont="1" applyFill="1" applyBorder="1" applyAlignment="1">
      <alignment horizontal="center" shrinkToFit="1"/>
    </xf>
    <xf numFmtId="0" fontId="161" fillId="0" borderId="0" xfId="0" applyFont="1"/>
    <xf numFmtId="0" fontId="162" fillId="6" borderId="0" xfId="0" applyFont="1" applyFill="1" applyAlignment="1">
      <alignment horizontal="left" indent="2"/>
    </xf>
    <xf numFmtId="2" fontId="42" fillId="4" borderId="0" xfId="0" applyNumberFormat="1" applyFont="1" applyFill="1" applyAlignment="1">
      <alignment horizontal="center" vertical="center" wrapText="1"/>
    </xf>
    <xf numFmtId="0" fontId="158" fillId="6" borderId="0" xfId="0" applyFont="1" applyFill="1" applyAlignment="1">
      <alignment horizontal="left" indent="2"/>
    </xf>
    <xf numFmtId="0" fontId="164" fillId="6" borderId="0" xfId="0" applyFont="1" applyFill="1" applyAlignment="1">
      <alignment horizontal="center"/>
    </xf>
    <xf numFmtId="0" fontId="158" fillId="4" borderId="0" xfId="0" applyFont="1" applyFill="1" applyAlignment="1">
      <alignment horizontal="left" indent="2"/>
    </xf>
    <xf numFmtId="0" fontId="164" fillId="4" borderId="0" xfId="0" applyFont="1" applyFill="1" applyAlignment="1">
      <alignment horizontal="center"/>
    </xf>
    <xf numFmtId="0" fontId="165" fillId="6" borderId="0" xfId="0" applyFont="1" applyFill="1" applyAlignment="1">
      <alignment horizontal="left" indent="2"/>
    </xf>
    <xf numFmtId="0" fontId="42" fillId="6" borderId="0" xfId="0" applyFont="1" applyFill="1" applyAlignment="1"/>
    <xf numFmtId="0" fontId="165" fillId="4" borderId="0" xfId="0" applyFont="1" applyFill="1" applyAlignment="1">
      <alignment horizontal="left" indent="2"/>
    </xf>
    <xf numFmtId="0" fontId="42" fillId="4" borderId="0" xfId="0" applyFont="1" applyFill="1" applyAlignment="1"/>
    <xf numFmtId="2" fontId="164" fillId="6" borderId="0" xfId="0" applyNumberFormat="1" applyFont="1" applyFill="1" applyAlignment="1">
      <alignment horizontal="center" vertical="center"/>
    </xf>
    <xf numFmtId="0" fontId="166" fillId="2" borderId="0" xfId="0" applyFont="1" applyFill="1" applyAlignment="1">
      <alignment horizontal="left" vertical="center" wrapText="1"/>
    </xf>
    <xf numFmtId="43" fontId="166" fillId="2" borderId="40" xfId="0" applyNumberFormat="1" applyFont="1" applyFill="1" applyBorder="1" applyAlignment="1">
      <alignment vertical="center"/>
    </xf>
    <xf numFmtId="43" fontId="167" fillId="2" borderId="0" xfId="0" applyNumberFormat="1" applyFont="1" applyFill="1" applyAlignment="1">
      <alignment horizontal="left" vertical="center" indent="5"/>
    </xf>
    <xf numFmtId="43" fontId="163" fillId="2" borderId="0" xfId="0" applyNumberFormat="1" applyFont="1" applyFill="1" applyAlignment="1">
      <alignment vertical="center"/>
    </xf>
    <xf numFmtId="0" fontId="78" fillId="2" borderId="0" xfId="0" applyFont="1" applyFill="1"/>
    <xf numFmtId="43" fontId="77" fillId="2" borderId="0" xfId="1" applyFont="1" applyFill="1"/>
    <xf numFmtId="0" fontId="168" fillId="2" borderId="0" xfId="0" applyFont="1" applyFill="1" applyAlignment="1">
      <alignment horizontal="center" vertical="center" wrapText="1"/>
    </xf>
    <xf numFmtId="43" fontId="168" fillId="2" borderId="0" xfId="0" applyNumberFormat="1" applyFont="1" applyFill="1" applyAlignment="1">
      <alignment horizontal="center" vertical="center" wrapText="1"/>
    </xf>
    <xf numFmtId="171" fontId="52" fillId="2" borderId="0" xfId="0" applyNumberFormat="1" applyFont="1" applyFill="1"/>
    <xf numFmtId="9" fontId="22" fillId="2" borderId="0" xfId="0" applyNumberFormat="1" applyFont="1" applyFill="1" applyAlignment="1">
      <alignment horizontal="center" vertical="center"/>
    </xf>
    <xf numFmtId="4" fontId="160" fillId="4" borderId="31" xfId="1" applyNumberFormat="1" applyFont="1" applyFill="1" applyBorder="1" applyAlignment="1">
      <alignment horizontal="center" shrinkToFit="1"/>
    </xf>
    <xf numFmtId="2" fontId="132" fillId="4" borderId="0" xfId="0" applyNumberFormat="1" applyFont="1" applyFill="1" applyAlignment="1">
      <alignment horizontal="left" shrinkToFit="1"/>
    </xf>
    <xf numFmtId="0" fontId="164" fillId="6" borderId="0" xfId="1" applyNumberFormat="1" applyFont="1" applyFill="1" applyAlignment="1">
      <alignment horizontal="right" vertical="center" indent="1"/>
    </xf>
    <xf numFmtId="0" fontId="164" fillId="4" borderId="0" xfId="1" applyNumberFormat="1" applyFont="1" applyFill="1" applyAlignment="1">
      <alignment horizontal="right" vertical="center" indent="1"/>
    </xf>
    <xf numFmtId="4" fontId="164" fillId="6" borderId="0" xfId="1" applyNumberFormat="1" applyFont="1" applyFill="1" applyAlignment="1">
      <alignment horizontal="right" vertical="center" indent="1"/>
    </xf>
    <xf numFmtId="4" fontId="164" fillId="4" borderId="0" xfId="1" applyNumberFormat="1" applyFont="1" applyFill="1" applyAlignment="1">
      <alignment horizontal="right" vertical="center" indent="1"/>
    </xf>
    <xf numFmtId="4" fontId="164" fillId="6" borderId="0" xfId="1" applyNumberFormat="1" applyFont="1" applyFill="1" applyAlignment="1">
      <alignment horizontal="right" vertical="center" indent="1" shrinkToFit="1"/>
    </xf>
    <xf numFmtId="4" fontId="164" fillId="4" borderId="0" xfId="1" applyNumberFormat="1" applyFont="1" applyFill="1" applyAlignment="1">
      <alignment horizontal="right" vertical="center" indent="1" shrinkToFit="1"/>
    </xf>
    <xf numFmtId="172" fontId="140" fillId="2" borderId="0" xfId="0" applyNumberFormat="1" applyFont="1" applyFill="1" applyBorder="1" applyAlignment="1">
      <alignment horizontal="center"/>
    </xf>
    <xf numFmtId="172" fontId="140" fillId="2" borderId="42" xfId="0" applyNumberFormat="1" applyFont="1" applyFill="1" applyBorder="1" applyAlignment="1">
      <alignment horizontal="center"/>
    </xf>
    <xf numFmtId="0" fontId="44" fillId="4" borderId="0" xfId="0" applyFont="1" applyFill="1" applyBorder="1" applyAlignment="1">
      <alignment vertical="center" wrapText="1"/>
    </xf>
    <xf numFmtId="0" fontId="140" fillId="2" borderId="30" xfId="0" applyFont="1" applyFill="1" applyBorder="1" applyAlignment="1" applyProtection="1">
      <alignment horizontal="center"/>
      <protection locked="0"/>
    </xf>
    <xf numFmtId="0" fontId="169" fillId="6" borderId="0" xfId="0" applyFont="1" applyFill="1" applyAlignment="1">
      <alignment horizontal="right"/>
    </xf>
    <xf numFmtId="2" fontId="33" fillId="2" borderId="0" xfId="0" applyNumberFormat="1" applyFont="1" applyFill="1" applyAlignment="1">
      <alignment horizontal="left" vertical="center"/>
    </xf>
    <xf numFmtId="0" fontId="33" fillId="2" borderId="0" xfId="0" applyNumberFormat="1" applyFont="1" applyFill="1" applyAlignment="1">
      <alignment horizontal="center" vertical="top"/>
    </xf>
    <xf numFmtId="43" fontId="166" fillId="2" borderId="40" xfId="0" applyNumberFormat="1" applyFont="1" applyFill="1" applyBorder="1" applyAlignment="1">
      <alignment horizontal="center" vertical="center"/>
    </xf>
    <xf numFmtId="0" fontId="171" fillId="2" borderId="0" xfId="0" applyNumberFormat="1" applyFont="1" applyFill="1" applyAlignment="1">
      <alignment horizontal="left" vertical="center"/>
    </xf>
    <xf numFmtId="0" fontId="166" fillId="2" borderId="0" xfId="0" applyFont="1" applyFill="1" applyAlignment="1">
      <alignment horizontal="center" vertical="center" wrapText="1"/>
    </xf>
    <xf numFmtId="0" fontId="26" fillId="6" borderId="0" xfId="0" applyFont="1" applyFill="1" applyAlignment="1">
      <alignment horizontal="center"/>
    </xf>
    <xf numFmtId="0" fontId="26" fillId="4" borderId="0" xfId="0" applyFont="1" applyFill="1" applyAlignment="1">
      <alignment horizontal="center"/>
    </xf>
    <xf numFmtId="2" fontId="22" fillId="4" borderId="0" xfId="0" applyNumberFormat="1" applyFont="1" applyFill="1" applyAlignment="1">
      <alignment horizontal="left" vertical="center" wrapText="1"/>
    </xf>
    <xf numFmtId="0" fontId="51" fillId="2" borderId="0" xfId="0" applyFont="1" applyFill="1" applyBorder="1" applyAlignment="1">
      <alignment horizontal="left" vertical="center" wrapText="1"/>
    </xf>
    <xf numFmtId="0" fontId="173" fillId="2" borderId="0" xfId="0" applyFont="1" applyFill="1" applyBorder="1" applyAlignment="1">
      <alignment horizontal="center"/>
    </xf>
    <xf numFmtId="0" fontId="174" fillId="2" borderId="0" xfId="0" applyFont="1" applyFill="1" applyBorder="1" applyAlignment="1">
      <alignment horizontal="left" vertical="center" wrapText="1"/>
    </xf>
    <xf numFmtId="0" fontId="174" fillId="2" borderId="0" xfId="0" applyFont="1" applyFill="1"/>
    <xf numFmtId="0" fontId="175" fillId="2" borderId="0" xfId="0" applyFont="1" applyFill="1" applyBorder="1" applyAlignment="1">
      <alignment horizontal="center"/>
    </xf>
    <xf numFmtId="0" fontId="175" fillId="2" borderId="0" xfId="0" applyFont="1" applyFill="1" applyBorder="1" applyAlignment="1">
      <alignment horizontal="center" vertical="top"/>
    </xf>
    <xf numFmtId="0" fontId="176" fillId="2" borderId="0" xfId="0" applyFont="1" applyFill="1" applyBorder="1" applyAlignment="1">
      <alignment horizontal="center"/>
    </xf>
    <xf numFmtId="0" fontId="176" fillId="2" borderId="0" xfId="0" applyFont="1" applyFill="1" applyBorder="1" applyAlignment="1">
      <alignment horizontal="right"/>
    </xf>
    <xf numFmtId="0" fontId="176" fillId="2" borderId="0" xfId="0" applyFont="1" applyFill="1" applyBorder="1" applyAlignment="1">
      <alignment horizontal="center" vertical="top"/>
    </xf>
    <xf numFmtId="0" fontId="176" fillId="2" borderId="0" xfId="0" applyFont="1" applyFill="1" applyBorder="1" applyAlignment="1">
      <alignment horizontal="left" vertical="top" indent="3"/>
    </xf>
    <xf numFmtId="0" fontId="51" fillId="2" borderId="0" xfId="0" applyFont="1" applyFill="1" applyAlignment="1">
      <alignment horizontal="center"/>
    </xf>
    <xf numFmtId="0" fontId="177" fillId="4" borderId="0" xfId="0" applyFont="1" applyFill="1" applyAlignment="1">
      <alignment horizontal="left"/>
    </xf>
    <xf numFmtId="0" fontId="28" fillId="0" borderId="0" xfId="0" applyFont="1"/>
    <xf numFmtId="0" fontId="178" fillId="0" borderId="0" xfId="0" applyFont="1"/>
    <xf numFmtId="2" fontId="28" fillId="2" borderId="0" xfId="0" applyNumberFormat="1" applyFont="1" applyFill="1" applyAlignment="1">
      <alignment horizontal="center"/>
    </xf>
    <xf numFmtId="43" fontId="28" fillId="2" borderId="0" xfId="1" applyFont="1" applyFill="1" applyAlignment="1">
      <alignment horizontal="center"/>
    </xf>
    <xf numFmtId="44" fontId="28" fillId="0" borderId="0" xfId="3" applyFont="1" applyAlignment="1">
      <alignment horizontal="left"/>
    </xf>
    <xf numFmtId="11" fontId="28" fillId="0" borderId="0" xfId="0" applyNumberFormat="1" applyFont="1"/>
    <xf numFmtId="2" fontId="28" fillId="0" borderId="0" xfId="0" applyNumberFormat="1" applyFont="1"/>
    <xf numFmtId="2" fontId="28" fillId="0" borderId="0" xfId="1" applyNumberFormat="1" applyFont="1"/>
    <xf numFmtId="43" fontId="28" fillId="0" borderId="0" xfId="1" applyFont="1" applyFill="1"/>
    <xf numFmtId="4" fontId="164" fillId="6" borderId="0" xfId="1" applyNumberFormat="1" applyFont="1" applyFill="1" applyAlignment="1">
      <alignment horizontal="right" vertical="center" indent="2"/>
    </xf>
    <xf numFmtId="4" fontId="164" fillId="4" borderId="0" xfId="1" applyNumberFormat="1" applyFont="1" applyFill="1" applyAlignment="1">
      <alignment horizontal="right" vertical="center" indent="2"/>
    </xf>
    <xf numFmtId="4" fontId="164" fillId="4" borderId="0" xfId="1" applyNumberFormat="1" applyFont="1" applyFill="1" applyAlignment="1">
      <alignment horizontal="right" vertical="center" indent="3"/>
    </xf>
    <xf numFmtId="0" fontId="0" fillId="4" borderId="0" xfId="0" applyFill="1" applyProtection="1">
      <protection locked="0"/>
    </xf>
    <xf numFmtId="1" fontId="140" fillId="2" borderId="0" xfId="0" applyNumberFormat="1" applyFont="1" applyFill="1" applyBorder="1" applyAlignment="1" applyProtection="1">
      <alignment horizontal="center"/>
      <protection locked="0"/>
    </xf>
    <xf numFmtId="1" fontId="140" fillId="2" borderId="41" xfId="0" applyNumberFormat="1" applyFont="1" applyFill="1" applyBorder="1" applyAlignment="1" applyProtection="1">
      <alignment horizontal="center"/>
      <protection locked="0"/>
    </xf>
    <xf numFmtId="0" fontId="140" fillId="2" borderId="13" xfId="0" applyFont="1" applyFill="1" applyBorder="1" applyAlignment="1" applyProtection="1">
      <alignment horizontal="center" vertical="center"/>
      <protection locked="0"/>
    </xf>
    <xf numFmtId="0" fontId="34" fillId="2" borderId="14" xfId="0" applyFont="1" applyFill="1" applyBorder="1" applyAlignment="1" applyProtection="1">
      <alignment horizontal="center"/>
      <protection locked="0"/>
    </xf>
    <xf numFmtId="0" fontId="180" fillId="0" borderId="0" xfId="0" applyFont="1" applyFill="1" applyAlignment="1">
      <alignment horizontal="center"/>
    </xf>
    <xf numFmtId="0" fontId="110" fillId="2" borderId="0" xfId="0" applyFont="1" applyFill="1" applyBorder="1" applyAlignment="1">
      <alignment horizontal="left" vertical="top" wrapText="1"/>
    </xf>
    <xf numFmtId="0" fontId="110" fillId="2" borderId="0" xfId="0" applyFont="1" applyFill="1" applyBorder="1" applyAlignment="1">
      <alignment horizontal="left" vertical="top" wrapText="1"/>
    </xf>
    <xf numFmtId="0" fontId="52" fillId="2" borderId="0" xfId="0" applyFont="1" applyFill="1"/>
    <xf numFmtId="0" fontId="52" fillId="2" borderId="0" xfId="0" applyFont="1" applyFill="1" applyAlignment="1">
      <alignment horizontal="left" indent="2"/>
    </xf>
    <xf numFmtId="0" fontId="183" fillId="0" borderId="0" xfId="0" applyFont="1"/>
    <xf numFmtId="0" fontId="183" fillId="0" borderId="0" xfId="0" applyFont="1" applyAlignment="1">
      <alignment horizontal="center"/>
    </xf>
    <xf numFmtId="43" fontId="183" fillId="0" borderId="0" xfId="1" applyFont="1"/>
    <xf numFmtId="164" fontId="184" fillId="2" borderId="0" xfId="0" applyNumberFormat="1" applyFont="1" applyFill="1" applyBorder="1" applyAlignment="1">
      <alignment horizontal="left" indent="8"/>
    </xf>
    <xf numFmtId="0" fontId="46" fillId="7" borderId="0" xfId="0" applyFont="1" applyFill="1" applyAlignment="1">
      <alignment horizontal="left" vertical="top" indent="2"/>
    </xf>
    <xf numFmtId="0" fontId="185" fillId="4" borderId="0" xfId="0" applyFont="1" applyFill="1" applyAlignment="1">
      <alignment horizontal="left" vertical="center"/>
    </xf>
    <xf numFmtId="0" fontId="31" fillId="0" borderId="0" xfId="0" applyFont="1"/>
    <xf numFmtId="0" fontId="187" fillId="0" borderId="0" xfId="0" applyFont="1"/>
    <xf numFmtId="2" fontId="187" fillId="0" borderId="0" xfId="0" applyNumberFormat="1" applyFont="1"/>
    <xf numFmtId="0" fontId="186" fillId="0" borderId="0" xfId="0" applyFont="1"/>
    <xf numFmtId="0" fontId="28" fillId="0" borderId="0" xfId="0" applyFont="1" applyAlignment="1">
      <alignment horizontal="center"/>
    </xf>
    <xf numFmtId="0" fontId="188" fillId="0" borderId="0" xfId="0" applyFont="1" applyAlignment="1">
      <alignment horizontal="center" wrapText="1"/>
    </xf>
    <xf numFmtId="43" fontId="188" fillId="0" borderId="0" xfId="1" applyFont="1" applyAlignment="1">
      <alignment horizontal="center" wrapText="1"/>
    </xf>
    <xf numFmtId="43" fontId="28" fillId="0" borderId="0" xfId="0" applyNumberFormat="1" applyFont="1"/>
    <xf numFmtId="43" fontId="28" fillId="0" borderId="0" xfId="1" applyFont="1"/>
    <xf numFmtId="0" fontId="189" fillId="0" borderId="0" xfId="0" applyFont="1"/>
    <xf numFmtId="0" fontId="189" fillId="0" borderId="0" xfId="0" applyFont="1" applyAlignment="1">
      <alignment horizontal="center"/>
    </xf>
    <xf numFmtId="0" fontId="190" fillId="0" borderId="0" xfId="0" applyFont="1" applyAlignment="1">
      <alignment horizontal="center" wrapText="1"/>
    </xf>
    <xf numFmtId="43" fontId="189" fillId="0" borderId="0" xfId="1" applyFont="1"/>
    <xf numFmtId="0" fontId="148" fillId="2" borderId="0" xfId="0" applyNumberFormat="1" applyFont="1" applyFill="1" applyAlignment="1">
      <alignment horizontal="left" vertical="top" wrapText="1"/>
    </xf>
    <xf numFmtId="0" fontId="136" fillId="4" borderId="0" xfId="0" applyFont="1" applyFill="1" applyAlignment="1">
      <alignment horizontal="left" wrapText="1"/>
    </xf>
    <xf numFmtId="0" fontId="47" fillId="2" borderId="4" xfId="0" applyFont="1" applyFill="1" applyBorder="1" applyAlignment="1" applyProtection="1">
      <alignment horizontal="center"/>
      <protection locked="0"/>
    </xf>
    <xf numFmtId="0" fontId="47" fillId="2" borderId="5" xfId="0" applyFont="1" applyFill="1" applyBorder="1" applyAlignment="1" applyProtection="1">
      <alignment horizontal="center"/>
      <protection locked="0"/>
    </xf>
    <xf numFmtId="39" fontId="47" fillId="2" borderId="4" xfId="1" applyNumberFormat="1" applyFont="1" applyFill="1" applyBorder="1" applyAlignment="1" applyProtection="1">
      <alignment horizontal="center"/>
      <protection locked="0"/>
    </xf>
    <xf numFmtId="39" fontId="47" fillId="2" borderId="5" xfId="1" applyNumberFormat="1" applyFont="1" applyFill="1" applyBorder="1" applyAlignment="1" applyProtection="1">
      <alignment horizontal="center"/>
      <protection locked="0"/>
    </xf>
    <xf numFmtId="0" fontId="191" fillId="4" borderId="0" xfId="0" applyFont="1" applyFill="1" applyAlignment="1">
      <alignment horizontal="left" wrapText="1"/>
    </xf>
    <xf numFmtId="0" fontId="172" fillId="4" borderId="0" xfId="0" applyFont="1" applyFill="1" applyAlignment="1">
      <alignment horizontal="left" wrapText="1"/>
    </xf>
    <xf numFmtId="0" fontId="164" fillId="6" borderId="0" xfId="0" applyFont="1" applyFill="1" applyAlignment="1">
      <alignment horizontal="left" vertical="center" wrapText="1" indent="2"/>
    </xf>
    <xf numFmtId="0" fontId="164" fillId="4" borderId="0" xfId="0" applyFont="1" applyFill="1" applyAlignment="1">
      <alignment horizontal="left" vertical="center" wrapText="1" indent="2"/>
    </xf>
    <xf numFmtId="0" fontId="0" fillId="2" borderId="0" xfId="0" applyNumberFormat="1" applyFill="1" applyAlignment="1">
      <alignment horizontal="left" wrapText="1"/>
    </xf>
    <xf numFmtId="0" fontId="0" fillId="0" borderId="0" xfId="0" applyFill="1" applyAlignment="1">
      <alignment horizontal="left" vertical="center" wrapText="1"/>
    </xf>
    <xf numFmtId="0" fontId="129" fillId="2" borderId="0" xfId="0" applyFont="1" applyFill="1" applyAlignment="1">
      <alignment horizontal="left" wrapText="1"/>
    </xf>
    <xf numFmtId="0" fontId="148" fillId="2" borderId="0" xfId="0" applyFont="1" applyFill="1" applyAlignment="1">
      <alignment horizontal="left" wrapText="1"/>
    </xf>
    <xf numFmtId="0" fontId="148" fillId="2" borderId="0" xfId="0" applyFont="1" applyFill="1" applyAlignment="1">
      <alignment horizontal="left" vertical="center" wrapText="1"/>
    </xf>
    <xf numFmtId="0" fontId="171" fillId="2" borderId="0" xfId="0" applyNumberFormat="1" applyFont="1" applyFill="1" applyAlignment="1">
      <alignment horizontal="center" vertical="center"/>
    </xf>
    <xf numFmtId="0" fontId="133" fillId="2" borderId="0" xfId="0" applyFont="1" applyFill="1" applyAlignment="1">
      <alignment horizontal="center"/>
    </xf>
    <xf numFmtId="0" fontId="110" fillId="2" borderId="0" xfId="0" applyFont="1" applyFill="1" applyBorder="1" applyAlignment="1">
      <alignment horizontal="left" vertical="top" wrapText="1"/>
    </xf>
    <xf numFmtId="0" fontId="52" fillId="2" borderId="0" xfId="0" applyFont="1" applyFill="1" applyBorder="1" applyAlignment="1">
      <alignment horizontal="left" vertical="center" wrapText="1"/>
    </xf>
    <xf numFmtId="0" fontId="52" fillId="2" borderId="0" xfId="0" applyFont="1" applyFill="1" applyAlignment="1">
      <alignment horizontal="left" vertical="center" wrapText="1" indent="5"/>
    </xf>
    <xf numFmtId="0" fontId="55" fillId="2" borderId="0" xfId="0" applyFont="1" applyFill="1" applyAlignment="1">
      <alignment horizontal="left" vertical="center" wrapText="1"/>
    </xf>
    <xf numFmtId="0" fontId="130" fillId="2" borderId="0" xfId="0" applyFont="1" applyFill="1" applyBorder="1" applyAlignment="1">
      <alignment horizontal="left" vertical="center" wrapText="1"/>
    </xf>
    <xf numFmtId="0" fontId="52" fillId="2" borderId="0" xfId="0" applyFont="1" applyFill="1" applyAlignment="1">
      <alignment horizontal="left" vertical="center" wrapText="1"/>
    </xf>
    <xf numFmtId="0" fontId="18" fillId="2" borderId="0" xfId="0" applyFont="1" applyFill="1" applyAlignment="1">
      <alignment horizontal="center"/>
    </xf>
    <xf numFmtId="0" fontId="111" fillId="2" borderId="0" xfId="0" applyFont="1" applyFill="1" applyBorder="1" applyAlignment="1">
      <alignment horizontal="left" vertical="top" wrapText="1"/>
    </xf>
    <xf numFmtId="0" fontId="102" fillId="2" borderId="0" xfId="0" applyFont="1" applyFill="1" applyBorder="1" applyAlignment="1">
      <alignment horizontal="left" wrapText="1"/>
    </xf>
    <xf numFmtId="0" fontId="91" fillId="2" borderId="0" xfId="0" applyFont="1" applyFill="1" applyBorder="1"/>
    <xf numFmtId="9" fontId="91" fillId="2" borderId="0" xfId="0" applyNumberFormat="1" applyFont="1" applyFill="1" applyBorder="1"/>
    <xf numFmtId="2" fontId="92" fillId="2" borderId="0" xfId="3" applyNumberFormat="1" applyFont="1" applyFill="1" applyBorder="1"/>
    <xf numFmtId="0" fontId="92" fillId="2" borderId="0" xfId="0" applyFont="1" applyFill="1" applyBorder="1" applyAlignment="1">
      <alignment horizontal="center"/>
    </xf>
    <xf numFmtId="10" fontId="92" fillId="2" borderId="0" xfId="2" applyNumberFormat="1" applyFont="1" applyFill="1" applyBorder="1"/>
    <xf numFmtId="10" fontId="92" fillId="2" borderId="0" xfId="1" applyNumberFormat="1" applyFont="1" applyFill="1" applyBorder="1"/>
    <xf numFmtId="0" fontId="106" fillId="2" borderId="0" xfId="0" applyFont="1" applyFill="1" applyBorder="1" applyAlignment="1">
      <alignment horizontal="left"/>
    </xf>
    <xf numFmtId="0" fontId="91" fillId="2" borderId="0" xfId="0" applyFont="1" applyFill="1" applyBorder="1" applyAlignment="1"/>
    <xf numFmtId="0" fontId="92" fillId="2" borderId="0" xfId="0" applyFont="1" applyFill="1" applyBorder="1"/>
    <xf numFmtId="0" fontId="51" fillId="2" borderId="0" xfId="0" applyFont="1" applyFill="1" applyBorder="1" applyAlignment="1">
      <alignment horizontal="left" vertical="top" wrapText="1"/>
    </xf>
    <xf numFmtId="0" fontId="52" fillId="2" borderId="0" xfId="0" applyFont="1" applyFill="1" applyAlignment="1">
      <alignment horizontal="left" wrapText="1"/>
    </xf>
    <xf numFmtId="0" fontId="51" fillId="2" borderId="0" xfId="0" applyFont="1" applyFill="1" applyBorder="1" applyAlignment="1">
      <alignment horizontal="left" vertical="center" wrapText="1"/>
    </xf>
    <xf numFmtId="0" fontId="52" fillId="2" borderId="0" xfId="0" applyFont="1" applyFill="1" applyAlignment="1">
      <alignment horizontal="left" vertical="center" wrapText="1" indent="6"/>
    </xf>
    <xf numFmtId="0" fontId="82" fillId="2" borderId="0" xfId="0" applyFont="1" applyFill="1" applyBorder="1" applyAlignment="1">
      <alignment horizontal="center" vertical="top" wrapText="1"/>
    </xf>
    <xf numFmtId="164" fontId="119" fillId="2" borderId="0" xfId="0" applyNumberFormat="1" applyFont="1" applyFill="1" applyAlignment="1">
      <alignment horizontal="center" vertical="center"/>
    </xf>
    <xf numFmtId="0" fontId="110" fillId="2" borderId="0" xfId="0" applyFont="1" applyFill="1" applyBorder="1" applyAlignment="1">
      <alignment horizontal="left" vertical="center" wrapText="1"/>
    </xf>
    <xf numFmtId="0" fontId="66" fillId="2" borderId="0" xfId="0" applyFont="1" applyFill="1" applyBorder="1" applyAlignment="1">
      <alignment horizontal="center" wrapText="1"/>
    </xf>
    <xf numFmtId="0" fontId="61" fillId="2" borderId="0" xfId="0" applyFont="1" applyFill="1" applyAlignment="1">
      <alignment horizontal="left" vertical="center" wrapText="1"/>
    </xf>
    <xf numFmtId="0" fontId="134" fillId="2" borderId="0" xfId="0" applyFont="1" applyFill="1" applyBorder="1" applyAlignment="1">
      <alignment horizontal="center" vertical="top" wrapText="1"/>
    </xf>
    <xf numFmtId="0" fontId="61" fillId="2" borderId="0" xfId="0" applyFont="1" applyFill="1" applyAlignment="1">
      <alignment horizontal="left" vertical="top" wrapText="1"/>
    </xf>
    <xf numFmtId="0" fontId="52" fillId="2" borderId="0" xfId="0" applyFont="1" applyFill="1" applyAlignment="1">
      <alignment horizontal="left" vertical="center" wrapText="1" indent="8"/>
    </xf>
    <xf numFmtId="0" fontId="67" fillId="2" borderId="0" xfId="0" applyFont="1" applyFill="1" applyBorder="1" applyAlignment="1">
      <alignment horizontal="left" wrapText="1"/>
    </xf>
    <xf numFmtId="0" fontId="63" fillId="2" borderId="0" xfId="0" applyFont="1" applyFill="1" applyAlignment="1">
      <alignment horizontal="left"/>
    </xf>
    <xf numFmtId="0" fontId="67" fillId="2" borderId="0" xfId="0" applyFont="1" applyFill="1" applyBorder="1" applyAlignment="1">
      <alignment horizontal="left" vertical="center" wrapText="1"/>
    </xf>
    <xf numFmtId="0" fontId="30" fillId="2" borderId="0" xfId="0" applyFont="1" applyFill="1" applyBorder="1" applyAlignment="1">
      <alignment horizontal="center" vertical="center"/>
    </xf>
    <xf numFmtId="0" fontId="29" fillId="2" borderId="0" xfId="0" applyFont="1" applyFill="1" applyBorder="1" applyAlignment="1">
      <alignment horizontal="center" vertical="center"/>
    </xf>
    <xf numFmtId="0" fontId="88" fillId="2" borderId="0" xfId="0" applyFont="1" applyFill="1" applyAlignment="1">
      <alignment horizontal="center" vertical="center" wrapText="1"/>
    </xf>
    <xf numFmtId="0" fontId="52" fillId="2" borderId="0" xfId="0" applyFont="1" applyFill="1" applyAlignment="1">
      <alignment horizontal="left" vertical="center" wrapText="1" indent="9"/>
    </xf>
    <xf numFmtId="0" fontId="52" fillId="2" borderId="0" xfId="0" applyFont="1" applyFill="1" applyAlignment="1">
      <alignment horizontal="left" vertical="top" wrapText="1" indent="9"/>
    </xf>
    <xf numFmtId="0" fontId="61" fillId="2" borderId="0" xfId="0" applyFont="1" applyFill="1" applyBorder="1"/>
    <xf numFmtId="2" fontId="52" fillId="2" borderId="0" xfId="3" applyNumberFormat="1" applyFont="1" applyFill="1" applyBorder="1"/>
    <xf numFmtId="0" fontId="52" fillId="2" borderId="0" xfId="0" applyFont="1" applyFill="1" applyBorder="1" applyAlignment="1">
      <alignment horizontal="center"/>
    </xf>
    <xf numFmtId="43" fontId="52" fillId="2" borderId="0" xfId="1" applyFont="1" applyFill="1" applyBorder="1"/>
    <xf numFmtId="10" fontId="52" fillId="2" borderId="0" xfId="2" applyNumberFormat="1" applyFont="1" applyFill="1" applyBorder="1"/>
    <xf numFmtId="10" fontId="52" fillId="2" borderId="0" xfId="1" applyNumberFormat="1" applyFont="1" applyFill="1" applyBorder="1"/>
    <xf numFmtId="0" fontId="87" fillId="2" borderId="0" xfId="0" applyFont="1" applyFill="1" applyBorder="1" applyAlignment="1">
      <alignment horizontal="left"/>
    </xf>
    <xf numFmtId="0" fontId="61" fillId="2" borderId="0" xfId="0" applyFont="1" applyFill="1" applyBorder="1" applyAlignment="1"/>
    <xf numFmtId="0" fontId="52" fillId="2" borderId="0" xfId="0" applyFont="1" applyFill="1" applyBorder="1"/>
    <xf numFmtId="0" fontId="52" fillId="2" borderId="0" xfId="0" applyFont="1" applyFill="1"/>
    <xf numFmtId="0" fontId="103" fillId="2" borderId="0" xfId="0" applyFont="1" applyFill="1" applyBorder="1" applyAlignment="1">
      <alignment horizontal="left" vertical="top" wrapText="1"/>
    </xf>
    <xf numFmtId="0" fontId="55" fillId="2" borderId="0" xfId="0" applyFont="1" applyFill="1" applyAlignment="1">
      <alignment horizontal="left"/>
    </xf>
    <xf numFmtId="0" fontId="130" fillId="2" borderId="0" xfId="0" applyFont="1" applyFill="1" applyBorder="1" applyAlignment="1">
      <alignment horizontal="left" vertical="top" wrapText="1"/>
    </xf>
    <xf numFmtId="0" fontId="131" fillId="2" borderId="0" xfId="0" applyNumberFormat="1" applyFont="1" applyFill="1" applyBorder="1" applyAlignment="1">
      <alignment horizontal="center" vertical="top" wrapText="1"/>
    </xf>
    <xf numFmtId="0" fontId="52" fillId="2" borderId="0" xfId="0" applyFont="1" applyFill="1" applyAlignment="1">
      <alignment horizontal="left" vertical="top" wrapText="1" indent="6"/>
    </xf>
    <xf numFmtId="0" fontId="52" fillId="2" borderId="0" xfId="0" applyFont="1" applyFill="1" applyAlignment="1">
      <alignment horizontal="center" vertical="top" wrapText="1"/>
    </xf>
    <xf numFmtId="0" fontId="52" fillId="2" borderId="0" xfId="0" applyFont="1" applyFill="1" applyAlignment="1">
      <alignment horizontal="left" vertical="top" wrapText="1"/>
    </xf>
    <xf numFmtId="0" fontId="52" fillId="2" borderId="0" xfId="0" applyFont="1" applyFill="1" applyAlignment="1">
      <alignment horizontal="left" vertical="top" wrapText="1" indent="8"/>
    </xf>
    <xf numFmtId="0" fontId="62" fillId="2" borderId="0" xfId="0" applyFont="1" applyFill="1" applyAlignment="1">
      <alignment horizontal="left" vertical="center" wrapText="1"/>
    </xf>
    <xf numFmtId="0" fontId="52" fillId="2" borderId="0" xfId="0" applyFont="1" applyFill="1" applyBorder="1" applyAlignment="1">
      <alignment horizontal="left" vertical="top" wrapText="1"/>
    </xf>
    <xf numFmtId="0" fontId="117" fillId="2" borderId="0" xfId="0" applyFont="1" applyFill="1" applyBorder="1" applyAlignment="1">
      <alignment horizontal="left" vertical="center" wrapText="1"/>
    </xf>
    <xf numFmtId="0" fontId="114" fillId="2" borderId="0" xfId="0" applyFont="1" applyFill="1" applyAlignment="1">
      <alignment horizontal="left" wrapText="1"/>
    </xf>
    <xf numFmtId="0" fontId="51" fillId="2" borderId="0" xfId="0" applyFont="1" applyFill="1" applyBorder="1" applyAlignment="1">
      <alignment vertical="center" wrapText="1"/>
    </xf>
    <xf numFmtId="0" fontId="61" fillId="2" borderId="0" xfId="0" applyFont="1" applyFill="1" applyAlignment="1">
      <alignment horizontal="left" wrapText="1"/>
    </xf>
    <xf numFmtId="0" fontId="93" fillId="2" borderId="0" xfId="0" applyFont="1" applyFill="1" applyBorder="1" applyAlignment="1">
      <alignment horizontal="left" vertical="center" wrapText="1"/>
    </xf>
    <xf numFmtId="0" fontId="61" fillId="2" borderId="0" xfId="0" applyFont="1" applyFill="1" applyAlignment="1">
      <alignment horizontal="left" vertical="top" wrapText="1" indent="10"/>
    </xf>
    <xf numFmtId="0" fontId="77" fillId="2" borderId="0" xfId="0" applyFont="1" applyFill="1" applyAlignment="1">
      <alignment horizontal="left" vertical="top" wrapText="1"/>
    </xf>
    <xf numFmtId="0" fontId="94" fillId="2" borderId="0" xfId="0" applyFont="1" applyFill="1" applyBorder="1" applyAlignment="1">
      <alignment horizontal="left" vertical="top" wrapText="1"/>
    </xf>
    <xf numFmtId="0" fontId="61" fillId="0" borderId="0" xfId="0" applyFont="1" applyAlignment="1">
      <alignment horizontal="left" vertical="center" wrapText="1"/>
    </xf>
    <xf numFmtId="0" fontId="51" fillId="2" borderId="0" xfId="0" applyFont="1" applyFill="1" applyBorder="1" applyAlignment="1">
      <alignment horizontal="left" vertical="center"/>
    </xf>
    <xf numFmtId="0" fontId="76" fillId="2" borderId="0" xfId="0" applyFont="1" applyFill="1" applyBorder="1" applyAlignment="1">
      <alignment wrapText="1"/>
    </xf>
    <xf numFmtId="0" fontId="88" fillId="2" borderId="0" xfId="0" applyFont="1" applyFill="1" applyBorder="1" applyAlignment="1">
      <alignment horizontal="center" vertical="center" wrapText="1"/>
    </xf>
    <xf numFmtId="0" fontId="131" fillId="2" borderId="0" xfId="0" applyNumberFormat="1" applyFont="1" applyFill="1" applyBorder="1" applyAlignment="1">
      <alignment horizontal="center" wrapText="1"/>
    </xf>
    <xf numFmtId="0" fontId="51" fillId="2" borderId="0" xfId="0" applyFont="1" applyFill="1" applyBorder="1" applyAlignment="1">
      <alignment horizontal="left" wrapText="1"/>
    </xf>
    <xf numFmtId="0" fontId="52" fillId="2" borderId="11" xfId="0" applyFont="1" applyFill="1" applyBorder="1"/>
    <xf numFmtId="0" fontId="75" fillId="2" borderId="0" xfId="0" applyFont="1" applyFill="1" applyAlignment="1">
      <alignment horizontal="left" wrapText="1"/>
    </xf>
    <xf numFmtId="0" fontId="156" fillId="2" borderId="0" xfId="0" applyFont="1" applyFill="1" applyBorder="1" applyAlignment="1">
      <alignment horizontal="center" vertical="center"/>
    </xf>
    <xf numFmtId="0" fontId="52" fillId="2" borderId="0" xfId="0" applyFont="1" applyFill="1" applyAlignment="1">
      <alignment horizontal="left" vertical="top" wrapText="1" indent="5"/>
    </xf>
    <xf numFmtId="0" fontId="52" fillId="2" borderId="0" xfId="0" applyFont="1" applyFill="1" applyAlignment="1">
      <alignment horizontal="left" wrapText="1" indent="5"/>
    </xf>
    <xf numFmtId="0" fontId="116" fillId="2" borderId="0" xfId="0" applyFont="1" applyFill="1" applyAlignment="1">
      <alignment horizontal="left" wrapText="1"/>
    </xf>
    <xf numFmtId="0" fontId="52" fillId="2" borderId="0" xfId="0" applyFont="1" applyFill="1" applyAlignment="1">
      <alignment vertical="top" wrapText="1"/>
    </xf>
    <xf numFmtId="0" fontId="78" fillId="2" borderId="0" xfId="0" applyFont="1" applyFill="1" applyAlignment="1">
      <alignment horizontal="center" vertical="top" wrapText="1"/>
    </xf>
    <xf numFmtId="0" fontId="141" fillId="2" borderId="0" xfId="0" applyFont="1" applyFill="1" applyBorder="1" applyAlignment="1">
      <alignment horizontal="left" vertical="center" wrapText="1"/>
    </xf>
    <xf numFmtId="0" fontId="143" fillId="2" borderId="0" xfId="0" applyFont="1" applyFill="1" applyAlignment="1">
      <alignment horizontal="center" vertical="center" wrapText="1"/>
    </xf>
    <xf numFmtId="0" fontId="144" fillId="2" borderId="0" xfId="0" applyFont="1" applyFill="1" applyAlignment="1">
      <alignment horizontal="left" wrapText="1"/>
    </xf>
    <xf numFmtId="0" fontId="144" fillId="2" borderId="0" xfId="0" applyFont="1" applyFill="1" applyAlignment="1">
      <alignment horizontal="left" vertical="center" wrapText="1"/>
    </xf>
  </cellXfs>
  <cellStyles count="4">
    <cellStyle name="Comma" xfId="1" builtinId="3"/>
    <cellStyle name="Currency" xfId="3" builtinId="4"/>
    <cellStyle name="Normal" xfId="0" builtinId="0"/>
    <cellStyle name="Percent" xfId="2" builtinId="5"/>
  </cellStyles>
  <dxfs count="2">
    <dxf>
      <font>
        <color rgb="FFFF0000"/>
      </font>
    </dxf>
    <dxf>
      <font>
        <condense val="0"/>
        <extend val="0"/>
        <color rgb="FF9C0006"/>
      </font>
    </dxf>
  </dxfs>
  <tableStyles count="0" defaultTableStyle="TableStyleMedium9" defaultPivotStyle="PivotStyleLight16"/>
  <colors>
    <mruColors>
      <color rgb="FF3333FF"/>
      <color rgb="FF0033CC"/>
      <color rgb="FF0099FF"/>
      <color rgb="FF00CCFF"/>
      <color rgb="FF1E0FE1"/>
      <color rgb="FF00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8.xml.rels><?xml version="1.0" encoding="UTF-8" standalone="yes"?>
<Relationships xmlns="http://schemas.openxmlformats.org/package/2006/relationships"><Relationship Id="rId2" Type="http://schemas.openxmlformats.org/officeDocument/2006/relationships/image" Target="../media/image119.png"/><Relationship Id="rId1" Type="http://schemas.openxmlformats.org/officeDocument/2006/relationships/image" Target="../media/image118.jpeg"/></Relationships>
</file>

<file path=xl/charts/chart1.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Report!$K$547:$K$554</c:f>
              <c:strCache>
                <c:ptCount val="8"/>
                <c:pt idx="0">
                  <c:v>in a budget Restaurant</c:v>
                </c:pt>
                <c:pt idx="1">
                  <c:v>Mid-range Restaurant</c:v>
                </c:pt>
                <c:pt idx="2">
                  <c:v>Combo Meal at McDonalds</c:v>
                </c:pt>
                <c:pt idx="3">
                  <c:v>Domestic Beer</c:v>
                </c:pt>
                <c:pt idx="4">
                  <c:v>Imported Beer</c:v>
                </c:pt>
                <c:pt idx="5">
                  <c:v>Cappuccino (regular)</c:v>
                </c:pt>
                <c:pt idx="6">
                  <c:v>Coke/Pepsi</c:v>
                </c:pt>
                <c:pt idx="7">
                  <c:v>Water</c:v>
                </c:pt>
              </c:strCache>
            </c:strRef>
          </c:cat>
          <c:val>
            <c:numRef>
              <c:f>Report!$P$547:$P$554</c:f>
              <c:numCache>
                <c:formatCode>0.00%</c:formatCode>
                <c:ptCount val="8"/>
                <c:pt idx="0">
                  <c:v>0.10159118727050176</c:v>
                </c:pt>
                <c:pt idx="1">
                  <c:v>0.46914789422135139</c:v>
                </c:pt>
                <c:pt idx="2">
                  <c:v>0.10091743119266061</c:v>
                </c:pt>
                <c:pt idx="3">
                  <c:v>-0.68520461699895074</c:v>
                </c:pt>
                <c:pt idx="4">
                  <c:v>-0.47980416156670747</c:v>
                </c:pt>
                <c:pt idx="5">
                  <c:v>-0.14215686274509809</c:v>
                </c:pt>
                <c:pt idx="6">
                  <c:v>2.75609756097561</c:v>
                </c:pt>
                <c:pt idx="7">
                  <c:v>3.666666666666667</c:v>
                </c:pt>
              </c:numCache>
            </c:numRef>
          </c:val>
        </c:ser>
        <c:axId val="61591552"/>
        <c:axId val="61593088"/>
      </c:barChart>
      <c:catAx>
        <c:axId val="61591552"/>
        <c:scaling>
          <c:orientation val="minMax"/>
        </c:scaling>
        <c:axPos val="b"/>
        <c:numFmt formatCode="0.00%" sourceLinked="1"/>
        <c:tickLblPos val="low"/>
        <c:crossAx val="61593088"/>
        <c:crosses val="autoZero"/>
        <c:auto val="1"/>
        <c:lblAlgn val="ctr"/>
        <c:lblOffset val="100"/>
      </c:catAx>
      <c:valAx>
        <c:axId val="61593088"/>
        <c:scaling>
          <c:orientation val="minMax"/>
        </c:scaling>
        <c:axPos val="l"/>
        <c:majorGridlines/>
        <c:numFmt formatCode="0.00%" sourceLinked="1"/>
        <c:tickLblPos val="low"/>
        <c:crossAx val="61591552"/>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autoTitleDeleted val="1"/>
    <c:plotArea>
      <c:layout/>
      <c:pieChart>
        <c:varyColors val="1"/>
        <c:ser>
          <c:idx val="3"/>
          <c:order val="3"/>
          <c:explosion val="25"/>
          <c:dLbls>
            <c:numFmt formatCode="0.00%" sourceLinked="0"/>
            <c:showCatName val="1"/>
            <c:showPercent val="1"/>
          </c:dLbls>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Report!$V$496:$V$502</c:f>
              <c:numCache>
                <c:formatCode>_(* #,##0.00_);_(* \(#,##0.00\);_(* "-"??_);_(@_)</c:formatCode>
                <c:ptCount val="7"/>
                <c:pt idx="0">
                  <c:v>3062.0000000950581</c:v>
                </c:pt>
                <c:pt idx="1">
                  <c:v>684.2500000030002</c:v>
                </c:pt>
                <c:pt idx="2">
                  <c:v>339.08000000495002</c:v>
                </c:pt>
                <c:pt idx="3">
                  <c:v>324.98000000005402</c:v>
                </c:pt>
                <c:pt idx="4">
                  <c:v>223.73000000900001</c:v>
                </c:pt>
                <c:pt idx="5">
                  <c:v>196.450000000953</c:v>
                </c:pt>
                <c:pt idx="6">
                  <c:v>133.61000004500002</c:v>
                </c:pt>
              </c:numCache>
            </c:numRef>
          </c:val>
        </c:ser>
        <c:ser>
          <c:idx val="2"/>
          <c:order val="2"/>
          <c:explosion val="25"/>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Report!$U$496:$U$502</c:f>
            </c:numRef>
          </c:val>
        </c:ser>
        <c:ser>
          <c:idx val="1"/>
          <c:order val="1"/>
          <c:explosion val="25"/>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Report!$T$496:$T$502</c:f>
            </c:numRef>
          </c:val>
        </c:ser>
        <c:ser>
          <c:idx val="0"/>
          <c:order val="0"/>
          <c:explosion val="25"/>
          <c:cat>
            <c:strRef>
              <c:f>Report!$R$496:$R$502</c:f>
              <c:strCache>
                <c:ptCount val="7"/>
                <c:pt idx="0">
                  <c:v> Accomodation </c:v>
                </c:pt>
                <c:pt idx="1">
                  <c:v> Eating Out </c:v>
                </c:pt>
                <c:pt idx="2">
                  <c:v> Apparel And Footwear </c:v>
                </c:pt>
                <c:pt idx="3">
                  <c:v> Groceries </c:v>
                </c:pt>
                <c:pt idx="4">
                  <c:v> Utilities </c:v>
                </c:pt>
                <c:pt idx="5">
                  <c:v> Recreation And Leisure </c:v>
                </c:pt>
                <c:pt idx="6">
                  <c:v> Transportation </c:v>
                </c:pt>
              </c:strCache>
            </c:strRef>
          </c:cat>
          <c:val>
            <c:numRef>
              <c:f>Report!$S$496:$S$502</c:f>
            </c:numRef>
          </c:val>
        </c:ser>
        <c:dLbls>
          <c:showCatName val="1"/>
          <c:showPercent val="1"/>
        </c:dLbls>
        <c:firstSliceAng val="0"/>
      </c:pieChart>
    </c:plotArea>
    <c:plotVisOnly val="1"/>
  </c:chart>
  <c:printSettings>
    <c:headerFooter/>
    <c:pageMargins b="0.75000000000000888" l="0.70000000000000062" r="0.70000000000000062" t="0.75000000000000888"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style val="28"/>
  <c:chart>
    <c:autoTitleDeleted val="1"/>
    <c:plotArea>
      <c:layout/>
      <c:barChart>
        <c:barDir val="col"/>
        <c:grouping val="clustered"/>
        <c:ser>
          <c:idx val="0"/>
          <c:order val="0"/>
          <c:tx>
            <c:v>Items</c:v>
          </c:tx>
          <c:cat>
            <c:strRef>
              <c:f>Report!$D$463:$O$469</c:f>
              <c:strCache>
                <c:ptCount val="7"/>
                <c:pt idx="0">
                  <c:v>Transportation</c:v>
                </c:pt>
                <c:pt idx="1">
                  <c:v>Eating Out</c:v>
                </c:pt>
                <c:pt idx="2">
                  <c:v>Groceries</c:v>
                </c:pt>
                <c:pt idx="3">
                  <c:v>Utilities</c:v>
                </c:pt>
                <c:pt idx="4">
                  <c:v>Recreation And Leisure</c:v>
                </c:pt>
                <c:pt idx="5">
                  <c:v>Apparel And Footwear</c:v>
                </c:pt>
                <c:pt idx="6">
                  <c:v>Accomodation</c:v>
                </c:pt>
              </c:strCache>
            </c:strRef>
          </c:cat>
          <c:val>
            <c:numRef>
              <c:f>Report!$P$463:$P$469</c:f>
              <c:numCache>
                <c:formatCode>0.00%</c:formatCode>
                <c:ptCount val="7"/>
                <c:pt idx="0">
                  <c:v>0.82845595490397006</c:v>
                </c:pt>
                <c:pt idx="1">
                  <c:v>0.25363536720531799</c:v>
                </c:pt>
                <c:pt idx="2">
                  <c:v>0.21389008554398559</c:v>
                </c:pt>
                <c:pt idx="3">
                  <c:v>-7.7325347469289207E-3</c:v>
                </c:pt>
                <c:pt idx="4">
                  <c:v>-0.21608551794322761</c:v>
                </c:pt>
                <c:pt idx="5">
                  <c:v>-0.34381266957870749</c:v>
                </c:pt>
                <c:pt idx="6">
                  <c:v>-0.60809928150710424</c:v>
                </c:pt>
              </c:numCache>
            </c:numRef>
          </c:val>
        </c:ser>
        <c:axId val="64451712"/>
        <c:axId val="64453248"/>
      </c:barChart>
      <c:catAx>
        <c:axId val="64451712"/>
        <c:scaling>
          <c:orientation val="minMax"/>
        </c:scaling>
        <c:axPos val="b"/>
        <c:numFmt formatCode="0%" sourceLinked="1"/>
        <c:majorTickMark val="none"/>
        <c:tickLblPos val="nextTo"/>
        <c:crossAx val="64453248"/>
        <c:crosses val="autoZero"/>
        <c:auto val="1"/>
        <c:lblAlgn val="ctr"/>
        <c:lblOffset val="100"/>
      </c:catAx>
      <c:valAx>
        <c:axId val="64453248"/>
        <c:scaling>
          <c:orientation val="minMax"/>
        </c:scaling>
        <c:axPos val="l"/>
        <c:majorGridlines/>
        <c:numFmt formatCode="0.00%" sourceLinked="1"/>
        <c:majorTickMark val="none"/>
        <c:tickLblPos val="nextTo"/>
        <c:crossAx val="64451712"/>
        <c:crosses val="autoZero"/>
        <c:crossBetween val="between"/>
      </c:valAx>
      <c:dTable>
        <c:showHorzBorder val="1"/>
        <c:showVertBorder val="1"/>
        <c:showOutline val="1"/>
        <c:showKeys val="1"/>
        <c:txPr>
          <a:bodyPr/>
          <a:lstStyle/>
          <a:p>
            <a:pPr rtl="0">
              <a:defRPr sz="920" baseline="0">
                <a:latin typeface="Arial Narrow" pitchFamily="34" charset="0"/>
              </a:defRPr>
            </a:pPr>
            <a:endParaRPr lang="en-US"/>
          </a:p>
        </c:txPr>
      </c:dTable>
    </c:plotArea>
    <c:plotVisOnly val="1"/>
  </c:chart>
  <c:printSettings>
    <c:headerFooter/>
    <c:pageMargins b="0.75000000000000644" l="0.70000000000000062" r="0.70000000000000062" t="0.750000000000006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style val="30"/>
  <c:chart>
    <c:plotArea>
      <c:layout/>
      <c:barChart>
        <c:barDir val="bar"/>
        <c:grouping val="clustered"/>
        <c:ser>
          <c:idx val="0"/>
          <c:order val="0"/>
          <c:cat>
            <c:strRef>
              <c:f>Report!$K$588:$K$603</c:f>
              <c:strCache>
                <c:ptCount val="16"/>
                <c:pt idx="0">
                  <c:v>Milk</c:v>
                </c:pt>
                <c:pt idx="1">
                  <c:v>Bread</c:v>
                </c:pt>
                <c:pt idx="2">
                  <c:v>Rice</c:v>
                </c:pt>
                <c:pt idx="3">
                  <c:v>Eggs</c:v>
                </c:pt>
                <c:pt idx="4">
                  <c:v>Local Cheese</c:v>
                </c:pt>
                <c:pt idx="5">
                  <c:v>Chicken Breasts</c:v>
                </c:pt>
                <c:pt idx="6">
                  <c:v>Apples</c:v>
                </c:pt>
                <c:pt idx="7">
                  <c:v>Oranges</c:v>
                </c:pt>
                <c:pt idx="8">
                  <c:v>Tomato</c:v>
                </c:pt>
                <c:pt idx="9">
                  <c:v>Potato</c:v>
                </c:pt>
                <c:pt idx="10">
                  <c:v>Lettuce</c:v>
                </c:pt>
                <c:pt idx="11">
                  <c:v>Water</c:v>
                </c:pt>
                <c:pt idx="12">
                  <c:v>Bottle of Wine</c:v>
                </c:pt>
                <c:pt idx="13">
                  <c:v>Domestic Beer</c:v>
                </c:pt>
                <c:pt idx="14">
                  <c:v>Imported Beer</c:v>
                </c:pt>
                <c:pt idx="15">
                  <c:v>Cigarettes</c:v>
                </c:pt>
              </c:strCache>
            </c:strRef>
          </c:cat>
          <c:val>
            <c:numRef>
              <c:f>Report!$P$588:$P$603</c:f>
              <c:numCache>
                <c:formatCode>0.00%</c:formatCode>
                <c:ptCount val="16"/>
                <c:pt idx="0">
                  <c:v>0.24827586206896557</c:v>
                </c:pt>
                <c:pt idx="1">
                  <c:v>1.6666666666666665</c:v>
                </c:pt>
                <c:pt idx="2">
                  <c:v>1.5735294117647056</c:v>
                </c:pt>
                <c:pt idx="3">
                  <c:v>-4.8192771084337394E-2</c:v>
                </c:pt>
                <c:pt idx="4">
                  <c:v>0.24293785310734473</c:v>
                </c:pt>
                <c:pt idx="5">
                  <c:v>0.63111111111111118</c:v>
                </c:pt>
                <c:pt idx="6">
                  <c:v>0.30275229357798139</c:v>
                </c:pt>
                <c:pt idx="7">
                  <c:v>1.0942408376963351</c:v>
                </c:pt>
                <c:pt idx="8">
                  <c:v>1.9411764705882351</c:v>
                </c:pt>
                <c:pt idx="9">
                  <c:v>2.09</c:v>
                </c:pt>
                <c:pt idx="10">
                  <c:v>0.28676470588235281</c:v>
                </c:pt>
                <c:pt idx="11">
                  <c:v>1.7777777777777777</c:v>
                </c:pt>
                <c:pt idx="12">
                  <c:v>-0.5</c:v>
                </c:pt>
                <c:pt idx="13">
                  <c:v>-0.74449339207048459</c:v>
                </c:pt>
                <c:pt idx="14">
                  <c:v>-0.68575624082232012</c:v>
                </c:pt>
                <c:pt idx="15">
                  <c:v>1.9125000000000001</c:v>
                </c:pt>
              </c:numCache>
            </c:numRef>
          </c:val>
        </c:ser>
        <c:axId val="64106880"/>
        <c:axId val="64108416"/>
      </c:barChart>
      <c:catAx>
        <c:axId val="64106880"/>
        <c:scaling>
          <c:orientation val="minMax"/>
        </c:scaling>
        <c:axPos val="l"/>
        <c:tickLblPos val="nextTo"/>
        <c:crossAx val="64108416"/>
        <c:crosses val="autoZero"/>
        <c:auto val="1"/>
        <c:lblAlgn val="ctr"/>
        <c:lblOffset val="100"/>
      </c:catAx>
      <c:valAx>
        <c:axId val="64108416"/>
        <c:scaling>
          <c:orientation val="minMax"/>
        </c:scaling>
        <c:axPos val="b"/>
        <c:majorGridlines/>
        <c:numFmt formatCode="0.00%" sourceLinked="1"/>
        <c:tickLblPos val="nextTo"/>
        <c:crossAx val="64106880"/>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multiLvlStrRef>
              <c:f>Report!$D$638:$D$643</c:f>
            </c:multiLvlStrRef>
          </c:cat>
          <c:val>
            <c:numRef>
              <c:f>Report!$P$638:$P$643</c:f>
            </c:numRef>
          </c:val>
        </c:ser>
        <c:axId val="64123648"/>
        <c:axId val="64125184"/>
      </c:barChart>
      <c:catAx>
        <c:axId val="64123648"/>
        <c:scaling>
          <c:orientation val="minMax"/>
        </c:scaling>
        <c:axPos val="b"/>
        <c:tickLblPos val="nextTo"/>
        <c:crossAx val="64125184"/>
        <c:crosses val="autoZero"/>
        <c:auto val="1"/>
        <c:lblAlgn val="ctr"/>
        <c:lblOffset val="100"/>
      </c:catAx>
      <c:valAx>
        <c:axId val="64125184"/>
        <c:scaling>
          <c:orientation val="minMax"/>
        </c:scaling>
        <c:axPos val="l"/>
        <c:majorGridlines/>
        <c:numFmt formatCode="0.00%" sourceLinked="1"/>
        <c:tickLblPos val="nextTo"/>
        <c:crossAx val="64123648"/>
        <c:crosses val="autoZero"/>
        <c:crossBetween val="between"/>
      </c:valAx>
    </c:plotArea>
    <c:plotVisOnly val="1"/>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Report!$K$675:$K$677</c:f>
              <c:strCache>
                <c:ptCount val="3"/>
                <c:pt idx="0">
                  <c:v>Electricity, Water etc</c:v>
                </c:pt>
                <c:pt idx="1">
                  <c:v>1 min. of Prepaid Mobile Tariff</c:v>
                </c:pt>
                <c:pt idx="2">
                  <c:v>Internet ( 6 Mbps , Unlimited Data)</c:v>
                </c:pt>
              </c:strCache>
            </c:strRef>
          </c:cat>
          <c:val>
            <c:numRef>
              <c:f>Report!$P$675:$P$677</c:f>
              <c:numCache>
                <c:formatCode>0.00%</c:formatCode>
                <c:ptCount val="3"/>
                <c:pt idx="0">
                  <c:v>0.10399646721130495</c:v>
                </c:pt>
                <c:pt idx="1">
                  <c:v>0.11111111111111116</c:v>
                </c:pt>
                <c:pt idx="2">
                  <c:v>-0.26535409932412579</c:v>
                </c:pt>
              </c:numCache>
            </c:numRef>
          </c:val>
        </c:ser>
        <c:axId val="64150144"/>
        <c:axId val="64295296"/>
      </c:barChart>
      <c:catAx>
        <c:axId val="64150144"/>
        <c:scaling>
          <c:orientation val="minMax"/>
        </c:scaling>
        <c:axPos val="b"/>
        <c:tickLblPos val="nextTo"/>
        <c:txPr>
          <a:bodyPr/>
          <a:lstStyle/>
          <a:p>
            <a:pPr>
              <a:defRPr sz="1230" baseline="0"/>
            </a:pPr>
            <a:endParaRPr lang="en-US"/>
          </a:p>
        </c:txPr>
        <c:crossAx val="64295296"/>
        <c:crosses val="autoZero"/>
        <c:auto val="1"/>
        <c:lblAlgn val="ctr"/>
        <c:lblOffset val="100"/>
      </c:catAx>
      <c:valAx>
        <c:axId val="64295296"/>
        <c:scaling>
          <c:orientation val="minMax"/>
        </c:scaling>
        <c:axPos val="l"/>
        <c:majorGridlines/>
        <c:numFmt formatCode="0.00%" sourceLinked="1"/>
        <c:tickLblPos val="nextTo"/>
        <c:crossAx val="64150144"/>
        <c:crosses val="autoZero"/>
        <c:crossBetween val="between"/>
      </c:valAx>
    </c:plotArea>
  </c:chart>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Report!$K$710:$K$712</c:f>
              <c:strCache>
                <c:ptCount val="3"/>
                <c:pt idx="0">
                  <c:v>Fitness Club</c:v>
                </c:pt>
                <c:pt idx="1">
                  <c:v>Tennis Court Rent</c:v>
                </c:pt>
                <c:pt idx="2">
                  <c:v>Cinema</c:v>
                </c:pt>
              </c:strCache>
            </c:strRef>
          </c:cat>
          <c:val>
            <c:numRef>
              <c:f>Report!$P$710:$P$712</c:f>
              <c:numCache>
                <c:formatCode>0.00%</c:formatCode>
                <c:ptCount val="3"/>
                <c:pt idx="0">
                  <c:v>-0.6</c:v>
                </c:pt>
                <c:pt idx="1">
                  <c:v>1.474022761009401</c:v>
                </c:pt>
                <c:pt idx="2">
                  <c:v>-0.16054564533053506</c:v>
                </c:pt>
              </c:numCache>
            </c:numRef>
          </c:val>
        </c:ser>
        <c:axId val="64306176"/>
        <c:axId val="64312064"/>
      </c:barChart>
      <c:catAx>
        <c:axId val="64306176"/>
        <c:scaling>
          <c:orientation val="minMax"/>
        </c:scaling>
        <c:axPos val="b"/>
        <c:tickLblPos val="nextTo"/>
        <c:txPr>
          <a:bodyPr/>
          <a:lstStyle/>
          <a:p>
            <a:pPr>
              <a:defRPr b="1" i="0" baseline="0">
                <a:solidFill>
                  <a:schemeClr val="tx1"/>
                </a:solidFill>
              </a:defRPr>
            </a:pPr>
            <a:endParaRPr lang="en-US"/>
          </a:p>
        </c:txPr>
        <c:crossAx val="64312064"/>
        <c:crosses val="autoZero"/>
        <c:auto val="1"/>
        <c:lblAlgn val="ctr"/>
        <c:lblOffset val="100"/>
      </c:catAx>
      <c:valAx>
        <c:axId val="64312064"/>
        <c:scaling>
          <c:orientation val="minMax"/>
        </c:scaling>
        <c:axPos val="l"/>
        <c:majorGridlines/>
        <c:numFmt formatCode="0.00%" sourceLinked="1"/>
        <c:tickLblPos val="nextTo"/>
        <c:crossAx val="64306176"/>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Report!$K$742:$K$745</c:f>
              <c:strCache>
                <c:ptCount val="4"/>
                <c:pt idx="0">
                  <c:v>1 Pair of Jeans (Levis 501 Or Similar)</c:v>
                </c:pt>
                <c:pt idx="1">
                  <c:v>1 Summer Dress in a Chain Store (Zara, H&amp;M, ...)</c:v>
                </c:pt>
                <c:pt idx="2">
                  <c:v>1 Pair of Nike Shoes</c:v>
                </c:pt>
                <c:pt idx="3">
                  <c:v>1 Pair of Men Leather Shoes</c:v>
                </c:pt>
              </c:strCache>
            </c:strRef>
          </c:cat>
          <c:val>
            <c:numRef>
              <c:f>Report!$P$742:$P$745</c:f>
              <c:numCache>
                <c:formatCode>0.00%</c:formatCode>
                <c:ptCount val="4"/>
                <c:pt idx="0">
                  <c:v>-0.6327130264446621</c:v>
                </c:pt>
                <c:pt idx="1">
                  <c:v>-0.49494949494949492</c:v>
                </c:pt>
                <c:pt idx="2">
                  <c:v>-0.11238981390793346</c:v>
                </c:pt>
                <c:pt idx="3">
                  <c:v>-0.31129476584022042</c:v>
                </c:pt>
              </c:numCache>
            </c:numRef>
          </c:val>
        </c:ser>
        <c:axId val="64334080"/>
        <c:axId val="64339968"/>
      </c:barChart>
      <c:catAx>
        <c:axId val="64334080"/>
        <c:scaling>
          <c:orientation val="minMax"/>
        </c:scaling>
        <c:axPos val="b"/>
        <c:tickLblPos val="nextTo"/>
        <c:crossAx val="64339968"/>
        <c:crosses val="autoZero"/>
        <c:auto val="1"/>
        <c:lblAlgn val="ctr"/>
        <c:lblOffset val="100"/>
      </c:catAx>
      <c:valAx>
        <c:axId val="64339968"/>
        <c:scaling>
          <c:orientation val="minMax"/>
        </c:scaling>
        <c:axPos val="l"/>
        <c:majorGridlines/>
        <c:numFmt formatCode="0.00%" sourceLinked="1"/>
        <c:tickLblPos val="nextTo"/>
        <c:crossAx val="64334080"/>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style val="28"/>
  <c:chart>
    <c:plotArea>
      <c:layout/>
      <c:barChart>
        <c:barDir val="col"/>
        <c:grouping val="clustered"/>
        <c:ser>
          <c:idx val="0"/>
          <c:order val="0"/>
          <c:cat>
            <c:strRef>
              <c:f>Report!$K$515:$K$518</c:f>
              <c:strCache>
                <c:ptCount val="4"/>
                <c:pt idx="0">
                  <c:v>Apartment (1 bedroom) in City Centre</c:v>
                </c:pt>
                <c:pt idx="1">
                  <c:v>Apartment (1 bedroom) Outside of Centre</c:v>
                </c:pt>
                <c:pt idx="2">
                  <c:v>Apartment (3 bedrooms) in City Centre</c:v>
                </c:pt>
                <c:pt idx="3">
                  <c:v>Apartment (3 bedrooms) Outside of Centre</c:v>
                </c:pt>
              </c:strCache>
            </c:strRef>
          </c:cat>
          <c:val>
            <c:numRef>
              <c:f>Report!$P$515:$P$518</c:f>
              <c:numCache>
                <c:formatCode>0.00%</c:formatCode>
                <c:ptCount val="4"/>
                <c:pt idx="0">
                  <c:v>-0.57148279197326057</c:v>
                </c:pt>
                <c:pt idx="1">
                  <c:v>-0.34250668013212993</c:v>
                </c:pt>
                <c:pt idx="2">
                  <c:v>-0.60809928151534942</c:v>
                </c:pt>
                <c:pt idx="3">
                  <c:v>-0.5533780253056011</c:v>
                </c:pt>
              </c:numCache>
            </c:numRef>
          </c:val>
        </c:ser>
        <c:axId val="64346752"/>
        <c:axId val="64356736"/>
      </c:barChart>
      <c:catAx>
        <c:axId val="64346752"/>
        <c:scaling>
          <c:orientation val="minMax"/>
        </c:scaling>
        <c:axPos val="b"/>
        <c:tickLblPos val="nextTo"/>
        <c:crossAx val="64356736"/>
        <c:crosses val="autoZero"/>
        <c:auto val="1"/>
        <c:lblAlgn val="ctr"/>
        <c:lblOffset val="100"/>
      </c:catAx>
      <c:valAx>
        <c:axId val="64356736"/>
        <c:scaling>
          <c:orientation val="minMax"/>
        </c:scaling>
        <c:axPos val="l"/>
        <c:majorGridlines/>
        <c:numFmt formatCode="0.00%" sourceLinked="1"/>
        <c:tickLblPos val="nextTo"/>
        <c:crossAx val="64346752"/>
        <c:crosses val="autoZero"/>
        <c:crossBetween val="between"/>
      </c:valAx>
    </c:plotArea>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style val="36"/>
  <c:chart>
    <c:plotArea>
      <c:layout>
        <c:manualLayout>
          <c:layoutTarget val="inner"/>
          <c:xMode val="edge"/>
          <c:yMode val="edge"/>
          <c:x val="0.1047571264894107"/>
          <c:y val="4.7365213084956434E-2"/>
          <c:w val="0.85105264783078582"/>
          <c:h val="0.82400022173200416"/>
        </c:manualLayout>
      </c:layout>
      <c:barChart>
        <c:barDir val="col"/>
        <c:grouping val="clustered"/>
        <c:ser>
          <c:idx val="0"/>
          <c:order val="0"/>
          <c:spPr>
            <a:blipFill>
              <a:blip xmlns:r="http://schemas.openxmlformats.org/officeDocument/2006/relationships" r:embed="rId1"/>
              <a:stretch>
                <a:fillRect/>
              </a:stretch>
            </a:blipFill>
            <a:ln>
              <a:noFill/>
            </a:ln>
          </c:spPr>
          <c:dPt>
            <c:idx val="0"/>
            <c:bubble3D val="1"/>
            <c:spPr>
              <a:blipFill>
                <a:blip xmlns:r="http://schemas.openxmlformats.org/officeDocument/2006/relationships" r:embed="rId2"/>
                <a:stretch>
                  <a:fillRect/>
                </a:stretch>
              </a:blipFill>
              <a:ln>
                <a:noFill/>
              </a:ln>
            </c:spPr>
            <c:pictureOptions>
              <c:pictureFormat val="stack"/>
            </c:pictureOptions>
          </c:dPt>
          <c:dPt>
            <c:idx val="1"/>
            <c:bubble3D val="1"/>
            <c:spPr>
              <a:blipFill>
                <a:blip xmlns:r="http://schemas.openxmlformats.org/officeDocument/2006/relationships" r:embed="rId2"/>
                <a:stretch>
                  <a:fillRect/>
                </a:stretch>
              </a:blipFill>
              <a:ln>
                <a:noFill/>
              </a:ln>
            </c:spPr>
            <c:pictureOptions>
              <c:pictureFormat val="stack"/>
            </c:pictureOptions>
          </c:dPt>
          <c:dLbls>
            <c:dLbl>
              <c:idx val="2"/>
              <c:delete val="1"/>
            </c:dLbl>
            <c:txPr>
              <a:bodyPr/>
              <a:lstStyle/>
              <a:p>
                <a:pPr>
                  <a:defRPr sz="1500" baseline="0">
                    <a:solidFill>
                      <a:sysClr val="windowText" lastClr="000000"/>
                    </a:solidFill>
                  </a:defRPr>
                </a:pPr>
                <a:endParaRPr lang="en-US"/>
              </a:p>
            </c:txPr>
            <c:dLblPos val="outEnd"/>
            <c:showVal val="1"/>
          </c:dLbls>
          <c:val>
            <c:numRef>
              <c:f>Report!$Q$838:$Q$840</c:f>
              <c:numCache>
                <c:formatCode>_(* #,##0.00_);_(* \(#,##0.00\);_(* "-"??_);_(@_)</c:formatCode>
                <c:ptCount val="3"/>
                <c:pt idx="0">
                  <c:v>4500</c:v>
                </c:pt>
                <c:pt idx="1">
                  <c:v>6779.3140699131609</c:v>
                </c:pt>
                <c:pt idx="2">
                  <c:v>1</c:v>
                </c:pt>
              </c:numCache>
            </c:numRef>
          </c:val>
          <c:bubble3D val="1"/>
        </c:ser>
        <c:gapWidth val="168"/>
        <c:overlap val="77"/>
        <c:axId val="64390656"/>
        <c:axId val="64392192"/>
      </c:barChart>
      <c:catAx>
        <c:axId val="64390656"/>
        <c:scaling>
          <c:orientation val="minMax"/>
        </c:scaling>
        <c:delete val="1"/>
        <c:axPos val="b"/>
        <c:numFmt formatCode="General" sourceLinked="1"/>
        <c:tickLblPos val="none"/>
        <c:crossAx val="64392192"/>
        <c:crosses val="autoZero"/>
        <c:auto val="1"/>
        <c:lblAlgn val="ctr"/>
        <c:lblOffset val="100"/>
      </c:catAx>
      <c:valAx>
        <c:axId val="64392192"/>
        <c:scaling>
          <c:orientation val="minMax"/>
        </c:scaling>
        <c:delete val="1"/>
        <c:axPos val="l"/>
        <c:numFmt formatCode="_(* #,##0.00_);_(* \(#,##0.00\);_(* &quot;-&quot;??_);_(@_)" sourceLinked="1"/>
        <c:tickLblPos val="none"/>
        <c:crossAx val="64390656"/>
        <c:crosses val="autoZero"/>
        <c:crossBetween val="between"/>
      </c:valAx>
      <c:spPr>
        <a:noFill/>
        <a:ln w="25400">
          <a:noFill/>
        </a:ln>
      </c:spPr>
    </c:plotArea>
    <c:plotVisOnly val="1"/>
  </c:chart>
  <c:spPr>
    <a:noFill/>
    <a:ln>
      <a:noFill/>
    </a:ln>
  </c:spPr>
  <c:printSettings>
    <c:headerFooter/>
    <c:pageMargins b="0.75000000000001166" l="0.70000000000000062" r="0.70000000000000062" t="0.7500000000000116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barChart>
        <c:barDir val="col"/>
        <c:grouping val="stacked"/>
        <c:ser>
          <c:idx val="0"/>
          <c:order val="0"/>
          <c:tx>
            <c:strRef>
              <c:f>Report!$R$838</c:f>
              <c:strCache>
                <c:ptCount val="1"/>
                <c:pt idx="0">
                  <c:v>Offered Net Salary </c:v>
                </c:pt>
              </c:strCache>
            </c:strRef>
          </c:tx>
          <c:spPr>
            <a:solidFill>
              <a:srgbClr val="3333FF"/>
            </a:solidFill>
          </c:spPr>
          <c:dLbls>
            <c:txPr>
              <a:bodyPr/>
              <a:lstStyle/>
              <a:p>
                <a:pPr>
                  <a:defRPr b="1" baseline="0">
                    <a:solidFill>
                      <a:schemeClr val="bg1"/>
                    </a:solidFill>
                  </a:defRPr>
                </a:pPr>
                <a:endParaRPr lang="en-US"/>
              </a:p>
            </c:txPr>
            <c:showVal val="1"/>
          </c:dLbls>
          <c:val>
            <c:numRef>
              <c:f>Report!$S$838:$V$838</c:f>
              <c:numCache>
                <c:formatCode>_(* #,##0.00_);_(* \(#,##0.00\);_(* "-"??_);_(@_)</c:formatCode>
                <c:ptCount val="1"/>
                <c:pt idx="0">
                  <c:v>2500</c:v>
                </c:pt>
              </c:numCache>
            </c:numRef>
          </c:val>
        </c:ser>
        <c:ser>
          <c:idx val="1"/>
          <c:order val="1"/>
          <c:tx>
            <c:strRef>
              <c:f>Report!$R$839</c:f>
              <c:strCache>
                <c:ptCount val="1"/>
                <c:pt idx="0">
                  <c:v>Deficit</c:v>
                </c:pt>
              </c:strCache>
            </c:strRef>
          </c:tx>
          <c:dPt>
            <c:idx val="0"/>
            <c:spPr>
              <a:solidFill>
                <a:srgbClr val="FF0000"/>
              </a:solidFill>
            </c:spPr>
          </c:dPt>
          <c:dLbls>
            <c:spPr>
              <a:solidFill>
                <a:srgbClr val="FF0000"/>
              </a:solidFill>
            </c:spPr>
            <c:txPr>
              <a:bodyPr/>
              <a:lstStyle/>
              <a:p>
                <a:pPr>
                  <a:defRPr b="1" baseline="0">
                    <a:solidFill>
                      <a:schemeClr val="bg1"/>
                    </a:solidFill>
                  </a:defRPr>
                </a:pPr>
                <a:endParaRPr lang="en-US"/>
              </a:p>
            </c:txPr>
            <c:showVal val="1"/>
          </c:dLbls>
          <c:val>
            <c:numRef>
              <c:f>Report!$S$839:$V$839</c:f>
              <c:numCache>
                <c:formatCode>#,##0.00</c:formatCode>
                <c:ptCount val="1"/>
                <c:pt idx="0">
                  <c:v>-4279.3140699131609</c:v>
                </c:pt>
              </c:numCache>
            </c:numRef>
          </c:val>
        </c:ser>
        <c:gapWidth val="75"/>
        <c:overlap val="100"/>
        <c:axId val="64417152"/>
        <c:axId val="64521344"/>
      </c:barChart>
      <c:catAx>
        <c:axId val="64417152"/>
        <c:scaling>
          <c:orientation val="minMax"/>
        </c:scaling>
        <c:delete val="1"/>
        <c:axPos val="t"/>
        <c:majorTickMark val="none"/>
        <c:tickLblPos val="none"/>
        <c:crossAx val="64521344"/>
        <c:crosses val="max"/>
        <c:auto val="1"/>
        <c:lblAlgn val="ctr"/>
        <c:lblOffset val="100"/>
      </c:catAx>
      <c:valAx>
        <c:axId val="64521344"/>
        <c:scaling>
          <c:orientation val="minMax"/>
        </c:scaling>
        <c:axPos val="l"/>
        <c:majorGridlines/>
        <c:numFmt formatCode="_(* #,##0.00_);_(* \(#,##0.00\);_(* &quot;-&quot;??_);_(@_)" sourceLinked="1"/>
        <c:majorTickMark val="none"/>
        <c:tickLblPos val="nextTo"/>
        <c:spPr>
          <a:ln w="9525">
            <a:noFill/>
          </a:ln>
        </c:spPr>
        <c:crossAx val="64417152"/>
        <c:crosses val="autoZero"/>
        <c:crossBetween val="between"/>
      </c:valAx>
    </c:plotArea>
    <c:legend>
      <c:legendPos val="b"/>
    </c:legend>
    <c:plotVisOnly val="1"/>
  </c:chart>
  <c:printSettings>
    <c:headerFooter/>
    <c:pageMargins b="0.75000000000000988" l="0.70000000000000062" r="0.70000000000000062" t="0.75000000000000988"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www.numbeo.com" TargetMode="External"/><Relationship Id="rId2" Type="http://schemas.openxmlformats.org/officeDocument/2006/relationships/hyperlink" Target="#Disclaimer!A1"/><Relationship Id="rId1" Type="http://schemas.openxmlformats.org/officeDocument/2006/relationships/hyperlink" Target="#Info!A1"/><Relationship Id="rId5" Type="http://schemas.openxmlformats.org/officeDocument/2006/relationships/image" Target="../media/image2.png"/><Relationship Id="rId4" Type="http://schemas.openxmlformats.org/officeDocument/2006/relationships/hyperlink" Target="#Disclaimer!A1"/></Relationships>
</file>

<file path=xl/drawings/_rels/drawing10.xml.rels><?xml version="1.0" encoding="UTF-8" standalone="yes"?>
<Relationships xmlns="http://schemas.openxmlformats.org/package/2006/relationships"><Relationship Id="rId3" Type="http://schemas.openxmlformats.org/officeDocument/2006/relationships/hyperlink" Target="#'Apparel and Footwear'!A1"/><Relationship Id="rId2" Type="http://schemas.openxmlformats.org/officeDocument/2006/relationships/hyperlink" Target="#Utilities!A1"/><Relationship Id="rId1" Type="http://schemas.openxmlformats.org/officeDocument/2006/relationships/image" Target="../media/image112.png"/></Relationships>
</file>

<file path=xl/drawings/_rels/drawing11.xml.rels><?xml version="1.0" encoding="UTF-8" standalone="yes"?>
<Relationships xmlns="http://schemas.openxmlformats.org/package/2006/relationships"><Relationship Id="rId3" Type="http://schemas.openxmlformats.org/officeDocument/2006/relationships/hyperlink" Target="#Recreation!A1"/><Relationship Id="rId2" Type="http://schemas.openxmlformats.org/officeDocument/2006/relationships/image" Target="../media/image115.png"/><Relationship Id="rId1" Type="http://schemas.openxmlformats.org/officeDocument/2006/relationships/image" Target="../media/image114.png"/><Relationship Id="rId4" Type="http://schemas.openxmlformats.org/officeDocument/2006/relationships/hyperlink" Target="#Accomodation!A1"/></Relationships>
</file>

<file path=xl/drawings/_rels/drawing12.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hyperlink" Target="#'Apparel and Footwear'!A1"/><Relationship Id="rId1" Type="http://schemas.openxmlformats.org/officeDocument/2006/relationships/image" Target="../media/image116.png"/></Relationships>
</file>

<file path=xl/drawings/_rels/drawing14.xml.rels><?xml version="1.0" encoding="UTF-8" standalone="yes"?>
<Relationships xmlns="http://schemas.openxmlformats.org/package/2006/relationships"><Relationship Id="rId2" Type="http://schemas.openxmlformats.org/officeDocument/2006/relationships/hyperlink" Target="#Report!A1"/><Relationship Id="rId1" Type="http://schemas.openxmlformats.org/officeDocument/2006/relationships/hyperlink" Target="#Accomodation!A1"/></Relationships>
</file>

<file path=xl/drawings/_rels/drawing1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21.png"/><Relationship Id="rId18" Type="http://schemas.openxmlformats.org/officeDocument/2006/relationships/image" Target="../media/image125.png"/><Relationship Id="rId26" Type="http://schemas.openxmlformats.org/officeDocument/2006/relationships/image" Target="../media/image2.png"/><Relationship Id="rId3" Type="http://schemas.openxmlformats.org/officeDocument/2006/relationships/chart" Target="../charts/chart3.xml"/><Relationship Id="rId21" Type="http://schemas.openxmlformats.org/officeDocument/2006/relationships/image" Target="../media/image128.png"/><Relationship Id="rId7" Type="http://schemas.openxmlformats.org/officeDocument/2006/relationships/chart" Target="../charts/chart7.xml"/><Relationship Id="rId12" Type="http://schemas.openxmlformats.org/officeDocument/2006/relationships/image" Target="../media/image120.png"/><Relationship Id="rId17" Type="http://schemas.openxmlformats.org/officeDocument/2006/relationships/image" Target="../media/image124.png"/><Relationship Id="rId25" Type="http://schemas.openxmlformats.org/officeDocument/2006/relationships/hyperlink" Target="http://xpatinsight.weebly.com/download-2.html" TargetMode="External"/><Relationship Id="rId2" Type="http://schemas.openxmlformats.org/officeDocument/2006/relationships/chart" Target="../charts/chart2.xml"/><Relationship Id="rId16" Type="http://schemas.openxmlformats.org/officeDocument/2006/relationships/image" Target="../media/image123.png"/><Relationship Id="rId20" Type="http://schemas.openxmlformats.org/officeDocument/2006/relationships/image" Target="../media/image127.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hyperlink" Target="#START!A1"/><Relationship Id="rId5" Type="http://schemas.openxmlformats.org/officeDocument/2006/relationships/chart" Target="../charts/chart5.xml"/><Relationship Id="rId15" Type="http://schemas.openxmlformats.org/officeDocument/2006/relationships/image" Target="../media/image122.png"/><Relationship Id="rId23" Type="http://schemas.openxmlformats.org/officeDocument/2006/relationships/hyperlink" Target="#Summary!A1"/><Relationship Id="rId10" Type="http://schemas.openxmlformats.org/officeDocument/2006/relationships/chart" Target="../charts/chart10.xml"/><Relationship Id="rId19" Type="http://schemas.openxmlformats.org/officeDocument/2006/relationships/image" Target="../media/image126.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110.png"/><Relationship Id="rId22" Type="http://schemas.openxmlformats.org/officeDocument/2006/relationships/hyperlink" Target="http://www.numbeo.com" TargetMode="External"/><Relationship Id="rId27" Type="http://schemas.openxmlformats.org/officeDocument/2006/relationships/image" Target="../media/image129.jpeg"/></Relationships>
</file>

<file path=xl/drawings/_rels/drawing2.xml.rels><?xml version="1.0" encoding="UTF-8" standalone="yes"?>
<Relationships xmlns="http://schemas.openxmlformats.org/package/2006/relationships"><Relationship Id="rId2" Type="http://schemas.openxmlformats.org/officeDocument/2006/relationships/hyperlink" Target="#'Eating Out'!A1"/><Relationship Id="rId1" Type="http://schemas.openxmlformats.org/officeDocument/2006/relationships/hyperlink" Target="#START!A1"/></Relationships>
</file>

<file path=xl/drawings/_rels/drawing3.xml.rels><?xml version="1.0" encoding="UTF-8" standalone="yes"?>
<Relationships xmlns="http://schemas.openxmlformats.org/package/2006/relationships"><Relationship Id="rId3" Type="http://schemas.openxmlformats.org/officeDocument/2006/relationships/hyperlink" Target="#Groceries!A1"/><Relationship Id="rId2" Type="http://schemas.openxmlformats.org/officeDocument/2006/relationships/hyperlink" Target="#Info!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6" Type="http://schemas.openxmlformats.org/officeDocument/2006/relationships/image" Target="../media/image31.png"/><Relationship Id="rId21" Type="http://schemas.openxmlformats.org/officeDocument/2006/relationships/image" Target="../media/image26.png"/><Relationship Id="rId42" Type="http://schemas.openxmlformats.org/officeDocument/2006/relationships/image" Target="../media/image47.png"/><Relationship Id="rId47" Type="http://schemas.openxmlformats.org/officeDocument/2006/relationships/image" Target="../media/image52.png"/><Relationship Id="rId63" Type="http://schemas.openxmlformats.org/officeDocument/2006/relationships/image" Target="../media/image68.png"/><Relationship Id="rId68" Type="http://schemas.openxmlformats.org/officeDocument/2006/relationships/image" Target="../media/image73.png"/><Relationship Id="rId84" Type="http://schemas.openxmlformats.org/officeDocument/2006/relationships/image" Target="../media/image89.png"/><Relationship Id="rId89" Type="http://schemas.openxmlformats.org/officeDocument/2006/relationships/image" Target="../media/image94.png"/><Relationship Id="rId7" Type="http://schemas.openxmlformats.org/officeDocument/2006/relationships/image" Target="../media/image12.png"/><Relationship Id="rId71" Type="http://schemas.openxmlformats.org/officeDocument/2006/relationships/image" Target="../media/image76.png"/><Relationship Id="rId92" Type="http://schemas.openxmlformats.org/officeDocument/2006/relationships/image" Target="../media/image97.png"/><Relationship Id="rId2" Type="http://schemas.openxmlformats.org/officeDocument/2006/relationships/image" Target="../media/image7.png"/><Relationship Id="rId16" Type="http://schemas.openxmlformats.org/officeDocument/2006/relationships/image" Target="../media/image21.png"/><Relationship Id="rId29" Type="http://schemas.openxmlformats.org/officeDocument/2006/relationships/image" Target="../media/image34.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png"/><Relationship Id="rId45" Type="http://schemas.openxmlformats.org/officeDocument/2006/relationships/image" Target="../media/image50.png"/><Relationship Id="rId53" Type="http://schemas.openxmlformats.org/officeDocument/2006/relationships/image" Target="../media/image58.png"/><Relationship Id="rId58" Type="http://schemas.openxmlformats.org/officeDocument/2006/relationships/image" Target="../media/image63.png"/><Relationship Id="rId66" Type="http://schemas.openxmlformats.org/officeDocument/2006/relationships/image" Target="../media/image71.png"/><Relationship Id="rId74" Type="http://schemas.openxmlformats.org/officeDocument/2006/relationships/image" Target="../media/image79.png"/><Relationship Id="rId79" Type="http://schemas.openxmlformats.org/officeDocument/2006/relationships/image" Target="../media/image84.png"/><Relationship Id="rId87" Type="http://schemas.openxmlformats.org/officeDocument/2006/relationships/image" Target="../media/image92.png"/><Relationship Id="rId102" Type="http://schemas.openxmlformats.org/officeDocument/2006/relationships/image" Target="../media/image107.png"/><Relationship Id="rId5" Type="http://schemas.openxmlformats.org/officeDocument/2006/relationships/image" Target="../media/image10.png"/><Relationship Id="rId61" Type="http://schemas.openxmlformats.org/officeDocument/2006/relationships/image" Target="../media/image66.png"/><Relationship Id="rId82" Type="http://schemas.openxmlformats.org/officeDocument/2006/relationships/image" Target="../media/image87.png"/><Relationship Id="rId90" Type="http://schemas.openxmlformats.org/officeDocument/2006/relationships/image" Target="../media/image95.png"/><Relationship Id="rId95" Type="http://schemas.openxmlformats.org/officeDocument/2006/relationships/image" Target="../media/image100.png"/><Relationship Id="rId19" Type="http://schemas.openxmlformats.org/officeDocument/2006/relationships/image" Target="../media/image2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png"/><Relationship Id="rId48" Type="http://schemas.openxmlformats.org/officeDocument/2006/relationships/image" Target="../media/image53.png"/><Relationship Id="rId56" Type="http://schemas.openxmlformats.org/officeDocument/2006/relationships/image" Target="../media/image61.png"/><Relationship Id="rId64" Type="http://schemas.openxmlformats.org/officeDocument/2006/relationships/image" Target="../media/image69.png"/><Relationship Id="rId69" Type="http://schemas.openxmlformats.org/officeDocument/2006/relationships/image" Target="../media/image74.png"/><Relationship Id="rId77" Type="http://schemas.openxmlformats.org/officeDocument/2006/relationships/image" Target="../media/image82.png"/><Relationship Id="rId100" Type="http://schemas.openxmlformats.org/officeDocument/2006/relationships/image" Target="../media/image105.png"/><Relationship Id="rId8" Type="http://schemas.openxmlformats.org/officeDocument/2006/relationships/image" Target="../media/image13.png"/><Relationship Id="rId51" Type="http://schemas.openxmlformats.org/officeDocument/2006/relationships/image" Target="../media/image56.png"/><Relationship Id="rId72" Type="http://schemas.openxmlformats.org/officeDocument/2006/relationships/image" Target="../media/image77.png"/><Relationship Id="rId80" Type="http://schemas.openxmlformats.org/officeDocument/2006/relationships/image" Target="../media/image85.png"/><Relationship Id="rId85" Type="http://schemas.openxmlformats.org/officeDocument/2006/relationships/image" Target="../media/image90.png"/><Relationship Id="rId93" Type="http://schemas.openxmlformats.org/officeDocument/2006/relationships/image" Target="../media/image98.png"/><Relationship Id="rId98" Type="http://schemas.openxmlformats.org/officeDocument/2006/relationships/image" Target="../media/image103.png"/><Relationship Id="rId3" Type="http://schemas.openxmlformats.org/officeDocument/2006/relationships/image" Target="../media/image8.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38" Type="http://schemas.openxmlformats.org/officeDocument/2006/relationships/image" Target="../media/image43.png"/><Relationship Id="rId46" Type="http://schemas.openxmlformats.org/officeDocument/2006/relationships/image" Target="../media/image51.png"/><Relationship Id="rId59" Type="http://schemas.openxmlformats.org/officeDocument/2006/relationships/image" Target="../media/image64.png"/><Relationship Id="rId67" Type="http://schemas.openxmlformats.org/officeDocument/2006/relationships/image" Target="../media/image72.png"/><Relationship Id="rId103" Type="http://schemas.openxmlformats.org/officeDocument/2006/relationships/image" Target="../media/image108.png"/><Relationship Id="rId20" Type="http://schemas.openxmlformats.org/officeDocument/2006/relationships/image" Target="../media/image25.png"/><Relationship Id="rId41" Type="http://schemas.openxmlformats.org/officeDocument/2006/relationships/image" Target="../media/image46.png"/><Relationship Id="rId54" Type="http://schemas.openxmlformats.org/officeDocument/2006/relationships/image" Target="../media/image59.png"/><Relationship Id="rId62" Type="http://schemas.openxmlformats.org/officeDocument/2006/relationships/image" Target="../media/image67.png"/><Relationship Id="rId70" Type="http://schemas.openxmlformats.org/officeDocument/2006/relationships/image" Target="../media/image75.png"/><Relationship Id="rId75" Type="http://schemas.openxmlformats.org/officeDocument/2006/relationships/image" Target="../media/image80.png"/><Relationship Id="rId83" Type="http://schemas.openxmlformats.org/officeDocument/2006/relationships/image" Target="../media/image88.png"/><Relationship Id="rId88" Type="http://schemas.openxmlformats.org/officeDocument/2006/relationships/image" Target="../media/image93.png"/><Relationship Id="rId91" Type="http://schemas.openxmlformats.org/officeDocument/2006/relationships/image" Target="../media/image96.png"/><Relationship Id="rId96" Type="http://schemas.openxmlformats.org/officeDocument/2006/relationships/image" Target="../media/image101.png"/><Relationship Id="rId1" Type="http://schemas.openxmlformats.org/officeDocument/2006/relationships/image" Target="../media/image6.png"/><Relationship Id="rId6" Type="http://schemas.openxmlformats.org/officeDocument/2006/relationships/image" Target="../media/image11.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49" Type="http://schemas.openxmlformats.org/officeDocument/2006/relationships/image" Target="../media/image54.png"/><Relationship Id="rId57" Type="http://schemas.openxmlformats.org/officeDocument/2006/relationships/image" Target="../media/image62.png"/><Relationship Id="rId10" Type="http://schemas.openxmlformats.org/officeDocument/2006/relationships/image" Target="../media/image15.png"/><Relationship Id="rId31" Type="http://schemas.openxmlformats.org/officeDocument/2006/relationships/image" Target="../media/image36.png"/><Relationship Id="rId44" Type="http://schemas.openxmlformats.org/officeDocument/2006/relationships/image" Target="../media/image49.png"/><Relationship Id="rId52" Type="http://schemas.openxmlformats.org/officeDocument/2006/relationships/image" Target="../media/image57.png"/><Relationship Id="rId60" Type="http://schemas.openxmlformats.org/officeDocument/2006/relationships/image" Target="../media/image65.png"/><Relationship Id="rId65" Type="http://schemas.openxmlformats.org/officeDocument/2006/relationships/image" Target="../media/image70.png"/><Relationship Id="rId73" Type="http://schemas.openxmlformats.org/officeDocument/2006/relationships/image" Target="../media/image78.png"/><Relationship Id="rId78" Type="http://schemas.openxmlformats.org/officeDocument/2006/relationships/image" Target="../media/image83.png"/><Relationship Id="rId81" Type="http://schemas.openxmlformats.org/officeDocument/2006/relationships/image" Target="../media/image86.png"/><Relationship Id="rId86" Type="http://schemas.openxmlformats.org/officeDocument/2006/relationships/image" Target="../media/image91.png"/><Relationship Id="rId94" Type="http://schemas.openxmlformats.org/officeDocument/2006/relationships/image" Target="../media/image99.png"/><Relationship Id="rId99" Type="http://schemas.openxmlformats.org/officeDocument/2006/relationships/image" Target="../media/image104.png"/><Relationship Id="rId101" Type="http://schemas.openxmlformats.org/officeDocument/2006/relationships/image" Target="../media/image106.png"/><Relationship Id="rId4" Type="http://schemas.openxmlformats.org/officeDocument/2006/relationships/image" Target="../media/image9.png"/><Relationship Id="rId9" Type="http://schemas.openxmlformats.org/officeDocument/2006/relationships/image" Target="../media/image14.png"/><Relationship Id="rId13" Type="http://schemas.openxmlformats.org/officeDocument/2006/relationships/image" Target="../media/image18.png"/><Relationship Id="rId18" Type="http://schemas.openxmlformats.org/officeDocument/2006/relationships/image" Target="../media/image23.png"/><Relationship Id="rId39" Type="http://schemas.openxmlformats.org/officeDocument/2006/relationships/image" Target="../media/image44.png"/><Relationship Id="rId34" Type="http://schemas.openxmlformats.org/officeDocument/2006/relationships/image" Target="../media/image39.png"/><Relationship Id="rId50" Type="http://schemas.openxmlformats.org/officeDocument/2006/relationships/image" Target="../media/image55.png"/><Relationship Id="rId55" Type="http://schemas.openxmlformats.org/officeDocument/2006/relationships/image" Target="../media/image60.png"/><Relationship Id="rId76" Type="http://schemas.openxmlformats.org/officeDocument/2006/relationships/image" Target="../media/image81.png"/><Relationship Id="rId97" Type="http://schemas.openxmlformats.org/officeDocument/2006/relationships/image" Target="../media/image102.png"/></Relationships>
</file>

<file path=xl/drawings/_rels/drawing7.xml.rels><?xml version="1.0" encoding="UTF-8" standalone="yes"?>
<Relationships xmlns="http://schemas.openxmlformats.org/package/2006/relationships"><Relationship Id="rId3" Type="http://schemas.openxmlformats.org/officeDocument/2006/relationships/hyperlink" Target="#Transportation!A1"/><Relationship Id="rId2" Type="http://schemas.openxmlformats.org/officeDocument/2006/relationships/hyperlink" Target="#'Eating Out'!A1"/><Relationship Id="rId1" Type="http://schemas.openxmlformats.org/officeDocument/2006/relationships/image" Target="../media/image109.png"/></Relationships>
</file>

<file path=xl/drawings/_rels/drawing8.xml.rels><?xml version="1.0" encoding="UTF-8" standalone="yes"?>
<Relationships xmlns="http://schemas.openxmlformats.org/package/2006/relationships"><Relationship Id="rId3" Type="http://schemas.openxmlformats.org/officeDocument/2006/relationships/hyperlink" Target="#Utilities!A1"/><Relationship Id="rId2" Type="http://schemas.openxmlformats.org/officeDocument/2006/relationships/hyperlink" Target="#Groceries!A1"/><Relationship Id="rId1" Type="http://schemas.openxmlformats.org/officeDocument/2006/relationships/image" Target="../media/image110.png"/></Relationships>
</file>

<file path=xl/drawings/_rels/drawing9.xml.rels><?xml version="1.0" encoding="UTF-8" standalone="yes"?>
<Relationships xmlns="http://schemas.openxmlformats.org/package/2006/relationships"><Relationship Id="rId3" Type="http://schemas.openxmlformats.org/officeDocument/2006/relationships/hyperlink" Target="#Recreation!A1"/><Relationship Id="rId2" Type="http://schemas.openxmlformats.org/officeDocument/2006/relationships/hyperlink" Target="#Transportation!A1"/><Relationship Id="rId1" Type="http://schemas.openxmlformats.org/officeDocument/2006/relationships/image" Target="../media/image1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13.emf"/><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13.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17.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581025</xdr:colOff>
      <xdr:row>0</xdr:row>
      <xdr:rowOff>247649</xdr:rowOff>
    </xdr:from>
    <xdr:to>
      <xdr:col>10</xdr:col>
      <xdr:colOff>9525</xdr:colOff>
      <xdr:row>15</xdr:row>
      <xdr:rowOff>9525</xdr:rowOff>
    </xdr:to>
    <xdr:sp macro="" textlink="">
      <xdr:nvSpPr>
        <xdr:cNvPr id="2" name="Rounded Rectangle 1"/>
        <xdr:cNvSpPr/>
      </xdr:nvSpPr>
      <xdr:spPr>
        <a:xfrm>
          <a:off x="1190625" y="247649"/>
          <a:ext cx="6848475" cy="4886326"/>
        </a:xfrm>
        <a:prstGeom prst="roundRect">
          <a:avLst>
            <a:gd name="adj" fmla="val 121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xdr:from>
      <xdr:col>6</xdr:col>
      <xdr:colOff>333375</xdr:colOff>
      <xdr:row>13</xdr:row>
      <xdr:rowOff>171450</xdr:rowOff>
    </xdr:from>
    <xdr:to>
      <xdr:col>7</xdr:col>
      <xdr:colOff>581025</xdr:colOff>
      <xdr:row>14</xdr:row>
      <xdr:rowOff>161925</xdr:rowOff>
    </xdr:to>
    <xdr:sp macro="" textlink="">
      <xdr:nvSpPr>
        <xdr:cNvPr id="5" name="Rounded Rectangle 4">
          <a:hlinkClick xmlns:r="http://schemas.openxmlformats.org/officeDocument/2006/relationships" r:id="rId1"/>
        </xdr:cNvPr>
        <xdr:cNvSpPr/>
      </xdr:nvSpPr>
      <xdr:spPr>
        <a:xfrm>
          <a:off x="3933825" y="7362825"/>
          <a:ext cx="122872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START NOW</a:t>
          </a:r>
        </a:p>
      </xdr:txBody>
    </xdr:sp>
    <xdr:clientData/>
  </xdr:twoCellAnchor>
  <xdr:twoCellAnchor>
    <xdr:from>
      <xdr:col>7</xdr:col>
      <xdr:colOff>923924</xdr:colOff>
      <xdr:row>11</xdr:row>
      <xdr:rowOff>180974</xdr:rowOff>
    </xdr:from>
    <xdr:to>
      <xdr:col>8</xdr:col>
      <xdr:colOff>790574</xdr:colOff>
      <xdr:row>11</xdr:row>
      <xdr:rowOff>361949</xdr:rowOff>
    </xdr:to>
    <xdr:sp macro="" textlink="">
      <xdr:nvSpPr>
        <xdr:cNvPr id="6" name="Rectangle 5">
          <a:hlinkClick xmlns:r="http://schemas.openxmlformats.org/officeDocument/2006/relationships" r:id="rId2"/>
        </xdr:cNvPr>
        <xdr:cNvSpPr/>
      </xdr:nvSpPr>
      <xdr:spPr>
        <a:xfrm>
          <a:off x="5505449" y="6362699"/>
          <a:ext cx="8477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5</xdr:col>
      <xdr:colOff>523875</xdr:colOff>
      <xdr:row>8</xdr:row>
      <xdr:rowOff>19050</xdr:rowOff>
    </xdr:from>
    <xdr:to>
      <xdr:col>6</xdr:col>
      <xdr:colOff>723900</xdr:colOff>
      <xdr:row>8</xdr:row>
      <xdr:rowOff>171450</xdr:rowOff>
    </xdr:to>
    <xdr:sp macro="" textlink="">
      <xdr:nvSpPr>
        <xdr:cNvPr id="7" name="Rectangle 6">
          <a:hlinkClick xmlns:r="http://schemas.openxmlformats.org/officeDocument/2006/relationships" r:id="rId3"/>
        </xdr:cNvPr>
        <xdr:cNvSpPr/>
      </xdr:nvSpPr>
      <xdr:spPr>
        <a:xfrm>
          <a:off x="3571875" y="49053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4</xdr:col>
      <xdr:colOff>257175</xdr:colOff>
      <xdr:row>11</xdr:row>
      <xdr:rowOff>676275</xdr:rowOff>
    </xdr:from>
    <xdr:to>
      <xdr:col>5</xdr:col>
      <xdr:colOff>400050</xdr:colOff>
      <xdr:row>11</xdr:row>
      <xdr:rowOff>828675</xdr:rowOff>
    </xdr:to>
    <xdr:sp macro="" textlink="">
      <xdr:nvSpPr>
        <xdr:cNvPr id="8" name="Rectangle 7">
          <a:hlinkClick xmlns:r="http://schemas.openxmlformats.org/officeDocument/2006/relationships" r:id="rId4"/>
        </xdr:cNvPr>
        <xdr:cNvSpPr/>
      </xdr:nvSpPr>
      <xdr:spPr>
        <a:xfrm>
          <a:off x="2695575" y="70008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8</xdr:col>
      <xdr:colOff>1028700</xdr:colOff>
      <xdr:row>1</xdr:row>
      <xdr:rowOff>285750</xdr:rowOff>
    </xdr:from>
    <xdr:to>
      <xdr:col>9</xdr:col>
      <xdr:colOff>247650</xdr:colOff>
      <xdr:row>2</xdr:row>
      <xdr:rowOff>228600</xdr:rowOff>
    </xdr:to>
    <xdr:pic>
      <xdr:nvPicPr>
        <xdr:cNvPr id="11" name="Picture 10" descr="xpatinsight.png"/>
        <xdr:cNvPicPr>
          <a:picLocks noChangeAspect="1"/>
        </xdr:cNvPicPr>
      </xdr:nvPicPr>
      <xdr:blipFill>
        <a:blip xmlns:r="http://schemas.openxmlformats.org/officeDocument/2006/relationships" r:embed="rId5" cstate="print"/>
        <a:stretch>
          <a:fillRect/>
        </a:stretch>
      </xdr:blipFill>
      <xdr:spPr>
        <a:xfrm>
          <a:off x="6591300" y="552450"/>
          <a:ext cx="1152525" cy="371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219075</xdr:rowOff>
    </xdr:from>
    <xdr:to>
      <xdr:col>12</xdr:col>
      <xdr:colOff>28575</xdr:colOff>
      <xdr:row>13</xdr:row>
      <xdr:rowOff>47625</xdr:rowOff>
    </xdr:to>
    <xdr:sp macro="" textlink="">
      <xdr:nvSpPr>
        <xdr:cNvPr id="2" name="Rounded Rectangle 1"/>
        <xdr:cNvSpPr/>
      </xdr:nvSpPr>
      <xdr:spPr>
        <a:xfrm>
          <a:off x="876300" y="219075"/>
          <a:ext cx="7515225" cy="3543300"/>
        </a:xfrm>
        <a:prstGeom prst="roundRect">
          <a:avLst>
            <a:gd name="adj" fmla="val 300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2</xdr:col>
      <xdr:colOff>76200</xdr:colOff>
      <xdr:row>1</xdr:row>
      <xdr:rowOff>85725</xdr:rowOff>
    </xdr:from>
    <xdr:to>
      <xdr:col>3</xdr:col>
      <xdr:colOff>133350</xdr:colOff>
      <xdr:row>3</xdr:row>
      <xdr:rowOff>57150</xdr:rowOff>
    </xdr:to>
    <xdr:pic>
      <xdr:nvPicPr>
        <xdr:cNvPr id="20486" name="Picture 6" descr="Tennis Black Clip Art"/>
        <xdr:cNvPicPr>
          <a:picLocks noChangeAspect="1" noChangeArrowheads="1"/>
        </xdr:cNvPicPr>
      </xdr:nvPicPr>
      <xdr:blipFill>
        <a:blip xmlns:r="http://schemas.openxmlformats.org/officeDocument/2006/relationships" r:embed="rId1" cstate="print"/>
        <a:srcRect/>
        <a:stretch>
          <a:fillRect/>
        </a:stretch>
      </xdr:blipFill>
      <xdr:spPr bwMode="auto">
        <a:xfrm>
          <a:off x="1295400" y="352425"/>
          <a:ext cx="666750" cy="66675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11</xdr:row>
      <xdr:rowOff>219075</xdr:rowOff>
    </xdr:from>
    <xdr:to>
      <xdr:col>3</xdr:col>
      <xdr:colOff>428625</xdr:colOff>
      <xdr:row>12</xdr:row>
      <xdr:rowOff>209550</xdr:rowOff>
    </xdr:to>
    <xdr:sp macro="" textlink="">
      <xdr:nvSpPr>
        <xdr:cNvPr id="7" name="Rounded Rectangle 6">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695325</xdr:colOff>
      <xdr:row>11</xdr:row>
      <xdr:rowOff>219075</xdr:rowOff>
    </xdr:from>
    <xdr:to>
      <xdr:col>11</xdr:col>
      <xdr:colOff>962025</xdr:colOff>
      <xdr:row>12</xdr:row>
      <xdr:rowOff>209550</xdr:rowOff>
    </xdr:to>
    <xdr:sp macro="" textlink="">
      <xdr:nvSpPr>
        <xdr:cNvPr id="8" name="Rounded Rectangle 7">
          <a:hlinkClick xmlns:r="http://schemas.openxmlformats.org/officeDocument/2006/relationships" r:id="rId3"/>
        </xdr:cNvPr>
        <xdr:cNvSpPr/>
      </xdr:nvSpPr>
      <xdr:spPr>
        <a:xfrm>
          <a:off x="7048500" y="3581400"/>
          <a:ext cx="111442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219075</xdr:rowOff>
    </xdr:from>
    <xdr:to>
      <xdr:col>12</xdr:col>
      <xdr:colOff>28575</xdr:colOff>
      <xdr:row>13</xdr:row>
      <xdr:rowOff>38100</xdr:rowOff>
    </xdr:to>
    <xdr:sp macro="" textlink="">
      <xdr:nvSpPr>
        <xdr:cNvPr id="2" name="Rounded Rectangle 1"/>
        <xdr:cNvSpPr/>
      </xdr:nvSpPr>
      <xdr:spPr>
        <a:xfrm>
          <a:off x="1057275" y="219075"/>
          <a:ext cx="7391400" cy="3686175"/>
        </a:xfrm>
        <a:prstGeom prst="roundRect">
          <a:avLst>
            <a:gd name="adj" fmla="val 2331"/>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104775</xdr:colOff>
      <xdr:row>1</xdr:row>
      <xdr:rowOff>76200</xdr:rowOff>
    </xdr:from>
    <xdr:to>
      <xdr:col>3</xdr:col>
      <xdr:colOff>180975</xdr:colOff>
      <xdr:row>3</xdr:row>
      <xdr:rowOff>76200</xdr:rowOff>
    </xdr:to>
    <xdr:grpSp>
      <xdr:nvGrpSpPr>
        <xdr:cNvPr id="4" name="Group 3"/>
        <xdr:cNvGrpSpPr/>
      </xdr:nvGrpSpPr>
      <xdr:grpSpPr>
        <a:xfrm>
          <a:off x="1162050" y="342900"/>
          <a:ext cx="685800" cy="695325"/>
          <a:chOff x="2362200" y="1752600"/>
          <a:chExt cx="1524000" cy="1524000"/>
        </a:xfrm>
        <a:effectLst>
          <a:outerShdw blurRad="50800" dist="38100" dir="5400000" algn="t" rotWithShape="0">
            <a:prstClr val="black">
              <a:alpha val="40000"/>
            </a:prstClr>
          </a:outerShdw>
        </a:effectLst>
      </xdr:grpSpPr>
      <xdr:sp macro="" textlink="">
        <xdr:nvSpPr>
          <xdr:cNvPr id="5" name="Rounded Rectangle 4"/>
          <xdr:cNvSpPr/>
        </xdr:nvSpPr>
        <xdr:spPr>
          <a:xfrm>
            <a:off x="2362200" y="175260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6" name="Picture 5" descr="White T Shir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2438400" y="1981200"/>
            <a:ext cx="952500" cy="771525"/>
          </a:xfrm>
          <a:prstGeom prst="rect">
            <a:avLst/>
          </a:prstGeom>
          <a:noFill/>
        </xdr:spPr>
      </xdr:pic>
      <xdr:pic>
        <xdr:nvPicPr>
          <xdr:cNvPr id="7" name="Picture 6" descr="Running, Shoes Clip Art"/>
          <xdr:cNvPicPr>
            <a:picLocks noChangeAspect="1" noChangeArrowheads="1"/>
          </xdr:cNvPicPr>
        </xdr:nvPicPr>
        <xdr:blipFill>
          <a:blip xmlns:r="http://schemas.openxmlformats.org/officeDocument/2006/relationships" r:embed="rId2" cstate="print">
            <a:lum bright="70000" contrast="-70000"/>
          </a:blip>
          <a:srcRect/>
          <a:stretch>
            <a:fillRect/>
          </a:stretch>
        </xdr:blipFill>
        <xdr:spPr bwMode="auto">
          <a:xfrm>
            <a:off x="2819400" y="2438400"/>
            <a:ext cx="952500" cy="638175"/>
          </a:xfrm>
          <a:prstGeom prst="rect">
            <a:avLst/>
          </a:prstGeom>
          <a:noFill/>
        </xdr:spPr>
      </xdr:pic>
    </xdr:grpSp>
    <xdr:clientData/>
  </xdr:twoCellAnchor>
  <xdr:twoCellAnchor>
    <xdr:from>
      <xdr:col>2</xdr:col>
      <xdr:colOff>95250</xdr:colOff>
      <xdr:row>11</xdr:row>
      <xdr:rowOff>219075</xdr:rowOff>
    </xdr:from>
    <xdr:to>
      <xdr:col>3</xdr:col>
      <xdr:colOff>428625</xdr:colOff>
      <xdr:row>12</xdr:row>
      <xdr:rowOff>209550</xdr:rowOff>
    </xdr:to>
    <xdr:sp macro="" textlink="">
      <xdr:nvSpPr>
        <xdr:cNvPr id="11" name="Rounded Rectangle 10">
          <a:hlinkClick xmlns:r="http://schemas.openxmlformats.org/officeDocument/2006/relationships" r:id="rId3"/>
        </xdr:cNvPr>
        <xdr:cNvSpPr/>
      </xdr:nvSpPr>
      <xdr:spPr>
        <a:xfrm>
          <a:off x="1314450" y="3552825"/>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714375</xdr:colOff>
      <xdr:row>11</xdr:row>
      <xdr:rowOff>228600</xdr:rowOff>
    </xdr:from>
    <xdr:to>
      <xdr:col>11</xdr:col>
      <xdr:colOff>838200</xdr:colOff>
      <xdr:row>12</xdr:row>
      <xdr:rowOff>219075</xdr:rowOff>
    </xdr:to>
    <xdr:sp macro="" textlink="">
      <xdr:nvSpPr>
        <xdr:cNvPr id="12" name="Rounded Rectangle 11">
          <a:hlinkClick xmlns:r="http://schemas.openxmlformats.org/officeDocument/2006/relationships" r:id="rId4"/>
        </xdr:cNvPr>
        <xdr:cNvSpPr/>
      </xdr:nvSpPr>
      <xdr:spPr>
        <a:xfrm>
          <a:off x="7296150" y="3562350"/>
          <a:ext cx="10668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542925</xdr:colOff>
      <xdr:row>0</xdr:row>
      <xdr:rowOff>219076</xdr:rowOff>
    </xdr:from>
    <xdr:to>
      <xdr:col>12</xdr:col>
      <xdr:colOff>28575</xdr:colOff>
      <xdr:row>13</xdr:row>
      <xdr:rowOff>28575</xdr:rowOff>
    </xdr:to>
    <xdr:sp macro="" textlink="">
      <xdr:nvSpPr>
        <xdr:cNvPr id="2" name="Rounded Rectangle 1"/>
        <xdr:cNvSpPr/>
      </xdr:nvSpPr>
      <xdr:spPr>
        <a:xfrm>
          <a:off x="1152525" y="219076"/>
          <a:ext cx="6905625" cy="3648074"/>
        </a:xfrm>
        <a:prstGeom prst="roundRect">
          <a:avLst>
            <a:gd name="adj" fmla="val 5126"/>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85725</xdr:colOff>
      <xdr:row>1</xdr:row>
      <xdr:rowOff>47625</xdr:rowOff>
    </xdr:from>
    <xdr:to>
      <xdr:col>3</xdr:col>
      <xdr:colOff>142875</xdr:colOff>
      <xdr:row>3</xdr:row>
      <xdr:rowOff>47625</xdr:rowOff>
    </xdr:to>
    <xdr:grpSp>
      <xdr:nvGrpSpPr>
        <xdr:cNvPr id="7" name="Group 6"/>
        <xdr:cNvGrpSpPr/>
      </xdr:nvGrpSpPr>
      <xdr:grpSpPr>
        <a:xfrm>
          <a:off x="1304925" y="314325"/>
          <a:ext cx="666750" cy="695325"/>
          <a:chOff x="3352800" y="1676400"/>
          <a:chExt cx="1219200" cy="1219200"/>
        </a:xfrm>
        <a:effectLst>
          <a:outerShdw blurRad="50800" dist="38100" dir="5400000" algn="t" rotWithShape="0">
            <a:prstClr val="black">
              <a:alpha val="40000"/>
            </a:prstClr>
          </a:outerShdw>
        </a:effectLst>
      </xdr:grpSpPr>
      <xdr:sp macro="" textlink="">
        <xdr:nvSpPr>
          <xdr:cNvPr id="8" name="Rounded Rectangle 7"/>
          <xdr:cNvSpPr/>
        </xdr:nvSpPr>
        <xdr:spPr>
          <a:xfrm>
            <a:off x="3352800" y="167640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 name="Picture 8" descr="Building White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886200" y="1828800"/>
            <a:ext cx="552450" cy="952500"/>
          </a:xfrm>
          <a:prstGeom prst="rect">
            <a:avLst/>
          </a:prstGeom>
          <a:noFill/>
        </xdr:spPr>
      </xdr:pic>
      <xdr:pic>
        <xdr:nvPicPr>
          <xdr:cNvPr id="10" name="Picture 9" descr="Building White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505200" y="1981200"/>
            <a:ext cx="375666" cy="647700"/>
          </a:xfrm>
          <a:prstGeom prst="rect">
            <a:avLst/>
          </a:prstGeom>
          <a:noFill/>
        </xdr:spPr>
      </xdr:pic>
    </xdr:grpSp>
    <xdr:clientData/>
  </xdr:twoCellAnchor>
  <xdr:twoCellAnchor>
    <xdr:from>
      <xdr:col>2</xdr:col>
      <xdr:colOff>95250</xdr:colOff>
      <xdr:row>11</xdr:row>
      <xdr:rowOff>219075</xdr:rowOff>
    </xdr:from>
    <xdr:to>
      <xdr:col>3</xdr:col>
      <xdr:colOff>428625</xdr:colOff>
      <xdr:row>12</xdr:row>
      <xdr:rowOff>209550</xdr:rowOff>
    </xdr:to>
    <xdr:sp macro="" textlink="">
      <xdr:nvSpPr>
        <xdr:cNvPr id="11" name="Rounded Rectangle 10">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647700</xdr:colOff>
      <xdr:row>11</xdr:row>
      <xdr:rowOff>219075</xdr:rowOff>
    </xdr:from>
    <xdr:to>
      <xdr:col>11</xdr:col>
      <xdr:colOff>1019175</xdr:colOff>
      <xdr:row>12</xdr:row>
      <xdr:rowOff>209550</xdr:rowOff>
    </xdr:to>
    <xdr:sp macro="" textlink="">
      <xdr:nvSpPr>
        <xdr:cNvPr id="12" name="Rounded Rectangle 11">
          <a:hlinkClick xmlns:r="http://schemas.openxmlformats.org/officeDocument/2006/relationships" r:id="rId3"/>
        </xdr:cNvPr>
        <xdr:cNvSpPr/>
      </xdr:nvSpPr>
      <xdr:spPr>
        <a:xfrm>
          <a:off x="7496175" y="3524250"/>
          <a:ext cx="1257300" cy="257175"/>
        </a:xfrm>
        <a:prstGeom prst="roundRect">
          <a:avLst/>
        </a:prstGeom>
      </xdr:spPr>
      <xdr:style>
        <a:lnRef idx="0">
          <a:schemeClr val="accent1"/>
        </a:lnRef>
        <a:fillRef idx="3">
          <a:schemeClr val="accent1"/>
        </a:fillRef>
        <a:effectRef idx="3">
          <a:schemeClr val="accent1"/>
        </a:effectRef>
        <a:fontRef idx="minor">
          <a:schemeClr val="lt1"/>
        </a:fontRef>
      </xdr:style>
      <xdr:txBody>
        <a:bodyPr rtlCol="0" anchor="ctr"/>
        <a:lstStyle/>
        <a:p>
          <a:pPr algn="ctr"/>
          <a:r>
            <a:rPr lang="en-US" sz="1100" b="1"/>
            <a:t>SUMMARY</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1273342</xdr:colOff>
      <xdr:row>85</xdr:row>
      <xdr:rowOff>30080</xdr:rowOff>
    </xdr:from>
    <xdr:ext cx="6162675" cy="3347455"/>
    <xdr:sp macro="" textlink="">
      <xdr:nvSpPr>
        <xdr:cNvPr id="2" name="TextBox 1"/>
        <xdr:cNvSpPr txBox="1"/>
      </xdr:nvSpPr>
      <xdr:spPr>
        <a:xfrm>
          <a:off x="2025316" y="611606"/>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xdr:col>
      <xdr:colOff>571500</xdr:colOff>
      <xdr:row>1</xdr:row>
      <xdr:rowOff>0</xdr:rowOff>
    </xdr:from>
    <xdr:to>
      <xdr:col>10</xdr:col>
      <xdr:colOff>19050</xdr:colOff>
      <xdr:row>29</xdr:row>
      <xdr:rowOff>28575</xdr:rowOff>
    </xdr:to>
    <xdr:sp macro="" textlink="">
      <xdr:nvSpPr>
        <xdr:cNvPr id="2" name="Rounded Rectangle 1"/>
        <xdr:cNvSpPr/>
      </xdr:nvSpPr>
      <xdr:spPr>
        <a:xfrm>
          <a:off x="1181100" y="276225"/>
          <a:ext cx="6886575" cy="6505575"/>
        </a:xfrm>
        <a:prstGeom prst="roundRect">
          <a:avLst>
            <a:gd name="adj" fmla="val 728"/>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95250</xdr:colOff>
      <xdr:row>27</xdr:row>
      <xdr:rowOff>0</xdr:rowOff>
    </xdr:from>
    <xdr:to>
      <xdr:col>3</xdr:col>
      <xdr:colOff>428625</xdr:colOff>
      <xdr:row>28</xdr:row>
      <xdr:rowOff>28575</xdr:rowOff>
    </xdr:to>
    <xdr:sp macro="" textlink="">
      <xdr:nvSpPr>
        <xdr:cNvPr id="3" name="Rounded Rectangle 2">
          <a:hlinkClick xmlns:r="http://schemas.openxmlformats.org/officeDocument/2006/relationships" r:id="rId1"/>
        </xdr:cNvPr>
        <xdr:cNvSpPr/>
      </xdr:nvSpPr>
      <xdr:spPr>
        <a:xfrm>
          <a:off x="1314450" y="6353175"/>
          <a:ext cx="942975" cy="228600"/>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8</xdr:col>
      <xdr:colOff>228600</xdr:colOff>
      <xdr:row>26</xdr:row>
      <xdr:rowOff>180974</xdr:rowOff>
    </xdr:from>
    <xdr:to>
      <xdr:col>9</xdr:col>
      <xdr:colOff>523875</xdr:colOff>
      <xdr:row>28</xdr:row>
      <xdr:rowOff>57149</xdr:rowOff>
    </xdr:to>
    <xdr:sp macro="" textlink="">
      <xdr:nvSpPr>
        <xdr:cNvPr id="4" name="Rounded Rectangle 3">
          <a:hlinkClick xmlns:r="http://schemas.openxmlformats.org/officeDocument/2006/relationships" r:id="rId2"/>
        </xdr:cNvPr>
        <xdr:cNvSpPr/>
      </xdr:nvSpPr>
      <xdr:spPr>
        <a:xfrm>
          <a:off x="6924675" y="6334124"/>
          <a:ext cx="1028700" cy="276225"/>
        </a:xfrm>
        <a:prstGeom prst="roundRect">
          <a:avLst/>
        </a:prstGeom>
        <a:gradFill>
          <a:gsLst>
            <a:gs pos="0">
              <a:srgbClr val="000000"/>
            </a:gs>
            <a:gs pos="39999">
              <a:srgbClr val="0A128C"/>
            </a:gs>
            <a:gs pos="70000">
              <a:srgbClr val="181CC7"/>
            </a:gs>
            <a:gs pos="88000">
              <a:srgbClr val="7005D4"/>
            </a:gs>
            <a:gs pos="100000">
              <a:srgbClr val="8C3D91"/>
            </a:gs>
          </a:gsLst>
          <a:lin ang="16200000" scaled="0"/>
        </a:gradFill>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100" b="1"/>
            <a:t>REPORT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39688</xdr:colOff>
      <xdr:row>248</xdr:row>
      <xdr:rowOff>49610</xdr:rowOff>
    </xdr:from>
    <xdr:to>
      <xdr:col>21</xdr:col>
      <xdr:colOff>724295</xdr:colOff>
      <xdr:row>253</xdr:row>
      <xdr:rowOff>198438</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476250</xdr:colOff>
      <xdr:row>283</xdr:row>
      <xdr:rowOff>128984</xdr:rowOff>
    </xdr:from>
    <xdr:to>
      <xdr:col>21</xdr:col>
      <xdr:colOff>585390</xdr:colOff>
      <xdr:row>296</xdr:row>
      <xdr:rowOff>277813</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585390</xdr:colOff>
      <xdr:row>316</xdr:row>
      <xdr:rowOff>148827</xdr:rowOff>
    </xdr:from>
    <xdr:to>
      <xdr:col>22</xdr:col>
      <xdr:colOff>19843</xdr:colOff>
      <xdr:row>326</xdr:row>
      <xdr:rowOff>347265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49609</xdr:colOff>
      <xdr:row>345</xdr:row>
      <xdr:rowOff>198440</xdr:rowOff>
    </xdr:from>
    <xdr:to>
      <xdr:col>21</xdr:col>
      <xdr:colOff>496093</xdr:colOff>
      <xdr:row>352</xdr:row>
      <xdr:rowOff>535782</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39688</xdr:colOff>
      <xdr:row>381</xdr:row>
      <xdr:rowOff>138906</xdr:rowOff>
    </xdr:from>
    <xdr:to>
      <xdr:col>21</xdr:col>
      <xdr:colOff>520700</xdr:colOff>
      <xdr:row>392</xdr:row>
      <xdr:rowOff>99219</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29766</xdr:colOff>
      <xdr:row>420</xdr:row>
      <xdr:rowOff>99220</xdr:rowOff>
    </xdr:from>
    <xdr:to>
      <xdr:col>21</xdr:col>
      <xdr:colOff>684213</xdr:colOff>
      <xdr:row>431</xdr:row>
      <xdr:rowOff>228204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39688</xdr:colOff>
      <xdr:row>210</xdr:row>
      <xdr:rowOff>9921</xdr:rowOff>
    </xdr:from>
    <xdr:to>
      <xdr:col>21</xdr:col>
      <xdr:colOff>631259</xdr:colOff>
      <xdr:row>220</xdr:row>
      <xdr:rowOff>9922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57149</xdr:colOff>
      <xdr:row>836</xdr:row>
      <xdr:rowOff>171526</xdr:rowOff>
    </xdr:from>
    <xdr:to>
      <xdr:col>29</xdr:col>
      <xdr:colOff>142874</xdr:colOff>
      <xdr:row>842</xdr:row>
      <xdr:rowOff>18331</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386160</xdr:colOff>
      <xdr:row>890</xdr:row>
      <xdr:rowOff>278606</xdr:rowOff>
    </xdr:from>
    <xdr:to>
      <xdr:col>15</xdr:col>
      <xdr:colOff>387748</xdr:colOff>
      <xdr:row>894</xdr:row>
      <xdr:rowOff>278607</xdr:rowOff>
    </xdr:to>
    <xdr:cxnSp macro="">
      <xdr:nvCxnSpPr>
        <xdr:cNvPr id="28" name="Straight Arrow Connector 27"/>
        <xdr:cNvCxnSpPr/>
      </xdr:nvCxnSpPr>
      <xdr:spPr>
        <a:xfrm rot="5400000">
          <a:off x="4653360" y="223391016"/>
          <a:ext cx="1190626" cy="1588"/>
        </a:xfrm>
        <a:prstGeom prst="straightConnector1">
          <a:avLst/>
        </a:prstGeom>
        <a:ln>
          <a:prstDash val="sysDash"/>
          <a:headEnd type="arrow"/>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327422</xdr:colOff>
      <xdr:row>855</xdr:row>
      <xdr:rowOff>238126</xdr:rowOff>
    </xdr:from>
    <xdr:to>
      <xdr:col>17</xdr:col>
      <xdr:colOff>704453</xdr:colOff>
      <xdr:row>862</xdr:row>
      <xdr:rowOff>208360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428625</xdr:colOff>
      <xdr:row>493</xdr:row>
      <xdr:rowOff>133350</xdr:rowOff>
    </xdr:from>
    <xdr:to>
      <xdr:col>21</xdr:col>
      <xdr:colOff>619125</xdr:colOff>
      <xdr:row>504</xdr:row>
      <xdr:rowOff>123824</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495300</xdr:colOff>
      <xdr:row>470</xdr:row>
      <xdr:rowOff>95249</xdr:rowOff>
    </xdr:from>
    <xdr:to>
      <xdr:col>22</xdr:col>
      <xdr:colOff>95250</xdr:colOff>
      <xdr:row>482</xdr:row>
      <xdr:rowOff>85724</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1752600</xdr:colOff>
      <xdr:row>836</xdr:row>
      <xdr:rowOff>104775</xdr:rowOff>
    </xdr:from>
    <xdr:to>
      <xdr:col>15</xdr:col>
      <xdr:colOff>104775</xdr:colOff>
      <xdr:row>838</xdr:row>
      <xdr:rowOff>323850</xdr:rowOff>
    </xdr:to>
    <xdr:grpSp>
      <xdr:nvGrpSpPr>
        <xdr:cNvPr id="81" name="Group 80"/>
        <xdr:cNvGrpSpPr/>
      </xdr:nvGrpSpPr>
      <xdr:grpSpPr>
        <a:xfrm>
          <a:off x="3533775" y="35690175"/>
          <a:ext cx="895350" cy="876300"/>
          <a:chOff x="914400" y="25041225"/>
          <a:chExt cx="1676400" cy="1990725"/>
        </a:xfrm>
      </xdr:grpSpPr>
      <xdr:pic>
        <xdr:nvPicPr>
          <xdr:cNvPr id="64" name="Picture 63" descr="Fork And Spoon 2 Clip Art"/>
          <xdr:cNvPicPr>
            <a:picLocks noChangeAspect="1" noChangeArrowheads="1"/>
          </xdr:cNvPicPr>
        </xdr:nvPicPr>
        <xdr:blipFill>
          <a:blip xmlns:r="http://schemas.openxmlformats.org/officeDocument/2006/relationships" r:embed="rId12" cstate="print"/>
          <a:srcRect/>
          <a:stretch>
            <a:fillRect/>
          </a:stretch>
        </xdr:blipFill>
        <xdr:spPr bwMode="auto">
          <a:xfrm>
            <a:off x="1752600" y="25193625"/>
            <a:ext cx="647700" cy="647700"/>
          </a:xfrm>
          <a:prstGeom prst="rect">
            <a:avLst/>
          </a:prstGeom>
          <a:noFill/>
          <a:effectLst>
            <a:outerShdw blurRad="50800" dist="38100" dir="5400000" algn="t" rotWithShape="0">
              <a:prstClr val="black">
                <a:alpha val="40000"/>
              </a:prstClr>
            </a:outerShdw>
          </a:effectLst>
        </xdr:spPr>
      </xdr:pic>
      <xdr:grpSp>
        <xdr:nvGrpSpPr>
          <xdr:cNvPr id="65" name="Group 64"/>
          <xdr:cNvGrpSpPr/>
        </xdr:nvGrpSpPr>
        <xdr:grpSpPr>
          <a:xfrm>
            <a:off x="1219200" y="25041225"/>
            <a:ext cx="647700" cy="619125"/>
            <a:chOff x="0" y="0"/>
            <a:chExt cx="2209800" cy="2438400"/>
          </a:xfrm>
          <a:effectLst>
            <a:outerShdw blurRad="50800" dist="38100" dir="5400000" algn="t" rotWithShape="0">
              <a:prstClr val="black">
                <a:alpha val="40000"/>
              </a:prstClr>
            </a:outerShdw>
          </a:effectLst>
        </xdr:grpSpPr>
        <xdr:sp macro="" textlink="">
          <xdr:nvSpPr>
            <xdr:cNvPr id="79" name="Rounded Rectangle 78"/>
            <xdr:cNvSpPr/>
          </xdr:nvSpPr>
          <xdr:spPr>
            <a:xfrm>
              <a:off x="0" y="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80" name="Picture 79" descr="Orange Shopping Cart Clip Art"/>
            <xdr:cNvPicPr>
              <a:picLocks noChangeAspect="1" noChangeArrowheads="1"/>
            </xdr:cNvPicPr>
          </xdr:nvPicPr>
          <xdr:blipFill>
            <a:blip xmlns:r="http://schemas.openxmlformats.org/officeDocument/2006/relationships" r:embed="rId13" cstate="print">
              <a:lum bright="70000" contrast="-70000"/>
            </a:blip>
            <a:srcRect/>
            <a:stretch>
              <a:fillRect/>
            </a:stretch>
          </xdr:blipFill>
          <xdr:spPr bwMode="auto">
            <a:xfrm>
              <a:off x="220954" y="381000"/>
              <a:ext cx="1693571" cy="1704976"/>
            </a:xfrm>
            <a:prstGeom prst="rect">
              <a:avLst/>
            </a:prstGeom>
            <a:noFill/>
          </xdr:spPr>
        </xdr:pic>
      </xdr:grpSp>
      <xdr:pic>
        <xdr:nvPicPr>
          <xdr:cNvPr id="66" name="Picture 65" descr="Aiga Symbol Signs 51 Clip Art"/>
          <xdr:cNvPicPr>
            <a:picLocks noChangeAspect="1" noChangeArrowheads="1"/>
          </xdr:cNvPicPr>
        </xdr:nvPicPr>
        <xdr:blipFill>
          <a:blip xmlns:r="http://schemas.openxmlformats.org/officeDocument/2006/relationships" r:embed="rId14" cstate="print"/>
          <a:srcRect/>
          <a:stretch>
            <a:fillRect/>
          </a:stretch>
        </xdr:blipFill>
        <xdr:spPr bwMode="auto">
          <a:xfrm>
            <a:off x="914400" y="25269825"/>
            <a:ext cx="685800" cy="685800"/>
          </a:xfrm>
          <a:prstGeom prst="rect">
            <a:avLst/>
          </a:prstGeom>
          <a:noFill/>
          <a:effectLst>
            <a:outerShdw blurRad="50800" dist="38100" dir="5400000" algn="t" rotWithShape="0">
              <a:prstClr val="black">
                <a:alpha val="40000"/>
              </a:prstClr>
            </a:outerShdw>
          </a:effectLst>
        </xdr:spPr>
      </xdr:pic>
      <xdr:grpSp>
        <xdr:nvGrpSpPr>
          <xdr:cNvPr id="67" name="Group 66"/>
          <xdr:cNvGrpSpPr/>
        </xdr:nvGrpSpPr>
        <xdr:grpSpPr>
          <a:xfrm>
            <a:off x="1143000" y="25803225"/>
            <a:ext cx="695326" cy="714375"/>
            <a:chOff x="0" y="0"/>
            <a:chExt cx="3505200" cy="3886200"/>
          </a:xfrm>
          <a:effectLst>
            <a:outerShdw blurRad="50800" dist="38100" dir="5400000" algn="t" rotWithShape="0">
              <a:prstClr val="black">
                <a:alpha val="40000"/>
              </a:prstClr>
            </a:outerShdw>
          </a:effectLst>
        </xdr:grpSpPr>
        <xdr:sp macro="" textlink="">
          <xdr:nvSpPr>
            <xdr:cNvPr id="77" name="Rounded Rectangle 76"/>
            <xdr:cNvSpPr/>
          </xdr:nvSpPr>
          <xdr:spPr>
            <a:xfrm>
              <a:off x="0" y="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8" name="Picture 77" descr="Faucet Clip Art"/>
            <xdr:cNvPicPr>
              <a:picLocks noChangeAspect="1" noChangeArrowheads="1"/>
            </xdr:cNvPicPr>
          </xdr:nvPicPr>
          <xdr:blipFill>
            <a:blip xmlns:r="http://schemas.openxmlformats.org/officeDocument/2006/relationships" r:embed="rId15" cstate="print">
              <a:lum bright="70000" contrast="-70000"/>
            </a:blip>
            <a:srcRect/>
            <a:stretch>
              <a:fillRect/>
            </a:stretch>
          </xdr:blipFill>
          <xdr:spPr bwMode="auto">
            <a:xfrm>
              <a:off x="381000" y="533400"/>
              <a:ext cx="2857500" cy="2790825"/>
            </a:xfrm>
            <a:prstGeom prst="rect">
              <a:avLst/>
            </a:prstGeom>
            <a:noFill/>
          </xdr:spPr>
        </xdr:pic>
      </xdr:grpSp>
      <xdr:pic>
        <xdr:nvPicPr>
          <xdr:cNvPr id="68" name="Picture 67" descr="Tennis Black Clip Art"/>
          <xdr:cNvPicPr>
            <a:picLocks noChangeAspect="1" noChangeArrowheads="1"/>
          </xdr:cNvPicPr>
        </xdr:nvPicPr>
        <xdr:blipFill>
          <a:blip xmlns:r="http://schemas.openxmlformats.org/officeDocument/2006/relationships" r:embed="rId16" cstate="print"/>
          <a:srcRect/>
          <a:stretch>
            <a:fillRect/>
          </a:stretch>
        </xdr:blipFill>
        <xdr:spPr bwMode="auto">
          <a:xfrm>
            <a:off x="1752600" y="26355675"/>
            <a:ext cx="666750" cy="666750"/>
          </a:xfrm>
          <a:prstGeom prst="rect">
            <a:avLst/>
          </a:prstGeom>
          <a:noFill/>
          <a:effectLst>
            <a:outerShdw blurRad="50800" dist="38100" dir="5400000" algn="t" rotWithShape="0">
              <a:prstClr val="black">
                <a:alpha val="40000"/>
              </a:prstClr>
            </a:outerShdw>
          </a:effectLst>
        </xdr:spPr>
      </xdr:pic>
      <xdr:grpSp>
        <xdr:nvGrpSpPr>
          <xdr:cNvPr id="69" name="Group 68"/>
          <xdr:cNvGrpSpPr/>
        </xdr:nvGrpSpPr>
        <xdr:grpSpPr>
          <a:xfrm>
            <a:off x="1905000" y="25803225"/>
            <a:ext cx="685800" cy="695325"/>
            <a:chOff x="0" y="0"/>
            <a:chExt cx="1524000" cy="1524000"/>
          </a:xfrm>
          <a:effectLst>
            <a:outerShdw blurRad="50800" dist="38100" dir="5400000" algn="t" rotWithShape="0">
              <a:prstClr val="black">
                <a:alpha val="40000"/>
              </a:prstClr>
            </a:outerShdw>
          </a:effectLst>
        </xdr:grpSpPr>
        <xdr:sp macro="" textlink="">
          <xdr:nvSpPr>
            <xdr:cNvPr id="74" name="Rounded Rectangle 73"/>
            <xdr:cNvSpPr/>
          </xdr:nvSpPr>
          <xdr:spPr>
            <a:xfrm>
              <a:off x="0" y="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5" name="Picture 74" descr="White T Shirt Clip Art"/>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76200" y="228600"/>
              <a:ext cx="952500" cy="771525"/>
            </a:xfrm>
            <a:prstGeom prst="rect">
              <a:avLst/>
            </a:prstGeom>
            <a:noFill/>
          </xdr:spPr>
        </xdr:pic>
        <xdr:pic>
          <xdr:nvPicPr>
            <xdr:cNvPr id="76" name="Picture 75" descr="Running, Shoes Clip Art"/>
            <xdr:cNvPicPr>
              <a:picLocks noChangeAspect="1" noChangeArrowheads="1"/>
            </xdr:cNvPicPr>
          </xdr:nvPicPr>
          <xdr:blipFill>
            <a:blip xmlns:r="http://schemas.openxmlformats.org/officeDocument/2006/relationships" r:embed="rId18" cstate="print">
              <a:lum bright="70000" contrast="-70000"/>
            </a:blip>
            <a:srcRect/>
            <a:stretch>
              <a:fillRect/>
            </a:stretch>
          </xdr:blipFill>
          <xdr:spPr bwMode="auto">
            <a:xfrm>
              <a:off x="457200" y="685800"/>
              <a:ext cx="952500" cy="638175"/>
            </a:xfrm>
            <a:prstGeom prst="rect">
              <a:avLst/>
            </a:prstGeom>
            <a:noFill/>
          </xdr:spPr>
        </xdr:pic>
      </xdr:grpSp>
      <xdr:grpSp>
        <xdr:nvGrpSpPr>
          <xdr:cNvPr id="70" name="Group 69"/>
          <xdr:cNvGrpSpPr/>
        </xdr:nvGrpSpPr>
        <xdr:grpSpPr>
          <a:xfrm>
            <a:off x="914400" y="26336625"/>
            <a:ext cx="666750" cy="695325"/>
            <a:chOff x="0" y="0"/>
            <a:chExt cx="1219200" cy="1219200"/>
          </a:xfrm>
          <a:effectLst>
            <a:outerShdw blurRad="50800" dist="38100" dir="5400000" algn="t" rotWithShape="0">
              <a:prstClr val="black">
                <a:alpha val="40000"/>
              </a:prstClr>
            </a:outerShdw>
          </a:effectLst>
        </xdr:grpSpPr>
        <xdr:sp macro="" textlink="">
          <xdr:nvSpPr>
            <xdr:cNvPr id="71" name="Rounded Rectangle 70"/>
            <xdr:cNvSpPr/>
          </xdr:nvSpPr>
          <xdr:spPr>
            <a:xfrm>
              <a:off x="0" y="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72" name="Picture 71" descr="Building White Clip Art"/>
            <xdr:cNvPicPr>
              <a:picLocks noChangeAspect="1" noChangeArrowheads="1"/>
            </xdr:cNvPicPr>
          </xdr:nvPicPr>
          <xdr:blipFill>
            <a:blip xmlns:r="http://schemas.openxmlformats.org/officeDocument/2006/relationships" r:embed="rId19" cstate="print">
              <a:lum bright="70000" contrast="-70000"/>
            </a:blip>
            <a:srcRect/>
            <a:stretch>
              <a:fillRect/>
            </a:stretch>
          </xdr:blipFill>
          <xdr:spPr bwMode="auto">
            <a:xfrm>
              <a:off x="533400" y="152400"/>
              <a:ext cx="552450" cy="952500"/>
            </a:xfrm>
            <a:prstGeom prst="rect">
              <a:avLst/>
            </a:prstGeom>
            <a:noFill/>
          </xdr:spPr>
        </xdr:pic>
        <xdr:pic>
          <xdr:nvPicPr>
            <xdr:cNvPr id="73" name="Picture 72" descr="Building White Clip Art"/>
            <xdr:cNvPicPr>
              <a:picLocks noChangeAspect="1" noChangeArrowheads="1"/>
            </xdr:cNvPicPr>
          </xdr:nvPicPr>
          <xdr:blipFill>
            <a:blip xmlns:r="http://schemas.openxmlformats.org/officeDocument/2006/relationships" r:embed="rId20" cstate="print">
              <a:lum bright="70000" contrast="-70000"/>
            </a:blip>
            <a:srcRect/>
            <a:stretch>
              <a:fillRect/>
            </a:stretch>
          </xdr:blipFill>
          <xdr:spPr bwMode="auto">
            <a:xfrm>
              <a:off x="152400" y="304800"/>
              <a:ext cx="375666" cy="647700"/>
            </a:xfrm>
            <a:prstGeom prst="rect">
              <a:avLst/>
            </a:prstGeom>
            <a:noFill/>
          </xdr:spPr>
        </xdr:pic>
      </xdr:grpSp>
    </xdr:grpSp>
    <xdr:clientData/>
  </xdr:twoCellAnchor>
  <xdr:twoCellAnchor>
    <xdr:from>
      <xdr:col>15</xdr:col>
      <xdr:colOff>447675</xdr:colOff>
      <xdr:row>836</xdr:row>
      <xdr:rowOff>114300</xdr:rowOff>
    </xdr:from>
    <xdr:to>
      <xdr:col>16</xdr:col>
      <xdr:colOff>409575</xdr:colOff>
      <xdr:row>839</xdr:row>
      <xdr:rowOff>0</xdr:rowOff>
    </xdr:to>
    <xdr:grpSp>
      <xdr:nvGrpSpPr>
        <xdr:cNvPr id="82" name="Group 81"/>
        <xdr:cNvGrpSpPr/>
      </xdr:nvGrpSpPr>
      <xdr:grpSpPr>
        <a:xfrm>
          <a:off x="4772025" y="35699700"/>
          <a:ext cx="895350" cy="876300"/>
          <a:chOff x="914400" y="25041225"/>
          <a:chExt cx="1676400" cy="1990725"/>
        </a:xfrm>
      </xdr:grpSpPr>
      <xdr:pic>
        <xdr:nvPicPr>
          <xdr:cNvPr id="83" name="Picture 82" descr="Fork And Spoon 2 Clip Art"/>
          <xdr:cNvPicPr>
            <a:picLocks noChangeAspect="1" noChangeArrowheads="1"/>
          </xdr:cNvPicPr>
        </xdr:nvPicPr>
        <xdr:blipFill>
          <a:blip xmlns:r="http://schemas.openxmlformats.org/officeDocument/2006/relationships" r:embed="rId12" cstate="print"/>
          <a:srcRect/>
          <a:stretch>
            <a:fillRect/>
          </a:stretch>
        </xdr:blipFill>
        <xdr:spPr bwMode="auto">
          <a:xfrm>
            <a:off x="1752600" y="25193625"/>
            <a:ext cx="647700" cy="647700"/>
          </a:xfrm>
          <a:prstGeom prst="rect">
            <a:avLst/>
          </a:prstGeom>
          <a:noFill/>
          <a:effectLst>
            <a:outerShdw blurRad="50800" dist="38100" dir="5400000" algn="t" rotWithShape="0">
              <a:prstClr val="black">
                <a:alpha val="40000"/>
              </a:prstClr>
            </a:outerShdw>
          </a:effectLst>
        </xdr:spPr>
      </xdr:pic>
      <xdr:grpSp>
        <xdr:nvGrpSpPr>
          <xdr:cNvPr id="84" name="Group 64"/>
          <xdr:cNvGrpSpPr/>
        </xdr:nvGrpSpPr>
        <xdr:grpSpPr>
          <a:xfrm>
            <a:off x="1219200" y="25041225"/>
            <a:ext cx="647700" cy="619125"/>
            <a:chOff x="0" y="0"/>
            <a:chExt cx="2209800" cy="2438400"/>
          </a:xfrm>
          <a:effectLst>
            <a:outerShdw blurRad="50800" dist="38100" dir="5400000" algn="t" rotWithShape="0">
              <a:prstClr val="black">
                <a:alpha val="40000"/>
              </a:prstClr>
            </a:outerShdw>
          </a:effectLst>
        </xdr:grpSpPr>
        <xdr:sp macro="" textlink="">
          <xdr:nvSpPr>
            <xdr:cNvPr id="98" name="Rounded Rectangle 97"/>
            <xdr:cNvSpPr/>
          </xdr:nvSpPr>
          <xdr:spPr>
            <a:xfrm>
              <a:off x="0" y="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9" name="Picture 98" descr="Orange Shopping Cart Clip Art"/>
            <xdr:cNvPicPr>
              <a:picLocks noChangeAspect="1" noChangeArrowheads="1"/>
            </xdr:cNvPicPr>
          </xdr:nvPicPr>
          <xdr:blipFill>
            <a:blip xmlns:r="http://schemas.openxmlformats.org/officeDocument/2006/relationships" r:embed="rId13" cstate="print">
              <a:lum bright="70000" contrast="-70000"/>
            </a:blip>
            <a:srcRect/>
            <a:stretch>
              <a:fillRect/>
            </a:stretch>
          </xdr:blipFill>
          <xdr:spPr bwMode="auto">
            <a:xfrm>
              <a:off x="220954" y="381000"/>
              <a:ext cx="1693571" cy="1704976"/>
            </a:xfrm>
            <a:prstGeom prst="rect">
              <a:avLst/>
            </a:prstGeom>
            <a:noFill/>
          </xdr:spPr>
        </xdr:pic>
      </xdr:grpSp>
      <xdr:pic>
        <xdr:nvPicPr>
          <xdr:cNvPr id="85" name="Picture 84" descr="Aiga Symbol Signs 51 Clip Art"/>
          <xdr:cNvPicPr>
            <a:picLocks noChangeAspect="1" noChangeArrowheads="1"/>
          </xdr:cNvPicPr>
        </xdr:nvPicPr>
        <xdr:blipFill>
          <a:blip xmlns:r="http://schemas.openxmlformats.org/officeDocument/2006/relationships" r:embed="rId14" cstate="print"/>
          <a:srcRect/>
          <a:stretch>
            <a:fillRect/>
          </a:stretch>
        </xdr:blipFill>
        <xdr:spPr bwMode="auto">
          <a:xfrm>
            <a:off x="914400" y="25269825"/>
            <a:ext cx="685800" cy="685800"/>
          </a:xfrm>
          <a:prstGeom prst="rect">
            <a:avLst/>
          </a:prstGeom>
          <a:noFill/>
          <a:effectLst>
            <a:outerShdw blurRad="50800" dist="38100" dir="5400000" algn="t" rotWithShape="0">
              <a:prstClr val="black">
                <a:alpha val="40000"/>
              </a:prstClr>
            </a:outerShdw>
          </a:effectLst>
        </xdr:spPr>
      </xdr:pic>
      <xdr:grpSp>
        <xdr:nvGrpSpPr>
          <xdr:cNvPr id="86" name="Group 66"/>
          <xdr:cNvGrpSpPr/>
        </xdr:nvGrpSpPr>
        <xdr:grpSpPr>
          <a:xfrm>
            <a:off x="1143000" y="25803225"/>
            <a:ext cx="695326" cy="714375"/>
            <a:chOff x="0" y="0"/>
            <a:chExt cx="3505200" cy="3886200"/>
          </a:xfrm>
          <a:effectLst>
            <a:outerShdw blurRad="50800" dist="38100" dir="5400000" algn="t" rotWithShape="0">
              <a:prstClr val="black">
                <a:alpha val="40000"/>
              </a:prstClr>
            </a:outerShdw>
          </a:effectLst>
        </xdr:grpSpPr>
        <xdr:sp macro="" textlink="">
          <xdr:nvSpPr>
            <xdr:cNvPr id="96" name="Rounded Rectangle 95"/>
            <xdr:cNvSpPr/>
          </xdr:nvSpPr>
          <xdr:spPr>
            <a:xfrm>
              <a:off x="0" y="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7" name="Picture 96" descr="Faucet Clip Art"/>
            <xdr:cNvPicPr>
              <a:picLocks noChangeAspect="1" noChangeArrowheads="1"/>
            </xdr:cNvPicPr>
          </xdr:nvPicPr>
          <xdr:blipFill>
            <a:blip xmlns:r="http://schemas.openxmlformats.org/officeDocument/2006/relationships" r:embed="rId15" cstate="print">
              <a:lum bright="70000" contrast="-70000"/>
            </a:blip>
            <a:srcRect/>
            <a:stretch>
              <a:fillRect/>
            </a:stretch>
          </xdr:blipFill>
          <xdr:spPr bwMode="auto">
            <a:xfrm>
              <a:off x="381000" y="533400"/>
              <a:ext cx="2857500" cy="2790825"/>
            </a:xfrm>
            <a:prstGeom prst="rect">
              <a:avLst/>
            </a:prstGeom>
            <a:noFill/>
          </xdr:spPr>
        </xdr:pic>
      </xdr:grpSp>
      <xdr:pic>
        <xdr:nvPicPr>
          <xdr:cNvPr id="87" name="Picture 86" descr="Tennis Black Clip Art"/>
          <xdr:cNvPicPr>
            <a:picLocks noChangeAspect="1" noChangeArrowheads="1"/>
          </xdr:cNvPicPr>
        </xdr:nvPicPr>
        <xdr:blipFill>
          <a:blip xmlns:r="http://schemas.openxmlformats.org/officeDocument/2006/relationships" r:embed="rId16" cstate="print"/>
          <a:srcRect/>
          <a:stretch>
            <a:fillRect/>
          </a:stretch>
        </xdr:blipFill>
        <xdr:spPr bwMode="auto">
          <a:xfrm>
            <a:off x="1752600" y="26355675"/>
            <a:ext cx="666750" cy="666750"/>
          </a:xfrm>
          <a:prstGeom prst="rect">
            <a:avLst/>
          </a:prstGeom>
          <a:noFill/>
          <a:effectLst>
            <a:outerShdw blurRad="50800" dist="38100" dir="5400000" algn="t" rotWithShape="0">
              <a:prstClr val="black">
                <a:alpha val="40000"/>
              </a:prstClr>
            </a:outerShdw>
          </a:effectLst>
        </xdr:spPr>
      </xdr:pic>
      <xdr:grpSp>
        <xdr:nvGrpSpPr>
          <xdr:cNvPr id="88" name="Group 68"/>
          <xdr:cNvGrpSpPr/>
        </xdr:nvGrpSpPr>
        <xdr:grpSpPr>
          <a:xfrm>
            <a:off x="1905000" y="25803225"/>
            <a:ext cx="685800" cy="695325"/>
            <a:chOff x="0" y="0"/>
            <a:chExt cx="1524000" cy="1524000"/>
          </a:xfrm>
          <a:effectLst>
            <a:outerShdw blurRad="50800" dist="38100" dir="5400000" algn="t" rotWithShape="0">
              <a:prstClr val="black">
                <a:alpha val="40000"/>
              </a:prstClr>
            </a:outerShdw>
          </a:effectLst>
        </xdr:grpSpPr>
        <xdr:sp macro="" textlink="">
          <xdr:nvSpPr>
            <xdr:cNvPr id="93" name="Rounded Rectangle 92"/>
            <xdr:cNvSpPr/>
          </xdr:nvSpPr>
          <xdr:spPr>
            <a:xfrm>
              <a:off x="0" y="0"/>
              <a:ext cx="1524000" cy="1524000"/>
            </a:xfrm>
            <a:prstGeom prst="roundRe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4" name="Picture 93" descr="White T Shirt Clip Art"/>
            <xdr:cNvPicPr>
              <a:picLocks noChangeAspect="1" noChangeArrowheads="1"/>
            </xdr:cNvPicPr>
          </xdr:nvPicPr>
          <xdr:blipFill>
            <a:blip xmlns:r="http://schemas.openxmlformats.org/officeDocument/2006/relationships" r:embed="rId17" cstate="print">
              <a:lum bright="70000" contrast="-70000"/>
            </a:blip>
            <a:srcRect/>
            <a:stretch>
              <a:fillRect/>
            </a:stretch>
          </xdr:blipFill>
          <xdr:spPr bwMode="auto">
            <a:xfrm>
              <a:off x="76200" y="228600"/>
              <a:ext cx="952500" cy="771525"/>
            </a:xfrm>
            <a:prstGeom prst="rect">
              <a:avLst/>
            </a:prstGeom>
            <a:noFill/>
          </xdr:spPr>
        </xdr:pic>
        <xdr:pic>
          <xdr:nvPicPr>
            <xdr:cNvPr id="95" name="Picture 94" descr="Running, Shoes Clip Art"/>
            <xdr:cNvPicPr>
              <a:picLocks noChangeAspect="1" noChangeArrowheads="1"/>
            </xdr:cNvPicPr>
          </xdr:nvPicPr>
          <xdr:blipFill>
            <a:blip xmlns:r="http://schemas.openxmlformats.org/officeDocument/2006/relationships" r:embed="rId18" cstate="print">
              <a:lum bright="70000" contrast="-70000"/>
            </a:blip>
            <a:srcRect/>
            <a:stretch>
              <a:fillRect/>
            </a:stretch>
          </xdr:blipFill>
          <xdr:spPr bwMode="auto">
            <a:xfrm>
              <a:off x="457200" y="685800"/>
              <a:ext cx="952500" cy="638175"/>
            </a:xfrm>
            <a:prstGeom prst="rect">
              <a:avLst/>
            </a:prstGeom>
            <a:noFill/>
          </xdr:spPr>
        </xdr:pic>
      </xdr:grpSp>
      <xdr:grpSp>
        <xdr:nvGrpSpPr>
          <xdr:cNvPr id="89" name="Group 69"/>
          <xdr:cNvGrpSpPr/>
        </xdr:nvGrpSpPr>
        <xdr:grpSpPr>
          <a:xfrm>
            <a:off x="914400" y="26336625"/>
            <a:ext cx="666750" cy="695325"/>
            <a:chOff x="0" y="0"/>
            <a:chExt cx="1219200" cy="1219200"/>
          </a:xfrm>
          <a:effectLst>
            <a:outerShdw blurRad="50800" dist="38100" dir="5400000" algn="t" rotWithShape="0">
              <a:prstClr val="black">
                <a:alpha val="40000"/>
              </a:prstClr>
            </a:outerShdw>
          </a:effectLst>
        </xdr:grpSpPr>
        <xdr:sp macro="" textlink="">
          <xdr:nvSpPr>
            <xdr:cNvPr id="90" name="Rounded Rectangle 89"/>
            <xdr:cNvSpPr/>
          </xdr:nvSpPr>
          <xdr:spPr>
            <a:xfrm>
              <a:off x="0" y="0"/>
              <a:ext cx="1219200" cy="1219200"/>
            </a:xfrm>
            <a:prstGeom prst="roundRect">
              <a:avLst/>
            </a:prstGeom>
            <a:solidFill>
              <a:schemeClr val="accent6">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1" name="Picture 90" descr="Building White Clip Art"/>
            <xdr:cNvPicPr>
              <a:picLocks noChangeAspect="1" noChangeArrowheads="1"/>
            </xdr:cNvPicPr>
          </xdr:nvPicPr>
          <xdr:blipFill>
            <a:blip xmlns:r="http://schemas.openxmlformats.org/officeDocument/2006/relationships" r:embed="rId19" cstate="print">
              <a:lum bright="70000" contrast="-70000"/>
            </a:blip>
            <a:srcRect/>
            <a:stretch>
              <a:fillRect/>
            </a:stretch>
          </xdr:blipFill>
          <xdr:spPr bwMode="auto">
            <a:xfrm>
              <a:off x="533400" y="152400"/>
              <a:ext cx="552450" cy="952500"/>
            </a:xfrm>
            <a:prstGeom prst="rect">
              <a:avLst/>
            </a:prstGeom>
            <a:noFill/>
          </xdr:spPr>
        </xdr:pic>
        <xdr:pic>
          <xdr:nvPicPr>
            <xdr:cNvPr id="92" name="Picture 91" descr="Building White Clip Art"/>
            <xdr:cNvPicPr>
              <a:picLocks noChangeAspect="1" noChangeArrowheads="1"/>
            </xdr:cNvPicPr>
          </xdr:nvPicPr>
          <xdr:blipFill>
            <a:blip xmlns:r="http://schemas.openxmlformats.org/officeDocument/2006/relationships" r:embed="rId20" cstate="print">
              <a:lum bright="70000" contrast="-70000"/>
            </a:blip>
            <a:srcRect/>
            <a:stretch>
              <a:fillRect/>
            </a:stretch>
          </xdr:blipFill>
          <xdr:spPr bwMode="auto">
            <a:xfrm>
              <a:off x="152400" y="304800"/>
              <a:ext cx="375666" cy="647700"/>
            </a:xfrm>
            <a:prstGeom prst="rect">
              <a:avLst/>
            </a:prstGeom>
            <a:noFill/>
          </xdr:spPr>
        </xdr:pic>
      </xdr:grpSp>
    </xdr:grpSp>
    <xdr:clientData/>
  </xdr:twoCellAnchor>
  <xdr:twoCellAnchor editAs="oneCell">
    <xdr:from>
      <xdr:col>3</xdr:col>
      <xdr:colOff>1852214</xdr:colOff>
      <xdr:row>834</xdr:row>
      <xdr:rowOff>123825</xdr:rowOff>
    </xdr:from>
    <xdr:to>
      <xdr:col>16</xdr:col>
      <xdr:colOff>324246</xdr:colOff>
      <xdr:row>841</xdr:row>
      <xdr:rowOff>66675</xdr:rowOff>
    </xdr:to>
    <xdr:pic>
      <xdr:nvPicPr>
        <xdr:cNvPr id="39937" name="Picture 1" descr="Scale Of Justice 4 Clip Art"/>
        <xdr:cNvPicPr>
          <a:picLocks noChangeAspect="1" noChangeArrowheads="1"/>
        </xdr:cNvPicPr>
      </xdr:nvPicPr>
      <xdr:blipFill>
        <a:blip xmlns:r="http://schemas.openxmlformats.org/officeDocument/2006/relationships" r:embed="rId21" cstate="print">
          <a:duotone>
            <a:schemeClr val="accent1">
              <a:shade val="45000"/>
              <a:satMod val="135000"/>
            </a:schemeClr>
            <a:prstClr val="white"/>
          </a:duotone>
        </a:blip>
        <a:srcRect/>
        <a:stretch>
          <a:fillRect/>
        </a:stretch>
      </xdr:blipFill>
      <xdr:spPr bwMode="auto">
        <a:xfrm>
          <a:off x="4166789" y="25031700"/>
          <a:ext cx="1948657" cy="2190750"/>
        </a:xfrm>
        <a:prstGeom prst="rect">
          <a:avLst/>
        </a:prstGeom>
        <a:noFill/>
      </xdr:spPr>
    </xdr:pic>
    <xdr:clientData/>
  </xdr:twoCellAnchor>
  <xdr:twoCellAnchor>
    <xdr:from>
      <xdr:col>15</xdr:col>
      <xdr:colOff>47625</xdr:colOff>
      <xdr:row>21</xdr:row>
      <xdr:rowOff>95250</xdr:rowOff>
    </xdr:from>
    <xdr:to>
      <xdr:col>15</xdr:col>
      <xdr:colOff>800100</xdr:colOff>
      <xdr:row>21</xdr:row>
      <xdr:rowOff>247650</xdr:rowOff>
    </xdr:to>
    <xdr:sp macro="" textlink="">
      <xdr:nvSpPr>
        <xdr:cNvPr id="51" name="Rectangle 50">
          <a:hlinkClick xmlns:r="http://schemas.openxmlformats.org/officeDocument/2006/relationships" r:id="rId22"/>
        </xdr:cNvPr>
        <xdr:cNvSpPr/>
      </xdr:nvSpPr>
      <xdr:spPr>
        <a:xfrm>
          <a:off x="4905375" y="7762875"/>
          <a:ext cx="752475"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85725</xdr:colOff>
      <xdr:row>933</xdr:row>
      <xdr:rowOff>66675</xdr:rowOff>
    </xdr:from>
    <xdr:to>
      <xdr:col>3</xdr:col>
      <xdr:colOff>428625</xdr:colOff>
      <xdr:row>934</xdr:row>
      <xdr:rowOff>114300</xdr:rowOff>
    </xdr:to>
    <xdr:sp macro="" textlink="">
      <xdr:nvSpPr>
        <xdr:cNvPr id="54" name="Rounded Rectangle 53">
          <a:hlinkClick xmlns:r="http://schemas.openxmlformats.org/officeDocument/2006/relationships" r:id="rId23"/>
        </xdr:cNvPr>
        <xdr:cNvSpPr/>
      </xdr:nvSpPr>
      <xdr:spPr>
        <a:xfrm>
          <a:off x="1276350" y="59540775"/>
          <a:ext cx="933450" cy="23812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a:t>BACK</a:t>
          </a:r>
        </a:p>
      </xdr:txBody>
    </xdr:sp>
    <xdr:clientData/>
  </xdr:twoCellAnchor>
  <xdr:twoCellAnchor>
    <xdr:from>
      <xdr:col>17</xdr:col>
      <xdr:colOff>657225</xdr:colOff>
      <xdr:row>933</xdr:row>
      <xdr:rowOff>9525</xdr:rowOff>
    </xdr:from>
    <xdr:to>
      <xdr:col>22</xdr:col>
      <xdr:colOff>266700</xdr:colOff>
      <xdr:row>934</xdr:row>
      <xdr:rowOff>57150</xdr:rowOff>
    </xdr:to>
    <xdr:sp macro="" textlink="">
      <xdr:nvSpPr>
        <xdr:cNvPr id="55" name="Rounded Rectangle 54">
          <a:hlinkClick xmlns:r="http://schemas.openxmlformats.org/officeDocument/2006/relationships" r:id="rId24"/>
        </xdr:cNvPr>
        <xdr:cNvSpPr/>
      </xdr:nvSpPr>
      <xdr:spPr>
        <a:xfrm>
          <a:off x="6800850" y="59483625"/>
          <a:ext cx="1085850" cy="23812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a:t>START AGAIN</a:t>
          </a:r>
        </a:p>
      </xdr:txBody>
    </xdr:sp>
    <xdr:clientData/>
  </xdr:twoCellAnchor>
  <xdr:twoCellAnchor>
    <xdr:from>
      <xdr:col>15</xdr:col>
      <xdr:colOff>795593</xdr:colOff>
      <xdr:row>912</xdr:row>
      <xdr:rowOff>44041</xdr:rowOff>
    </xdr:from>
    <xdr:to>
      <xdr:col>22</xdr:col>
      <xdr:colOff>0</xdr:colOff>
      <xdr:row>912</xdr:row>
      <xdr:rowOff>235565</xdr:rowOff>
    </xdr:to>
    <xdr:sp macro="" textlink="">
      <xdr:nvSpPr>
        <xdr:cNvPr id="56" name="Rectangle 55">
          <a:hlinkClick xmlns:r="http://schemas.openxmlformats.org/officeDocument/2006/relationships" r:id="rId25"/>
        </xdr:cNvPr>
        <xdr:cNvSpPr/>
      </xdr:nvSpPr>
      <xdr:spPr>
        <a:xfrm>
          <a:off x="5117690" y="54940815"/>
          <a:ext cx="2492068" cy="1915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3</xdr:col>
      <xdr:colOff>2266950</xdr:colOff>
      <xdr:row>3</xdr:row>
      <xdr:rowOff>28575</xdr:rowOff>
    </xdr:from>
    <xdr:to>
      <xdr:col>15</xdr:col>
      <xdr:colOff>876300</xdr:colOff>
      <xdr:row>4</xdr:row>
      <xdr:rowOff>152400</xdr:rowOff>
    </xdr:to>
    <xdr:pic>
      <xdr:nvPicPr>
        <xdr:cNvPr id="57" name="Picture 56" descr="xpatinsight.png"/>
        <xdr:cNvPicPr>
          <a:picLocks noChangeAspect="1"/>
        </xdr:cNvPicPr>
      </xdr:nvPicPr>
      <xdr:blipFill>
        <a:blip xmlns:r="http://schemas.openxmlformats.org/officeDocument/2006/relationships" r:embed="rId26" cstate="print"/>
        <a:stretch>
          <a:fillRect/>
        </a:stretch>
      </xdr:blipFill>
      <xdr:spPr>
        <a:xfrm>
          <a:off x="4048125" y="866775"/>
          <a:ext cx="1152525" cy="371475"/>
        </a:xfrm>
        <a:prstGeom prst="rect">
          <a:avLst/>
        </a:prstGeom>
      </xdr:spPr>
    </xdr:pic>
    <xdr:clientData/>
  </xdr:twoCellAnchor>
  <xdr:twoCellAnchor editAs="oneCell">
    <xdr:from>
      <xdr:col>3</xdr:col>
      <xdr:colOff>1171850</xdr:colOff>
      <xdr:row>915</xdr:row>
      <xdr:rowOff>152497</xdr:rowOff>
    </xdr:from>
    <xdr:to>
      <xdr:col>17</xdr:col>
      <xdr:colOff>285750</xdr:colOff>
      <xdr:row>929</xdr:row>
      <xdr:rowOff>133349</xdr:rowOff>
    </xdr:to>
    <xdr:pic>
      <xdr:nvPicPr>
        <xdr:cNvPr id="60" name="Picture 59" descr="Picture1.jpg">
          <a:hlinkClick xmlns:r="http://schemas.openxmlformats.org/officeDocument/2006/relationships" r:id="rId25"/>
        </xdr:cNvPr>
        <xdr:cNvPicPr>
          <a:picLocks noChangeAspect="1"/>
        </xdr:cNvPicPr>
      </xdr:nvPicPr>
      <xdr:blipFill>
        <a:blip xmlns:r="http://schemas.openxmlformats.org/officeDocument/2006/relationships" r:embed="rId27" cstate="print"/>
        <a:stretch>
          <a:fillRect/>
        </a:stretch>
      </xdr:blipFill>
      <xdr:spPr>
        <a:xfrm>
          <a:off x="2953025" y="56064247"/>
          <a:ext cx="3476350" cy="28002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xdr:col>
      <xdr:colOff>419100</xdr:colOff>
      <xdr:row>5</xdr:row>
      <xdr:rowOff>161925</xdr:rowOff>
    </xdr:from>
    <xdr:ext cx="6162675" cy="3347455"/>
    <xdr:sp macro="" textlink="">
      <xdr:nvSpPr>
        <xdr:cNvPr id="2" name="TextBox 1"/>
        <xdr:cNvSpPr txBox="1"/>
      </xdr:nvSpPr>
      <xdr:spPr>
        <a:xfrm>
          <a:off x="1638300" y="1114425"/>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514351</xdr:colOff>
      <xdr:row>2</xdr:row>
      <xdr:rowOff>0</xdr:rowOff>
    </xdr:from>
    <xdr:to>
      <xdr:col>13</xdr:col>
      <xdr:colOff>0</xdr:colOff>
      <xdr:row>21</xdr:row>
      <xdr:rowOff>28576</xdr:rowOff>
    </xdr:to>
    <xdr:sp macro="" textlink="">
      <xdr:nvSpPr>
        <xdr:cNvPr id="2" name="Rounded Rectangle 1"/>
        <xdr:cNvSpPr/>
      </xdr:nvSpPr>
      <xdr:spPr>
        <a:xfrm>
          <a:off x="952501" y="438150"/>
          <a:ext cx="7410449" cy="4162426"/>
        </a:xfrm>
        <a:prstGeom prst="roundRect">
          <a:avLst>
            <a:gd name="adj" fmla="val 1101"/>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xdr:from>
      <xdr:col>2</xdr:col>
      <xdr:colOff>95250</xdr:colOff>
      <xdr:row>19</xdr:row>
      <xdr:rowOff>219075</xdr:rowOff>
    </xdr:from>
    <xdr:to>
      <xdr:col>3</xdr:col>
      <xdr:colOff>571500</xdr:colOff>
      <xdr:row>20</xdr:row>
      <xdr:rowOff>209550</xdr:rowOff>
    </xdr:to>
    <xdr:sp macro="" textlink="">
      <xdr:nvSpPr>
        <xdr:cNvPr id="5" name="Rounded Rectangle 4">
          <a:hlinkClick xmlns:r="http://schemas.openxmlformats.org/officeDocument/2006/relationships" r:id="rId1"/>
        </xdr:cNvPr>
        <xdr:cNvSpPr/>
      </xdr:nvSpPr>
      <xdr:spPr>
        <a:xfrm>
          <a:off x="1085850" y="4629150"/>
          <a:ext cx="8382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9</xdr:col>
      <xdr:colOff>228600</xdr:colOff>
      <xdr:row>19</xdr:row>
      <xdr:rowOff>219075</xdr:rowOff>
    </xdr:from>
    <xdr:to>
      <xdr:col>12</xdr:col>
      <xdr:colOff>133350</xdr:colOff>
      <xdr:row>20</xdr:row>
      <xdr:rowOff>209550</xdr:rowOff>
    </xdr:to>
    <xdr:sp macro="" textlink="">
      <xdr:nvSpPr>
        <xdr:cNvPr id="6" name="Rounded Rectangle 5">
          <a:hlinkClick xmlns:r="http://schemas.openxmlformats.org/officeDocument/2006/relationships" r:id="rId2"/>
        </xdr:cNvPr>
        <xdr:cNvSpPr/>
      </xdr:nvSpPr>
      <xdr:spPr>
        <a:xfrm>
          <a:off x="7172325" y="4781550"/>
          <a:ext cx="9810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xdr:row>
      <xdr:rowOff>9526</xdr:rowOff>
    </xdr:from>
    <xdr:to>
      <xdr:col>12</xdr:col>
      <xdr:colOff>47625</xdr:colOff>
      <xdr:row>17</xdr:row>
      <xdr:rowOff>66676</xdr:rowOff>
    </xdr:to>
    <xdr:sp macro="" textlink="">
      <xdr:nvSpPr>
        <xdr:cNvPr id="2" name="Rounded Rectangle 1"/>
        <xdr:cNvSpPr/>
      </xdr:nvSpPr>
      <xdr:spPr>
        <a:xfrm>
          <a:off x="914400" y="276226"/>
          <a:ext cx="7772400" cy="4781550"/>
        </a:xfrm>
        <a:prstGeom prst="roundRect">
          <a:avLst>
            <a:gd name="adj" fmla="val 864"/>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editAs="oneCell">
    <xdr:from>
      <xdr:col>2</xdr:col>
      <xdr:colOff>95250</xdr:colOff>
      <xdr:row>1</xdr:row>
      <xdr:rowOff>85725</xdr:rowOff>
    </xdr:from>
    <xdr:to>
      <xdr:col>3</xdr:col>
      <xdr:colOff>133350</xdr:colOff>
      <xdr:row>3</xdr:row>
      <xdr:rowOff>38100</xdr:rowOff>
    </xdr:to>
    <xdr:pic>
      <xdr:nvPicPr>
        <xdr:cNvPr id="15365" name="Picture 5" descr="Fork And Spoon 2 Clip Art"/>
        <xdr:cNvPicPr>
          <a:picLocks noChangeAspect="1" noChangeArrowheads="1"/>
        </xdr:cNvPicPr>
      </xdr:nvPicPr>
      <xdr:blipFill>
        <a:blip xmlns:r="http://schemas.openxmlformats.org/officeDocument/2006/relationships" r:embed="rId1" cstate="print"/>
        <a:srcRect/>
        <a:stretch>
          <a:fillRect/>
        </a:stretch>
      </xdr:blipFill>
      <xdr:spPr bwMode="auto">
        <a:xfrm>
          <a:off x="1314450" y="352425"/>
          <a:ext cx="647700" cy="64770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15</xdr:row>
      <xdr:rowOff>219075</xdr:rowOff>
    </xdr:from>
    <xdr:to>
      <xdr:col>3</xdr:col>
      <xdr:colOff>428625</xdr:colOff>
      <xdr:row>16</xdr:row>
      <xdr:rowOff>209550</xdr:rowOff>
    </xdr:to>
    <xdr:sp macro="" textlink="">
      <xdr:nvSpPr>
        <xdr:cNvPr id="7" name="Rounded Rectangle 6">
          <a:hlinkClick xmlns:r="http://schemas.openxmlformats.org/officeDocument/2006/relationships" r:id="rId2"/>
        </xdr:cNvPr>
        <xdr:cNvSpPr/>
      </xdr:nvSpPr>
      <xdr:spPr>
        <a:xfrm>
          <a:off x="1314450" y="701040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914400</xdr:colOff>
      <xdr:row>15</xdr:row>
      <xdr:rowOff>219075</xdr:rowOff>
    </xdr:from>
    <xdr:to>
      <xdr:col>11</xdr:col>
      <xdr:colOff>904876</xdr:colOff>
      <xdr:row>16</xdr:row>
      <xdr:rowOff>209550</xdr:rowOff>
    </xdr:to>
    <xdr:sp macro="" textlink="">
      <xdr:nvSpPr>
        <xdr:cNvPr id="8" name="Rounded Rectangle 7">
          <a:hlinkClick xmlns:r="http://schemas.openxmlformats.org/officeDocument/2006/relationships" r:id="rId3"/>
        </xdr:cNvPr>
        <xdr:cNvSpPr/>
      </xdr:nvSpPr>
      <xdr:spPr>
        <a:xfrm>
          <a:off x="7553325" y="4591050"/>
          <a:ext cx="981076"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506511</xdr:colOff>
      <xdr:row>13</xdr:row>
      <xdr:rowOff>4232</xdr:rowOff>
    </xdr:from>
    <xdr:ext cx="5440657" cy="937629"/>
    <xdr:sp macro="" textlink="">
      <xdr:nvSpPr>
        <xdr:cNvPr id="2" name="Rectangle 1"/>
        <xdr:cNvSpPr/>
      </xdr:nvSpPr>
      <xdr:spPr>
        <a:xfrm>
          <a:off x="4763603" y="3629564"/>
          <a:ext cx="5440657"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rPr>
            <a:t>PROTECTED DATA</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685800</xdr:colOff>
      <xdr:row>54</xdr:row>
      <xdr:rowOff>0</xdr:rowOff>
    </xdr:from>
    <xdr:ext cx="6162675" cy="3347455"/>
    <xdr:sp macro="" textlink="">
      <xdr:nvSpPr>
        <xdr:cNvPr id="2" name="TextBox 1"/>
        <xdr:cNvSpPr txBox="1"/>
      </xdr:nvSpPr>
      <xdr:spPr>
        <a:xfrm>
          <a:off x="1295400" y="10287000"/>
          <a:ext cx="6162675" cy="334745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spAutoFit/>
        </a:bodyPr>
        <a:lstStyle/>
        <a:p>
          <a:pPr algn="ctr"/>
          <a:r>
            <a:rPr lang="en-US" sz="6000">
              <a:solidFill>
                <a:srgbClr val="FF0000"/>
              </a:solidFill>
              <a:latin typeface="Arial Black" pitchFamily="34" charset="0"/>
            </a:rPr>
            <a:t>DATA FILE</a:t>
          </a:r>
        </a:p>
        <a:p>
          <a:pPr algn="ctr"/>
          <a:r>
            <a:rPr lang="en-US" sz="6000">
              <a:solidFill>
                <a:srgbClr val="FF0000"/>
              </a:solidFill>
              <a:latin typeface="Arial Black" pitchFamily="34" charset="0"/>
            </a:rPr>
            <a:t>DO NOT REMOVE</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609599</xdr:colOff>
      <xdr:row>510</xdr:row>
      <xdr:rowOff>0</xdr:rowOff>
    </xdr:from>
    <xdr:to>
      <xdr:col>3</xdr:col>
      <xdr:colOff>57149</xdr:colOff>
      <xdr:row>511</xdr:row>
      <xdr:rowOff>1191</xdr:rowOff>
    </xdr:to>
    <xdr:pic>
      <xdr:nvPicPr>
        <xdr:cNvPr id="90" name="Picture 89" descr="belarus.png"/>
        <xdr:cNvPicPr>
          <a:picLocks noChangeAspect="1"/>
        </xdr:cNvPicPr>
      </xdr:nvPicPr>
      <xdr:blipFill>
        <a:blip xmlns:r="http://schemas.openxmlformats.org/officeDocument/2006/relationships" r:embed="rId1" cstate="print"/>
        <a:stretch>
          <a:fillRect/>
        </a:stretch>
      </xdr:blipFill>
      <xdr:spPr>
        <a:xfrm>
          <a:off x="1219199" y="109537500"/>
          <a:ext cx="504825" cy="315516"/>
        </a:xfrm>
        <a:prstGeom prst="rect">
          <a:avLst/>
        </a:prstGeom>
      </xdr:spPr>
    </xdr:pic>
    <xdr:clientData/>
  </xdr:twoCellAnchor>
  <xdr:twoCellAnchor editAs="oneCell">
    <xdr:from>
      <xdr:col>2</xdr:col>
      <xdr:colOff>0</xdr:colOff>
      <xdr:row>411</xdr:row>
      <xdr:rowOff>0</xdr:rowOff>
    </xdr:from>
    <xdr:to>
      <xdr:col>3</xdr:col>
      <xdr:colOff>38100</xdr:colOff>
      <xdr:row>412</xdr:row>
      <xdr:rowOff>19050</xdr:rowOff>
    </xdr:to>
    <xdr:pic>
      <xdr:nvPicPr>
        <xdr:cNvPr id="91" name="Picture 90" descr="argentina.png"/>
        <xdr:cNvPicPr>
          <a:picLocks noChangeAspect="1"/>
        </xdr:cNvPicPr>
      </xdr:nvPicPr>
      <xdr:blipFill>
        <a:blip xmlns:r="http://schemas.openxmlformats.org/officeDocument/2006/relationships" r:embed="rId2" cstate="print"/>
        <a:stretch>
          <a:fillRect/>
        </a:stretch>
      </xdr:blipFill>
      <xdr:spPr>
        <a:xfrm>
          <a:off x="1219200" y="78419325"/>
          <a:ext cx="485775" cy="333375"/>
        </a:xfrm>
        <a:prstGeom prst="rect">
          <a:avLst/>
        </a:prstGeom>
      </xdr:spPr>
    </xdr:pic>
    <xdr:clientData/>
  </xdr:twoCellAnchor>
  <xdr:twoCellAnchor editAs="oneCell">
    <xdr:from>
      <xdr:col>2</xdr:col>
      <xdr:colOff>0</xdr:colOff>
      <xdr:row>412</xdr:row>
      <xdr:rowOff>0</xdr:rowOff>
    </xdr:from>
    <xdr:to>
      <xdr:col>3</xdr:col>
      <xdr:colOff>9525</xdr:colOff>
      <xdr:row>412</xdr:row>
      <xdr:rowOff>266700</xdr:rowOff>
    </xdr:to>
    <xdr:pic>
      <xdr:nvPicPr>
        <xdr:cNvPr id="92" name="Picture 91" descr="australia.png"/>
        <xdr:cNvPicPr>
          <a:picLocks noChangeAspect="1"/>
        </xdr:cNvPicPr>
      </xdr:nvPicPr>
      <xdr:blipFill>
        <a:blip xmlns:r="http://schemas.openxmlformats.org/officeDocument/2006/relationships" r:embed="rId3" cstate="print"/>
        <a:stretch>
          <a:fillRect/>
        </a:stretch>
      </xdr:blipFill>
      <xdr:spPr>
        <a:xfrm>
          <a:off x="1219200" y="78733650"/>
          <a:ext cx="457200" cy="266700"/>
        </a:xfrm>
        <a:prstGeom prst="rect">
          <a:avLst/>
        </a:prstGeom>
      </xdr:spPr>
    </xdr:pic>
    <xdr:clientData/>
  </xdr:twoCellAnchor>
  <xdr:twoCellAnchor editAs="oneCell">
    <xdr:from>
      <xdr:col>2</xdr:col>
      <xdr:colOff>1</xdr:colOff>
      <xdr:row>414</xdr:row>
      <xdr:rowOff>19050</xdr:rowOff>
    </xdr:from>
    <xdr:to>
      <xdr:col>3</xdr:col>
      <xdr:colOff>9526</xdr:colOff>
      <xdr:row>414</xdr:row>
      <xdr:rowOff>285750</xdr:rowOff>
    </xdr:to>
    <xdr:pic>
      <xdr:nvPicPr>
        <xdr:cNvPr id="93" name="Picture 92" descr="bahrain.png"/>
        <xdr:cNvPicPr>
          <a:picLocks noChangeAspect="1"/>
        </xdr:cNvPicPr>
      </xdr:nvPicPr>
      <xdr:blipFill>
        <a:blip xmlns:r="http://schemas.openxmlformats.org/officeDocument/2006/relationships" r:embed="rId4" cstate="print"/>
        <a:stretch>
          <a:fillRect/>
        </a:stretch>
      </xdr:blipFill>
      <xdr:spPr>
        <a:xfrm>
          <a:off x="1219201" y="79381350"/>
          <a:ext cx="457200" cy="266700"/>
        </a:xfrm>
        <a:prstGeom prst="rect">
          <a:avLst/>
        </a:prstGeom>
      </xdr:spPr>
    </xdr:pic>
    <xdr:clientData/>
  </xdr:twoCellAnchor>
  <xdr:twoCellAnchor editAs="oneCell">
    <xdr:from>
      <xdr:col>2</xdr:col>
      <xdr:colOff>0</xdr:colOff>
      <xdr:row>415</xdr:row>
      <xdr:rowOff>28574</xdr:rowOff>
    </xdr:from>
    <xdr:to>
      <xdr:col>3</xdr:col>
      <xdr:colOff>0</xdr:colOff>
      <xdr:row>415</xdr:row>
      <xdr:rowOff>285749</xdr:rowOff>
    </xdr:to>
    <xdr:pic>
      <xdr:nvPicPr>
        <xdr:cNvPr id="94" name="Picture 93" descr="bangladesh.png"/>
        <xdr:cNvPicPr>
          <a:picLocks noChangeAspect="1"/>
        </xdr:cNvPicPr>
      </xdr:nvPicPr>
      <xdr:blipFill>
        <a:blip xmlns:r="http://schemas.openxmlformats.org/officeDocument/2006/relationships" r:embed="rId5" cstate="print"/>
        <a:stretch>
          <a:fillRect/>
        </a:stretch>
      </xdr:blipFill>
      <xdr:spPr>
        <a:xfrm>
          <a:off x="1219200" y="79705199"/>
          <a:ext cx="447675" cy="257175"/>
        </a:xfrm>
        <a:prstGeom prst="rect">
          <a:avLst/>
        </a:prstGeom>
      </xdr:spPr>
    </xdr:pic>
    <xdr:clientData/>
  </xdr:twoCellAnchor>
  <xdr:twoCellAnchor editAs="oneCell">
    <xdr:from>
      <xdr:col>1</xdr:col>
      <xdr:colOff>597675</xdr:colOff>
      <xdr:row>416</xdr:row>
      <xdr:rowOff>16650</xdr:rowOff>
    </xdr:from>
    <xdr:to>
      <xdr:col>3</xdr:col>
      <xdr:colOff>26175</xdr:colOff>
      <xdr:row>416</xdr:row>
      <xdr:rowOff>254775</xdr:rowOff>
    </xdr:to>
    <xdr:pic>
      <xdr:nvPicPr>
        <xdr:cNvPr id="95" name="Picture 94" descr="azerbaijan.png"/>
        <xdr:cNvPicPr>
          <a:picLocks noChangeAspect="1"/>
        </xdr:cNvPicPr>
      </xdr:nvPicPr>
      <xdr:blipFill>
        <a:blip xmlns:r="http://schemas.openxmlformats.org/officeDocument/2006/relationships" r:embed="rId6" cstate="print"/>
        <a:stretch>
          <a:fillRect/>
        </a:stretch>
      </xdr:blipFill>
      <xdr:spPr>
        <a:xfrm>
          <a:off x="1207275" y="80007600"/>
          <a:ext cx="485775" cy="238125"/>
        </a:xfrm>
        <a:prstGeom prst="rect">
          <a:avLst/>
        </a:prstGeom>
      </xdr:spPr>
    </xdr:pic>
    <xdr:clientData/>
  </xdr:twoCellAnchor>
  <xdr:twoCellAnchor editAs="oneCell">
    <xdr:from>
      <xdr:col>2</xdr:col>
      <xdr:colOff>14250</xdr:colOff>
      <xdr:row>417</xdr:row>
      <xdr:rowOff>33300</xdr:rowOff>
    </xdr:from>
    <xdr:to>
      <xdr:col>3</xdr:col>
      <xdr:colOff>4725</xdr:colOff>
      <xdr:row>418</xdr:row>
      <xdr:rowOff>4725</xdr:rowOff>
    </xdr:to>
    <xdr:pic>
      <xdr:nvPicPr>
        <xdr:cNvPr id="96" name="Picture 95" descr="colombia.png"/>
        <xdr:cNvPicPr>
          <a:picLocks noChangeAspect="1"/>
        </xdr:cNvPicPr>
      </xdr:nvPicPr>
      <xdr:blipFill>
        <a:blip xmlns:r="http://schemas.openxmlformats.org/officeDocument/2006/relationships" r:embed="rId7" cstate="print"/>
        <a:stretch>
          <a:fillRect/>
        </a:stretch>
      </xdr:blipFill>
      <xdr:spPr>
        <a:xfrm>
          <a:off x="1233450" y="80338575"/>
          <a:ext cx="438150" cy="285750"/>
        </a:xfrm>
        <a:prstGeom prst="rect">
          <a:avLst/>
        </a:prstGeom>
      </xdr:spPr>
    </xdr:pic>
    <xdr:clientData/>
  </xdr:twoCellAnchor>
  <xdr:twoCellAnchor editAs="oneCell">
    <xdr:from>
      <xdr:col>2</xdr:col>
      <xdr:colOff>7125</xdr:colOff>
      <xdr:row>419</xdr:row>
      <xdr:rowOff>16650</xdr:rowOff>
    </xdr:from>
    <xdr:to>
      <xdr:col>3</xdr:col>
      <xdr:colOff>45225</xdr:colOff>
      <xdr:row>419</xdr:row>
      <xdr:rowOff>254775</xdr:rowOff>
    </xdr:to>
    <xdr:pic>
      <xdr:nvPicPr>
        <xdr:cNvPr id="97" name="Picture 96" descr="croatia.png"/>
        <xdr:cNvPicPr>
          <a:picLocks noChangeAspect="1"/>
        </xdr:cNvPicPr>
      </xdr:nvPicPr>
      <xdr:blipFill>
        <a:blip xmlns:r="http://schemas.openxmlformats.org/officeDocument/2006/relationships" r:embed="rId8" cstate="print"/>
        <a:stretch>
          <a:fillRect/>
        </a:stretch>
      </xdr:blipFill>
      <xdr:spPr>
        <a:xfrm>
          <a:off x="1226325" y="80950575"/>
          <a:ext cx="485775" cy="238125"/>
        </a:xfrm>
        <a:prstGeom prst="rect">
          <a:avLst/>
        </a:prstGeom>
      </xdr:spPr>
    </xdr:pic>
    <xdr:clientData/>
  </xdr:twoCellAnchor>
  <xdr:twoCellAnchor editAs="oneCell">
    <xdr:from>
      <xdr:col>2</xdr:col>
      <xdr:colOff>4725</xdr:colOff>
      <xdr:row>420</xdr:row>
      <xdr:rowOff>23775</xdr:rowOff>
    </xdr:from>
    <xdr:to>
      <xdr:col>3</xdr:col>
      <xdr:colOff>42825</xdr:colOff>
      <xdr:row>421</xdr:row>
      <xdr:rowOff>23775</xdr:rowOff>
    </xdr:to>
    <xdr:pic>
      <xdr:nvPicPr>
        <xdr:cNvPr id="98" name="Picture 97" descr="cyprus.png"/>
        <xdr:cNvPicPr>
          <a:picLocks noChangeAspect="1"/>
        </xdr:cNvPicPr>
      </xdr:nvPicPr>
      <xdr:blipFill>
        <a:blip xmlns:r="http://schemas.openxmlformats.org/officeDocument/2006/relationships" r:embed="rId9" cstate="print"/>
        <a:stretch>
          <a:fillRect/>
        </a:stretch>
      </xdr:blipFill>
      <xdr:spPr>
        <a:xfrm>
          <a:off x="1223925" y="81272025"/>
          <a:ext cx="485775" cy="314325"/>
        </a:xfrm>
        <a:prstGeom prst="rect">
          <a:avLst/>
        </a:prstGeom>
      </xdr:spPr>
    </xdr:pic>
    <xdr:clientData/>
  </xdr:twoCellAnchor>
  <xdr:twoCellAnchor editAs="oneCell">
    <xdr:from>
      <xdr:col>2</xdr:col>
      <xdr:colOff>40425</xdr:colOff>
      <xdr:row>422</xdr:row>
      <xdr:rowOff>88050</xdr:rowOff>
    </xdr:from>
    <xdr:to>
      <xdr:col>3</xdr:col>
      <xdr:colOff>49950</xdr:colOff>
      <xdr:row>423</xdr:row>
      <xdr:rowOff>40425</xdr:rowOff>
    </xdr:to>
    <xdr:pic>
      <xdr:nvPicPr>
        <xdr:cNvPr id="99" name="Picture 98" descr="equador.png"/>
        <xdr:cNvPicPr>
          <a:picLocks noChangeAspect="1"/>
        </xdr:cNvPicPr>
      </xdr:nvPicPr>
      <xdr:blipFill>
        <a:blip xmlns:r="http://schemas.openxmlformats.org/officeDocument/2006/relationships" r:embed="rId10" cstate="print"/>
        <a:stretch>
          <a:fillRect/>
        </a:stretch>
      </xdr:blipFill>
      <xdr:spPr>
        <a:xfrm>
          <a:off x="1259625" y="81964950"/>
          <a:ext cx="457200" cy="266700"/>
        </a:xfrm>
        <a:prstGeom prst="rect">
          <a:avLst/>
        </a:prstGeom>
      </xdr:spPr>
    </xdr:pic>
    <xdr:clientData/>
  </xdr:twoCellAnchor>
  <xdr:twoCellAnchor editAs="oneCell">
    <xdr:from>
      <xdr:col>2</xdr:col>
      <xdr:colOff>18975</xdr:colOff>
      <xdr:row>425</xdr:row>
      <xdr:rowOff>18975</xdr:rowOff>
    </xdr:from>
    <xdr:to>
      <xdr:col>3</xdr:col>
      <xdr:colOff>57075</xdr:colOff>
      <xdr:row>426</xdr:row>
      <xdr:rowOff>18975</xdr:rowOff>
    </xdr:to>
    <xdr:pic>
      <xdr:nvPicPr>
        <xdr:cNvPr id="100" name="Picture 99" descr="egypt.png"/>
        <xdr:cNvPicPr>
          <a:picLocks noChangeAspect="1"/>
        </xdr:cNvPicPr>
      </xdr:nvPicPr>
      <xdr:blipFill>
        <a:blip xmlns:r="http://schemas.openxmlformats.org/officeDocument/2006/relationships" r:embed="rId11" cstate="print"/>
        <a:stretch>
          <a:fillRect/>
        </a:stretch>
      </xdr:blipFill>
      <xdr:spPr>
        <a:xfrm>
          <a:off x="1238175" y="82838850"/>
          <a:ext cx="485775" cy="314325"/>
        </a:xfrm>
        <a:prstGeom prst="rect">
          <a:avLst/>
        </a:prstGeom>
      </xdr:spPr>
    </xdr:pic>
    <xdr:clientData/>
  </xdr:twoCellAnchor>
  <xdr:twoCellAnchor editAs="oneCell">
    <xdr:from>
      <xdr:col>2</xdr:col>
      <xdr:colOff>7050</xdr:colOff>
      <xdr:row>432</xdr:row>
      <xdr:rowOff>26100</xdr:rowOff>
    </xdr:from>
    <xdr:to>
      <xdr:col>3</xdr:col>
      <xdr:colOff>45150</xdr:colOff>
      <xdr:row>432</xdr:row>
      <xdr:rowOff>311850</xdr:rowOff>
    </xdr:to>
    <xdr:pic>
      <xdr:nvPicPr>
        <xdr:cNvPr id="101" name="Picture 100" descr="germany.png"/>
        <xdr:cNvPicPr>
          <a:picLocks noChangeAspect="1"/>
        </xdr:cNvPicPr>
      </xdr:nvPicPr>
      <xdr:blipFill>
        <a:blip xmlns:r="http://schemas.openxmlformats.org/officeDocument/2006/relationships" r:embed="rId12" cstate="print"/>
        <a:stretch>
          <a:fillRect/>
        </a:stretch>
      </xdr:blipFill>
      <xdr:spPr>
        <a:xfrm>
          <a:off x="1226250" y="85046250"/>
          <a:ext cx="485775" cy="285750"/>
        </a:xfrm>
        <a:prstGeom prst="rect">
          <a:avLst/>
        </a:prstGeom>
      </xdr:spPr>
    </xdr:pic>
    <xdr:clientData/>
  </xdr:twoCellAnchor>
  <xdr:twoCellAnchor editAs="oneCell">
    <xdr:from>
      <xdr:col>2</xdr:col>
      <xdr:colOff>14175</xdr:colOff>
      <xdr:row>433</xdr:row>
      <xdr:rowOff>4650</xdr:rowOff>
    </xdr:from>
    <xdr:to>
      <xdr:col>3</xdr:col>
      <xdr:colOff>33225</xdr:colOff>
      <xdr:row>434</xdr:row>
      <xdr:rowOff>4650</xdr:rowOff>
    </xdr:to>
    <xdr:pic>
      <xdr:nvPicPr>
        <xdr:cNvPr id="102" name="Picture 101" descr="ghana.png"/>
        <xdr:cNvPicPr>
          <a:picLocks noChangeAspect="1"/>
        </xdr:cNvPicPr>
      </xdr:nvPicPr>
      <xdr:blipFill>
        <a:blip xmlns:r="http://schemas.openxmlformats.org/officeDocument/2006/relationships" r:embed="rId13" cstate="print"/>
        <a:stretch>
          <a:fillRect/>
        </a:stretch>
      </xdr:blipFill>
      <xdr:spPr>
        <a:xfrm>
          <a:off x="1233375" y="85339125"/>
          <a:ext cx="466725" cy="314325"/>
        </a:xfrm>
        <a:prstGeom prst="rect">
          <a:avLst/>
        </a:prstGeom>
      </xdr:spPr>
    </xdr:pic>
    <xdr:clientData/>
  </xdr:twoCellAnchor>
  <xdr:twoCellAnchor editAs="oneCell">
    <xdr:from>
      <xdr:col>2</xdr:col>
      <xdr:colOff>21300</xdr:colOff>
      <xdr:row>434</xdr:row>
      <xdr:rowOff>21300</xdr:rowOff>
    </xdr:from>
    <xdr:to>
      <xdr:col>3</xdr:col>
      <xdr:colOff>11775</xdr:colOff>
      <xdr:row>435</xdr:row>
      <xdr:rowOff>2250</xdr:rowOff>
    </xdr:to>
    <xdr:pic>
      <xdr:nvPicPr>
        <xdr:cNvPr id="103" name="Picture 102" descr="greece.png"/>
        <xdr:cNvPicPr>
          <a:picLocks noChangeAspect="1"/>
        </xdr:cNvPicPr>
      </xdr:nvPicPr>
      <xdr:blipFill>
        <a:blip xmlns:r="http://schemas.openxmlformats.org/officeDocument/2006/relationships" r:embed="rId14" cstate="print"/>
        <a:stretch>
          <a:fillRect/>
        </a:stretch>
      </xdr:blipFill>
      <xdr:spPr>
        <a:xfrm>
          <a:off x="1240500" y="85670100"/>
          <a:ext cx="438150" cy="295275"/>
        </a:xfrm>
        <a:prstGeom prst="rect">
          <a:avLst/>
        </a:prstGeom>
      </xdr:spPr>
    </xdr:pic>
    <xdr:clientData/>
  </xdr:twoCellAnchor>
  <xdr:twoCellAnchor editAs="oneCell">
    <xdr:from>
      <xdr:col>2</xdr:col>
      <xdr:colOff>9525</xdr:colOff>
      <xdr:row>452</xdr:row>
      <xdr:rowOff>0</xdr:rowOff>
    </xdr:from>
    <xdr:to>
      <xdr:col>3</xdr:col>
      <xdr:colOff>28575</xdr:colOff>
      <xdr:row>452</xdr:row>
      <xdr:rowOff>304800</xdr:rowOff>
    </xdr:to>
    <xdr:pic>
      <xdr:nvPicPr>
        <xdr:cNvPr id="104" name="Picture 103" descr="qatar.png"/>
        <xdr:cNvPicPr>
          <a:picLocks noChangeAspect="1"/>
        </xdr:cNvPicPr>
      </xdr:nvPicPr>
      <xdr:blipFill>
        <a:blip xmlns:r="http://schemas.openxmlformats.org/officeDocument/2006/relationships" r:embed="rId15" cstate="print"/>
        <a:stretch>
          <a:fillRect/>
        </a:stretch>
      </xdr:blipFill>
      <xdr:spPr>
        <a:xfrm>
          <a:off x="1228725" y="91306650"/>
          <a:ext cx="466725" cy="304800"/>
        </a:xfrm>
        <a:prstGeom prst="rect">
          <a:avLst/>
        </a:prstGeom>
      </xdr:spPr>
    </xdr:pic>
    <xdr:clientData/>
  </xdr:twoCellAnchor>
  <xdr:twoCellAnchor editAs="oneCell">
    <xdr:from>
      <xdr:col>2</xdr:col>
      <xdr:colOff>19050</xdr:colOff>
      <xdr:row>509</xdr:row>
      <xdr:rowOff>28575</xdr:rowOff>
    </xdr:from>
    <xdr:to>
      <xdr:col>2</xdr:col>
      <xdr:colOff>428625</xdr:colOff>
      <xdr:row>510</xdr:row>
      <xdr:rowOff>19050</xdr:rowOff>
    </xdr:to>
    <xdr:pic>
      <xdr:nvPicPr>
        <xdr:cNvPr id="105" name="Picture 104" descr="malaysia.png"/>
        <xdr:cNvPicPr>
          <a:picLocks noChangeAspect="1"/>
        </xdr:cNvPicPr>
      </xdr:nvPicPr>
      <xdr:blipFill>
        <a:blip xmlns:r="http://schemas.openxmlformats.org/officeDocument/2006/relationships" r:embed="rId16" cstate="print"/>
        <a:stretch>
          <a:fillRect/>
        </a:stretch>
      </xdr:blipFill>
      <xdr:spPr>
        <a:xfrm>
          <a:off x="1238250" y="109251750"/>
          <a:ext cx="409575" cy="304800"/>
        </a:xfrm>
        <a:prstGeom prst="rect">
          <a:avLst/>
        </a:prstGeom>
      </xdr:spPr>
    </xdr:pic>
    <xdr:clientData/>
  </xdr:twoCellAnchor>
  <xdr:twoCellAnchor editAs="oneCell">
    <xdr:from>
      <xdr:col>2</xdr:col>
      <xdr:colOff>0</xdr:colOff>
      <xdr:row>507</xdr:row>
      <xdr:rowOff>0</xdr:rowOff>
    </xdr:from>
    <xdr:to>
      <xdr:col>3</xdr:col>
      <xdr:colOff>38100</xdr:colOff>
      <xdr:row>508</xdr:row>
      <xdr:rowOff>0</xdr:rowOff>
    </xdr:to>
    <xdr:pic>
      <xdr:nvPicPr>
        <xdr:cNvPr id="106" name="Picture 105" descr="china.png"/>
        <xdr:cNvPicPr>
          <a:picLocks noChangeAspect="1"/>
        </xdr:cNvPicPr>
      </xdr:nvPicPr>
      <xdr:blipFill>
        <a:blip xmlns:r="http://schemas.openxmlformats.org/officeDocument/2006/relationships" r:embed="rId17" cstate="print"/>
        <a:stretch>
          <a:fillRect/>
        </a:stretch>
      </xdr:blipFill>
      <xdr:spPr>
        <a:xfrm>
          <a:off x="1219200" y="108594525"/>
          <a:ext cx="485775" cy="314325"/>
        </a:xfrm>
        <a:prstGeom prst="rect">
          <a:avLst/>
        </a:prstGeom>
      </xdr:spPr>
    </xdr:pic>
    <xdr:clientData/>
  </xdr:twoCellAnchor>
  <xdr:twoCellAnchor editAs="oneCell">
    <xdr:from>
      <xdr:col>2</xdr:col>
      <xdr:colOff>0</xdr:colOff>
      <xdr:row>508</xdr:row>
      <xdr:rowOff>0</xdr:rowOff>
    </xdr:from>
    <xdr:to>
      <xdr:col>3</xdr:col>
      <xdr:colOff>19050</xdr:colOff>
      <xdr:row>509</xdr:row>
      <xdr:rowOff>0</xdr:rowOff>
    </xdr:to>
    <xdr:pic>
      <xdr:nvPicPr>
        <xdr:cNvPr id="107" name="Picture 106" descr="usa.png"/>
        <xdr:cNvPicPr>
          <a:picLocks noChangeAspect="1"/>
        </xdr:cNvPicPr>
      </xdr:nvPicPr>
      <xdr:blipFill>
        <a:blip xmlns:r="http://schemas.openxmlformats.org/officeDocument/2006/relationships" r:embed="rId18" cstate="print"/>
        <a:stretch>
          <a:fillRect/>
        </a:stretch>
      </xdr:blipFill>
      <xdr:spPr>
        <a:xfrm>
          <a:off x="1219200" y="108908850"/>
          <a:ext cx="466725" cy="314325"/>
        </a:xfrm>
        <a:prstGeom prst="rect">
          <a:avLst/>
        </a:prstGeom>
      </xdr:spPr>
    </xdr:pic>
    <xdr:clientData/>
  </xdr:twoCellAnchor>
  <xdr:twoCellAnchor editAs="oneCell">
    <xdr:from>
      <xdr:col>2</xdr:col>
      <xdr:colOff>0</xdr:colOff>
      <xdr:row>482</xdr:row>
      <xdr:rowOff>0</xdr:rowOff>
    </xdr:from>
    <xdr:to>
      <xdr:col>3</xdr:col>
      <xdr:colOff>19050</xdr:colOff>
      <xdr:row>483</xdr:row>
      <xdr:rowOff>0</xdr:rowOff>
    </xdr:to>
    <xdr:pic>
      <xdr:nvPicPr>
        <xdr:cNvPr id="108" name="Picture 107" descr="singapore.png"/>
        <xdr:cNvPicPr>
          <a:picLocks noChangeAspect="1"/>
        </xdr:cNvPicPr>
      </xdr:nvPicPr>
      <xdr:blipFill>
        <a:blip xmlns:r="http://schemas.openxmlformats.org/officeDocument/2006/relationships" r:embed="rId19" cstate="print"/>
        <a:stretch>
          <a:fillRect/>
        </a:stretch>
      </xdr:blipFill>
      <xdr:spPr>
        <a:xfrm>
          <a:off x="1219200" y="100736400"/>
          <a:ext cx="466725" cy="314325"/>
        </a:xfrm>
        <a:prstGeom prst="rect">
          <a:avLst/>
        </a:prstGeom>
      </xdr:spPr>
    </xdr:pic>
    <xdr:clientData/>
  </xdr:twoCellAnchor>
  <xdr:twoCellAnchor editAs="oneCell">
    <xdr:from>
      <xdr:col>2</xdr:col>
      <xdr:colOff>0</xdr:colOff>
      <xdr:row>477</xdr:row>
      <xdr:rowOff>0</xdr:rowOff>
    </xdr:from>
    <xdr:to>
      <xdr:col>3</xdr:col>
      <xdr:colOff>19050</xdr:colOff>
      <xdr:row>477</xdr:row>
      <xdr:rowOff>304800</xdr:rowOff>
    </xdr:to>
    <xdr:pic>
      <xdr:nvPicPr>
        <xdr:cNvPr id="109" name="Picture 108" descr="qatar.png"/>
        <xdr:cNvPicPr>
          <a:picLocks noChangeAspect="1"/>
        </xdr:cNvPicPr>
      </xdr:nvPicPr>
      <xdr:blipFill>
        <a:blip xmlns:r="http://schemas.openxmlformats.org/officeDocument/2006/relationships" r:embed="rId15" cstate="print"/>
        <a:stretch>
          <a:fillRect/>
        </a:stretch>
      </xdr:blipFill>
      <xdr:spPr>
        <a:xfrm>
          <a:off x="1219200" y="99164775"/>
          <a:ext cx="466725" cy="304800"/>
        </a:xfrm>
        <a:prstGeom prst="rect">
          <a:avLst/>
        </a:prstGeom>
      </xdr:spPr>
    </xdr:pic>
    <xdr:clientData/>
  </xdr:twoCellAnchor>
  <xdr:twoCellAnchor editAs="oneCell">
    <xdr:from>
      <xdr:col>2</xdr:col>
      <xdr:colOff>0</xdr:colOff>
      <xdr:row>479</xdr:row>
      <xdr:rowOff>0</xdr:rowOff>
    </xdr:from>
    <xdr:to>
      <xdr:col>3</xdr:col>
      <xdr:colOff>19050</xdr:colOff>
      <xdr:row>479</xdr:row>
      <xdr:rowOff>304800</xdr:rowOff>
    </xdr:to>
    <xdr:pic>
      <xdr:nvPicPr>
        <xdr:cNvPr id="110" name="Picture 109" descr="russia.png"/>
        <xdr:cNvPicPr>
          <a:picLocks noChangeAspect="1"/>
        </xdr:cNvPicPr>
      </xdr:nvPicPr>
      <xdr:blipFill>
        <a:blip xmlns:r="http://schemas.openxmlformats.org/officeDocument/2006/relationships" r:embed="rId20" cstate="print"/>
        <a:stretch>
          <a:fillRect/>
        </a:stretch>
      </xdr:blipFill>
      <xdr:spPr>
        <a:xfrm>
          <a:off x="1219200" y="99793425"/>
          <a:ext cx="466725" cy="304800"/>
        </a:xfrm>
        <a:prstGeom prst="rect">
          <a:avLst/>
        </a:prstGeom>
      </xdr:spPr>
    </xdr:pic>
    <xdr:clientData/>
  </xdr:twoCellAnchor>
  <xdr:twoCellAnchor editAs="oneCell">
    <xdr:from>
      <xdr:col>2</xdr:col>
      <xdr:colOff>0</xdr:colOff>
      <xdr:row>487</xdr:row>
      <xdr:rowOff>0</xdr:rowOff>
    </xdr:from>
    <xdr:to>
      <xdr:col>3</xdr:col>
      <xdr:colOff>38100</xdr:colOff>
      <xdr:row>488</xdr:row>
      <xdr:rowOff>19050</xdr:rowOff>
    </xdr:to>
    <xdr:pic>
      <xdr:nvPicPr>
        <xdr:cNvPr id="111" name="Picture 110" descr="spain.png"/>
        <xdr:cNvPicPr>
          <a:picLocks noChangeAspect="1"/>
        </xdr:cNvPicPr>
      </xdr:nvPicPr>
      <xdr:blipFill>
        <a:blip xmlns:r="http://schemas.openxmlformats.org/officeDocument/2006/relationships" r:embed="rId21" cstate="print"/>
        <a:stretch>
          <a:fillRect/>
        </a:stretch>
      </xdr:blipFill>
      <xdr:spPr>
        <a:xfrm>
          <a:off x="1219200" y="102308025"/>
          <a:ext cx="485775" cy="333375"/>
        </a:xfrm>
        <a:prstGeom prst="rect">
          <a:avLst/>
        </a:prstGeom>
      </xdr:spPr>
    </xdr:pic>
    <xdr:clientData/>
  </xdr:twoCellAnchor>
  <xdr:twoCellAnchor editAs="oneCell">
    <xdr:from>
      <xdr:col>2</xdr:col>
      <xdr:colOff>0</xdr:colOff>
      <xdr:row>488</xdr:row>
      <xdr:rowOff>0</xdr:rowOff>
    </xdr:from>
    <xdr:to>
      <xdr:col>3</xdr:col>
      <xdr:colOff>19050</xdr:colOff>
      <xdr:row>489</xdr:row>
      <xdr:rowOff>0</xdr:rowOff>
    </xdr:to>
    <xdr:pic>
      <xdr:nvPicPr>
        <xdr:cNvPr id="112" name="Picture 111" descr="sri lanka.png"/>
        <xdr:cNvPicPr>
          <a:picLocks noChangeAspect="1"/>
        </xdr:cNvPicPr>
      </xdr:nvPicPr>
      <xdr:blipFill>
        <a:blip xmlns:r="http://schemas.openxmlformats.org/officeDocument/2006/relationships" r:embed="rId22" cstate="print"/>
        <a:stretch>
          <a:fillRect/>
        </a:stretch>
      </xdr:blipFill>
      <xdr:spPr>
        <a:xfrm>
          <a:off x="1219200" y="102622350"/>
          <a:ext cx="466725" cy="314325"/>
        </a:xfrm>
        <a:prstGeom prst="rect">
          <a:avLst/>
        </a:prstGeom>
      </xdr:spPr>
    </xdr:pic>
    <xdr:clientData/>
  </xdr:twoCellAnchor>
  <xdr:twoCellAnchor editAs="oneCell">
    <xdr:from>
      <xdr:col>2</xdr:col>
      <xdr:colOff>19050</xdr:colOff>
      <xdr:row>486</xdr:row>
      <xdr:rowOff>9525</xdr:rowOff>
    </xdr:from>
    <xdr:to>
      <xdr:col>3</xdr:col>
      <xdr:colOff>0</xdr:colOff>
      <xdr:row>486</xdr:row>
      <xdr:rowOff>295275</xdr:rowOff>
    </xdr:to>
    <xdr:pic>
      <xdr:nvPicPr>
        <xdr:cNvPr id="113" name="Picture 112" descr="korea.png"/>
        <xdr:cNvPicPr>
          <a:picLocks noChangeAspect="1"/>
        </xdr:cNvPicPr>
      </xdr:nvPicPr>
      <xdr:blipFill>
        <a:blip xmlns:r="http://schemas.openxmlformats.org/officeDocument/2006/relationships" r:embed="rId23" cstate="print"/>
        <a:stretch>
          <a:fillRect/>
        </a:stretch>
      </xdr:blipFill>
      <xdr:spPr>
        <a:xfrm>
          <a:off x="1238250" y="102003225"/>
          <a:ext cx="428625" cy="285750"/>
        </a:xfrm>
        <a:prstGeom prst="rect">
          <a:avLst/>
        </a:prstGeom>
      </xdr:spPr>
    </xdr:pic>
    <xdr:clientData/>
  </xdr:twoCellAnchor>
  <xdr:twoCellAnchor editAs="oneCell">
    <xdr:from>
      <xdr:col>2</xdr:col>
      <xdr:colOff>0</xdr:colOff>
      <xdr:row>480</xdr:row>
      <xdr:rowOff>0</xdr:rowOff>
    </xdr:from>
    <xdr:to>
      <xdr:col>3</xdr:col>
      <xdr:colOff>38100</xdr:colOff>
      <xdr:row>481</xdr:row>
      <xdr:rowOff>0</xdr:rowOff>
    </xdr:to>
    <xdr:pic>
      <xdr:nvPicPr>
        <xdr:cNvPr id="114" name="Picture 113" descr="saudi arabia.png"/>
        <xdr:cNvPicPr>
          <a:picLocks noChangeAspect="1"/>
        </xdr:cNvPicPr>
      </xdr:nvPicPr>
      <xdr:blipFill>
        <a:blip xmlns:r="http://schemas.openxmlformats.org/officeDocument/2006/relationships" r:embed="rId24" cstate="print"/>
        <a:stretch>
          <a:fillRect/>
        </a:stretch>
      </xdr:blipFill>
      <xdr:spPr>
        <a:xfrm>
          <a:off x="1219200" y="100107750"/>
          <a:ext cx="485775" cy="314325"/>
        </a:xfrm>
        <a:prstGeom prst="rect">
          <a:avLst/>
        </a:prstGeom>
      </xdr:spPr>
    </xdr:pic>
    <xdr:clientData/>
  </xdr:twoCellAnchor>
  <xdr:twoCellAnchor editAs="oneCell">
    <xdr:from>
      <xdr:col>2</xdr:col>
      <xdr:colOff>0</xdr:colOff>
      <xdr:row>475</xdr:row>
      <xdr:rowOff>0</xdr:rowOff>
    </xdr:from>
    <xdr:to>
      <xdr:col>3</xdr:col>
      <xdr:colOff>38100</xdr:colOff>
      <xdr:row>476</xdr:row>
      <xdr:rowOff>0</xdr:rowOff>
    </xdr:to>
    <xdr:pic>
      <xdr:nvPicPr>
        <xdr:cNvPr id="115" name="Picture 114" descr="portugal.png"/>
        <xdr:cNvPicPr>
          <a:picLocks noChangeAspect="1"/>
        </xdr:cNvPicPr>
      </xdr:nvPicPr>
      <xdr:blipFill>
        <a:blip xmlns:r="http://schemas.openxmlformats.org/officeDocument/2006/relationships" r:embed="rId25" cstate="print"/>
        <a:stretch>
          <a:fillRect/>
        </a:stretch>
      </xdr:blipFill>
      <xdr:spPr>
        <a:xfrm>
          <a:off x="1219200" y="98536125"/>
          <a:ext cx="485775" cy="314325"/>
        </a:xfrm>
        <a:prstGeom prst="rect">
          <a:avLst/>
        </a:prstGeom>
      </xdr:spPr>
    </xdr:pic>
    <xdr:clientData/>
  </xdr:twoCellAnchor>
  <xdr:twoCellAnchor editAs="oneCell">
    <xdr:from>
      <xdr:col>2</xdr:col>
      <xdr:colOff>0</xdr:colOff>
      <xdr:row>474</xdr:row>
      <xdr:rowOff>0</xdr:rowOff>
    </xdr:from>
    <xdr:to>
      <xdr:col>3</xdr:col>
      <xdr:colOff>38100</xdr:colOff>
      <xdr:row>475</xdr:row>
      <xdr:rowOff>9525</xdr:rowOff>
    </xdr:to>
    <xdr:pic>
      <xdr:nvPicPr>
        <xdr:cNvPr id="116" name="Picture 115" descr="poland.png"/>
        <xdr:cNvPicPr>
          <a:picLocks noChangeAspect="1"/>
        </xdr:cNvPicPr>
      </xdr:nvPicPr>
      <xdr:blipFill>
        <a:blip xmlns:r="http://schemas.openxmlformats.org/officeDocument/2006/relationships" r:embed="rId26" cstate="print"/>
        <a:stretch>
          <a:fillRect/>
        </a:stretch>
      </xdr:blipFill>
      <xdr:spPr>
        <a:xfrm>
          <a:off x="1219200" y="98221800"/>
          <a:ext cx="485775" cy="323850"/>
        </a:xfrm>
        <a:prstGeom prst="rect">
          <a:avLst/>
        </a:prstGeom>
      </xdr:spPr>
    </xdr:pic>
    <xdr:clientData/>
  </xdr:twoCellAnchor>
  <xdr:twoCellAnchor editAs="oneCell">
    <xdr:from>
      <xdr:col>2</xdr:col>
      <xdr:colOff>0</xdr:colOff>
      <xdr:row>473</xdr:row>
      <xdr:rowOff>0</xdr:rowOff>
    </xdr:from>
    <xdr:to>
      <xdr:col>2</xdr:col>
      <xdr:colOff>428625</xdr:colOff>
      <xdr:row>473</xdr:row>
      <xdr:rowOff>285750</xdr:rowOff>
    </xdr:to>
    <xdr:pic>
      <xdr:nvPicPr>
        <xdr:cNvPr id="117" name="Picture 116" descr="philipines.png"/>
        <xdr:cNvPicPr>
          <a:picLocks noChangeAspect="1"/>
        </xdr:cNvPicPr>
      </xdr:nvPicPr>
      <xdr:blipFill>
        <a:blip xmlns:r="http://schemas.openxmlformats.org/officeDocument/2006/relationships" r:embed="rId27" cstate="print"/>
        <a:stretch>
          <a:fillRect/>
        </a:stretch>
      </xdr:blipFill>
      <xdr:spPr>
        <a:xfrm>
          <a:off x="1219200" y="97907475"/>
          <a:ext cx="428625" cy="285750"/>
        </a:xfrm>
        <a:prstGeom prst="rect">
          <a:avLst/>
        </a:prstGeom>
      </xdr:spPr>
    </xdr:pic>
    <xdr:clientData/>
  </xdr:twoCellAnchor>
  <xdr:twoCellAnchor editAs="oneCell">
    <xdr:from>
      <xdr:col>2</xdr:col>
      <xdr:colOff>9525</xdr:colOff>
      <xdr:row>472</xdr:row>
      <xdr:rowOff>28575</xdr:rowOff>
    </xdr:from>
    <xdr:to>
      <xdr:col>3</xdr:col>
      <xdr:colOff>0</xdr:colOff>
      <xdr:row>473</xdr:row>
      <xdr:rowOff>0</xdr:rowOff>
    </xdr:to>
    <xdr:pic>
      <xdr:nvPicPr>
        <xdr:cNvPr id="118" name="Picture 117" descr="peru.png"/>
        <xdr:cNvPicPr>
          <a:picLocks noChangeAspect="1"/>
        </xdr:cNvPicPr>
      </xdr:nvPicPr>
      <xdr:blipFill>
        <a:blip xmlns:r="http://schemas.openxmlformats.org/officeDocument/2006/relationships" r:embed="rId28" cstate="print"/>
        <a:stretch>
          <a:fillRect/>
        </a:stretch>
      </xdr:blipFill>
      <xdr:spPr>
        <a:xfrm>
          <a:off x="1228725" y="97621725"/>
          <a:ext cx="438150" cy="285750"/>
        </a:xfrm>
        <a:prstGeom prst="rect">
          <a:avLst/>
        </a:prstGeom>
      </xdr:spPr>
    </xdr:pic>
    <xdr:clientData/>
  </xdr:twoCellAnchor>
  <xdr:twoCellAnchor editAs="oneCell">
    <xdr:from>
      <xdr:col>2</xdr:col>
      <xdr:colOff>0</xdr:colOff>
      <xdr:row>505</xdr:row>
      <xdr:rowOff>0</xdr:rowOff>
    </xdr:from>
    <xdr:to>
      <xdr:col>3</xdr:col>
      <xdr:colOff>38100</xdr:colOff>
      <xdr:row>506</xdr:row>
      <xdr:rowOff>0</xdr:rowOff>
    </xdr:to>
    <xdr:pic>
      <xdr:nvPicPr>
        <xdr:cNvPr id="119" name="Picture 118" descr="vietnam.png"/>
        <xdr:cNvPicPr>
          <a:picLocks noChangeAspect="1"/>
        </xdr:cNvPicPr>
      </xdr:nvPicPr>
      <xdr:blipFill>
        <a:blip xmlns:r="http://schemas.openxmlformats.org/officeDocument/2006/relationships" r:embed="rId29" cstate="print"/>
        <a:stretch>
          <a:fillRect/>
        </a:stretch>
      </xdr:blipFill>
      <xdr:spPr>
        <a:xfrm>
          <a:off x="1219200" y="107965875"/>
          <a:ext cx="485775" cy="314325"/>
        </a:xfrm>
        <a:prstGeom prst="rect">
          <a:avLst/>
        </a:prstGeom>
      </xdr:spPr>
    </xdr:pic>
    <xdr:clientData/>
  </xdr:twoCellAnchor>
  <xdr:twoCellAnchor editAs="oneCell">
    <xdr:from>
      <xdr:col>2</xdr:col>
      <xdr:colOff>0</xdr:colOff>
      <xdr:row>501</xdr:row>
      <xdr:rowOff>0</xdr:rowOff>
    </xdr:from>
    <xdr:to>
      <xdr:col>3</xdr:col>
      <xdr:colOff>38100</xdr:colOff>
      <xdr:row>502</xdr:row>
      <xdr:rowOff>19050</xdr:rowOff>
    </xdr:to>
    <xdr:pic>
      <xdr:nvPicPr>
        <xdr:cNvPr id="120" name="Picture 119" descr="uk.png"/>
        <xdr:cNvPicPr>
          <a:picLocks noChangeAspect="1"/>
        </xdr:cNvPicPr>
      </xdr:nvPicPr>
      <xdr:blipFill>
        <a:blip xmlns:r="http://schemas.openxmlformats.org/officeDocument/2006/relationships" r:embed="rId30" cstate="print"/>
        <a:stretch>
          <a:fillRect/>
        </a:stretch>
      </xdr:blipFill>
      <xdr:spPr>
        <a:xfrm>
          <a:off x="1219200" y="106708575"/>
          <a:ext cx="485775" cy="333375"/>
        </a:xfrm>
        <a:prstGeom prst="rect">
          <a:avLst/>
        </a:prstGeom>
      </xdr:spPr>
    </xdr:pic>
    <xdr:clientData/>
  </xdr:twoCellAnchor>
  <xdr:twoCellAnchor editAs="oneCell">
    <xdr:from>
      <xdr:col>2</xdr:col>
      <xdr:colOff>0</xdr:colOff>
      <xdr:row>514</xdr:row>
      <xdr:rowOff>0</xdr:rowOff>
    </xdr:from>
    <xdr:to>
      <xdr:col>3</xdr:col>
      <xdr:colOff>9525</xdr:colOff>
      <xdr:row>514</xdr:row>
      <xdr:rowOff>266700</xdr:rowOff>
    </xdr:to>
    <xdr:pic>
      <xdr:nvPicPr>
        <xdr:cNvPr id="121" name="Picture 120" descr="brazil.png"/>
        <xdr:cNvPicPr>
          <a:picLocks noChangeAspect="1"/>
        </xdr:cNvPicPr>
      </xdr:nvPicPr>
      <xdr:blipFill>
        <a:blip xmlns:r="http://schemas.openxmlformats.org/officeDocument/2006/relationships" r:embed="rId31" cstate="print"/>
        <a:stretch>
          <a:fillRect/>
        </a:stretch>
      </xdr:blipFill>
      <xdr:spPr>
        <a:xfrm>
          <a:off x="1219200" y="110794800"/>
          <a:ext cx="457200" cy="266700"/>
        </a:xfrm>
        <a:prstGeom prst="rect">
          <a:avLst/>
        </a:prstGeom>
      </xdr:spPr>
    </xdr:pic>
    <xdr:clientData/>
  </xdr:twoCellAnchor>
  <xdr:twoCellAnchor editAs="oneCell">
    <xdr:from>
      <xdr:col>2</xdr:col>
      <xdr:colOff>0</xdr:colOff>
      <xdr:row>511</xdr:row>
      <xdr:rowOff>0</xdr:rowOff>
    </xdr:from>
    <xdr:to>
      <xdr:col>3</xdr:col>
      <xdr:colOff>38100</xdr:colOff>
      <xdr:row>511</xdr:row>
      <xdr:rowOff>285750</xdr:rowOff>
    </xdr:to>
    <xdr:pic>
      <xdr:nvPicPr>
        <xdr:cNvPr id="122" name="Picture 121" descr="belgium.png"/>
        <xdr:cNvPicPr>
          <a:picLocks noChangeAspect="1"/>
        </xdr:cNvPicPr>
      </xdr:nvPicPr>
      <xdr:blipFill>
        <a:blip xmlns:r="http://schemas.openxmlformats.org/officeDocument/2006/relationships" r:embed="rId32" cstate="print"/>
        <a:stretch>
          <a:fillRect/>
        </a:stretch>
      </xdr:blipFill>
      <xdr:spPr>
        <a:xfrm>
          <a:off x="1219200" y="109851825"/>
          <a:ext cx="485775" cy="285750"/>
        </a:xfrm>
        <a:prstGeom prst="rect">
          <a:avLst/>
        </a:prstGeom>
      </xdr:spPr>
    </xdr:pic>
    <xdr:clientData/>
  </xdr:twoCellAnchor>
  <xdr:twoCellAnchor editAs="oneCell">
    <xdr:from>
      <xdr:col>2</xdr:col>
      <xdr:colOff>0</xdr:colOff>
      <xdr:row>512</xdr:row>
      <xdr:rowOff>0</xdr:rowOff>
    </xdr:from>
    <xdr:to>
      <xdr:col>3</xdr:col>
      <xdr:colOff>38100</xdr:colOff>
      <xdr:row>513</xdr:row>
      <xdr:rowOff>0</xdr:rowOff>
    </xdr:to>
    <xdr:pic>
      <xdr:nvPicPr>
        <xdr:cNvPr id="123" name="Picture 122" descr="bolivia.png"/>
        <xdr:cNvPicPr>
          <a:picLocks noChangeAspect="1"/>
        </xdr:cNvPicPr>
      </xdr:nvPicPr>
      <xdr:blipFill>
        <a:blip xmlns:r="http://schemas.openxmlformats.org/officeDocument/2006/relationships" r:embed="rId33" cstate="print"/>
        <a:stretch>
          <a:fillRect/>
        </a:stretch>
      </xdr:blipFill>
      <xdr:spPr>
        <a:xfrm>
          <a:off x="1219200" y="110166150"/>
          <a:ext cx="485775" cy="314325"/>
        </a:xfrm>
        <a:prstGeom prst="rect">
          <a:avLst/>
        </a:prstGeom>
      </xdr:spPr>
    </xdr:pic>
    <xdr:clientData/>
  </xdr:twoCellAnchor>
  <xdr:twoCellAnchor editAs="oneCell">
    <xdr:from>
      <xdr:col>2</xdr:col>
      <xdr:colOff>0</xdr:colOff>
      <xdr:row>443</xdr:row>
      <xdr:rowOff>0</xdr:rowOff>
    </xdr:from>
    <xdr:to>
      <xdr:col>3</xdr:col>
      <xdr:colOff>38100</xdr:colOff>
      <xdr:row>444</xdr:row>
      <xdr:rowOff>28575</xdr:rowOff>
    </xdr:to>
    <xdr:pic>
      <xdr:nvPicPr>
        <xdr:cNvPr id="124" name="Picture 123" descr="israel.png"/>
        <xdr:cNvPicPr>
          <a:picLocks noChangeAspect="1"/>
        </xdr:cNvPicPr>
      </xdr:nvPicPr>
      <xdr:blipFill>
        <a:blip xmlns:r="http://schemas.openxmlformats.org/officeDocument/2006/relationships" r:embed="rId34" cstate="print"/>
        <a:stretch>
          <a:fillRect/>
        </a:stretch>
      </xdr:blipFill>
      <xdr:spPr>
        <a:xfrm>
          <a:off x="1219200" y="88477725"/>
          <a:ext cx="485775" cy="342900"/>
        </a:xfrm>
        <a:prstGeom prst="rect">
          <a:avLst/>
        </a:prstGeom>
      </xdr:spPr>
    </xdr:pic>
    <xdr:clientData/>
  </xdr:twoCellAnchor>
  <xdr:twoCellAnchor editAs="oneCell">
    <xdr:from>
      <xdr:col>2</xdr:col>
      <xdr:colOff>9525</xdr:colOff>
      <xdr:row>444</xdr:row>
      <xdr:rowOff>28575</xdr:rowOff>
    </xdr:from>
    <xdr:to>
      <xdr:col>3</xdr:col>
      <xdr:colOff>47625</xdr:colOff>
      <xdr:row>444</xdr:row>
      <xdr:rowOff>285750</xdr:rowOff>
    </xdr:to>
    <xdr:pic>
      <xdr:nvPicPr>
        <xdr:cNvPr id="125" name="Picture 124" descr="italy.png"/>
        <xdr:cNvPicPr>
          <a:picLocks noChangeAspect="1"/>
        </xdr:cNvPicPr>
      </xdr:nvPicPr>
      <xdr:blipFill>
        <a:blip xmlns:r="http://schemas.openxmlformats.org/officeDocument/2006/relationships" r:embed="rId35" cstate="print"/>
        <a:stretch>
          <a:fillRect/>
        </a:stretch>
      </xdr:blipFill>
      <xdr:spPr>
        <a:xfrm>
          <a:off x="1228725" y="88820625"/>
          <a:ext cx="485775" cy="257175"/>
        </a:xfrm>
        <a:prstGeom prst="rect">
          <a:avLst/>
        </a:prstGeom>
      </xdr:spPr>
    </xdr:pic>
    <xdr:clientData/>
  </xdr:twoCellAnchor>
  <xdr:twoCellAnchor editAs="oneCell">
    <xdr:from>
      <xdr:col>2</xdr:col>
      <xdr:colOff>0</xdr:colOff>
      <xdr:row>446</xdr:row>
      <xdr:rowOff>0</xdr:rowOff>
    </xdr:from>
    <xdr:to>
      <xdr:col>2</xdr:col>
      <xdr:colOff>409575</xdr:colOff>
      <xdr:row>446</xdr:row>
      <xdr:rowOff>276225</xdr:rowOff>
    </xdr:to>
    <xdr:pic>
      <xdr:nvPicPr>
        <xdr:cNvPr id="126" name="Picture 125" descr="japan.png"/>
        <xdr:cNvPicPr>
          <a:picLocks noChangeAspect="1"/>
        </xdr:cNvPicPr>
      </xdr:nvPicPr>
      <xdr:blipFill>
        <a:blip xmlns:r="http://schemas.openxmlformats.org/officeDocument/2006/relationships" r:embed="rId36" cstate="print"/>
        <a:stretch>
          <a:fillRect/>
        </a:stretch>
      </xdr:blipFill>
      <xdr:spPr>
        <a:xfrm>
          <a:off x="1219200" y="89420700"/>
          <a:ext cx="409575" cy="276225"/>
        </a:xfrm>
        <a:prstGeom prst="rect">
          <a:avLst/>
        </a:prstGeom>
      </xdr:spPr>
    </xdr:pic>
    <xdr:clientData/>
  </xdr:twoCellAnchor>
  <xdr:twoCellAnchor editAs="oneCell">
    <xdr:from>
      <xdr:col>2</xdr:col>
      <xdr:colOff>0</xdr:colOff>
      <xdr:row>445</xdr:row>
      <xdr:rowOff>0</xdr:rowOff>
    </xdr:from>
    <xdr:to>
      <xdr:col>3</xdr:col>
      <xdr:colOff>38100</xdr:colOff>
      <xdr:row>446</xdr:row>
      <xdr:rowOff>19050</xdr:rowOff>
    </xdr:to>
    <xdr:pic>
      <xdr:nvPicPr>
        <xdr:cNvPr id="127" name="Picture 126" descr="jamaica.png"/>
        <xdr:cNvPicPr>
          <a:picLocks noChangeAspect="1"/>
        </xdr:cNvPicPr>
      </xdr:nvPicPr>
      <xdr:blipFill>
        <a:blip xmlns:r="http://schemas.openxmlformats.org/officeDocument/2006/relationships" r:embed="rId37" cstate="print"/>
        <a:stretch>
          <a:fillRect/>
        </a:stretch>
      </xdr:blipFill>
      <xdr:spPr>
        <a:xfrm>
          <a:off x="1219200" y="89106375"/>
          <a:ext cx="485775" cy="333375"/>
        </a:xfrm>
        <a:prstGeom prst="rect">
          <a:avLst/>
        </a:prstGeom>
      </xdr:spPr>
    </xdr:pic>
    <xdr:clientData/>
  </xdr:twoCellAnchor>
  <xdr:twoCellAnchor editAs="oneCell">
    <xdr:from>
      <xdr:col>2</xdr:col>
      <xdr:colOff>0</xdr:colOff>
      <xdr:row>436</xdr:row>
      <xdr:rowOff>0</xdr:rowOff>
    </xdr:from>
    <xdr:to>
      <xdr:col>3</xdr:col>
      <xdr:colOff>19050</xdr:colOff>
      <xdr:row>437</xdr:row>
      <xdr:rowOff>0</xdr:rowOff>
    </xdr:to>
    <xdr:pic>
      <xdr:nvPicPr>
        <xdr:cNvPr id="128" name="Picture 127" descr="hong kong.png"/>
        <xdr:cNvPicPr>
          <a:picLocks noChangeAspect="1"/>
        </xdr:cNvPicPr>
      </xdr:nvPicPr>
      <xdr:blipFill>
        <a:blip xmlns:r="http://schemas.openxmlformats.org/officeDocument/2006/relationships" r:embed="rId38" cstate="print"/>
        <a:stretch>
          <a:fillRect/>
        </a:stretch>
      </xdr:blipFill>
      <xdr:spPr>
        <a:xfrm>
          <a:off x="1219200" y="86277450"/>
          <a:ext cx="466725" cy="314325"/>
        </a:xfrm>
        <a:prstGeom prst="rect">
          <a:avLst/>
        </a:prstGeom>
      </xdr:spPr>
    </xdr:pic>
    <xdr:clientData/>
  </xdr:twoCellAnchor>
  <xdr:twoCellAnchor editAs="oneCell">
    <xdr:from>
      <xdr:col>2</xdr:col>
      <xdr:colOff>9525</xdr:colOff>
      <xdr:row>447</xdr:row>
      <xdr:rowOff>19050</xdr:rowOff>
    </xdr:from>
    <xdr:to>
      <xdr:col>3</xdr:col>
      <xdr:colOff>0</xdr:colOff>
      <xdr:row>447</xdr:row>
      <xdr:rowOff>304800</xdr:rowOff>
    </xdr:to>
    <xdr:pic>
      <xdr:nvPicPr>
        <xdr:cNvPr id="129" name="Picture 128" descr="jordan.png"/>
        <xdr:cNvPicPr>
          <a:picLocks noChangeAspect="1"/>
        </xdr:cNvPicPr>
      </xdr:nvPicPr>
      <xdr:blipFill>
        <a:blip xmlns:r="http://schemas.openxmlformats.org/officeDocument/2006/relationships" r:embed="rId39" cstate="print"/>
        <a:stretch>
          <a:fillRect/>
        </a:stretch>
      </xdr:blipFill>
      <xdr:spPr>
        <a:xfrm>
          <a:off x="1228725" y="89754075"/>
          <a:ext cx="438150" cy="285750"/>
        </a:xfrm>
        <a:prstGeom prst="rect">
          <a:avLst/>
        </a:prstGeom>
      </xdr:spPr>
    </xdr:pic>
    <xdr:clientData/>
  </xdr:twoCellAnchor>
  <xdr:twoCellAnchor editAs="oneCell">
    <xdr:from>
      <xdr:col>2</xdr:col>
      <xdr:colOff>0</xdr:colOff>
      <xdr:row>441</xdr:row>
      <xdr:rowOff>0</xdr:rowOff>
    </xdr:from>
    <xdr:to>
      <xdr:col>2</xdr:col>
      <xdr:colOff>428625</xdr:colOff>
      <xdr:row>441</xdr:row>
      <xdr:rowOff>285750</xdr:rowOff>
    </xdr:to>
    <xdr:pic>
      <xdr:nvPicPr>
        <xdr:cNvPr id="130" name="Picture 129" descr="iran.png"/>
        <xdr:cNvPicPr>
          <a:picLocks noChangeAspect="1"/>
        </xdr:cNvPicPr>
      </xdr:nvPicPr>
      <xdr:blipFill>
        <a:blip xmlns:r="http://schemas.openxmlformats.org/officeDocument/2006/relationships" r:embed="rId40" cstate="print"/>
        <a:stretch>
          <a:fillRect/>
        </a:stretch>
      </xdr:blipFill>
      <xdr:spPr>
        <a:xfrm>
          <a:off x="1219200" y="87849075"/>
          <a:ext cx="428625" cy="285750"/>
        </a:xfrm>
        <a:prstGeom prst="rect">
          <a:avLst/>
        </a:prstGeom>
      </xdr:spPr>
    </xdr:pic>
    <xdr:clientData/>
  </xdr:twoCellAnchor>
  <xdr:twoCellAnchor editAs="oneCell">
    <xdr:from>
      <xdr:col>2</xdr:col>
      <xdr:colOff>0</xdr:colOff>
      <xdr:row>439</xdr:row>
      <xdr:rowOff>0</xdr:rowOff>
    </xdr:from>
    <xdr:to>
      <xdr:col>3</xdr:col>
      <xdr:colOff>19050</xdr:colOff>
      <xdr:row>440</xdr:row>
      <xdr:rowOff>0</xdr:rowOff>
    </xdr:to>
    <xdr:pic>
      <xdr:nvPicPr>
        <xdr:cNvPr id="131" name="Picture 130" descr="indonesia.png"/>
        <xdr:cNvPicPr>
          <a:picLocks noChangeAspect="1"/>
        </xdr:cNvPicPr>
      </xdr:nvPicPr>
      <xdr:blipFill>
        <a:blip xmlns:r="http://schemas.openxmlformats.org/officeDocument/2006/relationships" r:embed="rId41" cstate="print"/>
        <a:stretch>
          <a:fillRect/>
        </a:stretch>
      </xdr:blipFill>
      <xdr:spPr>
        <a:xfrm>
          <a:off x="1219200" y="87220425"/>
          <a:ext cx="466725" cy="314325"/>
        </a:xfrm>
        <a:prstGeom prst="rect">
          <a:avLst/>
        </a:prstGeom>
      </xdr:spPr>
    </xdr:pic>
    <xdr:clientData/>
  </xdr:twoCellAnchor>
  <xdr:twoCellAnchor editAs="oneCell">
    <xdr:from>
      <xdr:col>2</xdr:col>
      <xdr:colOff>0</xdr:colOff>
      <xdr:row>438</xdr:row>
      <xdr:rowOff>0</xdr:rowOff>
    </xdr:from>
    <xdr:to>
      <xdr:col>3</xdr:col>
      <xdr:colOff>9525</xdr:colOff>
      <xdr:row>438</xdr:row>
      <xdr:rowOff>266700</xdr:rowOff>
    </xdr:to>
    <xdr:pic>
      <xdr:nvPicPr>
        <xdr:cNvPr id="132" name="Picture 131" descr="india.png"/>
        <xdr:cNvPicPr>
          <a:picLocks noChangeAspect="1"/>
        </xdr:cNvPicPr>
      </xdr:nvPicPr>
      <xdr:blipFill>
        <a:blip xmlns:r="http://schemas.openxmlformats.org/officeDocument/2006/relationships" r:embed="rId42" cstate="print"/>
        <a:stretch>
          <a:fillRect/>
        </a:stretch>
      </xdr:blipFill>
      <xdr:spPr>
        <a:xfrm>
          <a:off x="1219200" y="86906100"/>
          <a:ext cx="457200" cy="266700"/>
        </a:xfrm>
        <a:prstGeom prst="rect">
          <a:avLst/>
        </a:prstGeom>
      </xdr:spPr>
    </xdr:pic>
    <xdr:clientData/>
  </xdr:twoCellAnchor>
  <xdr:twoCellAnchor editAs="oneCell">
    <xdr:from>
      <xdr:col>2</xdr:col>
      <xdr:colOff>0</xdr:colOff>
      <xdr:row>458</xdr:row>
      <xdr:rowOff>0</xdr:rowOff>
    </xdr:from>
    <xdr:to>
      <xdr:col>3</xdr:col>
      <xdr:colOff>38100</xdr:colOff>
      <xdr:row>459</xdr:row>
      <xdr:rowOff>9525</xdr:rowOff>
    </xdr:to>
    <xdr:pic>
      <xdr:nvPicPr>
        <xdr:cNvPr id="133" name="Picture 132" descr="mexico.png"/>
        <xdr:cNvPicPr>
          <a:picLocks noChangeAspect="1"/>
        </xdr:cNvPicPr>
      </xdr:nvPicPr>
      <xdr:blipFill>
        <a:blip xmlns:r="http://schemas.openxmlformats.org/officeDocument/2006/relationships" r:embed="rId43" cstate="print"/>
        <a:stretch>
          <a:fillRect/>
        </a:stretch>
      </xdr:blipFill>
      <xdr:spPr>
        <a:xfrm>
          <a:off x="1219200" y="93192600"/>
          <a:ext cx="485775" cy="323850"/>
        </a:xfrm>
        <a:prstGeom prst="rect">
          <a:avLst/>
        </a:prstGeom>
      </xdr:spPr>
    </xdr:pic>
    <xdr:clientData/>
  </xdr:twoCellAnchor>
  <xdr:twoCellAnchor editAs="oneCell">
    <xdr:from>
      <xdr:col>2</xdr:col>
      <xdr:colOff>0</xdr:colOff>
      <xdr:row>450</xdr:row>
      <xdr:rowOff>19050</xdr:rowOff>
    </xdr:from>
    <xdr:to>
      <xdr:col>2</xdr:col>
      <xdr:colOff>419100</xdr:colOff>
      <xdr:row>450</xdr:row>
      <xdr:rowOff>304800</xdr:rowOff>
    </xdr:to>
    <xdr:pic>
      <xdr:nvPicPr>
        <xdr:cNvPr id="134" name="Picture 133" descr="kuwait.png"/>
        <xdr:cNvPicPr>
          <a:picLocks noChangeAspect="1"/>
        </xdr:cNvPicPr>
      </xdr:nvPicPr>
      <xdr:blipFill>
        <a:blip xmlns:r="http://schemas.openxmlformats.org/officeDocument/2006/relationships" r:embed="rId44" cstate="print"/>
        <a:stretch>
          <a:fillRect/>
        </a:stretch>
      </xdr:blipFill>
      <xdr:spPr>
        <a:xfrm>
          <a:off x="1219200" y="90697050"/>
          <a:ext cx="419100" cy="285750"/>
        </a:xfrm>
        <a:prstGeom prst="rect">
          <a:avLst/>
        </a:prstGeom>
      </xdr:spPr>
    </xdr:pic>
    <xdr:clientData/>
  </xdr:twoCellAnchor>
  <xdr:twoCellAnchor editAs="oneCell">
    <xdr:from>
      <xdr:col>2</xdr:col>
      <xdr:colOff>0</xdr:colOff>
      <xdr:row>497</xdr:row>
      <xdr:rowOff>0</xdr:rowOff>
    </xdr:from>
    <xdr:to>
      <xdr:col>3</xdr:col>
      <xdr:colOff>38100</xdr:colOff>
      <xdr:row>498</xdr:row>
      <xdr:rowOff>0</xdr:rowOff>
    </xdr:to>
    <xdr:pic>
      <xdr:nvPicPr>
        <xdr:cNvPr id="135" name="Picture 134" descr="turkey.png"/>
        <xdr:cNvPicPr>
          <a:picLocks noChangeAspect="1"/>
        </xdr:cNvPicPr>
      </xdr:nvPicPr>
      <xdr:blipFill>
        <a:blip xmlns:r="http://schemas.openxmlformats.org/officeDocument/2006/relationships" r:embed="rId45" cstate="print"/>
        <a:stretch>
          <a:fillRect/>
        </a:stretch>
      </xdr:blipFill>
      <xdr:spPr>
        <a:xfrm>
          <a:off x="1219200" y="105451275"/>
          <a:ext cx="485775" cy="314325"/>
        </a:xfrm>
        <a:prstGeom prst="rect">
          <a:avLst/>
        </a:prstGeom>
      </xdr:spPr>
    </xdr:pic>
    <xdr:clientData/>
  </xdr:twoCellAnchor>
  <xdr:twoCellAnchor editAs="oneCell">
    <xdr:from>
      <xdr:col>2</xdr:col>
      <xdr:colOff>0</xdr:colOff>
      <xdr:row>490</xdr:row>
      <xdr:rowOff>0</xdr:rowOff>
    </xdr:from>
    <xdr:to>
      <xdr:col>3</xdr:col>
      <xdr:colOff>38100</xdr:colOff>
      <xdr:row>491</xdr:row>
      <xdr:rowOff>9525</xdr:rowOff>
    </xdr:to>
    <xdr:pic>
      <xdr:nvPicPr>
        <xdr:cNvPr id="136" name="Picture 135" descr="sweden.png"/>
        <xdr:cNvPicPr>
          <a:picLocks noChangeAspect="1"/>
        </xdr:cNvPicPr>
      </xdr:nvPicPr>
      <xdr:blipFill>
        <a:blip xmlns:r="http://schemas.openxmlformats.org/officeDocument/2006/relationships" r:embed="rId46" cstate="print"/>
        <a:stretch>
          <a:fillRect/>
        </a:stretch>
      </xdr:blipFill>
      <xdr:spPr>
        <a:xfrm>
          <a:off x="1219200" y="103251000"/>
          <a:ext cx="485775" cy="323850"/>
        </a:xfrm>
        <a:prstGeom prst="rect">
          <a:avLst/>
        </a:prstGeom>
      </xdr:spPr>
    </xdr:pic>
    <xdr:clientData/>
  </xdr:twoCellAnchor>
  <xdr:twoCellAnchor editAs="oneCell">
    <xdr:from>
      <xdr:col>2</xdr:col>
      <xdr:colOff>9525</xdr:colOff>
      <xdr:row>430</xdr:row>
      <xdr:rowOff>28575</xdr:rowOff>
    </xdr:from>
    <xdr:to>
      <xdr:col>2</xdr:col>
      <xdr:colOff>409575</xdr:colOff>
      <xdr:row>430</xdr:row>
      <xdr:rowOff>295275</xdr:rowOff>
    </xdr:to>
    <xdr:pic>
      <xdr:nvPicPr>
        <xdr:cNvPr id="137" name="Picture 136" descr="france.png"/>
        <xdr:cNvPicPr>
          <a:picLocks noChangeAspect="1"/>
        </xdr:cNvPicPr>
      </xdr:nvPicPr>
      <xdr:blipFill>
        <a:blip xmlns:r="http://schemas.openxmlformats.org/officeDocument/2006/relationships" r:embed="rId47" cstate="print"/>
        <a:stretch>
          <a:fillRect/>
        </a:stretch>
      </xdr:blipFill>
      <xdr:spPr>
        <a:xfrm>
          <a:off x="1228725" y="84420075"/>
          <a:ext cx="400050" cy="266700"/>
        </a:xfrm>
        <a:prstGeom prst="rect">
          <a:avLst/>
        </a:prstGeom>
      </xdr:spPr>
    </xdr:pic>
    <xdr:clientData/>
  </xdr:twoCellAnchor>
  <xdr:twoCellAnchor editAs="oneCell">
    <xdr:from>
      <xdr:col>2</xdr:col>
      <xdr:colOff>19050</xdr:colOff>
      <xdr:row>413</xdr:row>
      <xdr:rowOff>28575</xdr:rowOff>
    </xdr:from>
    <xdr:to>
      <xdr:col>2</xdr:col>
      <xdr:colOff>419100</xdr:colOff>
      <xdr:row>413</xdr:row>
      <xdr:rowOff>295275</xdr:rowOff>
    </xdr:to>
    <xdr:pic>
      <xdr:nvPicPr>
        <xdr:cNvPr id="138" name="Picture 137" descr="austria.png"/>
        <xdr:cNvPicPr>
          <a:picLocks noChangeAspect="1"/>
        </xdr:cNvPicPr>
      </xdr:nvPicPr>
      <xdr:blipFill>
        <a:blip xmlns:r="http://schemas.openxmlformats.org/officeDocument/2006/relationships" r:embed="rId48" cstate="print"/>
        <a:stretch>
          <a:fillRect/>
        </a:stretch>
      </xdr:blipFill>
      <xdr:spPr>
        <a:xfrm>
          <a:off x="1238250" y="79076550"/>
          <a:ext cx="400050" cy="266700"/>
        </a:xfrm>
        <a:prstGeom prst="rect">
          <a:avLst/>
        </a:prstGeom>
      </xdr:spPr>
    </xdr:pic>
    <xdr:clientData/>
  </xdr:twoCellAnchor>
  <xdr:twoCellAnchor editAs="oneCell">
    <xdr:from>
      <xdr:col>2</xdr:col>
      <xdr:colOff>0</xdr:colOff>
      <xdr:row>468</xdr:row>
      <xdr:rowOff>0</xdr:rowOff>
    </xdr:from>
    <xdr:to>
      <xdr:col>2</xdr:col>
      <xdr:colOff>419100</xdr:colOff>
      <xdr:row>469</xdr:row>
      <xdr:rowOff>0</xdr:rowOff>
    </xdr:to>
    <xdr:pic>
      <xdr:nvPicPr>
        <xdr:cNvPr id="139" name="Picture 138" descr="norway.png"/>
        <xdr:cNvPicPr>
          <a:picLocks noChangeAspect="1"/>
        </xdr:cNvPicPr>
      </xdr:nvPicPr>
      <xdr:blipFill>
        <a:blip xmlns:r="http://schemas.openxmlformats.org/officeDocument/2006/relationships" r:embed="rId49" cstate="print"/>
        <a:stretch>
          <a:fillRect/>
        </a:stretch>
      </xdr:blipFill>
      <xdr:spPr>
        <a:xfrm>
          <a:off x="1219200" y="96335850"/>
          <a:ext cx="419100" cy="314325"/>
        </a:xfrm>
        <a:prstGeom prst="rect">
          <a:avLst/>
        </a:prstGeom>
      </xdr:spPr>
    </xdr:pic>
    <xdr:clientData/>
  </xdr:twoCellAnchor>
  <xdr:twoCellAnchor editAs="oneCell">
    <xdr:from>
      <xdr:col>2</xdr:col>
      <xdr:colOff>0</xdr:colOff>
      <xdr:row>493</xdr:row>
      <xdr:rowOff>0</xdr:rowOff>
    </xdr:from>
    <xdr:to>
      <xdr:col>3</xdr:col>
      <xdr:colOff>38100</xdr:colOff>
      <xdr:row>494</xdr:row>
      <xdr:rowOff>0</xdr:rowOff>
    </xdr:to>
    <xdr:pic>
      <xdr:nvPicPr>
        <xdr:cNvPr id="141" name="Picture 140" descr="taiwan.png"/>
        <xdr:cNvPicPr>
          <a:picLocks noChangeAspect="1"/>
        </xdr:cNvPicPr>
      </xdr:nvPicPr>
      <xdr:blipFill>
        <a:blip xmlns:r="http://schemas.openxmlformats.org/officeDocument/2006/relationships" r:embed="rId50" cstate="print"/>
        <a:stretch>
          <a:fillRect/>
        </a:stretch>
      </xdr:blipFill>
      <xdr:spPr>
        <a:xfrm>
          <a:off x="1219200" y="104193975"/>
          <a:ext cx="485775" cy="314325"/>
        </a:xfrm>
        <a:prstGeom prst="rect">
          <a:avLst/>
        </a:prstGeom>
      </xdr:spPr>
    </xdr:pic>
    <xdr:clientData/>
  </xdr:twoCellAnchor>
  <xdr:twoCellAnchor editAs="oneCell">
    <xdr:from>
      <xdr:col>2</xdr:col>
      <xdr:colOff>0</xdr:colOff>
      <xdr:row>500</xdr:row>
      <xdr:rowOff>0</xdr:rowOff>
    </xdr:from>
    <xdr:to>
      <xdr:col>3</xdr:col>
      <xdr:colOff>0</xdr:colOff>
      <xdr:row>501</xdr:row>
      <xdr:rowOff>0</xdr:rowOff>
    </xdr:to>
    <xdr:pic>
      <xdr:nvPicPr>
        <xdr:cNvPr id="142" name="Picture 141" descr="uae.png"/>
        <xdr:cNvPicPr>
          <a:picLocks noChangeAspect="1"/>
        </xdr:cNvPicPr>
      </xdr:nvPicPr>
      <xdr:blipFill>
        <a:blip xmlns:r="http://schemas.openxmlformats.org/officeDocument/2006/relationships" r:embed="rId51" cstate="print"/>
        <a:stretch>
          <a:fillRect/>
        </a:stretch>
      </xdr:blipFill>
      <xdr:spPr>
        <a:xfrm>
          <a:off x="1219200" y="106394250"/>
          <a:ext cx="447675" cy="314325"/>
        </a:xfrm>
        <a:prstGeom prst="rect">
          <a:avLst/>
        </a:prstGeom>
      </xdr:spPr>
    </xdr:pic>
    <xdr:clientData/>
  </xdr:twoCellAnchor>
  <xdr:twoCellAnchor editAs="oneCell">
    <xdr:from>
      <xdr:col>2</xdr:col>
      <xdr:colOff>0</xdr:colOff>
      <xdr:row>515</xdr:row>
      <xdr:rowOff>9524</xdr:rowOff>
    </xdr:from>
    <xdr:to>
      <xdr:col>2</xdr:col>
      <xdr:colOff>441960</xdr:colOff>
      <xdr:row>515</xdr:row>
      <xdr:rowOff>285749</xdr:rowOff>
    </xdr:to>
    <xdr:pic>
      <xdr:nvPicPr>
        <xdr:cNvPr id="143" name="Picture 142" descr="bulgaria.png"/>
        <xdr:cNvPicPr>
          <a:picLocks noChangeAspect="1"/>
        </xdr:cNvPicPr>
      </xdr:nvPicPr>
      <xdr:blipFill>
        <a:blip xmlns:r="http://schemas.openxmlformats.org/officeDocument/2006/relationships" r:embed="rId52" cstate="print"/>
        <a:stretch>
          <a:fillRect/>
        </a:stretch>
      </xdr:blipFill>
      <xdr:spPr>
        <a:xfrm>
          <a:off x="1219200" y="110118524"/>
          <a:ext cx="441960" cy="276225"/>
        </a:xfrm>
        <a:prstGeom prst="rect">
          <a:avLst/>
        </a:prstGeom>
      </xdr:spPr>
    </xdr:pic>
    <xdr:clientData/>
  </xdr:twoCellAnchor>
  <xdr:twoCellAnchor editAs="oneCell">
    <xdr:from>
      <xdr:col>2</xdr:col>
      <xdr:colOff>0</xdr:colOff>
      <xdr:row>469</xdr:row>
      <xdr:rowOff>0</xdr:rowOff>
    </xdr:from>
    <xdr:to>
      <xdr:col>2</xdr:col>
      <xdr:colOff>428625</xdr:colOff>
      <xdr:row>469</xdr:row>
      <xdr:rowOff>285750</xdr:rowOff>
    </xdr:to>
    <xdr:pic>
      <xdr:nvPicPr>
        <xdr:cNvPr id="144" name="Picture 143" descr="oman.png"/>
        <xdr:cNvPicPr>
          <a:picLocks noChangeAspect="1"/>
        </xdr:cNvPicPr>
      </xdr:nvPicPr>
      <xdr:blipFill>
        <a:blip xmlns:r="http://schemas.openxmlformats.org/officeDocument/2006/relationships" r:embed="rId53" cstate="print"/>
        <a:stretch>
          <a:fillRect/>
        </a:stretch>
      </xdr:blipFill>
      <xdr:spPr>
        <a:xfrm>
          <a:off x="1219200" y="96650175"/>
          <a:ext cx="428625" cy="285750"/>
        </a:xfrm>
        <a:prstGeom prst="rect">
          <a:avLst/>
        </a:prstGeom>
      </xdr:spPr>
    </xdr:pic>
    <xdr:clientData/>
  </xdr:twoCellAnchor>
  <xdr:twoCellAnchor editAs="oneCell">
    <xdr:from>
      <xdr:col>2</xdr:col>
      <xdr:colOff>38100</xdr:colOff>
      <xdr:row>471</xdr:row>
      <xdr:rowOff>28575</xdr:rowOff>
    </xdr:from>
    <xdr:to>
      <xdr:col>2</xdr:col>
      <xdr:colOff>419100</xdr:colOff>
      <xdr:row>472</xdr:row>
      <xdr:rowOff>0</xdr:rowOff>
    </xdr:to>
    <xdr:pic>
      <xdr:nvPicPr>
        <xdr:cNvPr id="145" name="Picture 144" descr="panama.png"/>
        <xdr:cNvPicPr>
          <a:picLocks noChangeAspect="1"/>
        </xdr:cNvPicPr>
      </xdr:nvPicPr>
      <xdr:blipFill>
        <a:blip xmlns:r="http://schemas.openxmlformats.org/officeDocument/2006/relationships" r:embed="rId54" cstate="print"/>
        <a:stretch>
          <a:fillRect/>
        </a:stretch>
      </xdr:blipFill>
      <xdr:spPr>
        <a:xfrm>
          <a:off x="1257300" y="97307400"/>
          <a:ext cx="381000" cy="285750"/>
        </a:xfrm>
        <a:prstGeom prst="rect">
          <a:avLst/>
        </a:prstGeom>
      </xdr:spPr>
    </xdr:pic>
    <xdr:clientData/>
  </xdr:twoCellAnchor>
  <xdr:twoCellAnchor editAs="oneCell">
    <xdr:from>
      <xdr:col>2</xdr:col>
      <xdr:colOff>0</xdr:colOff>
      <xdr:row>495</xdr:row>
      <xdr:rowOff>0</xdr:rowOff>
    </xdr:from>
    <xdr:to>
      <xdr:col>3</xdr:col>
      <xdr:colOff>19050</xdr:colOff>
      <xdr:row>496</xdr:row>
      <xdr:rowOff>0</xdr:rowOff>
    </xdr:to>
    <xdr:pic>
      <xdr:nvPicPr>
        <xdr:cNvPr id="146" name="Picture 145" descr="thai.png"/>
        <xdr:cNvPicPr>
          <a:picLocks noChangeAspect="1"/>
        </xdr:cNvPicPr>
      </xdr:nvPicPr>
      <xdr:blipFill>
        <a:blip xmlns:r="http://schemas.openxmlformats.org/officeDocument/2006/relationships" r:embed="rId55" cstate="print"/>
        <a:stretch>
          <a:fillRect/>
        </a:stretch>
      </xdr:blipFill>
      <xdr:spPr>
        <a:xfrm>
          <a:off x="1219200" y="104822625"/>
          <a:ext cx="466725" cy="314325"/>
        </a:xfrm>
        <a:prstGeom prst="rect">
          <a:avLst/>
        </a:prstGeom>
      </xdr:spPr>
    </xdr:pic>
    <xdr:clientData/>
  </xdr:twoCellAnchor>
  <xdr:twoCellAnchor editAs="oneCell">
    <xdr:from>
      <xdr:col>2</xdr:col>
      <xdr:colOff>47625</xdr:colOff>
      <xdr:row>499</xdr:row>
      <xdr:rowOff>38100</xdr:rowOff>
    </xdr:from>
    <xdr:to>
      <xdr:col>2</xdr:col>
      <xdr:colOff>419100</xdr:colOff>
      <xdr:row>499</xdr:row>
      <xdr:rowOff>285750</xdr:rowOff>
    </xdr:to>
    <xdr:pic>
      <xdr:nvPicPr>
        <xdr:cNvPr id="147" name="Picture 146" descr="ukraine.png"/>
        <xdr:cNvPicPr>
          <a:picLocks noChangeAspect="1"/>
        </xdr:cNvPicPr>
      </xdr:nvPicPr>
      <xdr:blipFill>
        <a:blip xmlns:r="http://schemas.openxmlformats.org/officeDocument/2006/relationships" r:embed="rId56" cstate="print"/>
        <a:stretch>
          <a:fillRect/>
        </a:stretch>
      </xdr:blipFill>
      <xdr:spPr>
        <a:xfrm>
          <a:off x="1266825" y="106118025"/>
          <a:ext cx="371475" cy="247650"/>
        </a:xfrm>
        <a:prstGeom prst="rect">
          <a:avLst/>
        </a:prstGeom>
      </xdr:spPr>
    </xdr:pic>
    <xdr:clientData/>
  </xdr:twoCellAnchor>
  <xdr:twoCellAnchor editAs="oneCell">
    <xdr:from>
      <xdr:col>2</xdr:col>
      <xdr:colOff>9525</xdr:colOff>
      <xdr:row>462</xdr:row>
      <xdr:rowOff>19050</xdr:rowOff>
    </xdr:from>
    <xdr:to>
      <xdr:col>3</xdr:col>
      <xdr:colOff>0</xdr:colOff>
      <xdr:row>463</xdr:row>
      <xdr:rowOff>2177</xdr:rowOff>
    </xdr:to>
    <xdr:pic>
      <xdr:nvPicPr>
        <xdr:cNvPr id="148" name="Picture 147" descr="myanmar.png"/>
        <xdr:cNvPicPr>
          <a:picLocks noChangeAspect="1"/>
        </xdr:cNvPicPr>
      </xdr:nvPicPr>
      <xdr:blipFill>
        <a:blip xmlns:r="http://schemas.openxmlformats.org/officeDocument/2006/relationships" r:embed="rId57" cstate="print"/>
        <a:stretch>
          <a:fillRect/>
        </a:stretch>
      </xdr:blipFill>
      <xdr:spPr>
        <a:xfrm>
          <a:off x="1228725" y="93973650"/>
          <a:ext cx="438150" cy="287927"/>
        </a:xfrm>
        <a:prstGeom prst="rect">
          <a:avLst/>
        </a:prstGeom>
      </xdr:spPr>
    </xdr:pic>
    <xdr:clientData/>
  </xdr:twoCellAnchor>
  <xdr:twoCellAnchor editAs="oneCell">
    <xdr:from>
      <xdr:col>2</xdr:col>
      <xdr:colOff>0</xdr:colOff>
      <xdr:row>485</xdr:row>
      <xdr:rowOff>0</xdr:rowOff>
    </xdr:from>
    <xdr:to>
      <xdr:col>2</xdr:col>
      <xdr:colOff>428625</xdr:colOff>
      <xdr:row>485</xdr:row>
      <xdr:rowOff>285750</xdr:rowOff>
    </xdr:to>
    <xdr:pic>
      <xdr:nvPicPr>
        <xdr:cNvPr id="149" name="Picture 148" descr="africa.png"/>
        <xdr:cNvPicPr>
          <a:picLocks noChangeAspect="1"/>
        </xdr:cNvPicPr>
      </xdr:nvPicPr>
      <xdr:blipFill>
        <a:blip xmlns:r="http://schemas.openxmlformats.org/officeDocument/2006/relationships" r:embed="rId58" cstate="print"/>
        <a:stretch>
          <a:fillRect/>
        </a:stretch>
      </xdr:blipFill>
      <xdr:spPr>
        <a:xfrm>
          <a:off x="1219200" y="101679375"/>
          <a:ext cx="428625" cy="285750"/>
        </a:xfrm>
        <a:prstGeom prst="rect">
          <a:avLst/>
        </a:prstGeom>
      </xdr:spPr>
    </xdr:pic>
    <xdr:clientData/>
  </xdr:twoCellAnchor>
  <xdr:twoCellAnchor editAs="oneCell">
    <xdr:from>
      <xdr:col>1</xdr:col>
      <xdr:colOff>575310</xdr:colOff>
      <xdr:row>491</xdr:row>
      <xdr:rowOff>28575</xdr:rowOff>
    </xdr:from>
    <xdr:to>
      <xdr:col>3</xdr:col>
      <xdr:colOff>66675</xdr:colOff>
      <xdr:row>492</xdr:row>
      <xdr:rowOff>28575</xdr:rowOff>
    </xdr:to>
    <xdr:pic>
      <xdr:nvPicPr>
        <xdr:cNvPr id="150" name="Picture 149" descr="switzerland.png"/>
        <xdr:cNvPicPr>
          <a:picLocks noChangeAspect="1"/>
        </xdr:cNvPicPr>
      </xdr:nvPicPr>
      <xdr:blipFill>
        <a:blip xmlns:r="http://schemas.openxmlformats.org/officeDocument/2006/relationships" r:embed="rId59" cstate="print"/>
        <a:stretch>
          <a:fillRect/>
        </a:stretch>
      </xdr:blipFill>
      <xdr:spPr>
        <a:xfrm>
          <a:off x="1184910" y="102822375"/>
          <a:ext cx="548640" cy="304800"/>
        </a:xfrm>
        <a:prstGeom prst="rect">
          <a:avLst/>
        </a:prstGeom>
      </xdr:spPr>
    </xdr:pic>
    <xdr:clientData/>
  </xdr:twoCellAnchor>
  <xdr:twoCellAnchor editAs="oneCell">
    <xdr:from>
      <xdr:col>2</xdr:col>
      <xdr:colOff>0</xdr:colOff>
      <xdr:row>517</xdr:row>
      <xdr:rowOff>0</xdr:rowOff>
    </xdr:from>
    <xdr:to>
      <xdr:col>3</xdr:col>
      <xdr:colOff>0</xdr:colOff>
      <xdr:row>518</xdr:row>
      <xdr:rowOff>0</xdr:rowOff>
    </xdr:to>
    <xdr:pic>
      <xdr:nvPicPr>
        <xdr:cNvPr id="151" name="Picture 150" descr="canada.png"/>
        <xdr:cNvPicPr>
          <a:picLocks noChangeAspect="1"/>
        </xdr:cNvPicPr>
      </xdr:nvPicPr>
      <xdr:blipFill>
        <a:blip xmlns:r="http://schemas.openxmlformats.org/officeDocument/2006/relationships" r:embed="rId60" cstate="print"/>
        <a:stretch>
          <a:fillRect/>
        </a:stretch>
      </xdr:blipFill>
      <xdr:spPr>
        <a:xfrm>
          <a:off x="1219200" y="111718725"/>
          <a:ext cx="447675" cy="266700"/>
        </a:xfrm>
        <a:prstGeom prst="rect">
          <a:avLst/>
        </a:prstGeom>
      </xdr:spPr>
    </xdr:pic>
    <xdr:clientData/>
  </xdr:twoCellAnchor>
  <xdr:twoCellAnchor editAs="oneCell">
    <xdr:from>
      <xdr:col>2</xdr:col>
      <xdr:colOff>57150</xdr:colOff>
      <xdr:row>518</xdr:row>
      <xdr:rowOff>66675</xdr:rowOff>
    </xdr:from>
    <xdr:to>
      <xdr:col>2</xdr:col>
      <xdr:colOff>361950</xdr:colOff>
      <xdr:row>518</xdr:row>
      <xdr:rowOff>257175</xdr:rowOff>
    </xdr:to>
    <xdr:pic>
      <xdr:nvPicPr>
        <xdr:cNvPr id="152" name="Picture 151" descr="chile.png"/>
        <xdr:cNvPicPr>
          <a:picLocks noChangeAspect="1"/>
        </xdr:cNvPicPr>
      </xdr:nvPicPr>
      <xdr:blipFill>
        <a:blip xmlns:r="http://schemas.openxmlformats.org/officeDocument/2006/relationships" r:embed="rId61" cstate="print"/>
        <a:stretch>
          <a:fillRect/>
        </a:stretch>
      </xdr:blipFill>
      <xdr:spPr>
        <a:xfrm>
          <a:off x="1276350" y="112052100"/>
          <a:ext cx="304800" cy="190500"/>
        </a:xfrm>
        <a:prstGeom prst="rect">
          <a:avLst/>
        </a:prstGeom>
      </xdr:spPr>
    </xdr:pic>
    <xdr:clientData/>
  </xdr:twoCellAnchor>
  <xdr:twoCellAnchor editAs="oneCell">
    <xdr:from>
      <xdr:col>2</xdr:col>
      <xdr:colOff>38100</xdr:colOff>
      <xdr:row>516</xdr:row>
      <xdr:rowOff>28575</xdr:rowOff>
    </xdr:from>
    <xdr:to>
      <xdr:col>2</xdr:col>
      <xdr:colOff>419100</xdr:colOff>
      <xdr:row>516</xdr:row>
      <xdr:rowOff>266700</xdr:rowOff>
    </xdr:to>
    <xdr:pic>
      <xdr:nvPicPr>
        <xdr:cNvPr id="153" name="Picture 152" descr="cmbodia.png"/>
        <xdr:cNvPicPr>
          <a:picLocks noChangeAspect="1"/>
        </xdr:cNvPicPr>
      </xdr:nvPicPr>
      <xdr:blipFill>
        <a:blip xmlns:r="http://schemas.openxmlformats.org/officeDocument/2006/relationships" r:embed="rId62" cstate="print"/>
        <a:stretch>
          <a:fillRect/>
        </a:stretch>
      </xdr:blipFill>
      <xdr:spPr>
        <a:xfrm>
          <a:off x="1257300" y="111452025"/>
          <a:ext cx="381000" cy="238125"/>
        </a:xfrm>
        <a:prstGeom prst="rect">
          <a:avLst/>
        </a:prstGeom>
      </xdr:spPr>
    </xdr:pic>
    <xdr:clientData/>
  </xdr:twoCellAnchor>
  <xdr:twoCellAnchor editAs="oneCell">
    <xdr:from>
      <xdr:col>2</xdr:col>
      <xdr:colOff>0</xdr:colOff>
      <xdr:row>465</xdr:row>
      <xdr:rowOff>0</xdr:rowOff>
    </xdr:from>
    <xdr:to>
      <xdr:col>3</xdr:col>
      <xdr:colOff>9525</xdr:colOff>
      <xdr:row>466</xdr:row>
      <xdr:rowOff>0</xdr:rowOff>
    </xdr:to>
    <xdr:pic>
      <xdr:nvPicPr>
        <xdr:cNvPr id="154" name="Picture 153" descr="netherlands.png"/>
        <xdr:cNvPicPr>
          <a:picLocks noChangeAspect="1"/>
        </xdr:cNvPicPr>
      </xdr:nvPicPr>
      <xdr:blipFill>
        <a:blip xmlns:r="http://schemas.openxmlformats.org/officeDocument/2006/relationships" r:embed="rId63" cstate="print"/>
        <a:stretch>
          <a:fillRect/>
        </a:stretch>
      </xdr:blipFill>
      <xdr:spPr>
        <a:xfrm>
          <a:off x="1219200" y="95392875"/>
          <a:ext cx="457200" cy="314325"/>
        </a:xfrm>
        <a:prstGeom prst="rect">
          <a:avLst/>
        </a:prstGeom>
      </xdr:spPr>
    </xdr:pic>
    <xdr:clientData/>
  </xdr:twoCellAnchor>
  <xdr:twoCellAnchor editAs="oneCell">
    <xdr:from>
      <xdr:col>1</xdr:col>
      <xdr:colOff>600075</xdr:colOff>
      <xdr:row>429</xdr:row>
      <xdr:rowOff>19050</xdr:rowOff>
    </xdr:from>
    <xdr:to>
      <xdr:col>2</xdr:col>
      <xdr:colOff>438150</xdr:colOff>
      <xdr:row>429</xdr:row>
      <xdr:rowOff>285750</xdr:rowOff>
    </xdr:to>
    <xdr:pic>
      <xdr:nvPicPr>
        <xdr:cNvPr id="155" name="Picture 154" descr="finland.png"/>
        <xdr:cNvPicPr>
          <a:picLocks noChangeAspect="1"/>
        </xdr:cNvPicPr>
      </xdr:nvPicPr>
      <xdr:blipFill>
        <a:blip xmlns:r="http://schemas.openxmlformats.org/officeDocument/2006/relationships" r:embed="rId64" cstate="print"/>
        <a:stretch>
          <a:fillRect/>
        </a:stretch>
      </xdr:blipFill>
      <xdr:spPr>
        <a:xfrm>
          <a:off x="1209675" y="84096225"/>
          <a:ext cx="447675" cy="266700"/>
        </a:xfrm>
        <a:prstGeom prst="rect">
          <a:avLst/>
        </a:prstGeom>
      </xdr:spPr>
    </xdr:pic>
    <xdr:clientData/>
  </xdr:twoCellAnchor>
  <xdr:twoCellAnchor editAs="oneCell">
    <xdr:from>
      <xdr:col>2</xdr:col>
      <xdr:colOff>19050</xdr:colOff>
      <xdr:row>449</xdr:row>
      <xdr:rowOff>38100</xdr:rowOff>
    </xdr:from>
    <xdr:to>
      <xdr:col>2</xdr:col>
      <xdr:colOff>400050</xdr:colOff>
      <xdr:row>449</xdr:row>
      <xdr:rowOff>276225</xdr:rowOff>
    </xdr:to>
    <xdr:pic>
      <xdr:nvPicPr>
        <xdr:cNvPr id="156" name="Picture 155" descr="Kenya.png"/>
        <xdr:cNvPicPr>
          <a:picLocks noChangeAspect="1"/>
        </xdr:cNvPicPr>
      </xdr:nvPicPr>
      <xdr:blipFill>
        <a:blip xmlns:r="http://schemas.openxmlformats.org/officeDocument/2006/relationships" r:embed="rId65" cstate="print"/>
        <a:stretch>
          <a:fillRect/>
        </a:stretch>
      </xdr:blipFill>
      <xdr:spPr>
        <a:xfrm>
          <a:off x="1238250" y="90401775"/>
          <a:ext cx="381000" cy="238125"/>
        </a:xfrm>
        <a:prstGeom prst="rect">
          <a:avLst/>
        </a:prstGeom>
      </xdr:spPr>
    </xdr:pic>
    <xdr:clientData/>
  </xdr:twoCellAnchor>
  <xdr:twoCellAnchor editAs="oneCell">
    <xdr:from>
      <xdr:col>2</xdr:col>
      <xdr:colOff>0</xdr:colOff>
      <xdr:row>437</xdr:row>
      <xdr:rowOff>28575</xdr:rowOff>
    </xdr:from>
    <xdr:to>
      <xdr:col>3</xdr:col>
      <xdr:colOff>28575</xdr:colOff>
      <xdr:row>438</xdr:row>
      <xdr:rowOff>0</xdr:rowOff>
    </xdr:to>
    <xdr:pic>
      <xdr:nvPicPr>
        <xdr:cNvPr id="157" name="Picture 156" descr="italy.png"/>
        <xdr:cNvPicPr>
          <a:picLocks noChangeAspect="1"/>
        </xdr:cNvPicPr>
      </xdr:nvPicPr>
      <xdr:blipFill>
        <a:blip xmlns:r="http://schemas.openxmlformats.org/officeDocument/2006/relationships" r:embed="rId35" cstate="print"/>
        <a:stretch>
          <a:fillRect/>
        </a:stretch>
      </xdr:blipFill>
      <xdr:spPr>
        <a:xfrm>
          <a:off x="1219200" y="86620350"/>
          <a:ext cx="476250" cy="285750"/>
        </a:xfrm>
        <a:prstGeom prst="rect">
          <a:avLst/>
        </a:prstGeom>
      </xdr:spPr>
    </xdr:pic>
    <xdr:clientData/>
  </xdr:twoCellAnchor>
  <xdr:twoCellAnchor editAs="oneCell">
    <xdr:from>
      <xdr:col>2</xdr:col>
      <xdr:colOff>28575</xdr:colOff>
      <xdr:row>442</xdr:row>
      <xdr:rowOff>85725</xdr:rowOff>
    </xdr:from>
    <xdr:to>
      <xdr:col>2</xdr:col>
      <xdr:colOff>409575</xdr:colOff>
      <xdr:row>442</xdr:row>
      <xdr:rowOff>276225</xdr:rowOff>
    </xdr:to>
    <xdr:pic>
      <xdr:nvPicPr>
        <xdr:cNvPr id="158" name="Picture 157" descr="Ireland.png"/>
        <xdr:cNvPicPr>
          <a:picLocks noChangeAspect="1"/>
        </xdr:cNvPicPr>
      </xdr:nvPicPr>
      <xdr:blipFill>
        <a:blip xmlns:r="http://schemas.openxmlformats.org/officeDocument/2006/relationships" r:embed="rId66" cstate="print"/>
        <a:stretch>
          <a:fillRect/>
        </a:stretch>
      </xdr:blipFill>
      <xdr:spPr>
        <a:xfrm>
          <a:off x="1247775" y="88249125"/>
          <a:ext cx="381000" cy="190500"/>
        </a:xfrm>
        <a:prstGeom prst="rect">
          <a:avLst/>
        </a:prstGeom>
      </xdr:spPr>
    </xdr:pic>
    <xdr:clientData/>
  </xdr:twoCellAnchor>
  <xdr:twoCellAnchor editAs="oneCell">
    <xdr:from>
      <xdr:col>2</xdr:col>
      <xdr:colOff>47625</xdr:colOff>
      <xdr:row>448</xdr:row>
      <xdr:rowOff>57150</xdr:rowOff>
    </xdr:from>
    <xdr:to>
      <xdr:col>2</xdr:col>
      <xdr:colOff>428625</xdr:colOff>
      <xdr:row>448</xdr:row>
      <xdr:rowOff>247650</xdr:rowOff>
    </xdr:to>
    <xdr:pic>
      <xdr:nvPicPr>
        <xdr:cNvPr id="159" name="Picture 158" descr="Kazakhstan.png"/>
        <xdr:cNvPicPr>
          <a:picLocks noChangeAspect="1"/>
        </xdr:cNvPicPr>
      </xdr:nvPicPr>
      <xdr:blipFill>
        <a:blip xmlns:r="http://schemas.openxmlformats.org/officeDocument/2006/relationships" r:embed="rId67" cstate="print"/>
        <a:stretch>
          <a:fillRect/>
        </a:stretch>
      </xdr:blipFill>
      <xdr:spPr>
        <a:xfrm>
          <a:off x="1266825" y="90106500"/>
          <a:ext cx="381000" cy="190500"/>
        </a:xfrm>
        <a:prstGeom prst="rect">
          <a:avLst/>
        </a:prstGeom>
      </xdr:spPr>
    </xdr:pic>
    <xdr:clientData/>
  </xdr:twoCellAnchor>
  <xdr:twoCellAnchor editAs="oneCell">
    <xdr:from>
      <xdr:col>2</xdr:col>
      <xdr:colOff>0</xdr:colOff>
      <xdr:row>428</xdr:row>
      <xdr:rowOff>0</xdr:rowOff>
    </xdr:from>
    <xdr:to>
      <xdr:col>2</xdr:col>
      <xdr:colOff>428625</xdr:colOff>
      <xdr:row>428</xdr:row>
      <xdr:rowOff>285750</xdr:rowOff>
    </xdr:to>
    <xdr:pic>
      <xdr:nvPicPr>
        <xdr:cNvPr id="160" name="Picture 159" descr="ethio[ia.png"/>
        <xdr:cNvPicPr>
          <a:picLocks noChangeAspect="1"/>
        </xdr:cNvPicPr>
      </xdr:nvPicPr>
      <xdr:blipFill>
        <a:blip xmlns:r="http://schemas.openxmlformats.org/officeDocument/2006/relationships" r:embed="rId68" cstate="print"/>
        <a:stretch>
          <a:fillRect/>
        </a:stretch>
      </xdr:blipFill>
      <xdr:spPr>
        <a:xfrm>
          <a:off x="1219200" y="83762850"/>
          <a:ext cx="428625" cy="285750"/>
        </a:xfrm>
        <a:prstGeom prst="rect">
          <a:avLst/>
        </a:prstGeom>
      </xdr:spPr>
    </xdr:pic>
    <xdr:clientData/>
  </xdr:twoCellAnchor>
  <xdr:twoCellAnchor editAs="oneCell">
    <xdr:from>
      <xdr:col>2</xdr:col>
      <xdr:colOff>0</xdr:colOff>
      <xdr:row>478</xdr:row>
      <xdr:rowOff>0</xdr:rowOff>
    </xdr:from>
    <xdr:to>
      <xdr:col>3</xdr:col>
      <xdr:colOff>28575</xdr:colOff>
      <xdr:row>479</xdr:row>
      <xdr:rowOff>9525</xdr:rowOff>
    </xdr:to>
    <xdr:pic>
      <xdr:nvPicPr>
        <xdr:cNvPr id="161" name="Picture 160" descr="romania.png"/>
        <xdr:cNvPicPr>
          <a:picLocks noChangeAspect="1"/>
        </xdr:cNvPicPr>
      </xdr:nvPicPr>
      <xdr:blipFill>
        <a:blip xmlns:r="http://schemas.openxmlformats.org/officeDocument/2006/relationships" r:embed="rId69" cstate="print"/>
        <a:stretch>
          <a:fillRect/>
        </a:stretch>
      </xdr:blipFill>
      <xdr:spPr>
        <a:xfrm>
          <a:off x="1219200" y="99479100"/>
          <a:ext cx="476250" cy="323850"/>
        </a:xfrm>
        <a:prstGeom prst="rect">
          <a:avLst/>
        </a:prstGeom>
      </xdr:spPr>
    </xdr:pic>
    <xdr:clientData/>
  </xdr:twoCellAnchor>
  <xdr:twoCellAnchor editAs="oneCell">
    <xdr:from>
      <xdr:col>1</xdr:col>
      <xdr:colOff>600075</xdr:colOff>
      <xdr:row>483</xdr:row>
      <xdr:rowOff>9524</xdr:rowOff>
    </xdr:from>
    <xdr:to>
      <xdr:col>3</xdr:col>
      <xdr:colOff>38100</xdr:colOff>
      <xdr:row>484</xdr:row>
      <xdr:rowOff>4762</xdr:rowOff>
    </xdr:to>
    <xdr:pic>
      <xdr:nvPicPr>
        <xdr:cNvPr id="162" name="Picture 161" descr="Slovakia.png"/>
        <xdr:cNvPicPr>
          <a:picLocks noChangeAspect="1"/>
        </xdr:cNvPicPr>
      </xdr:nvPicPr>
      <xdr:blipFill>
        <a:blip xmlns:r="http://schemas.openxmlformats.org/officeDocument/2006/relationships" r:embed="rId70" cstate="print"/>
        <a:stretch>
          <a:fillRect/>
        </a:stretch>
      </xdr:blipFill>
      <xdr:spPr>
        <a:xfrm>
          <a:off x="1209675" y="101060249"/>
          <a:ext cx="495300" cy="309563"/>
        </a:xfrm>
        <a:prstGeom prst="rect">
          <a:avLst/>
        </a:prstGeom>
      </xdr:spPr>
    </xdr:pic>
    <xdr:clientData/>
  </xdr:twoCellAnchor>
  <xdr:twoCellAnchor editAs="oneCell">
    <xdr:from>
      <xdr:col>1</xdr:col>
      <xdr:colOff>600075</xdr:colOff>
      <xdr:row>483</xdr:row>
      <xdr:rowOff>304799</xdr:rowOff>
    </xdr:from>
    <xdr:to>
      <xdr:col>3</xdr:col>
      <xdr:colOff>38100</xdr:colOff>
      <xdr:row>484</xdr:row>
      <xdr:rowOff>300037</xdr:rowOff>
    </xdr:to>
    <xdr:pic>
      <xdr:nvPicPr>
        <xdr:cNvPr id="163" name="Picture 162" descr="slovenia.png"/>
        <xdr:cNvPicPr>
          <a:picLocks noChangeAspect="1"/>
        </xdr:cNvPicPr>
      </xdr:nvPicPr>
      <xdr:blipFill>
        <a:blip xmlns:r="http://schemas.openxmlformats.org/officeDocument/2006/relationships" r:embed="rId71" cstate="print"/>
        <a:stretch>
          <a:fillRect/>
        </a:stretch>
      </xdr:blipFill>
      <xdr:spPr>
        <a:xfrm>
          <a:off x="1209675" y="101355524"/>
          <a:ext cx="495300" cy="309563"/>
        </a:xfrm>
        <a:prstGeom prst="rect">
          <a:avLst/>
        </a:prstGeom>
      </xdr:spPr>
    </xdr:pic>
    <xdr:clientData/>
  </xdr:twoCellAnchor>
  <xdr:twoCellAnchor editAs="oneCell">
    <xdr:from>
      <xdr:col>2</xdr:col>
      <xdr:colOff>0</xdr:colOff>
      <xdr:row>504</xdr:row>
      <xdr:rowOff>0</xdr:rowOff>
    </xdr:from>
    <xdr:to>
      <xdr:col>3</xdr:col>
      <xdr:colOff>9525</xdr:colOff>
      <xdr:row>505</xdr:row>
      <xdr:rowOff>0</xdr:rowOff>
    </xdr:to>
    <xdr:pic>
      <xdr:nvPicPr>
        <xdr:cNvPr id="164" name="Picture 163" descr="venezuela.png"/>
        <xdr:cNvPicPr>
          <a:picLocks noChangeAspect="1"/>
        </xdr:cNvPicPr>
      </xdr:nvPicPr>
      <xdr:blipFill>
        <a:blip xmlns:r="http://schemas.openxmlformats.org/officeDocument/2006/relationships" r:embed="rId72" cstate="print"/>
        <a:stretch>
          <a:fillRect/>
        </a:stretch>
      </xdr:blipFill>
      <xdr:spPr>
        <a:xfrm>
          <a:off x="1219200" y="107651550"/>
          <a:ext cx="457200" cy="314325"/>
        </a:xfrm>
        <a:prstGeom prst="rect">
          <a:avLst/>
        </a:prstGeom>
      </xdr:spPr>
    </xdr:pic>
    <xdr:clientData/>
  </xdr:twoCellAnchor>
  <xdr:twoCellAnchor editAs="oneCell">
    <xdr:from>
      <xdr:col>2</xdr:col>
      <xdr:colOff>114300</xdr:colOff>
      <xdr:row>421</xdr:row>
      <xdr:rowOff>85725</xdr:rowOff>
    </xdr:from>
    <xdr:to>
      <xdr:col>2</xdr:col>
      <xdr:colOff>352425</xdr:colOff>
      <xdr:row>421</xdr:row>
      <xdr:rowOff>247650</xdr:rowOff>
    </xdr:to>
    <xdr:pic>
      <xdr:nvPicPr>
        <xdr:cNvPr id="165" name="Picture 164" descr="czeh.png"/>
        <xdr:cNvPicPr>
          <a:picLocks noChangeAspect="1"/>
        </xdr:cNvPicPr>
      </xdr:nvPicPr>
      <xdr:blipFill>
        <a:blip xmlns:r="http://schemas.openxmlformats.org/officeDocument/2006/relationships" r:embed="rId73" cstate="print"/>
        <a:stretch>
          <a:fillRect/>
        </a:stretch>
      </xdr:blipFill>
      <xdr:spPr>
        <a:xfrm>
          <a:off x="1333500" y="81648300"/>
          <a:ext cx="238125" cy="161925"/>
        </a:xfrm>
        <a:prstGeom prst="rect">
          <a:avLst/>
        </a:prstGeom>
      </xdr:spPr>
    </xdr:pic>
    <xdr:clientData/>
  </xdr:twoCellAnchor>
  <xdr:twoCellAnchor editAs="oneCell">
    <xdr:from>
      <xdr:col>2</xdr:col>
      <xdr:colOff>0</xdr:colOff>
      <xdr:row>522</xdr:row>
      <xdr:rowOff>19050</xdr:rowOff>
    </xdr:from>
    <xdr:to>
      <xdr:col>2</xdr:col>
      <xdr:colOff>428625</xdr:colOff>
      <xdr:row>522</xdr:row>
      <xdr:rowOff>304800</xdr:rowOff>
    </xdr:to>
    <xdr:pic>
      <xdr:nvPicPr>
        <xdr:cNvPr id="166" name="Picture 165" descr="hungary.png"/>
        <xdr:cNvPicPr>
          <a:picLocks noChangeAspect="1"/>
        </xdr:cNvPicPr>
      </xdr:nvPicPr>
      <xdr:blipFill>
        <a:blip xmlns:r="http://schemas.openxmlformats.org/officeDocument/2006/relationships" r:embed="rId74" cstate="print"/>
        <a:stretch>
          <a:fillRect/>
        </a:stretch>
      </xdr:blipFill>
      <xdr:spPr>
        <a:xfrm>
          <a:off x="1219200" y="113185575"/>
          <a:ext cx="428625" cy="285750"/>
        </a:xfrm>
        <a:prstGeom prst="rect">
          <a:avLst/>
        </a:prstGeom>
      </xdr:spPr>
    </xdr:pic>
    <xdr:clientData/>
  </xdr:twoCellAnchor>
  <xdr:twoCellAnchor editAs="oneCell">
    <xdr:from>
      <xdr:col>2</xdr:col>
      <xdr:colOff>9525</xdr:colOff>
      <xdr:row>521</xdr:row>
      <xdr:rowOff>47625</xdr:rowOff>
    </xdr:from>
    <xdr:to>
      <xdr:col>3</xdr:col>
      <xdr:colOff>38100</xdr:colOff>
      <xdr:row>521</xdr:row>
      <xdr:rowOff>285750</xdr:rowOff>
    </xdr:to>
    <xdr:pic>
      <xdr:nvPicPr>
        <xdr:cNvPr id="167" name="Picture 166" descr="armenia.png"/>
        <xdr:cNvPicPr>
          <a:picLocks noChangeAspect="1"/>
        </xdr:cNvPicPr>
      </xdr:nvPicPr>
      <xdr:blipFill>
        <a:blip xmlns:r="http://schemas.openxmlformats.org/officeDocument/2006/relationships" r:embed="rId75" cstate="print"/>
        <a:stretch>
          <a:fillRect/>
        </a:stretch>
      </xdr:blipFill>
      <xdr:spPr>
        <a:xfrm>
          <a:off x="1228725" y="112899825"/>
          <a:ext cx="476250" cy="238125"/>
        </a:xfrm>
        <a:prstGeom prst="rect">
          <a:avLst/>
        </a:prstGeom>
      </xdr:spPr>
    </xdr:pic>
    <xdr:clientData/>
  </xdr:twoCellAnchor>
  <xdr:twoCellAnchor editAs="oneCell">
    <xdr:from>
      <xdr:col>2</xdr:col>
      <xdr:colOff>38100</xdr:colOff>
      <xdr:row>456</xdr:row>
      <xdr:rowOff>57150</xdr:rowOff>
    </xdr:from>
    <xdr:to>
      <xdr:col>2</xdr:col>
      <xdr:colOff>419100</xdr:colOff>
      <xdr:row>456</xdr:row>
      <xdr:rowOff>247650</xdr:rowOff>
    </xdr:to>
    <xdr:pic>
      <xdr:nvPicPr>
        <xdr:cNvPr id="168" name="Picture 167" descr="macedonia.png"/>
        <xdr:cNvPicPr>
          <a:picLocks noChangeAspect="1"/>
        </xdr:cNvPicPr>
      </xdr:nvPicPr>
      <xdr:blipFill>
        <a:blip xmlns:r="http://schemas.openxmlformats.org/officeDocument/2006/relationships" r:embed="rId76" cstate="print"/>
        <a:stretch>
          <a:fillRect/>
        </a:stretch>
      </xdr:blipFill>
      <xdr:spPr>
        <a:xfrm>
          <a:off x="1257300" y="92621100"/>
          <a:ext cx="381000" cy="190500"/>
        </a:xfrm>
        <a:prstGeom prst="rect">
          <a:avLst/>
        </a:prstGeom>
      </xdr:spPr>
    </xdr:pic>
    <xdr:clientData/>
  </xdr:twoCellAnchor>
  <xdr:twoCellAnchor editAs="oneCell">
    <xdr:from>
      <xdr:col>1</xdr:col>
      <xdr:colOff>581025</xdr:colOff>
      <xdr:row>466</xdr:row>
      <xdr:rowOff>47625</xdr:rowOff>
    </xdr:from>
    <xdr:to>
      <xdr:col>3</xdr:col>
      <xdr:colOff>0</xdr:colOff>
      <xdr:row>466</xdr:row>
      <xdr:rowOff>285750</xdr:rowOff>
    </xdr:to>
    <xdr:pic>
      <xdr:nvPicPr>
        <xdr:cNvPr id="169" name="Picture 168" descr="new zealand.png"/>
        <xdr:cNvPicPr>
          <a:picLocks noChangeAspect="1"/>
        </xdr:cNvPicPr>
      </xdr:nvPicPr>
      <xdr:blipFill>
        <a:blip xmlns:r="http://schemas.openxmlformats.org/officeDocument/2006/relationships" r:embed="rId77" cstate="print"/>
        <a:stretch>
          <a:fillRect/>
        </a:stretch>
      </xdr:blipFill>
      <xdr:spPr>
        <a:xfrm>
          <a:off x="1190625" y="95754825"/>
          <a:ext cx="476250" cy="238125"/>
        </a:xfrm>
        <a:prstGeom prst="rect">
          <a:avLst/>
        </a:prstGeom>
      </xdr:spPr>
    </xdr:pic>
    <xdr:clientData/>
  </xdr:twoCellAnchor>
  <xdr:twoCellAnchor editAs="oneCell">
    <xdr:from>
      <xdr:col>2</xdr:col>
      <xdr:colOff>95250</xdr:colOff>
      <xdr:row>435</xdr:row>
      <xdr:rowOff>47625</xdr:rowOff>
    </xdr:from>
    <xdr:to>
      <xdr:col>2</xdr:col>
      <xdr:colOff>361950</xdr:colOff>
      <xdr:row>435</xdr:row>
      <xdr:rowOff>238125</xdr:rowOff>
    </xdr:to>
    <xdr:pic>
      <xdr:nvPicPr>
        <xdr:cNvPr id="170" name="Picture 169" descr="iceland.png"/>
        <xdr:cNvPicPr>
          <a:picLocks noChangeAspect="1"/>
        </xdr:cNvPicPr>
      </xdr:nvPicPr>
      <xdr:blipFill>
        <a:blip xmlns:r="http://schemas.openxmlformats.org/officeDocument/2006/relationships" r:embed="rId78" cstate="print"/>
        <a:stretch>
          <a:fillRect/>
        </a:stretch>
      </xdr:blipFill>
      <xdr:spPr>
        <a:xfrm>
          <a:off x="1314450" y="86010750"/>
          <a:ext cx="266700" cy="190500"/>
        </a:xfrm>
        <a:prstGeom prst="rect">
          <a:avLst/>
        </a:prstGeom>
      </xdr:spPr>
    </xdr:pic>
    <xdr:clientData/>
  </xdr:twoCellAnchor>
  <xdr:twoCellAnchor editAs="oneCell">
    <xdr:from>
      <xdr:col>2</xdr:col>
      <xdr:colOff>0</xdr:colOff>
      <xdr:row>464</xdr:row>
      <xdr:rowOff>0</xdr:rowOff>
    </xdr:from>
    <xdr:to>
      <xdr:col>2</xdr:col>
      <xdr:colOff>247650</xdr:colOff>
      <xdr:row>464</xdr:row>
      <xdr:rowOff>309563</xdr:rowOff>
    </xdr:to>
    <xdr:pic>
      <xdr:nvPicPr>
        <xdr:cNvPr id="171" name="Picture 170" descr="nepal.png"/>
        <xdr:cNvPicPr>
          <a:picLocks noChangeAspect="1"/>
        </xdr:cNvPicPr>
      </xdr:nvPicPr>
      <xdr:blipFill>
        <a:blip xmlns:r="http://schemas.openxmlformats.org/officeDocument/2006/relationships" r:embed="rId79" cstate="print"/>
        <a:stretch>
          <a:fillRect/>
        </a:stretch>
      </xdr:blipFill>
      <xdr:spPr>
        <a:xfrm>
          <a:off x="1219200" y="95078550"/>
          <a:ext cx="247650" cy="309563"/>
        </a:xfrm>
        <a:prstGeom prst="rect">
          <a:avLst/>
        </a:prstGeom>
      </xdr:spPr>
    </xdr:pic>
    <xdr:clientData/>
  </xdr:twoCellAnchor>
  <xdr:twoCellAnchor editAs="oneCell">
    <xdr:from>
      <xdr:col>2</xdr:col>
      <xdr:colOff>0</xdr:colOff>
      <xdr:row>496</xdr:row>
      <xdr:rowOff>0</xdr:rowOff>
    </xdr:from>
    <xdr:to>
      <xdr:col>2</xdr:col>
      <xdr:colOff>428625</xdr:colOff>
      <xdr:row>496</xdr:row>
      <xdr:rowOff>285750</xdr:rowOff>
    </xdr:to>
    <xdr:pic>
      <xdr:nvPicPr>
        <xdr:cNvPr id="172" name="Picture 171" descr="tunisia.png"/>
        <xdr:cNvPicPr>
          <a:picLocks noChangeAspect="1"/>
        </xdr:cNvPicPr>
      </xdr:nvPicPr>
      <xdr:blipFill>
        <a:blip xmlns:r="http://schemas.openxmlformats.org/officeDocument/2006/relationships" r:embed="rId80" cstate="print"/>
        <a:stretch>
          <a:fillRect/>
        </a:stretch>
      </xdr:blipFill>
      <xdr:spPr>
        <a:xfrm>
          <a:off x="1219200" y="105136950"/>
          <a:ext cx="428625" cy="285750"/>
        </a:xfrm>
        <a:prstGeom prst="rect">
          <a:avLst/>
        </a:prstGeom>
      </xdr:spPr>
    </xdr:pic>
    <xdr:clientData/>
  </xdr:twoCellAnchor>
  <xdr:twoCellAnchor editAs="oneCell">
    <xdr:from>
      <xdr:col>2</xdr:col>
      <xdr:colOff>0</xdr:colOff>
      <xdr:row>520</xdr:row>
      <xdr:rowOff>0</xdr:rowOff>
    </xdr:from>
    <xdr:to>
      <xdr:col>3</xdr:col>
      <xdr:colOff>0</xdr:colOff>
      <xdr:row>520</xdr:row>
      <xdr:rowOff>302483</xdr:rowOff>
    </xdr:to>
    <xdr:pic>
      <xdr:nvPicPr>
        <xdr:cNvPr id="173" name="Picture 172" descr="brunei.png"/>
        <xdr:cNvPicPr>
          <a:picLocks noChangeAspect="1"/>
        </xdr:cNvPicPr>
      </xdr:nvPicPr>
      <xdr:blipFill>
        <a:blip xmlns:r="http://schemas.openxmlformats.org/officeDocument/2006/relationships" r:embed="rId81" cstate="print"/>
        <a:stretch>
          <a:fillRect/>
        </a:stretch>
      </xdr:blipFill>
      <xdr:spPr>
        <a:xfrm>
          <a:off x="1219200" y="111633000"/>
          <a:ext cx="447675" cy="302483"/>
        </a:xfrm>
        <a:prstGeom prst="rect">
          <a:avLst/>
        </a:prstGeom>
      </xdr:spPr>
    </xdr:pic>
    <xdr:clientData/>
  </xdr:twoCellAnchor>
  <xdr:twoCellAnchor editAs="oneCell">
    <xdr:from>
      <xdr:col>2</xdr:col>
      <xdr:colOff>0</xdr:colOff>
      <xdr:row>455</xdr:row>
      <xdr:rowOff>0</xdr:rowOff>
    </xdr:from>
    <xdr:to>
      <xdr:col>3</xdr:col>
      <xdr:colOff>9525</xdr:colOff>
      <xdr:row>455</xdr:row>
      <xdr:rowOff>304800</xdr:rowOff>
    </xdr:to>
    <xdr:pic>
      <xdr:nvPicPr>
        <xdr:cNvPr id="174" name="Picture 173" descr="nigeria.png"/>
        <xdr:cNvPicPr>
          <a:picLocks noChangeAspect="1"/>
        </xdr:cNvPicPr>
      </xdr:nvPicPr>
      <xdr:blipFill>
        <a:blip xmlns:r="http://schemas.openxmlformats.org/officeDocument/2006/relationships" r:embed="rId82" cstate="print"/>
        <a:stretch>
          <a:fillRect/>
        </a:stretch>
      </xdr:blipFill>
      <xdr:spPr>
        <a:xfrm>
          <a:off x="1219200" y="92249625"/>
          <a:ext cx="457200" cy="304800"/>
        </a:xfrm>
        <a:prstGeom prst="rect">
          <a:avLst/>
        </a:prstGeom>
      </xdr:spPr>
    </xdr:pic>
    <xdr:clientData/>
  </xdr:twoCellAnchor>
  <xdr:twoCellAnchor editAs="oneCell">
    <xdr:from>
      <xdr:col>2</xdr:col>
      <xdr:colOff>0</xdr:colOff>
      <xdr:row>410</xdr:row>
      <xdr:rowOff>0</xdr:rowOff>
    </xdr:from>
    <xdr:to>
      <xdr:col>3</xdr:col>
      <xdr:colOff>9525</xdr:colOff>
      <xdr:row>410</xdr:row>
      <xdr:rowOff>304800</xdr:rowOff>
    </xdr:to>
    <xdr:pic>
      <xdr:nvPicPr>
        <xdr:cNvPr id="175" name="Picture 174" descr="nigeria.png"/>
        <xdr:cNvPicPr>
          <a:picLocks noChangeAspect="1"/>
        </xdr:cNvPicPr>
      </xdr:nvPicPr>
      <xdr:blipFill>
        <a:blip xmlns:r="http://schemas.openxmlformats.org/officeDocument/2006/relationships" r:embed="rId82" cstate="print"/>
        <a:stretch>
          <a:fillRect/>
        </a:stretch>
      </xdr:blipFill>
      <xdr:spPr>
        <a:xfrm>
          <a:off x="1219200" y="78105000"/>
          <a:ext cx="457200" cy="304800"/>
        </a:xfrm>
        <a:prstGeom prst="rect">
          <a:avLst/>
        </a:prstGeom>
      </xdr:spPr>
    </xdr:pic>
    <xdr:clientData/>
  </xdr:twoCellAnchor>
  <xdr:twoCellAnchor editAs="oneCell">
    <xdr:from>
      <xdr:col>2</xdr:col>
      <xdr:colOff>0</xdr:colOff>
      <xdr:row>492</xdr:row>
      <xdr:rowOff>0</xdr:rowOff>
    </xdr:from>
    <xdr:to>
      <xdr:col>3</xdr:col>
      <xdr:colOff>28575</xdr:colOff>
      <xdr:row>493</xdr:row>
      <xdr:rowOff>0</xdr:rowOff>
    </xdr:to>
    <xdr:pic>
      <xdr:nvPicPr>
        <xdr:cNvPr id="176" name="Picture 175" descr="syria.png"/>
        <xdr:cNvPicPr>
          <a:picLocks noChangeAspect="1"/>
        </xdr:cNvPicPr>
      </xdr:nvPicPr>
      <xdr:blipFill>
        <a:blip xmlns:r="http://schemas.openxmlformats.org/officeDocument/2006/relationships" r:embed="rId83" cstate="print"/>
        <a:stretch>
          <a:fillRect/>
        </a:stretch>
      </xdr:blipFill>
      <xdr:spPr>
        <a:xfrm>
          <a:off x="1219200" y="103879650"/>
          <a:ext cx="476250" cy="314325"/>
        </a:xfrm>
        <a:prstGeom prst="rect">
          <a:avLst/>
        </a:prstGeom>
      </xdr:spPr>
    </xdr:pic>
    <xdr:clientData/>
  </xdr:twoCellAnchor>
  <xdr:twoCellAnchor editAs="oneCell">
    <xdr:from>
      <xdr:col>2</xdr:col>
      <xdr:colOff>0</xdr:colOff>
      <xdr:row>489</xdr:row>
      <xdr:rowOff>0</xdr:rowOff>
    </xdr:from>
    <xdr:to>
      <xdr:col>3</xdr:col>
      <xdr:colOff>28575</xdr:colOff>
      <xdr:row>490</xdr:row>
      <xdr:rowOff>19050</xdr:rowOff>
    </xdr:to>
    <xdr:pic>
      <xdr:nvPicPr>
        <xdr:cNvPr id="177" name="Picture 176" descr="sudan.png"/>
        <xdr:cNvPicPr>
          <a:picLocks noChangeAspect="1"/>
        </xdr:cNvPicPr>
      </xdr:nvPicPr>
      <xdr:blipFill>
        <a:blip xmlns:r="http://schemas.openxmlformats.org/officeDocument/2006/relationships" r:embed="rId84" cstate="print"/>
        <a:stretch>
          <a:fillRect/>
        </a:stretch>
      </xdr:blipFill>
      <xdr:spPr>
        <a:xfrm>
          <a:off x="1219200" y="102936675"/>
          <a:ext cx="476250" cy="333375"/>
        </a:xfrm>
        <a:prstGeom prst="rect">
          <a:avLst/>
        </a:prstGeom>
      </xdr:spPr>
    </xdr:pic>
    <xdr:clientData/>
  </xdr:twoCellAnchor>
  <xdr:twoCellAnchor editAs="oneCell">
    <xdr:from>
      <xdr:col>2</xdr:col>
      <xdr:colOff>0</xdr:colOff>
      <xdr:row>501</xdr:row>
      <xdr:rowOff>314324</xdr:rowOff>
    </xdr:from>
    <xdr:to>
      <xdr:col>3</xdr:col>
      <xdr:colOff>19050</xdr:colOff>
      <xdr:row>502</xdr:row>
      <xdr:rowOff>314324</xdr:rowOff>
    </xdr:to>
    <xdr:pic>
      <xdr:nvPicPr>
        <xdr:cNvPr id="178" name="Picture 177" descr="uruguay.png"/>
        <xdr:cNvPicPr>
          <a:picLocks noChangeAspect="1"/>
        </xdr:cNvPicPr>
      </xdr:nvPicPr>
      <xdr:blipFill>
        <a:blip xmlns:r="http://schemas.openxmlformats.org/officeDocument/2006/relationships" r:embed="rId85" cstate="print"/>
        <a:stretch>
          <a:fillRect/>
        </a:stretch>
      </xdr:blipFill>
      <xdr:spPr>
        <a:xfrm>
          <a:off x="1219200" y="107022899"/>
          <a:ext cx="466725" cy="314325"/>
        </a:xfrm>
        <a:prstGeom prst="rect">
          <a:avLst/>
        </a:prstGeom>
      </xdr:spPr>
    </xdr:pic>
    <xdr:clientData/>
  </xdr:twoCellAnchor>
  <xdr:twoCellAnchor editAs="oneCell">
    <xdr:from>
      <xdr:col>1</xdr:col>
      <xdr:colOff>609599</xdr:colOff>
      <xdr:row>506</xdr:row>
      <xdr:rowOff>0</xdr:rowOff>
    </xdr:from>
    <xdr:to>
      <xdr:col>3</xdr:col>
      <xdr:colOff>38099</xdr:colOff>
      <xdr:row>506</xdr:row>
      <xdr:rowOff>304800</xdr:rowOff>
    </xdr:to>
    <xdr:pic>
      <xdr:nvPicPr>
        <xdr:cNvPr id="179" name="Picture 178" descr="zimbabwe.png"/>
        <xdr:cNvPicPr>
          <a:picLocks noChangeAspect="1"/>
        </xdr:cNvPicPr>
      </xdr:nvPicPr>
      <xdr:blipFill>
        <a:blip xmlns:r="http://schemas.openxmlformats.org/officeDocument/2006/relationships" r:embed="rId86" cstate="print"/>
        <a:stretch>
          <a:fillRect/>
        </a:stretch>
      </xdr:blipFill>
      <xdr:spPr>
        <a:xfrm>
          <a:off x="1219199" y="108280200"/>
          <a:ext cx="485775" cy="304800"/>
        </a:xfrm>
        <a:prstGeom prst="rect">
          <a:avLst/>
        </a:prstGeom>
      </xdr:spPr>
    </xdr:pic>
    <xdr:clientData/>
  </xdr:twoCellAnchor>
  <xdr:twoCellAnchor editAs="oneCell">
    <xdr:from>
      <xdr:col>2</xdr:col>
      <xdr:colOff>0</xdr:colOff>
      <xdr:row>498</xdr:row>
      <xdr:rowOff>0</xdr:rowOff>
    </xdr:from>
    <xdr:to>
      <xdr:col>3</xdr:col>
      <xdr:colOff>9525</xdr:colOff>
      <xdr:row>498</xdr:row>
      <xdr:rowOff>304800</xdr:rowOff>
    </xdr:to>
    <xdr:pic>
      <xdr:nvPicPr>
        <xdr:cNvPr id="180" name="Picture 179" descr="uganda.png"/>
        <xdr:cNvPicPr>
          <a:picLocks noChangeAspect="1"/>
        </xdr:cNvPicPr>
      </xdr:nvPicPr>
      <xdr:blipFill>
        <a:blip xmlns:r="http://schemas.openxmlformats.org/officeDocument/2006/relationships" r:embed="rId87" cstate="print"/>
        <a:stretch>
          <a:fillRect/>
        </a:stretch>
      </xdr:blipFill>
      <xdr:spPr>
        <a:xfrm>
          <a:off x="1219200" y="105765600"/>
          <a:ext cx="457200" cy="304800"/>
        </a:xfrm>
        <a:prstGeom prst="rect">
          <a:avLst/>
        </a:prstGeom>
      </xdr:spPr>
    </xdr:pic>
    <xdr:clientData/>
  </xdr:twoCellAnchor>
  <xdr:twoCellAnchor editAs="oneCell">
    <xdr:from>
      <xdr:col>2</xdr:col>
      <xdr:colOff>0</xdr:colOff>
      <xdr:row>519</xdr:row>
      <xdr:rowOff>0</xdr:rowOff>
    </xdr:from>
    <xdr:to>
      <xdr:col>3</xdr:col>
      <xdr:colOff>9525</xdr:colOff>
      <xdr:row>520</xdr:row>
      <xdr:rowOff>9525</xdr:rowOff>
    </xdr:to>
    <xdr:pic>
      <xdr:nvPicPr>
        <xdr:cNvPr id="181" name="Picture 180" descr="botswana.png"/>
        <xdr:cNvPicPr>
          <a:picLocks noChangeAspect="1"/>
        </xdr:cNvPicPr>
      </xdr:nvPicPr>
      <xdr:blipFill>
        <a:blip xmlns:r="http://schemas.openxmlformats.org/officeDocument/2006/relationships" r:embed="rId88" cstate="print"/>
        <a:stretch>
          <a:fillRect/>
        </a:stretch>
      </xdr:blipFill>
      <xdr:spPr>
        <a:xfrm>
          <a:off x="1219200" y="112280700"/>
          <a:ext cx="457200" cy="304800"/>
        </a:xfrm>
        <a:prstGeom prst="rect">
          <a:avLst/>
        </a:prstGeom>
      </xdr:spPr>
    </xdr:pic>
    <xdr:clientData/>
  </xdr:twoCellAnchor>
  <xdr:twoCellAnchor editAs="oneCell">
    <xdr:from>
      <xdr:col>2</xdr:col>
      <xdr:colOff>0</xdr:colOff>
      <xdr:row>476</xdr:row>
      <xdr:rowOff>0</xdr:rowOff>
    </xdr:from>
    <xdr:to>
      <xdr:col>3</xdr:col>
      <xdr:colOff>9525</xdr:colOff>
      <xdr:row>477</xdr:row>
      <xdr:rowOff>0</xdr:rowOff>
    </xdr:to>
    <xdr:pic>
      <xdr:nvPicPr>
        <xdr:cNvPr id="182" name="Picture 181" descr="puerto rico.png"/>
        <xdr:cNvPicPr>
          <a:picLocks noChangeAspect="1"/>
        </xdr:cNvPicPr>
      </xdr:nvPicPr>
      <xdr:blipFill>
        <a:blip xmlns:r="http://schemas.openxmlformats.org/officeDocument/2006/relationships" r:embed="rId89" cstate="print"/>
        <a:stretch>
          <a:fillRect/>
        </a:stretch>
      </xdr:blipFill>
      <xdr:spPr>
        <a:xfrm>
          <a:off x="1219200" y="98850450"/>
          <a:ext cx="457200" cy="314325"/>
        </a:xfrm>
        <a:prstGeom prst="rect">
          <a:avLst/>
        </a:prstGeom>
      </xdr:spPr>
    </xdr:pic>
    <xdr:clientData/>
  </xdr:twoCellAnchor>
  <xdr:twoCellAnchor editAs="oneCell">
    <xdr:from>
      <xdr:col>2</xdr:col>
      <xdr:colOff>0</xdr:colOff>
      <xdr:row>463</xdr:row>
      <xdr:rowOff>0</xdr:rowOff>
    </xdr:from>
    <xdr:to>
      <xdr:col>3</xdr:col>
      <xdr:colOff>9525</xdr:colOff>
      <xdr:row>463</xdr:row>
      <xdr:rowOff>304800</xdr:rowOff>
    </xdr:to>
    <xdr:pic>
      <xdr:nvPicPr>
        <xdr:cNvPr id="183" name="Picture 182" descr="namibia.png"/>
        <xdr:cNvPicPr>
          <a:picLocks noChangeAspect="1"/>
        </xdr:cNvPicPr>
      </xdr:nvPicPr>
      <xdr:blipFill>
        <a:blip xmlns:r="http://schemas.openxmlformats.org/officeDocument/2006/relationships" r:embed="rId90" cstate="print"/>
        <a:stretch>
          <a:fillRect/>
        </a:stretch>
      </xdr:blipFill>
      <xdr:spPr>
        <a:xfrm>
          <a:off x="1219200" y="94764225"/>
          <a:ext cx="457200" cy="304800"/>
        </a:xfrm>
        <a:prstGeom prst="rect">
          <a:avLst/>
        </a:prstGeom>
      </xdr:spPr>
    </xdr:pic>
    <xdr:clientData/>
  </xdr:twoCellAnchor>
  <xdr:twoCellAnchor editAs="oneCell">
    <xdr:from>
      <xdr:col>2</xdr:col>
      <xdr:colOff>0</xdr:colOff>
      <xdr:row>461</xdr:row>
      <xdr:rowOff>0</xdr:rowOff>
    </xdr:from>
    <xdr:to>
      <xdr:col>3</xdr:col>
      <xdr:colOff>28575</xdr:colOff>
      <xdr:row>462</xdr:row>
      <xdr:rowOff>19050</xdr:rowOff>
    </xdr:to>
    <xdr:pic>
      <xdr:nvPicPr>
        <xdr:cNvPr id="184" name="Picture 183" descr="montengro.png"/>
        <xdr:cNvPicPr>
          <a:picLocks noChangeAspect="1"/>
        </xdr:cNvPicPr>
      </xdr:nvPicPr>
      <xdr:blipFill>
        <a:blip xmlns:r="http://schemas.openxmlformats.org/officeDocument/2006/relationships" r:embed="rId91" cstate="print"/>
        <a:stretch>
          <a:fillRect/>
        </a:stretch>
      </xdr:blipFill>
      <xdr:spPr>
        <a:xfrm>
          <a:off x="1219200" y="94135575"/>
          <a:ext cx="476250" cy="333375"/>
        </a:xfrm>
        <a:prstGeom prst="rect">
          <a:avLst/>
        </a:prstGeom>
      </xdr:spPr>
    </xdr:pic>
    <xdr:clientData/>
  </xdr:twoCellAnchor>
  <xdr:twoCellAnchor editAs="oneCell">
    <xdr:from>
      <xdr:col>2</xdr:col>
      <xdr:colOff>0</xdr:colOff>
      <xdr:row>460</xdr:row>
      <xdr:rowOff>0</xdr:rowOff>
    </xdr:from>
    <xdr:to>
      <xdr:col>3</xdr:col>
      <xdr:colOff>28575</xdr:colOff>
      <xdr:row>460</xdr:row>
      <xdr:rowOff>304800</xdr:rowOff>
    </xdr:to>
    <xdr:pic>
      <xdr:nvPicPr>
        <xdr:cNvPr id="185" name="Picture 184" descr="mongolia.png"/>
        <xdr:cNvPicPr>
          <a:picLocks noChangeAspect="1"/>
        </xdr:cNvPicPr>
      </xdr:nvPicPr>
      <xdr:blipFill>
        <a:blip xmlns:r="http://schemas.openxmlformats.org/officeDocument/2006/relationships" r:embed="rId92" cstate="print"/>
        <a:stretch>
          <a:fillRect/>
        </a:stretch>
      </xdr:blipFill>
      <xdr:spPr>
        <a:xfrm>
          <a:off x="1219200" y="93821250"/>
          <a:ext cx="476250" cy="304800"/>
        </a:xfrm>
        <a:prstGeom prst="rect">
          <a:avLst/>
        </a:prstGeom>
      </xdr:spPr>
    </xdr:pic>
    <xdr:clientData/>
  </xdr:twoCellAnchor>
  <xdr:twoCellAnchor editAs="oneCell">
    <xdr:from>
      <xdr:col>2</xdr:col>
      <xdr:colOff>0</xdr:colOff>
      <xdr:row>494</xdr:row>
      <xdr:rowOff>0</xdr:rowOff>
    </xdr:from>
    <xdr:to>
      <xdr:col>3</xdr:col>
      <xdr:colOff>28575</xdr:colOff>
      <xdr:row>495</xdr:row>
      <xdr:rowOff>0</xdr:rowOff>
    </xdr:to>
    <xdr:pic>
      <xdr:nvPicPr>
        <xdr:cNvPr id="186" name="Picture 185" descr="tanzania.png"/>
        <xdr:cNvPicPr>
          <a:picLocks noChangeAspect="1"/>
        </xdr:cNvPicPr>
      </xdr:nvPicPr>
      <xdr:blipFill>
        <a:blip xmlns:r="http://schemas.openxmlformats.org/officeDocument/2006/relationships" r:embed="rId93" cstate="print"/>
        <a:stretch>
          <a:fillRect/>
        </a:stretch>
      </xdr:blipFill>
      <xdr:spPr>
        <a:xfrm>
          <a:off x="1219200" y="104508300"/>
          <a:ext cx="476250" cy="314325"/>
        </a:xfrm>
        <a:prstGeom prst="rect">
          <a:avLst/>
        </a:prstGeom>
      </xdr:spPr>
    </xdr:pic>
    <xdr:clientData/>
  </xdr:twoCellAnchor>
  <xdr:twoCellAnchor editAs="oneCell">
    <xdr:from>
      <xdr:col>2</xdr:col>
      <xdr:colOff>0</xdr:colOff>
      <xdr:row>470</xdr:row>
      <xdr:rowOff>0</xdr:rowOff>
    </xdr:from>
    <xdr:to>
      <xdr:col>3</xdr:col>
      <xdr:colOff>19050</xdr:colOff>
      <xdr:row>470</xdr:row>
      <xdr:rowOff>307056</xdr:rowOff>
    </xdr:to>
    <xdr:pic>
      <xdr:nvPicPr>
        <xdr:cNvPr id="187" name="Picture 186" descr="pakistan.png"/>
        <xdr:cNvPicPr>
          <a:picLocks noChangeAspect="1"/>
        </xdr:cNvPicPr>
      </xdr:nvPicPr>
      <xdr:blipFill>
        <a:blip xmlns:r="http://schemas.openxmlformats.org/officeDocument/2006/relationships" r:embed="rId94" cstate="print"/>
        <a:stretch>
          <a:fillRect/>
        </a:stretch>
      </xdr:blipFill>
      <xdr:spPr>
        <a:xfrm>
          <a:off x="1219200" y="96964500"/>
          <a:ext cx="466725" cy="307056"/>
        </a:xfrm>
        <a:prstGeom prst="rect">
          <a:avLst/>
        </a:prstGeom>
      </xdr:spPr>
    </xdr:pic>
    <xdr:clientData/>
  </xdr:twoCellAnchor>
  <xdr:twoCellAnchor editAs="oneCell">
    <xdr:from>
      <xdr:col>1</xdr:col>
      <xdr:colOff>609599</xdr:colOff>
      <xdr:row>452</xdr:row>
      <xdr:rowOff>314324</xdr:rowOff>
    </xdr:from>
    <xdr:to>
      <xdr:col>3</xdr:col>
      <xdr:colOff>76199</xdr:colOff>
      <xdr:row>453</xdr:row>
      <xdr:rowOff>312095</xdr:rowOff>
    </xdr:to>
    <xdr:pic>
      <xdr:nvPicPr>
        <xdr:cNvPr id="188" name="Picture 187" descr="Lithuania.png"/>
        <xdr:cNvPicPr>
          <a:picLocks noChangeAspect="1"/>
        </xdr:cNvPicPr>
      </xdr:nvPicPr>
      <xdr:blipFill>
        <a:blip xmlns:r="http://schemas.openxmlformats.org/officeDocument/2006/relationships" r:embed="rId95" cstate="print"/>
        <a:stretch>
          <a:fillRect/>
        </a:stretch>
      </xdr:blipFill>
      <xdr:spPr>
        <a:xfrm>
          <a:off x="1219199" y="91620974"/>
          <a:ext cx="523875" cy="312096"/>
        </a:xfrm>
        <a:prstGeom prst="rect">
          <a:avLst/>
        </a:prstGeom>
      </xdr:spPr>
    </xdr:pic>
    <xdr:clientData/>
  </xdr:twoCellAnchor>
  <xdr:twoCellAnchor editAs="oneCell">
    <xdr:from>
      <xdr:col>2</xdr:col>
      <xdr:colOff>0</xdr:colOff>
      <xdr:row>457</xdr:row>
      <xdr:rowOff>0</xdr:rowOff>
    </xdr:from>
    <xdr:to>
      <xdr:col>3</xdr:col>
      <xdr:colOff>9525</xdr:colOff>
      <xdr:row>458</xdr:row>
      <xdr:rowOff>0</xdr:rowOff>
    </xdr:to>
    <xdr:pic>
      <xdr:nvPicPr>
        <xdr:cNvPr id="189" name="Picture 188" descr="malta.png"/>
        <xdr:cNvPicPr>
          <a:picLocks noChangeAspect="1"/>
        </xdr:cNvPicPr>
      </xdr:nvPicPr>
      <xdr:blipFill>
        <a:blip xmlns:r="http://schemas.openxmlformats.org/officeDocument/2006/relationships" r:embed="rId96" cstate="print"/>
        <a:stretch>
          <a:fillRect/>
        </a:stretch>
      </xdr:blipFill>
      <xdr:spPr>
        <a:xfrm>
          <a:off x="1219200" y="92878275"/>
          <a:ext cx="457200" cy="314325"/>
        </a:xfrm>
        <a:prstGeom prst="rect">
          <a:avLst/>
        </a:prstGeom>
      </xdr:spPr>
    </xdr:pic>
    <xdr:clientData/>
  </xdr:twoCellAnchor>
  <xdr:twoCellAnchor editAs="oneCell">
    <xdr:from>
      <xdr:col>2</xdr:col>
      <xdr:colOff>0</xdr:colOff>
      <xdr:row>459</xdr:row>
      <xdr:rowOff>0</xdr:rowOff>
    </xdr:from>
    <xdr:to>
      <xdr:col>3</xdr:col>
      <xdr:colOff>40005</xdr:colOff>
      <xdr:row>459</xdr:row>
      <xdr:rowOff>304800</xdr:rowOff>
    </xdr:to>
    <xdr:pic>
      <xdr:nvPicPr>
        <xdr:cNvPr id="190" name="Picture 189" descr="Moldova.png"/>
        <xdr:cNvPicPr>
          <a:picLocks noChangeAspect="1"/>
        </xdr:cNvPicPr>
      </xdr:nvPicPr>
      <xdr:blipFill>
        <a:blip xmlns:r="http://schemas.openxmlformats.org/officeDocument/2006/relationships" r:embed="rId97" cstate="print"/>
        <a:stretch>
          <a:fillRect/>
        </a:stretch>
      </xdr:blipFill>
      <xdr:spPr>
        <a:xfrm>
          <a:off x="1219200" y="93506925"/>
          <a:ext cx="487680" cy="304800"/>
        </a:xfrm>
        <a:prstGeom prst="rect">
          <a:avLst/>
        </a:prstGeom>
      </xdr:spPr>
    </xdr:pic>
    <xdr:clientData/>
  </xdr:twoCellAnchor>
  <xdr:twoCellAnchor editAs="oneCell">
    <xdr:from>
      <xdr:col>2</xdr:col>
      <xdr:colOff>0</xdr:colOff>
      <xdr:row>481</xdr:row>
      <xdr:rowOff>0</xdr:rowOff>
    </xdr:from>
    <xdr:to>
      <xdr:col>3</xdr:col>
      <xdr:colOff>9525</xdr:colOff>
      <xdr:row>482</xdr:row>
      <xdr:rowOff>0</xdr:rowOff>
    </xdr:to>
    <xdr:pic>
      <xdr:nvPicPr>
        <xdr:cNvPr id="191" name="Picture 190" descr="serbia.png"/>
        <xdr:cNvPicPr>
          <a:picLocks noChangeAspect="1"/>
        </xdr:cNvPicPr>
      </xdr:nvPicPr>
      <xdr:blipFill>
        <a:blip xmlns:r="http://schemas.openxmlformats.org/officeDocument/2006/relationships" r:embed="rId98" cstate="print"/>
        <a:stretch>
          <a:fillRect/>
        </a:stretch>
      </xdr:blipFill>
      <xdr:spPr>
        <a:xfrm>
          <a:off x="1219200" y="100422075"/>
          <a:ext cx="457200" cy="314325"/>
        </a:xfrm>
        <a:prstGeom prst="rect">
          <a:avLst/>
        </a:prstGeom>
      </xdr:spPr>
    </xdr:pic>
    <xdr:clientData/>
  </xdr:twoCellAnchor>
  <xdr:twoCellAnchor editAs="oneCell">
    <xdr:from>
      <xdr:col>2</xdr:col>
      <xdr:colOff>0</xdr:colOff>
      <xdr:row>513</xdr:row>
      <xdr:rowOff>0</xdr:rowOff>
    </xdr:from>
    <xdr:to>
      <xdr:col>3</xdr:col>
      <xdr:colOff>28575</xdr:colOff>
      <xdr:row>513</xdr:row>
      <xdr:rowOff>276225</xdr:rowOff>
    </xdr:to>
    <xdr:pic>
      <xdr:nvPicPr>
        <xdr:cNvPr id="192" name="Picture 191" descr="bosnia.png"/>
        <xdr:cNvPicPr>
          <a:picLocks noChangeAspect="1"/>
        </xdr:cNvPicPr>
      </xdr:nvPicPr>
      <xdr:blipFill>
        <a:blip xmlns:r="http://schemas.openxmlformats.org/officeDocument/2006/relationships" r:embed="rId99" cstate="print"/>
        <a:stretch>
          <a:fillRect/>
        </a:stretch>
      </xdr:blipFill>
      <xdr:spPr>
        <a:xfrm>
          <a:off x="1219200" y="110480475"/>
          <a:ext cx="476250" cy="276225"/>
        </a:xfrm>
        <a:prstGeom prst="rect">
          <a:avLst/>
        </a:prstGeom>
      </xdr:spPr>
    </xdr:pic>
    <xdr:clientData/>
  </xdr:twoCellAnchor>
  <xdr:twoCellAnchor editAs="oneCell">
    <xdr:from>
      <xdr:col>1</xdr:col>
      <xdr:colOff>609599</xdr:colOff>
      <xdr:row>451</xdr:row>
      <xdr:rowOff>0</xdr:rowOff>
    </xdr:from>
    <xdr:to>
      <xdr:col>3</xdr:col>
      <xdr:colOff>76199</xdr:colOff>
      <xdr:row>452</xdr:row>
      <xdr:rowOff>13097</xdr:rowOff>
    </xdr:to>
    <xdr:pic>
      <xdr:nvPicPr>
        <xdr:cNvPr id="193" name="Picture 192" descr="latvia.png"/>
        <xdr:cNvPicPr>
          <a:picLocks noChangeAspect="1"/>
        </xdr:cNvPicPr>
      </xdr:nvPicPr>
      <xdr:blipFill>
        <a:blip xmlns:r="http://schemas.openxmlformats.org/officeDocument/2006/relationships" r:embed="rId100" cstate="print"/>
        <a:stretch>
          <a:fillRect/>
        </a:stretch>
      </xdr:blipFill>
      <xdr:spPr>
        <a:xfrm>
          <a:off x="1219199" y="90992325"/>
          <a:ext cx="523875" cy="327422"/>
        </a:xfrm>
        <a:prstGeom prst="rect">
          <a:avLst/>
        </a:prstGeom>
      </xdr:spPr>
    </xdr:pic>
    <xdr:clientData/>
  </xdr:twoCellAnchor>
  <xdr:twoCellAnchor editAs="oneCell">
    <xdr:from>
      <xdr:col>2</xdr:col>
      <xdr:colOff>0</xdr:colOff>
      <xdr:row>426</xdr:row>
      <xdr:rowOff>0</xdr:rowOff>
    </xdr:from>
    <xdr:to>
      <xdr:col>3</xdr:col>
      <xdr:colOff>19050</xdr:colOff>
      <xdr:row>426</xdr:row>
      <xdr:rowOff>311150</xdr:rowOff>
    </xdr:to>
    <xdr:pic>
      <xdr:nvPicPr>
        <xdr:cNvPr id="194" name="Picture 193" descr="salvador.png"/>
        <xdr:cNvPicPr>
          <a:picLocks noChangeAspect="1"/>
        </xdr:cNvPicPr>
      </xdr:nvPicPr>
      <xdr:blipFill>
        <a:blip xmlns:r="http://schemas.openxmlformats.org/officeDocument/2006/relationships" r:embed="rId101" cstate="print"/>
        <a:stretch>
          <a:fillRect/>
        </a:stretch>
      </xdr:blipFill>
      <xdr:spPr>
        <a:xfrm>
          <a:off x="1219200" y="83134200"/>
          <a:ext cx="466725" cy="311150"/>
        </a:xfrm>
        <a:prstGeom prst="rect">
          <a:avLst/>
        </a:prstGeom>
      </xdr:spPr>
    </xdr:pic>
    <xdr:clientData/>
  </xdr:twoCellAnchor>
  <xdr:twoCellAnchor editAs="oneCell">
    <xdr:from>
      <xdr:col>2</xdr:col>
      <xdr:colOff>0</xdr:colOff>
      <xdr:row>427</xdr:row>
      <xdr:rowOff>0</xdr:rowOff>
    </xdr:from>
    <xdr:to>
      <xdr:col>3</xdr:col>
      <xdr:colOff>28575</xdr:colOff>
      <xdr:row>428</xdr:row>
      <xdr:rowOff>9525</xdr:rowOff>
    </xdr:to>
    <xdr:pic>
      <xdr:nvPicPr>
        <xdr:cNvPr id="195" name="Picture 194" descr="estonia.png"/>
        <xdr:cNvPicPr>
          <a:picLocks noChangeAspect="1"/>
        </xdr:cNvPicPr>
      </xdr:nvPicPr>
      <xdr:blipFill>
        <a:blip xmlns:r="http://schemas.openxmlformats.org/officeDocument/2006/relationships" r:embed="rId102" cstate="print"/>
        <a:stretch>
          <a:fillRect/>
        </a:stretch>
      </xdr:blipFill>
      <xdr:spPr>
        <a:xfrm>
          <a:off x="1219200" y="83448525"/>
          <a:ext cx="476250" cy="323850"/>
        </a:xfrm>
        <a:prstGeom prst="rect">
          <a:avLst/>
        </a:prstGeom>
      </xdr:spPr>
    </xdr:pic>
    <xdr:clientData/>
  </xdr:twoCellAnchor>
  <xdr:twoCellAnchor editAs="oneCell">
    <xdr:from>
      <xdr:col>2</xdr:col>
      <xdr:colOff>66675</xdr:colOff>
      <xdr:row>454</xdr:row>
      <xdr:rowOff>76200</xdr:rowOff>
    </xdr:from>
    <xdr:to>
      <xdr:col>2</xdr:col>
      <xdr:colOff>381000</xdr:colOff>
      <xdr:row>454</xdr:row>
      <xdr:rowOff>266700</xdr:rowOff>
    </xdr:to>
    <xdr:pic>
      <xdr:nvPicPr>
        <xdr:cNvPr id="196" name="Picture 195" descr="Luxembourg.png"/>
        <xdr:cNvPicPr>
          <a:picLocks noChangeAspect="1"/>
        </xdr:cNvPicPr>
      </xdr:nvPicPr>
      <xdr:blipFill>
        <a:blip xmlns:r="http://schemas.openxmlformats.org/officeDocument/2006/relationships" r:embed="rId103" cstate="print"/>
        <a:stretch>
          <a:fillRect/>
        </a:stretch>
      </xdr:blipFill>
      <xdr:spPr>
        <a:xfrm>
          <a:off x="1285875" y="91592400"/>
          <a:ext cx="314325" cy="190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95250</xdr:colOff>
      <xdr:row>1</xdr:row>
      <xdr:rowOff>57150</xdr:rowOff>
    </xdr:from>
    <xdr:to>
      <xdr:col>3</xdr:col>
      <xdr:colOff>133350</xdr:colOff>
      <xdr:row>2</xdr:row>
      <xdr:rowOff>247650</xdr:rowOff>
    </xdr:to>
    <xdr:grpSp>
      <xdr:nvGrpSpPr>
        <xdr:cNvPr id="10" name="Group 9"/>
        <xdr:cNvGrpSpPr/>
      </xdr:nvGrpSpPr>
      <xdr:grpSpPr>
        <a:xfrm>
          <a:off x="1314450" y="323850"/>
          <a:ext cx="647700" cy="619125"/>
          <a:chOff x="3200400" y="381000"/>
          <a:chExt cx="2209800" cy="2438400"/>
        </a:xfrm>
        <a:effectLst>
          <a:outerShdw blurRad="50800" dist="38100" dir="5400000" algn="t" rotWithShape="0">
            <a:prstClr val="black">
              <a:alpha val="40000"/>
            </a:prstClr>
          </a:outerShdw>
        </a:effectLst>
      </xdr:grpSpPr>
      <xdr:sp macro="" textlink="">
        <xdr:nvSpPr>
          <xdr:cNvPr id="11" name="Rounded Rectangle 10"/>
          <xdr:cNvSpPr/>
        </xdr:nvSpPr>
        <xdr:spPr>
          <a:xfrm>
            <a:off x="3200400" y="381000"/>
            <a:ext cx="2209800" cy="2438400"/>
          </a:xfrm>
          <a:prstGeom prst="round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12" name="Picture 11" descr="Orange Shopping Car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3421354" y="762000"/>
            <a:ext cx="1693571" cy="1704976"/>
          </a:xfrm>
          <a:prstGeom prst="rect">
            <a:avLst/>
          </a:prstGeom>
          <a:noFill/>
        </xdr:spPr>
      </xdr:pic>
    </xdr:grpSp>
    <xdr:clientData/>
  </xdr:twoCellAnchor>
  <xdr:twoCellAnchor>
    <xdr:from>
      <xdr:col>2</xdr:col>
      <xdr:colOff>95250</xdr:colOff>
      <xdr:row>24</xdr:row>
      <xdr:rowOff>219075</xdr:rowOff>
    </xdr:from>
    <xdr:to>
      <xdr:col>3</xdr:col>
      <xdr:colOff>428625</xdr:colOff>
      <xdr:row>25</xdr:row>
      <xdr:rowOff>209550</xdr:rowOff>
    </xdr:to>
    <xdr:sp macro="" textlink="">
      <xdr:nvSpPr>
        <xdr:cNvPr id="7" name="Rounded Rectangle 6">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685800</xdr:colOff>
      <xdr:row>24</xdr:row>
      <xdr:rowOff>219075</xdr:rowOff>
    </xdr:from>
    <xdr:to>
      <xdr:col>11</xdr:col>
      <xdr:colOff>962026</xdr:colOff>
      <xdr:row>25</xdr:row>
      <xdr:rowOff>209550</xdr:rowOff>
    </xdr:to>
    <xdr:sp macro="" textlink="">
      <xdr:nvSpPr>
        <xdr:cNvPr id="8" name="Rounded Rectangle 7">
          <a:hlinkClick xmlns:r="http://schemas.openxmlformats.org/officeDocument/2006/relationships" r:id="rId3"/>
        </xdr:cNvPr>
        <xdr:cNvSpPr/>
      </xdr:nvSpPr>
      <xdr:spPr>
        <a:xfrm>
          <a:off x="7010400" y="7019925"/>
          <a:ext cx="1095376"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twoCellAnchor>
    <xdr:from>
      <xdr:col>1</xdr:col>
      <xdr:colOff>571501</xdr:colOff>
      <xdr:row>0</xdr:row>
      <xdr:rowOff>228601</xdr:rowOff>
    </xdr:from>
    <xdr:to>
      <xdr:col>12</xdr:col>
      <xdr:colOff>28576</xdr:colOff>
      <xdr:row>26</xdr:row>
      <xdr:rowOff>28576</xdr:rowOff>
    </xdr:to>
    <xdr:sp macro="" textlink="">
      <xdr:nvSpPr>
        <xdr:cNvPr id="9" name="Rounded Rectangle 8"/>
        <xdr:cNvSpPr/>
      </xdr:nvSpPr>
      <xdr:spPr>
        <a:xfrm>
          <a:off x="1181101" y="228601"/>
          <a:ext cx="6991350" cy="7134225"/>
        </a:xfrm>
        <a:prstGeom prst="roundRect">
          <a:avLst>
            <a:gd name="adj" fmla="val 1554"/>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0</xdr:row>
      <xdr:rowOff>238124</xdr:rowOff>
    </xdr:from>
    <xdr:to>
      <xdr:col>12</xdr:col>
      <xdr:colOff>19050</xdr:colOff>
      <xdr:row>15</xdr:row>
      <xdr:rowOff>0</xdr:rowOff>
    </xdr:to>
    <xdr:sp macro="" textlink="">
      <xdr:nvSpPr>
        <xdr:cNvPr id="4" name="Rounded Rectangle 3"/>
        <xdr:cNvSpPr/>
      </xdr:nvSpPr>
      <xdr:spPr>
        <a:xfrm>
          <a:off x="1019175" y="238124"/>
          <a:ext cx="7210425" cy="4171951"/>
        </a:xfrm>
        <a:prstGeom prst="roundRect">
          <a:avLst>
            <a:gd name="adj" fmla="val 882"/>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76200">
              <a:solidFill>
                <a:schemeClr val="tx1"/>
              </a:solidFill>
            </a:ln>
          </a:endParaRPr>
        </a:p>
      </xdr:txBody>
    </xdr:sp>
    <xdr:clientData/>
  </xdr:twoCellAnchor>
  <xdr:twoCellAnchor editAs="oneCell">
    <xdr:from>
      <xdr:col>2</xdr:col>
      <xdr:colOff>104775</xdr:colOff>
      <xdr:row>1</xdr:row>
      <xdr:rowOff>47625</xdr:rowOff>
    </xdr:from>
    <xdr:to>
      <xdr:col>3</xdr:col>
      <xdr:colOff>180975</xdr:colOff>
      <xdr:row>3</xdr:row>
      <xdr:rowOff>38100</xdr:rowOff>
    </xdr:to>
    <xdr:pic>
      <xdr:nvPicPr>
        <xdr:cNvPr id="18436" name="Picture 4" descr="Aiga Symbol Signs 51 Clip Art"/>
        <xdr:cNvPicPr>
          <a:picLocks noChangeAspect="1" noChangeArrowheads="1"/>
        </xdr:cNvPicPr>
      </xdr:nvPicPr>
      <xdr:blipFill>
        <a:blip xmlns:r="http://schemas.openxmlformats.org/officeDocument/2006/relationships" r:embed="rId1" cstate="print"/>
        <a:srcRect/>
        <a:stretch>
          <a:fillRect/>
        </a:stretch>
      </xdr:blipFill>
      <xdr:spPr bwMode="auto">
        <a:xfrm>
          <a:off x="1323975" y="314325"/>
          <a:ext cx="685800" cy="685800"/>
        </a:xfrm>
        <a:prstGeom prst="rect">
          <a:avLst/>
        </a:prstGeom>
        <a:noFill/>
        <a:effectLst>
          <a:outerShdw blurRad="50800" dist="38100" dir="5400000" algn="t" rotWithShape="0">
            <a:prstClr val="black">
              <a:alpha val="40000"/>
            </a:prstClr>
          </a:outerShdw>
        </a:effectLst>
      </xdr:spPr>
    </xdr:pic>
    <xdr:clientData/>
  </xdr:twoCellAnchor>
  <xdr:twoCellAnchor>
    <xdr:from>
      <xdr:col>2</xdr:col>
      <xdr:colOff>95250</xdr:colOff>
      <xdr:row>13</xdr:row>
      <xdr:rowOff>219075</xdr:rowOff>
    </xdr:from>
    <xdr:to>
      <xdr:col>3</xdr:col>
      <xdr:colOff>428625</xdr:colOff>
      <xdr:row>14</xdr:row>
      <xdr:rowOff>209550</xdr:rowOff>
    </xdr:to>
    <xdr:sp macro="" textlink="">
      <xdr:nvSpPr>
        <xdr:cNvPr id="6" name="Rounded Rectangle 5">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11</xdr:col>
      <xdr:colOff>1</xdr:colOff>
      <xdr:row>13</xdr:row>
      <xdr:rowOff>219075</xdr:rowOff>
    </xdr:from>
    <xdr:to>
      <xdr:col>11</xdr:col>
      <xdr:colOff>1019175</xdr:colOff>
      <xdr:row>14</xdr:row>
      <xdr:rowOff>209550</xdr:rowOff>
    </xdr:to>
    <xdr:sp macro="" textlink="">
      <xdr:nvSpPr>
        <xdr:cNvPr id="7" name="Rounded Rectangle 6">
          <a:hlinkClick xmlns:r="http://schemas.openxmlformats.org/officeDocument/2006/relationships" r:id="rId3"/>
        </xdr:cNvPr>
        <xdr:cNvSpPr/>
      </xdr:nvSpPr>
      <xdr:spPr>
        <a:xfrm>
          <a:off x="7124701" y="4095750"/>
          <a:ext cx="1019174"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0</xdr:row>
      <xdr:rowOff>219074</xdr:rowOff>
    </xdr:from>
    <xdr:to>
      <xdr:col>12</xdr:col>
      <xdr:colOff>0</xdr:colOff>
      <xdr:row>12</xdr:row>
      <xdr:rowOff>38100</xdr:rowOff>
    </xdr:to>
    <xdr:sp macro="" textlink="">
      <xdr:nvSpPr>
        <xdr:cNvPr id="2" name="Rounded Rectangle 1"/>
        <xdr:cNvSpPr/>
      </xdr:nvSpPr>
      <xdr:spPr>
        <a:xfrm>
          <a:off x="981075" y="219074"/>
          <a:ext cx="7038975" cy="3943351"/>
        </a:xfrm>
        <a:prstGeom prst="roundRect">
          <a:avLst>
            <a:gd name="adj" fmla="val 1472"/>
          </a:avLst>
        </a:prstGeom>
        <a:noFill/>
        <a:ln>
          <a:solidFill>
            <a:srgbClr val="1E0FE1"/>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twoCellAnchor>
    <xdr:from>
      <xdr:col>2</xdr:col>
      <xdr:colOff>66674</xdr:colOff>
      <xdr:row>1</xdr:row>
      <xdr:rowOff>47625</xdr:rowOff>
    </xdr:from>
    <xdr:to>
      <xdr:col>3</xdr:col>
      <xdr:colOff>152400</xdr:colOff>
      <xdr:row>3</xdr:row>
      <xdr:rowOff>66675</xdr:rowOff>
    </xdr:to>
    <xdr:grpSp>
      <xdr:nvGrpSpPr>
        <xdr:cNvPr id="7" name="Group 6"/>
        <xdr:cNvGrpSpPr/>
      </xdr:nvGrpSpPr>
      <xdr:grpSpPr>
        <a:xfrm>
          <a:off x="1038224" y="314325"/>
          <a:ext cx="695326" cy="714375"/>
          <a:chOff x="2133600" y="1143000"/>
          <a:chExt cx="3505200" cy="3886200"/>
        </a:xfrm>
        <a:effectLst>
          <a:outerShdw blurRad="50800" dist="38100" dir="5400000" algn="t" rotWithShape="0">
            <a:prstClr val="black">
              <a:alpha val="40000"/>
            </a:prstClr>
          </a:outerShdw>
        </a:effectLst>
      </xdr:grpSpPr>
      <xdr:sp macro="" textlink="">
        <xdr:nvSpPr>
          <xdr:cNvPr id="8" name="Rounded Rectangle 7"/>
          <xdr:cNvSpPr/>
        </xdr:nvSpPr>
        <xdr:spPr>
          <a:xfrm>
            <a:off x="2133600" y="1143000"/>
            <a:ext cx="3505200" cy="38862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pic>
        <xdr:nvPicPr>
          <xdr:cNvPr id="9" name="Picture 8" descr="Faucet Clip Art"/>
          <xdr:cNvPicPr>
            <a:picLocks noChangeAspect="1" noChangeArrowheads="1"/>
          </xdr:cNvPicPr>
        </xdr:nvPicPr>
        <xdr:blipFill>
          <a:blip xmlns:r="http://schemas.openxmlformats.org/officeDocument/2006/relationships" r:embed="rId1" cstate="print">
            <a:lum bright="70000" contrast="-70000"/>
          </a:blip>
          <a:srcRect/>
          <a:stretch>
            <a:fillRect/>
          </a:stretch>
        </xdr:blipFill>
        <xdr:spPr bwMode="auto">
          <a:xfrm>
            <a:off x="2514600" y="1676400"/>
            <a:ext cx="2857500" cy="2790825"/>
          </a:xfrm>
          <a:prstGeom prst="rect">
            <a:avLst/>
          </a:prstGeom>
          <a:noFill/>
        </xdr:spPr>
      </xdr:pic>
    </xdr:grpSp>
    <xdr:clientData/>
  </xdr:twoCellAnchor>
  <xdr:twoCellAnchor>
    <xdr:from>
      <xdr:col>2</xdr:col>
      <xdr:colOff>95250</xdr:colOff>
      <xdr:row>10</xdr:row>
      <xdr:rowOff>219075</xdr:rowOff>
    </xdr:from>
    <xdr:to>
      <xdr:col>3</xdr:col>
      <xdr:colOff>428625</xdr:colOff>
      <xdr:row>11</xdr:row>
      <xdr:rowOff>209550</xdr:rowOff>
    </xdr:to>
    <xdr:sp macro="" textlink="">
      <xdr:nvSpPr>
        <xdr:cNvPr id="14" name="Rounded Rectangle 13">
          <a:hlinkClick xmlns:r="http://schemas.openxmlformats.org/officeDocument/2006/relationships" r:id="rId2"/>
        </xdr:cNvPr>
        <xdr:cNvSpPr/>
      </xdr:nvSpPr>
      <xdr:spPr>
        <a:xfrm>
          <a:off x="1314450" y="3600450"/>
          <a:ext cx="942975"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BACK</a:t>
          </a:r>
        </a:p>
      </xdr:txBody>
    </xdr:sp>
    <xdr:clientData/>
  </xdr:twoCellAnchor>
  <xdr:twoCellAnchor>
    <xdr:from>
      <xdr:col>10</xdr:col>
      <xdr:colOff>666750</xdr:colOff>
      <xdr:row>10</xdr:row>
      <xdr:rowOff>238125</xdr:rowOff>
    </xdr:from>
    <xdr:to>
      <xdr:col>11</xdr:col>
      <xdr:colOff>828675</xdr:colOff>
      <xdr:row>11</xdr:row>
      <xdr:rowOff>228600</xdr:rowOff>
    </xdr:to>
    <xdr:sp macro="" textlink="">
      <xdr:nvSpPr>
        <xdr:cNvPr id="15" name="Rounded Rectangle 14">
          <a:hlinkClick xmlns:r="http://schemas.openxmlformats.org/officeDocument/2006/relationships" r:id="rId3"/>
        </xdr:cNvPr>
        <xdr:cNvSpPr/>
      </xdr:nvSpPr>
      <xdr:spPr>
        <a:xfrm>
          <a:off x="6905625" y="3829050"/>
          <a:ext cx="1028700" cy="257175"/>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100" b="1"/>
            <a:t>NEXT</a:t>
          </a:r>
        </a:p>
      </xdr:txBody>
    </xdr:sp>
    <xdr:clientData/>
  </xdr:twoCellAnchor>
</xdr:wsDr>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image" Target="../media/image1.png"/></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image" Target="../media/image1.png"/></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image" Target="../media/image1.png"/></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image" Target="../media/image1.png"/></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image" Target="../media/image1.png"/></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image" Target="../media/image1.png"/></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image" Target="../media/image130.jpeg"/><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1.png"/></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image" Target="../media/image1.png"/></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sheetPr>
    <tabColor rgb="FFFFFF00"/>
  </sheetPr>
  <dimension ref="A1:Q15"/>
  <sheetViews>
    <sheetView showGridLines="0" showRowColHeaders="0" tabSelected="1" workbookViewId="0">
      <selection activeCell="A3" sqref="A3"/>
    </sheetView>
  </sheetViews>
  <sheetFormatPr defaultRowHeight="21"/>
  <cols>
    <col min="1" max="2" width="9.140625" style="9"/>
    <col min="6" max="6" width="8.28515625" customWidth="1"/>
    <col min="7" max="8" width="14.7109375" customWidth="1"/>
    <col min="9" max="9" width="29" customWidth="1"/>
    <col min="10" max="10" width="8.85546875" customWidth="1"/>
    <col min="11" max="11" width="9.5703125" bestFit="1" customWidth="1"/>
  </cols>
  <sheetData>
    <row r="1" spans="3:17">
      <c r="D1" s="784" t="s">
        <v>1433</v>
      </c>
    </row>
    <row r="2" spans="3:17" ht="33.75">
      <c r="C2" s="171"/>
      <c r="D2" s="171"/>
      <c r="E2" s="171"/>
      <c r="F2" s="171"/>
      <c r="G2" s="791"/>
      <c r="H2" s="171"/>
      <c r="I2" s="171"/>
      <c r="J2" s="171"/>
    </row>
    <row r="3" spans="3:17" ht="46.5">
      <c r="C3" s="171"/>
      <c r="D3" s="820" t="s">
        <v>1359</v>
      </c>
      <c r="E3" s="171"/>
      <c r="F3" s="171"/>
      <c r="G3" s="791"/>
      <c r="H3" s="171"/>
      <c r="I3" s="171"/>
      <c r="J3" s="171"/>
    </row>
    <row r="4" spans="3:17" ht="33.75">
      <c r="C4" s="171"/>
      <c r="D4" s="171"/>
      <c r="E4" s="171"/>
      <c r="F4" s="171"/>
      <c r="G4" s="791"/>
      <c r="H4" s="171"/>
      <c r="I4" s="171"/>
      <c r="J4" s="171"/>
    </row>
    <row r="5" spans="3:17" ht="67.5" customHeight="1">
      <c r="C5" s="819">
        <v>1</v>
      </c>
      <c r="D5" s="932" t="s">
        <v>1444</v>
      </c>
      <c r="E5" s="932"/>
      <c r="F5" s="932"/>
      <c r="G5" s="932"/>
      <c r="H5" s="932"/>
      <c r="I5" s="932"/>
      <c r="J5" s="171"/>
    </row>
    <row r="6" spans="3:17" ht="40.5" customHeight="1">
      <c r="C6" s="819">
        <v>2</v>
      </c>
      <c r="D6" s="932" t="s">
        <v>1356</v>
      </c>
      <c r="E6" s="932"/>
      <c r="F6" s="932"/>
      <c r="G6" s="932"/>
      <c r="H6" s="932"/>
      <c r="I6" s="932"/>
      <c r="J6" s="171"/>
    </row>
    <row r="7" spans="3:17" ht="54" customHeight="1">
      <c r="C7" s="819">
        <v>3</v>
      </c>
      <c r="D7" s="932" t="s">
        <v>1357</v>
      </c>
      <c r="E7" s="932"/>
      <c r="F7" s="932"/>
      <c r="G7" s="932"/>
      <c r="H7" s="932"/>
      <c r="I7" s="932"/>
      <c r="J7" s="796"/>
      <c r="K7" s="795"/>
      <c r="L7" s="795"/>
      <c r="M7" s="10"/>
      <c r="N7" s="10"/>
      <c r="O7" s="10"/>
      <c r="P7" s="10"/>
      <c r="Q7" s="10"/>
    </row>
    <row r="8" spans="3:17" ht="60.75" customHeight="1">
      <c r="C8" s="819">
        <v>4</v>
      </c>
      <c r="D8" s="932" t="s">
        <v>1355</v>
      </c>
      <c r="E8" s="932"/>
      <c r="F8" s="932"/>
      <c r="G8" s="932"/>
      <c r="H8" s="932"/>
      <c r="I8" s="932"/>
      <c r="J8" s="794"/>
      <c r="K8" s="59"/>
    </row>
    <row r="9" spans="3:17" ht="52.5" customHeight="1">
      <c r="C9" s="819">
        <v>5</v>
      </c>
      <c r="D9" s="932" t="s">
        <v>1367</v>
      </c>
      <c r="E9" s="932"/>
      <c r="F9" s="932"/>
      <c r="G9" s="932"/>
      <c r="H9" s="932"/>
      <c r="I9" s="932"/>
      <c r="J9" s="812"/>
      <c r="K9" s="813"/>
    </row>
    <row r="10" spans="3:17" ht="38.25" customHeight="1">
      <c r="C10" s="819">
        <v>6</v>
      </c>
      <c r="D10" s="932" t="s">
        <v>1368</v>
      </c>
      <c r="E10" s="932"/>
      <c r="F10" s="932"/>
      <c r="G10" s="932"/>
      <c r="H10" s="932"/>
      <c r="I10" s="932"/>
      <c r="J10" s="793"/>
      <c r="K10" s="59"/>
    </row>
    <row r="11" spans="3:17" ht="49.5" customHeight="1">
      <c r="C11" s="819">
        <v>7</v>
      </c>
      <c r="D11" s="932" t="s">
        <v>1428</v>
      </c>
      <c r="E11" s="932"/>
      <c r="F11" s="932"/>
      <c r="G11" s="932"/>
      <c r="H11" s="932"/>
      <c r="I11" s="932"/>
      <c r="J11" s="793"/>
      <c r="K11" s="59"/>
    </row>
    <row r="12" spans="3:17" ht="69.75" customHeight="1">
      <c r="C12" s="819">
        <v>8</v>
      </c>
      <c r="D12" s="932" t="s">
        <v>1432</v>
      </c>
      <c r="E12" s="932"/>
      <c r="F12" s="932"/>
      <c r="G12" s="932"/>
      <c r="H12" s="932"/>
      <c r="I12" s="932"/>
      <c r="J12" s="812"/>
      <c r="K12" s="813"/>
    </row>
    <row r="13" spans="3:17" ht="36" customHeight="1">
      <c r="C13" s="792"/>
      <c r="D13" s="792"/>
      <c r="E13" s="792"/>
      <c r="F13" s="792"/>
      <c r="G13" s="792"/>
      <c r="H13" s="792"/>
      <c r="I13" s="792"/>
      <c r="J13" s="11"/>
    </row>
    <row r="14" spans="3:17">
      <c r="C14" s="792"/>
      <c r="D14" s="792"/>
      <c r="E14" s="792"/>
      <c r="F14" s="792"/>
      <c r="G14" s="792"/>
      <c r="H14" s="792"/>
      <c r="I14" s="792"/>
      <c r="J14" s="792"/>
    </row>
    <row r="15" spans="3:17">
      <c r="C15" s="792"/>
      <c r="D15" s="792"/>
      <c r="E15" s="792"/>
      <c r="F15" s="792"/>
      <c r="G15" s="792"/>
      <c r="H15" s="792"/>
      <c r="I15" s="792"/>
      <c r="J15" s="792"/>
    </row>
  </sheetData>
  <sheetProtection password="C9F9" sheet="1" objects="1" scenarios="1"/>
  <mergeCells count="8">
    <mergeCell ref="D10:I10"/>
    <mergeCell ref="D5:I5"/>
    <mergeCell ref="D12:I12"/>
    <mergeCell ref="D6:I6"/>
    <mergeCell ref="D11:I11"/>
    <mergeCell ref="D8:I8"/>
    <mergeCell ref="D9:I9"/>
    <mergeCell ref="D7:I7"/>
  </mergeCells>
  <pageMargins left="0.7" right="0.7" top="0.75" bottom="0.75" header="0.3" footer="0.3"/>
  <pageSetup orientation="portrait" verticalDpi="0" r:id="rId1"/>
  <drawing r:id="rId2"/>
  <picture r:id="rId3"/>
</worksheet>
</file>

<file path=xl/worksheets/sheet10.xml><?xml version="1.0" encoding="utf-8"?>
<worksheet xmlns="http://schemas.openxmlformats.org/spreadsheetml/2006/main" xmlns:r="http://schemas.openxmlformats.org/officeDocument/2006/relationships">
  <dimension ref="A1:M13"/>
  <sheetViews>
    <sheetView showGridLines="0" showRowColHeaders="0" workbookViewId="0"/>
  </sheetViews>
  <sheetFormatPr defaultRowHeight="21"/>
  <cols>
    <col min="1" max="1" width="7.5703125" style="9" customWidth="1"/>
    <col min="2" max="2" width="7" style="9" customWidth="1"/>
    <col min="6" max="6" width="7.42578125" customWidth="1"/>
    <col min="7" max="9" width="14.7109375" customWidth="1"/>
    <col min="10" max="10" width="20.7109375" hidden="1" customWidth="1"/>
    <col min="11" max="11" width="13" customWidth="1"/>
    <col min="12" max="12" width="13.7109375" customWidth="1"/>
  </cols>
  <sheetData>
    <row r="1" spans="2:13">
      <c r="D1" s="784" t="s">
        <v>1433</v>
      </c>
    </row>
    <row r="2" spans="2:13" ht="33.75">
      <c r="C2" s="130"/>
      <c r="D2" s="130"/>
      <c r="E2" s="130"/>
      <c r="F2" s="130"/>
      <c r="G2" s="162" t="str">
        <f>'Full Report'!$C$50</f>
        <v>Utilities</v>
      </c>
      <c r="H2" s="130"/>
      <c r="I2" s="130"/>
      <c r="J2" s="130"/>
      <c r="K2" s="130"/>
      <c r="L2" s="130"/>
    </row>
    <row r="3" spans="2:13">
      <c r="C3" s="130"/>
      <c r="D3" s="130"/>
      <c r="E3" s="130"/>
      <c r="F3" s="130"/>
      <c r="G3" s="130"/>
      <c r="H3" s="130" t="s">
        <v>0</v>
      </c>
      <c r="I3" s="130"/>
      <c r="J3" s="130" t="s">
        <v>0</v>
      </c>
      <c r="K3" s="130"/>
      <c r="L3" s="130" t="s">
        <v>0</v>
      </c>
    </row>
    <row r="4" spans="2:13">
      <c r="C4" s="130"/>
      <c r="D4" s="130"/>
      <c r="E4" s="130"/>
      <c r="F4" s="130"/>
      <c r="G4" s="155"/>
      <c r="H4" s="155"/>
      <c r="I4" s="130"/>
      <c r="J4" s="130"/>
      <c r="K4" s="155"/>
      <c r="L4" s="154"/>
      <c r="M4" s="59"/>
    </row>
    <row r="5" spans="2:13" ht="39" thickBot="1">
      <c r="C5" s="155"/>
      <c r="D5" s="155"/>
      <c r="E5" s="155"/>
      <c r="F5" s="155"/>
      <c r="G5" s="159" t="str">
        <f>Report!P411</f>
        <v>Tucson (USD)</v>
      </c>
      <c r="H5" s="159" t="str">
        <f>Report!Q411</f>
        <v>Dubai (USD)</v>
      </c>
      <c r="I5" s="165" t="s">
        <v>1380</v>
      </c>
      <c r="J5" s="165" t="s">
        <v>767</v>
      </c>
      <c r="K5" s="159" t="str">
        <f>"Total ("&amp;Report!Q132&amp;")"</f>
        <v>Total (USD)</v>
      </c>
      <c r="L5" s="159" t="str">
        <f>"Total ("&amp;Report!Q132&amp;")"</f>
        <v>Total (USD)</v>
      </c>
      <c r="M5" s="59"/>
    </row>
    <row r="6" spans="2:13" ht="35.1" customHeight="1" thickBot="1">
      <c r="C6" s="940" t="str">
        <f>'Full Report'!C51</f>
        <v>Basic (Electricity, Heating, Water, Garbage) for 85m² Apartment</v>
      </c>
      <c r="D6" s="940"/>
      <c r="E6" s="940"/>
      <c r="F6" s="940"/>
      <c r="G6" s="862">
        <f>'Full Report'!F51</f>
        <v>150</v>
      </c>
      <c r="H6" s="860">
        <f>'Full Report'!G51</f>
        <v>135.87</v>
      </c>
      <c r="I6" s="906">
        <v>1</v>
      </c>
      <c r="J6" s="787">
        <f>I6+0</f>
        <v>1</v>
      </c>
      <c r="K6" s="862">
        <f>G6*J6</f>
        <v>150</v>
      </c>
      <c r="L6" s="847">
        <f>H6*J6</f>
        <v>135.87</v>
      </c>
      <c r="M6" s="59"/>
    </row>
    <row r="7" spans="2:13" ht="35.1" customHeight="1" thickBot="1">
      <c r="C7" s="941" t="str">
        <f>'Full Report'!C52</f>
        <v>1 min. of Prepaid Mobile Local Rate (No Plans)</v>
      </c>
      <c r="D7" s="941"/>
      <c r="E7" s="941"/>
      <c r="F7" s="941"/>
      <c r="G7" s="863">
        <f>'Full Report'!F52</f>
        <v>0.1</v>
      </c>
      <c r="H7" s="861">
        <f>'Full Report'!G52</f>
        <v>0.09</v>
      </c>
      <c r="I7" s="906">
        <v>220</v>
      </c>
      <c r="J7" s="787">
        <f>I7+0.0000001</f>
        <v>220.00000009999999</v>
      </c>
      <c r="K7" s="863">
        <f t="shared" ref="K7:K8" si="0">G7*J7</f>
        <v>22.000000010000001</v>
      </c>
      <c r="L7" s="902">
        <f t="shared" ref="L7:L8" si="1">H7*J7</f>
        <v>19.800000008999998</v>
      </c>
      <c r="M7" s="59"/>
    </row>
    <row r="8" spans="2:13" ht="35.1" customHeight="1" thickBot="1">
      <c r="C8" s="940" t="str">
        <f>'Full Report'!C53</f>
        <v>Internet (6 Mbps, Unlimited Data, Wired)</v>
      </c>
      <c r="D8" s="940"/>
      <c r="E8" s="940"/>
      <c r="F8" s="940"/>
      <c r="G8" s="862">
        <f>'Full Report'!F53</f>
        <v>50</v>
      </c>
      <c r="H8" s="860">
        <f>'Full Report'!G53</f>
        <v>68.06</v>
      </c>
      <c r="I8" s="906">
        <v>1</v>
      </c>
      <c r="J8" s="787">
        <f t="shared" ref="J8" si="2">I8+0</f>
        <v>1</v>
      </c>
      <c r="K8" s="862">
        <f t="shared" si="0"/>
        <v>50</v>
      </c>
      <c r="L8" s="847">
        <f t="shared" si="1"/>
        <v>68.06</v>
      </c>
      <c r="M8" s="59"/>
    </row>
    <row r="9" spans="2:13" ht="21.75" thickBot="1">
      <c r="C9" s="100"/>
      <c r="D9" s="100"/>
      <c r="E9" s="100"/>
      <c r="F9" s="100"/>
      <c r="G9" s="100"/>
      <c r="H9" s="100"/>
      <c r="I9" s="100"/>
      <c r="J9" s="100"/>
      <c r="K9" s="858">
        <f>SUM(K6:K8)</f>
        <v>222.00000001000001</v>
      </c>
      <c r="L9" s="835">
        <f>SUM(L4:L8)</f>
        <v>223.73000000900001</v>
      </c>
    </row>
    <row r="10" spans="2:13" ht="21.75" thickTop="1">
      <c r="C10" s="100"/>
      <c r="D10" s="100"/>
      <c r="E10" s="100"/>
      <c r="F10" s="100"/>
      <c r="G10" s="100"/>
      <c r="H10" s="100"/>
      <c r="I10" s="100"/>
      <c r="J10" s="166" t="s">
        <v>0</v>
      </c>
      <c r="K10" s="166"/>
      <c r="L10" s="100"/>
    </row>
    <row r="11" spans="2:13">
      <c r="B11" s="63"/>
      <c r="C11" s="100"/>
      <c r="D11" s="100"/>
      <c r="E11" s="100"/>
      <c r="F11" s="100"/>
      <c r="G11" s="100"/>
      <c r="H11" s="100"/>
      <c r="I11" s="100"/>
      <c r="J11" s="100"/>
      <c r="K11" s="100"/>
      <c r="L11" s="100"/>
    </row>
    <row r="12" spans="2:13">
      <c r="B12" s="63"/>
      <c r="C12" s="100"/>
      <c r="D12" s="100"/>
      <c r="E12" s="100"/>
      <c r="F12" s="100"/>
      <c r="G12" s="100"/>
      <c r="H12" s="100"/>
      <c r="I12" s="100"/>
      <c r="J12" s="100"/>
      <c r="K12" s="100"/>
      <c r="L12" s="100"/>
    </row>
    <row r="13" spans="2:13">
      <c r="B13" s="63"/>
      <c r="C13" s="836"/>
      <c r="F13" s="10"/>
    </row>
  </sheetData>
  <sheetProtection password="C9F9" sheet="1" objects="1" scenarios="1"/>
  <mergeCells count="3">
    <mergeCell ref="C6:F6"/>
    <mergeCell ref="C7:F7"/>
    <mergeCell ref="C8:F8"/>
  </mergeCells>
  <pageMargins left="0.7" right="0.7" top="0.75" bottom="0.75" header="0.3" footer="0.3"/>
  <pageSetup orientation="portrait" verticalDpi="0" r:id="rId1"/>
  <ignoredErrors>
    <ignoredError sqref="J7" formula="1"/>
  </ignoredErrors>
  <drawing r:id="rId2"/>
  <legacyDrawing r:id="rId3"/>
  <picture r:id="rId4"/>
</worksheet>
</file>

<file path=xl/worksheets/sheet11.xml><?xml version="1.0" encoding="utf-8"?>
<worksheet xmlns="http://schemas.openxmlformats.org/spreadsheetml/2006/main" xmlns:r="http://schemas.openxmlformats.org/officeDocument/2006/relationships">
  <dimension ref="A1:M14"/>
  <sheetViews>
    <sheetView showGridLines="0" showRowColHeaders="0" workbookViewId="0"/>
  </sheetViews>
  <sheetFormatPr defaultRowHeight="21"/>
  <cols>
    <col min="1" max="2" width="6.5703125" style="9" customWidth="1"/>
    <col min="6" max="6" width="10.5703125" customWidth="1"/>
    <col min="7" max="9" width="14.7109375" customWidth="1"/>
    <col min="10" max="10" width="12.140625" hidden="1" customWidth="1"/>
    <col min="11" max="11" width="12.7109375" customWidth="1"/>
    <col min="12" max="12" width="15.140625" customWidth="1"/>
  </cols>
  <sheetData>
    <row r="1" spans="3:13">
      <c r="D1" s="784" t="s">
        <v>1433</v>
      </c>
    </row>
    <row r="2" spans="3:13" ht="33.75">
      <c r="C2" s="130"/>
      <c r="D2" s="130"/>
      <c r="E2" s="130"/>
      <c r="F2" s="161" t="str">
        <f>'Full Report'!$C$55</f>
        <v>Recreation And Leisure</v>
      </c>
      <c r="G2" s="130"/>
      <c r="H2" s="130"/>
      <c r="I2" s="130"/>
      <c r="J2" s="130"/>
      <c r="K2" s="130"/>
      <c r="L2" s="130"/>
    </row>
    <row r="3" spans="3:13">
      <c r="C3" s="130"/>
      <c r="D3" s="130"/>
      <c r="E3" s="130"/>
      <c r="F3" s="130"/>
      <c r="G3" s="130"/>
      <c r="H3" s="130"/>
      <c r="I3" s="130"/>
      <c r="J3" s="130"/>
      <c r="K3" s="130"/>
      <c r="L3" s="130"/>
    </row>
    <row r="4" spans="3:13">
      <c r="C4" s="130"/>
      <c r="D4" s="130"/>
      <c r="E4" s="130"/>
      <c r="F4" s="130"/>
      <c r="G4" s="155"/>
      <c r="H4" s="155"/>
      <c r="I4" s="130"/>
      <c r="J4" s="130"/>
      <c r="K4" s="155"/>
      <c r="L4" s="154"/>
    </row>
    <row r="5" spans="3:13" ht="39" thickBot="1">
      <c r="C5" s="96"/>
      <c r="D5" s="159" t="s">
        <v>1379</v>
      </c>
      <c r="E5" s="95"/>
      <c r="F5" s="95"/>
      <c r="G5" s="159" t="str">
        <f>Report!P411</f>
        <v>Tucson (USD)</v>
      </c>
      <c r="H5" s="159" t="str">
        <f>Report!Q411</f>
        <v>Dubai (USD)</v>
      </c>
      <c r="I5" s="165" t="s">
        <v>1380</v>
      </c>
      <c r="K5" s="159" t="str">
        <f>"Total ("&amp;Report!Q132&amp;")"</f>
        <v>Total (USD)</v>
      </c>
      <c r="L5" s="159" t="str">
        <f>"Total ("&amp;Report!Q132&amp;")"</f>
        <v>Total (USD)</v>
      </c>
    </row>
    <row r="6" spans="3:13" ht="21.75" thickBot="1">
      <c r="C6" s="839" t="str">
        <f>'Full Report'!C56</f>
        <v>Fitness Club, Monthly Fee for 1 Adult</v>
      </c>
      <c r="D6" s="840"/>
      <c r="E6" s="840"/>
      <c r="F6" s="840"/>
      <c r="G6" s="862">
        <f>'Full Report'!F56</f>
        <v>40</v>
      </c>
      <c r="H6" s="862">
        <f>'Full Report'!H56</f>
        <v>100</v>
      </c>
      <c r="I6" s="907">
        <v>1</v>
      </c>
      <c r="J6" s="788">
        <f>I6+0</f>
        <v>1</v>
      </c>
      <c r="K6" s="862">
        <f>G6*J6</f>
        <v>40</v>
      </c>
      <c r="L6" s="862">
        <f>J6*H6</f>
        <v>100</v>
      </c>
      <c r="M6" s="59"/>
    </row>
    <row r="7" spans="3:13" ht="21.75" thickBot="1">
      <c r="C7" s="841" t="str">
        <f>'Full Report'!C57</f>
        <v>Tennis Court Rent (1 Hour on Weekend)</v>
      </c>
      <c r="D7" s="842"/>
      <c r="E7" s="842"/>
      <c r="F7" s="842"/>
      <c r="G7" s="863">
        <f>'Full Report'!F57</f>
        <v>50</v>
      </c>
      <c r="H7" s="863">
        <f>'Full Report'!H57</f>
        <v>20.21</v>
      </c>
      <c r="I7" s="907">
        <v>1</v>
      </c>
      <c r="J7" s="788">
        <f t="shared" ref="J7" si="0">I7+0</f>
        <v>1</v>
      </c>
      <c r="K7" s="863">
        <f t="shared" ref="K7:K8" si="1">G7*J7</f>
        <v>50</v>
      </c>
      <c r="L7" s="863">
        <f>J7*H7</f>
        <v>20.21</v>
      </c>
      <c r="M7" s="59"/>
    </row>
    <row r="8" spans="3:13">
      <c r="C8" s="839" t="str">
        <f>'Full Report'!C58</f>
        <v>Movie Theatre, International Release, 1 Seat</v>
      </c>
      <c r="D8" s="840"/>
      <c r="E8" s="840"/>
      <c r="F8" s="840"/>
      <c r="G8" s="862">
        <f>'Full Report'!F58</f>
        <v>8</v>
      </c>
      <c r="H8" s="862">
        <f>'Full Report'!H58</f>
        <v>9.5299999999999994</v>
      </c>
      <c r="I8" s="907">
        <v>8</v>
      </c>
      <c r="J8" s="788">
        <f>I8+0.0000000001</f>
        <v>8.0000000001</v>
      </c>
      <c r="K8" s="862">
        <f t="shared" si="1"/>
        <v>64.0000000008</v>
      </c>
      <c r="L8" s="862">
        <f>J8*H8</f>
        <v>76.240000000952989</v>
      </c>
      <c r="M8" s="59"/>
    </row>
    <row r="9" spans="3:13" ht="21.75" thickBot="1">
      <c r="C9" s="834"/>
      <c r="D9" s="95"/>
      <c r="E9" s="95"/>
      <c r="F9" s="95"/>
      <c r="G9" s="95"/>
      <c r="H9" s="95"/>
      <c r="I9" s="95"/>
      <c r="J9" s="95" t="s">
        <v>0</v>
      </c>
      <c r="K9" s="858">
        <f>SUM(K6:K8)</f>
        <v>154.00000000080001</v>
      </c>
      <c r="L9" s="858">
        <f>SUM(L6:L8)</f>
        <v>196.450000000953</v>
      </c>
      <c r="M9" s="59"/>
    </row>
    <row r="10" spans="3:13" ht="21.75" thickTop="1">
      <c r="C10" s="95"/>
      <c r="D10" s="95"/>
      <c r="E10" s="95"/>
      <c r="F10" s="95"/>
      <c r="G10" s="95"/>
      <c r="H10" s="95"/>
      <c r="I10" s="95"/>
      <c r="J10" s="95" t="s">
        <v>0</v>
      </c>
      <c r="K10" s="95"/>
      <c r="L10" s="95" t="s">
        <v>0</v>
      </c>
      <c r="M10" s="59"/>
    </row>
    <row r="11" spans="3:13">
      <c r="C11" s="834"/>
      <c r="D11" s="95"/>
      <c r="E11" s="95"/>
      <c r="F11" s="95"/>
      <c r="G11" s="95"/>
      <c r="H11" s="95"/>
      <c r="I11" s="95"/>
      <c r="J11" s="95" t="s">
        <v>0</v>
      </c>
      <c r="K11" s="95"/>
      <c r="L11" s="95" t="s">
        <v>0</v>
      </c>
      <c r="M11" s="59"/>
    </row>
    <row r="12" spans="3:13">
      <c r="C12" s="100"/>
      <c r="D12" s="100"/>
      <c r="E12" s="100"/>
      <c r="F12" s="100"/>
      <c r="G12" s="100"/>
      <c r="H12" s="100"/>
      <c r="I12" s="100"/>
      <c r="J12" s="100"/>
      <c r="K12" s="100"/>
      <c r="L12" s="100"/>
      <c r="M12" s="59"/>
    </row>
    <row r="13" spans="3:13">
      <c r="C13" s="100"/>
      <c r="D13" s="100"/>
      <c r="E13" s="100"/>
      <c r="F13" s="100"/>
      <c r="G13" s="100"/>
      <c r="H13" s="100"/>
      <c r="I13" s="100"/>
      <c r="J13" s="100"/>
      <c r="K13" s="100"/>
      <c r="L13" s="100"/>
    </row>
    <row r="14" spans="3:13">
      <c r="C14" s="836"/>
    </row>
  </sheetData>
  <sheetProtection password="C9F9" sheet="1" objects="1" scenarios="1"/>
  <pageMargins left="0.7" right="0.7" top="0.75" bottom="0.75" header="0.3" footer="0.3"/>
  <pageSetup orientation="portrait" verticalDpi="0" r:id="rId1"/>
  <drawing r:id="rId2"/>
  <legacyDrawing r:id="rId3"/>
  <picture r:id="rId4"/>
</worksheet>
</file>

<file path=xl/worksheets/sheet12.xml><?xml version="1.0" encoding="utf-8"?>
<worksheet xmlns="http://schemas.openxmlformats.org/spreadsheetml/2006/main" xmlns:r="http://schemas.openxmlformats.org/officeDocument/2006/relationships">
  <dimension ref="A1:M14"/>
  <sheetViews>
    <sheetView showGridLines="0" showRowColHeaders="0" workbookViewId="0"/>
  </sheetViews>
  <sheetFormatPr defaultRowHeight="21"/>
  <cols>
    <col min="1" max="1" width="8.28515625" style="9" customWidth="1"/>
    <col min="2" max="2" width="7.5703125" style="9" customWidth="1"/>
    <col min="6" max="6" width="14.28515625" customWidth="1"/>
    <col min="7" max="7" width="14.85546875" customWidth="1"/>
    <col min="8" max="8" width="13.140625" customWidth="1"/>
    <col min="9" max="9" width="14.5703125" customWidth="1"/>
    <col min="10" max="10" width="12.140625" hidden="1" customWidth="1"/>
    <col min="11" max="11" width="14.140625" customWidth="1"/>
    <col min="12" max="12" width="13.42578125" customWidth="1"/>
  </cols>
  <sheetData>
    <row r="1" spans="3:13">
      <c r="D1" s="784" t="s">
        <v>1433</v>
      </c>
    </row>
    <row r="2" spans="3:13" ht="33.75">
      <c r="C2" s="131"/>
      <c r="D2" s="130"/>
      <c r="E2" s="130"/>
      <c r="F2" s="163" t="str">
        <f>'Full Report'!$C$60</f>
        <v>Apparel And Footwear</v>
      </c>
      <c r="G2" s="130"/>
      <c r="H2" s="130"/>
      <c r="I2" s="130"/>
      <c r="J2" s="130"/>
      <c r="K2" s="130"/>
      <c r="L2" s="130"/>
    </row>
    <row r="3" spans="3:13">
      <c r="C3" s="131"/>
      <c r="D3" s="130"/>
      <c r="E3" s="130"/>
      <c r="F3" s="130"/>
      <c r="G3" s="130"/>
      <c r="H3" s="130"/>
      <c r="I3" s="130"/>
      <c r="J3" s="130"/>
      <c r="K3" s="130"/>
      <c r="L3" s="130"/>
    </row>
    <row r="4" spans="3:13">
      <c r="C4" s="131"/>
      <c r="D4" s="130"/>
      <c r="E4" s="130"/>
      <c r="F4" s="130"/>
      <c r="G4" s="155"/>
      <c r="H4" s="155"/>
      <c r="I4" s="130"/>
      <c r="J4" s="130"/>
      <c r="K4" s="155"/>
      <c r="L4" s="154"/>
    </row>
    <row r="5" spans="3:13" ht="38.25" customHeight="1">
      <c r="C5" s="96"/>
      <c r="D5" s="159" t="s">
        <v>1379</v>
      </c>
      <c r="E5" s="95"/>
      <c r="F5" s="95"/>
      <c r="G5" s="159" t="str">
        <f>Report!P411</f>
        <v>Tucson (USD)</v>
      </c>
      <c r="H5" s="159" t="str">
        <f>Report!Q411</f>
        <v>Dubai (USD)</v>
      </c>
      <c r="I5" s="165" t="s">
        <v>1380</v>
      </c>
      <c r="J5" s="155"/>
      <c r="K5" s="159" t="str">
        <f>"Total ("&amp;Report!Q132&amp;")"</f>
        <v>Total (USD)</v>
      </c>
      <c r="L5" s="154" t="str">
        <f>"Total ("&amp;Report!Q132&amp;")"</f>
        <v>Total (USD)</v>
      </c>
    </row>
    <row r="6" spans="3:13">
      <c r="C6" s="839" t="s">
        <v>437</v>
      </c>
      <c r="D6" s="843"/>
      <c r="E6" s="844"/>
      <c r="F6" s="844"/>
      <c r="G6" s="862">
        <f>'Full Report'!F61</f>
        <v>30</v>
      </c>
      <c r="H6" s="862">
        <f>'Full Report'!H61</f>
        <v>81.680000000000007</v>
      </c>
      <c r="I6" s="869">
        <v>0</v>
      </c>
      <c r="J6" s="786">
        <f>I6+0</f>
        <v>0</v>
      </c>
      <c r="K6" s="862">
        <f>G6*J6</f>
        <v>0</v>
      </c>
      <c r="L6" s="862">
        <f>J6*H6</f>
        <v>0</v>
      </c>
      <c r="M6" s="59"/>
    </row>
    <row r="7" spans="3:13">
      <c r="C7" s="841" t="s">
        <v>1373</v>
      </c>
      <c r="D7" s="845"/>
      <c r="E7" s="846"/>
      <c r="F7" s="846"/>
      <c r="G7" s="863">
        <f>'Full Report'!F62</f>
        <v>25</v>
      </c>
      <c r="H7" s="863">
        <f>'Full Report'!H62</f>
        <v>49.5</v>
      </c>
      <c r="I7" s="869">
        <v>3</v>
      </c>
      <c r="J7" s="786">
        <f>I7+0.0000000001</f>
        <v>3.0000000001</v>
      </c>
      <c r="K7" s="863">
        <f t="shared" ref="K7:K9" si="0">G7*J7</f>
        <v>75.000000002500002</v>
      </c>
      <c r="L7" s="863">
        <f>J7*H7</f>
        <v>148.50000000495001</v>
      </c>
      <c r="M7" s="59"/>
    </row>
    <row r="8" spans="3:13">
      <c r="C8" s="839" t="s">
        <v>439</v>
      </c>
      <c r="D8" s="843"/>
      <c r="E8" s="844"/>
      <c r="F8" s="844"/>
      <c r="G8" s="862">
        <f>'Full Report'!F63</f>
        <v>72.5</v>
      </c>
      <c r="H8" s="862">
        <f>'Full Report'!H63</f>
        <v>81.680000000000007</v>
      </c>
      <c r="I8" s="869">
        <v>1</v>
      </c>
      <c r="J8" s="786">
        <f t="shared" ref="J8:J9" si="1">I8+0</f>
        <v>1</v>
      </c>
      <c r="K8" s="862">
        <f t="shared" si="0"/>
        <v>72.5</v>
      </c>
      <c r="L8" s="862">
        <f>J8*H8</f>
        <v>81.680000000000007</v>
      </c>
      <c r="M8" s="59"/>
    </row>
    <row r="9" spans="3:13">
      <c r="C9" s="841" t="s">
        <v>440</v>
      </c>
      <c r="D9" s="845"/>
      <c r="E9" s="846"/>
      <c r="F9" s="846"/>
      <c r="G9" s="863">
        <f>'Full Report'!F64</f>
        <v>75</v>
      </c>
      <c r="H9" s="863">
        <f>'Full Report'!H64</f>
        <v>108.9</v>
      </c>
      <c r="I9" s="869">
        <v>1</v>
      </c>
      <c r="J9" s="786">
        <f t="shared" si="1"/>
        <v>1</v>
      </c>
      <c r="K9" s="863">
        <f t="shared" si="0"/>
        <v>75</v>
      </c>
      <c r="L9" s="863">
        <f>J9*H9</f>
        <v>108.9</v>
      </c>
      <c r="M9" s="59"/>
    </row>
    <row r="10" spans="3:13" ht="21.75" thickBot="1">
      <c r="C10" s="103"/>
      <c r="D10" s="103"/>
      <c r="E10" s="156"/>
      <c r="F10" s="156"/>
      <c r="G10" s="103"/>
      <c r="H10" s="103"/>
      <c r="I10" s="103"/>
      <c r="J10" s="103" t="s">
        <v>0</v>
      </c>
      <c r="K10" s="858">
        <f>SUM(K6:K9)</f>
        <v>222.5000000025</v>
      </c>
      <c r="L10" s="858">
        <f>SUM(L6:L9)</f>
        <v>339.08000000495002</v>
      </c>
      <c r="M10" s="59"/>
    </row>
    <row r="11" spans="3:13" ht="21.75" thickTop="1">
      <c r="C11" s="100"/>
      <c r="D11" s="100"/>
      <c r="E11" s="100"/>
      <c r="F11" s="100"/>
      <c r="G11" s="100"/>
      <c r="H11" s="100"/>
      <c r="I11" s="100"/>
      <c r="J11" s="100" t="s">
        <v>0</v>
      </c>
      <c r="K11" s="100"/>
      <c r="L11" s="100" t="s">
        <v>0</v>
      </c>
      <c r="M11" s="59"/>
    </row>
    <row r="12" spans="3:13">
      <c r="C12" s="100"/>
      <c r="D12" s="100"/>
      <c r="E12" s="100"/>
      <c r="F12" s="100"/>
      <c r="G12" s="100"/>
      <c r="H12" s="100"/>
      <c r="I12" s="100"/>
      <c r="J12" s="100"/>
      <c r="K12" s="100"/>
      <c r="L12" s="100"/>
      <c r="M12" s="59"/>
    </row>
    <row r="13" spans="3:13">
      <c r="C13" s="100"/>
      <c r="D13" s="100"/>
      <c r="E13" s="100"/>
      <c r="F13" s="100"/>
      <c r="G13" s="100"/>
      <c r="H13" s="100"/>
      <c r="I13" s="100"/>
      <c r="J13" s="100"/>
      <c r="K13" s="100"/>
      <c r="L13" s="100"/>
    </row>
    <row r="14" spans="3:13">
      <c r="C14" s="836"/>
    </row>
  </sheetData>
  <sheetProtection password="C9F9" sheet="1" objects="1" scenarios="1"/>
  <pageMargins left="0.7" right="0.7" top="0.75" bottom="0.75" header="0.3" footer="0.3"/>
  <pageSetup orientation="portrait" verticalDpi="0" r:id="rId1"/>
  <drawing r:id="rId2"/>
  <legacyDrawing r:id="rId3"/>
  <picture r:id="rId4"/>
</worksheet>
</file>

<file path=xl/worksheets/sheet13.xml><?xml version="1.0" encoding="utf-8"?>
<worksheet xmlns="http://schemas.openxmlformats.org/spreadsheetml/2006/main" xmlns:r="http://schemas.openxmlformats.org/officeDocument/2006/relationships">
  <dimension ref="A1:M17"/>
  <sheetViews>
    <sheetView showGridLines="0" showRowColHeaders="0" workbookViewId="0"/>
  </sheetViews>
  <sheetFormatPr defaultRowHeight="21"/>
  <cols>
    <col min="1" max="2" width="9.140625" style="9"/>
    <col min="6" max="6" width="6.85546875" customWidth="1"/>
    <col min="7" max="9" width="14.7109375" customWidth="1"/>
    <col min="10" max="10" width="13.28515625" hidden="1" customWidth="1"/>
    <col min="11" max="11" width="13.28515625" customWidth="1"/>
    <col min="12" max="12" width="16.28515625" customWidth="1"/>
  </cols>
  <sheetData>
    <row r="1" spans="2:13">
      <c r="D1" s="784" t="s">
        <v>1434</v>
      </c>
    </row>
    <row r="2" spans="2:13" ht="33.75">
      <c r="C2" s="130"/>
      <c r="D2" s="130"/>
      <c r="E2" s="130"/>
      <c r="F2" s="130"/>
      <c r="G2" s="163" t="str">
        <f>'Full Report'!$C$66</f>
        <v>Accomodation Rental</v>
      </c>
      <c r="H2" s="130"/>
      <c r="I2" s="130"/>
      <c r="J2" s="130"/>
      <c r="K2" s="130"/>
      <c r="L2" s="130"/>
    </row>
    <row r="3" spans="2:13">
      <c r="C3" s="130"/>
      <c r="D3" s="130"/>
      <c r="E3" s="130"/>
      <c r="F3" s="130"/>
      <c r="G3" s="130"/>
      <c r="H3" s="130"/>
      <c r="I3" s="130"/>
      <c r="J3" s="130"/>
      <c r="K3" s="130"/>
      <c r="L3" s="130"/>
    </row>
    <row r="4" spans="2:13">
      <c r="C4" s="130"/>
      <c r="D4" s="130"/>
      <c r="E4" s="130"/>
      <c r="F4" s="130"/>
      <c r="G4" s="155"/>
      <c r="H4" s="155"/>
      <c r="I4" s="130"/>
      <c r="J4" s="130"/>
      <c r="K4" s="155"/>
      <c r="L4" s="154"/>
    </row>
    <row r="5" spans="2:13" ht="38.25">
      <c r="C5" s="96"/>
      <c r="D5" s="159" t="s">
        <v>1379</v>
      </c>
      <c r="E5" s="95"/>
      <c r="F5" s="95"/>
      <c r="G5" s="159" t="str">
        <f>Report!P411</f>
        <v>Tucson (USD)</v>
      </c>
      <c r="H5" s="159" t="str">
        <f>Report!Q411</f>
        <v>Dubai (USD)</v>
      </c>
      <c r="I5" s="165" t="s">
        <v>1380</v>
      </c>
      <c r="J5" s="165" t="s">
        <v>767</v>
      </c>
      <c r="K5" s="159" t="str">
        <f>"Total ("&amp;Report!Q132&amp;")"</f>
        <v>Total (USD)</v>
      </c>
      <c r="L5" s="154" t="str">
        <f>"Total ("&amp;Report!Q132&amp;")"</f>
        <v>Total (USD)</v>
      </c>
    </row>
    <row r="6" spans="2:13">
      <c r="C6" s="839" t="str">
        <f>'Full Report'!C67</f>
        <v>1 bed Apartment in City Centre</v>
      </c>
      <c r="D6" s="843"/>
      <c r="E6" s="844"/>
      <c r="F6" s="844"/>
      <c r="G6" s="862">
        <f>'Full Report'!F67</f>
        <v>700</v>
      </c>
      <c r="H6" s="862">
        <f>'Full Report'!H67</f>
        <v>1633.54</v>
      </c>
      <c r="I6" s="869">
        <v>0</v>
      </c>
      <c r="J6" s="786">
        <f>I6+0</f>
        <v>0</v>
      </c>
      <c r="K6" s="864">
        <f>G6*J6</f>
        <v>0</v>
      </c>
      <c r="L6" s="864">
        <f>H6*J6</f>
        <v>0</v>
      </c>
      <c r="M6" s="59"/>
    </row>
    <row r="7" spans="2:13">
      <c r="C7" s="841" t="str">
        <f>'Full Report'!C68</f>
        <v>1 bed Apartment Outside of Centre</v>
      </c>
      <c r="D7" s="845"/>
      <c r="E7" s="846"/>
      <c r="F7" s="846"/>
      <c r="G7" s="863">
        <f>'Full Report'!F68</f>
        <v>625</v>
      </c>
      <c r="H7" s="863">
        <f>'Full Report'!H68</f>
        <v>950.58</v>
      </c>
      <c r="I7" s="869">
        <v>0</v>
      </c>
      <c r="J7" s="786">
        <f>I7+0.0000000001</f>
        <v>1E-10</v>
      </c>
      <c r="K7" s="865">
        <f t="shared" ref="K7:K9" si="0">G7*J7</f>
        <v>6.2499999999999997E-8</v>
      </c>
      <c r="L7" s="865">
        <f>H7*J7</f>
        <v>9.5058000000000003E-8</v>
      </c>
      <c r="M7" s="59"/>
    </row>
    <row r="8" spans="2:13">
      <c r="C8" s="839" t="str">
        <f>'Full Report'!C69</f>
        <v>3 bed Apartment in City Centre</v>
      </c>
      <c r="D8" s="843"/>
      <c r="E8" s="844"/>
      <c r="F8" s="844"/>
      <c r="G8" s="862">
        <f>'Full Report'!F69</f>
        <v>1200</v>
      </c>
      <c r="H8" s="862">
        <f>'Full Report'!H69</f>
        <v>3062</v>
      </c>
      <c r="I8" s="869">
        <v>1</v>
      </c>
      <c r="J8" s="786">
        <f t="shared" ref="J8:J9" si="1">I8+0</f>
        <v>1</v>
      </c>
      <c r="K8" s="864">
        <f t="shared" si="0"/>
        <v>1200</v>
      </c>
      <c r="L8" s="864">
        <f>H8*J8</f>
        <v>3062</v>
      </c>
      <c r="M8" s="59"/>
    </row>
    <row r="9" spans="2:13">
      <c r="C9" s="841" t="str">
        <f>'Full Report'!C70</f>
        <v>3 bed Apartment Outside of Centre</v>
      </c>
      <c r="D9" s="845"/>
      <c r="E9" s="846"/>
      <c r="F9" s="846"/>
      <c r="G9" s="863">
        <f>'Full Report'!F70</f>
        <v>1000</v>
      </c>
      <c r="H9" s="863">
        <f>'Full Report'!H70</f>
        <v>2239.0300000000002</v>
      </c>
      <c r="I9" s="869">
        <v>0</v>
      </c>
      <c r="J9" s="786">
        <f t="shared" si="1"/>
        <v>0</v>
      </c>
      <c r="K9" s="865">
        <f t="shared" si="0"/>
        <v>0</v>
      </c>
      <c r="L9" s="865">
        <f>H9*J9</f>
        <v>0</v>
      </c>
      <c r="M9" s="59"/>
    </row>
    <row r="10" spans="2:13" ht="21.75" thickBot="1">
      <c r="B10" s="63"/>
      <c r="C10" s="833"/>
      <c r="D10" s="103"/>
      <c r="E10" s="103"/>
      <c r="F10" s="103"/>
      <c r="G10" s="862"/>
      <c r="H10" s="862"/>
      <c r="I10" s="103"/>
      <c r="J10" s="103" t="s">
        <v>0</v>
      </c>
      <c r="K10" s="858">
        <f>SUM(K6:K9)</f>
        <v>1200.0000000625</v>
      </c>
      <c r="L10" s="858">
        <f>SUM(L6:L9)</f>
        <v>3062.0000000950581</v>
      </c>
      <c r="M10" s="59"/>
    </row>
    <row r="11" spans="2:13" ht="21.75" thickTop="1">
      <c r="C11" s="834"/>
      <c r="D11" s="54"/>
      <c r="E11" s="54"/>
      <c r="F11" s="54"/>
      <c r="G11" s="102"/>
      <c r="H11" s="54"/>
      <c r="I11" s="54"/>
      <c r="J11" s="54" t="s">
        <v>0</v>
      </c>
      <c r="K11" s="54"/>
      <c r="L11" s="95"/>
      <c r="M11" s="59"/>
    </row>
    <row r="12" spans="2:13">
      <c r="C12" s="100"/>
      <c r="D12" s="100"/>
      <c r="E12" s="100"/>
      <c r="F12" s="100"/>
      <c r="G12" s="100"/>
      <c r="H12" s="100"/>
      <c r="I12" s="100"/>
      <c r="J12" s="100"/>
      <c r="K12" s="100"/>
      <c r="L12" s="100"/>
    </row>
    <row r="13" spans="2:13">
      <c r="C13" s="100"/>
      <c r="D13" s="100"/>
      <c r="E13" s="100"/>
      <c r="F13" s="100"/>
      <c r="G13" s="100"/>
      <c r="H13" s="100"/>
      <c r="I13" s="100"/>
      <c r="J13" s="100"/>
      <c r="K13" s="100"/>
      <c r="L13" s="100"/>
    </row>
    <row r="14" spans="2:13">
      <c r="C14" s="836"/>
    </row>
    <row r="16" spans="2:13">
      <c r="D16" s="64"/>
    </row>
    <row r="17" spans="4:4">
      <c r="D17" s="64"/>
    </row>
  </sheetData>
  <sheetProtection password="C9F9" sheet="1" objects="1" scenarios="1"/>
  <pageMargins left="0.7" right="0.7" top="0.75" bottom="0.75" header="0.3" footer="0.3"/>
  <pageSetup orientation="portrait" verticalDpi="0" r:id="rId1"/>
  <ignoredErrors>
    <ignoredError sqref="J7" formula="1"/>
  </ignoredErrors>
  <drawing r:id="rId2"/>
  <legacyDrawing r:id="rId3"/>
  <picture r:id="rId4"/>
</worksheet>
</file>

<file path=xl/worksheets/sheet14.xml><?xml version="1.0" encoding="utf-8"?>
<worksheet xmlns="http://schemas.openxmlformats.org/spreadsheetml/2006/main" xmlns:r="http://schemas.openxmlformats.org/officeDocument/2006/relationships">
  <dimension ref="A1:P90"/>
  <sheetViews>
    <sheetView showGridLines="0" showRowColHeaders="0" topLeftCell="A87" zoomScale="95" zoomScaleNormal="95" workbookViewId="0">
      <selection activeCell="C101" sqref="C101"/>
    </sheetView>
  </sheetViews>
  <sheetFormatPr defaultRowHeight="23.25"/>
  <cols>
    <col min="1" max="1" width="5.42578125" style="42" customWidth="1"/>
    <col min="2" max="2" width="5.85546875" style="1" customWidth="1"/>
    <col min="3" max="3" width="35" style="33" customWidth="1"/>
    <col min="4" max="4" width="8.28515625" style="33" customWidth="1"/>
    <col min="5" max="5" width="12.85546875" style="1" hidden="1" customWidth="1"/>
    <col min="6" max="6" width="13.28515625" style="1" customWidth="1"/>
    <col min="7" max="7" width="14" style="15" hidden="1" customWidth="1"/>
    <col min="8" max="8" width="14.5703125" style="3" customWidth="1"/>
    <col min="9" max="9" width="12" style="117" customWidth="1"/>
    <col min="10" max="12" width="10" style="122" customWidth="1"/>
    <col min="13" max="13" width="10.42578125" style="3" customWidth="1"/>
    <col min="14" max="14" width="11.7109375" style="3" customWidth="1"/>
    <col min="15" max="15" width="12.140625" style="27" customWidth="1"/>
  </cols>
  <sheetData>
    <row r="1" spans="1:16" hidden="1"/>
    <row r="2" spans="1:16" ht="28.5" hidden="1" customHeight="1">
      <c r="C2" s="942" t="s">
        <v>746</v>
      </c>
      <c r="D2" s="942"/>
      <c r="E2" s="942"/>
      <c r="F2" s="942"/>
      <c r="G2" s="942"/>
      <c r="H2" s="942"/>
      <c r="I2" s="942"/>
      <c r="J2" s="942"/>
      <c r="K2" s="942"/>
      <c r="L2" s="942"/>
      <c r="M2" s="942"/>
      <c r="N2" s="942"/>
      <c r="O2" s="942"/>
    </row>
    <row r="3" spans="1:16" ht="69.75" hidden="1" customHeight="1">
      <c r="C3" s="943" t="s">
        <v>545</v>
      </c>
      <c r="D3" s="943"/>
      <c r="E3" s="943"/>
      <c r="F3" s="943"/>
      <c r="G3" s="943"/>
      <c r="H3" s="943"/>
      <c r="I3" s="943"/>
      <c r="J3" s="943"/>
      <c r="K3" s="943"/>
      <c r="L3" s="943"/>
      <c r="M3" s="943"/>
      <c r="N3" s="943"/>
      <c r="O3" s="943"/>
    </row>
    <row r="4" spans="1:16" hidden="1">
      <c r="C4" s="30" t="s">
        <v>546</v>
      </c>
      <c r="D4" s="30"/>
      <c r="E4" s="15" t="s">
        <v>549</v>
      </c>
      <c r="F4" s="15"/>
      <c r="G4" s="16" t="s">
        <v>0</v>
      </c>
      <c r="H4" s="16"/>
      <c r="I4" s="115"/>
      <c r="J4" s="116" t="str">
        <f>J5</f>
        <v>tates</v>
      </c>
      <c r="K4" s="116"/>
      <c r="L4" s="116"/>
      <c r="M4" s="18" t="str">
        <f>M5</f>
        <v>rates</v>
      </c>
      <c r="N4" s="16"/>
      <c r="O4" s="23" t="s">
        <v>0</v>
      </c>
    </row>
    <row r="5" spans="1:16" hidden="1">
      <c r="D5" s="30"/>
      <c r="E5" s="10"/>
      <c r="F5" s="15"/>
      <c r="H5" s="15"/>
      <c r="J5" s="116" t="str">
        <f>RIGHT(C6,5)</f>
        <v>tates</v>
      </c>
      <c r="K5" s="116"/>
      <c r="L5" s="116"/>
      <c r="M5" s="18" t="str">
        <f>RIGHT(C7,5)</f>
        <v>rates</v>
      </c>
      <c r="N5" s="15" t="s">
        <v>0</v>
      </c>
      <c r="O5" s="23" t="s">
        <v>0</v>
      </c>
    </row>
    <row r="6" spans="1:16" hidden="1">
      <c r="A6" s="45"/>
      <c r="B6" s="10"/>
      <c r="C6" s="46" t="str">
        <f>Info!P7</f>
        <v>Tucson, AZ, United States</v>
      </c>
      <c r="D6" s="49"/>
      <c r="E6" s="52"/>
      <c r="F6" s="52"/>
      <c r="G6" s="112"/>
      <c r="H6" s="43"/>
      <c r="J6" s="117"/>
      <c r="K6" s="117"/>
      <c r="L6" s="117"/>
      <c r="M6" s="15"/>
      <c r="N6" s="15" t="s">
        <v>0</v>
      </c>
      <c r="O6" s="23" t="s">
        <v>0</v>
      </c>
    </row>
    <row r="7" spans="1:16" hidden="1">
      <c r="A7" s="45"/>
      <c r="B7" s="10"/>
      <c r="C7" s="46" t="str">
        <f>Info!F14</f>
        <v>Dubai, United Arab Emirates</v>
      </c>
      <c r="D7" s="49"/>
      <c r="E7" s="52"/>
      <c r="F7" s="52"/>
      <c r="G7" s="112"/>
      <c r="H7" s="43"/>
      <c r="J7" s="117"/>
      <c r="K7" s="117"/>
      <c r="L7" s="117"/>
      <c r="M7" s="15"/>
      <c r="N7" s="15" t="s">
        <v>0</v>
      </c>
      <c r="O7" s="24" t="s">
        <v>0</v>
      </c>
    </row>
    <row r="8" spans="1:16" ht="33.75" hidden="1">
      <c r="A8" s="45"/>
      <c r="B8" s="10"/>
      <c r="C8" s="30"/>
      <c r="D8" s="30"/>
      <c r="E8" s="53" t="str">
        <f>C6&amp;" in US dollar"</f>
        <v>Tucson, AZ, United States in US dollar</v>
      </c>
      <c r="F8" s="53" t="str">
        <f>C6&amp;" in "&amp;C9</f>
        <v>Tucson, AZ, United States in US Dollar</v>
      </c>
      <c r="G8" s="111" t="str">
        <f>C7&amp;" in US dollar"</f>
        <v>Dubai, United Arab Emirates in US dollar</v>
      </c>
      <c r="H8" s="44" t="str">
        <f>C7&amp;" in "&amp;C9</f>
        <v>Dubai, United Arab Emirates in US Dollar</v>
      </c>
      <c r="I8" s="53" t="str">
        <f>C6</f>
        <v>Tucson, AZ, United States</v>
      </c>
      <c r="J8" s="118" t="str">
        <f>C7</f>
        <v>Dubai, United Arab Emirates</v>
      </c>
      <c r="K8" s="118"/>
      <c r="L8" s="118"/>
      <c r="M8" s="15" t="str">
        <f>H8</f>
        <v>Dubai, United Arab Emirates in US Dollar</v>
      </c>
      <c r="N8" s="15" t="str">
        <f>C11&amp;N11&amp;O11&amp;P11</f>
        <v>Meal, in a Budget Restaurant0.101591187270502higher than in Dubai, United Arab Emirates</v>
      </c>
      <c r="O8" s="24"/>
    </row>
    <row r="9" spans="1:16" hidden="1">
      <c r="A9" s="45"/>
      <c r="B9" s="10"/>
      <c r="C9" s="31" t="str">
        <f>Info!F8</f>
        <v>US Dollar</v>
      </c>
      <c r="D9" s="19">
        <f>Info!K8</f>
        <v>1</v>
      </c>
      <c r="E9" s="54"/>
      <c r="F9" s="55" t="str">
        <f>Info!J8</f>
        <v>USD</v>
      </c>
      <c r="G9" s="111"/>
      <c r="H9" s="50" t="str">
        <f>$F$9</f>
        <v>USD</v>
      </c>
      <c r="I9" s="119"/>
      <c r="J9" s="117"/>
      <c r="K9" s="117"/>
      <c r="L9" s="117"/>
      <c r="M9" s="15"/>
      <c r="N9" s="15"/>
      <c r="O9" s="24"/>
    </row>
    <row r="10" spans="1:16" hidden="1">
      <c r="A10" s="45"/>
      <c r="B10" s="10"/>
      <c r="C10" s="32" t="s">
        <v>751</v>
      </c>
      <c r="D10" s="32" t="s">
        <v>1245</v>
      </c>
      <c r="E10" s="54"/>
      <c r="F10" s="56" t="s">
        <v>0</v>
      </c>
      <c r="G10" s="111"/>
      <c r="H10" s="51" t="s">
        <v>0</v>
      </c>
      <c r="I10" s="120"/>
      <c r="J10" s="117"/>
      <c r="K10" s="117"/>
      <c r="L10" s="117"/>
      <c r="M10" s="15"/>
      <c r="N10" s="15"/>
      <c r="O10" s="24"/>
    </row>
    <row r="11" spans="1:16" ht="32.25" hidden="1">
      <c r="A11" s="45"/>
      <c r="B11" s="47"/>
      <c r="C11" s="48" t="s">
        <v>1256</v>
      </c>
      <c r="D11" s="109">
        <f>'Eating Out'!J6</f>
        <v>5</v>
      </c>
      <c r="E11" s="57">
        <f>VLOOKUP(C$6,CPI!C$4:AZ$394,2,FALSE)</f>
        <v>9</v>
      </c>
      <c r="F11" s="58">
        <f t="shared" ref="F11:F18" si="0">E11*D$9</f>
        <v>9</v>
      </c>
      <c r="G11" s="113">
        <f>VLOOKUP(C$7,CPI!C$4:AZ$394,2,FALSE)</f>
        <v>8.17</v>
      </c>
      <c r="H11" s="43">
        <f t="shared" ref="H11:H18" si="1">G11*D$9</f>
        <v>8.17</v>
      </c>
      <c r="I11" s="117">
        <f>F11*D11</f>
        <v>45</v>
      </c>
      <c r="J11" s="121">
        <f>H11*D11</f>
        <v>40.85</v>
      </c>
      <c r="K11" s="121"/>
      <c r="L11" s="121"/>
      <c r="M11" s="38">
        <f t="shared" ref="M11:M18" si="2">E11/G11</f>
        <v>1.1015911872705018</v>
      </c>
      <c r="N11" s="39">
        <f>M11-1</f>
        <v>0.10159118727050176</v>
      </c>
      <c r="O11" s="40" t="str">
        <f t="shared" ref="O11:O18" si="3">IF(N11=0,"% or equal in ",IF(E11&lt;G11,"lower than in ","higher than in "))</f>
        <v xml:space="preserve">higher than in </v>
      </c>
      <c r="P11" s="41" t="str">
        <f>$C$7</f>
        <v>Dubai, United Arab Emirates</v>
      </c>
    </row>
    <row r="12" spans="1:16" ht="24" hidden="1" customHeight="1">
      <c r="A12" s="45"/>
      <c r="B12" s="10"/>
      <c r="C12" s="30" t="s">
        <v>1255</v>
      </c>
      <c r="D12" s="110">
        <f>'Eating Out'!J7</f>
        <v>10</v>
      </c>
      <c r="E12" s="57">
        <f>VLOOKUP(C$6,CPI!C$4:AZ$394,3,FALSE)</f>
        <v>60</v>
      </c>
      <c r="F12" s="58">
        <f t="shared" si="0"/>
        <v>60</v>
      </c>
      <c r="G12" s="113">
        <f>VLOOKUP(C$7,CPI!C$4:AZ$394,3,FALSE)</f>
        <v>40.840000000000003</v>
      </c>
      <c r="H12" s="43">
        <f t="shared" si="1"/>
        <v>40.840000000000003</v>
      </c>
      <c r="I12" s="117">
        <f t="shared" ref="I12:I18" si="4">F12*D12</f>
        <v>600</v>
      </c>
      <c r="J12" s="121">
        <f t="shared" ref="J12:J18" si="5">H12*D12</f>
        <v>408.40000000000003</v>
      </c>
      <c r="K12" s="121"/>
      <c r="L12" s="121"/>
      <c r="M12" s="38">
        <f t="shared" si="2"/>
        <v>1.4691478942213514</v>
      </c>
      <c r="N12" s="39">
        <f t="shared" ref="N12:N18" si="6">M12-1</f>
        <v>0.46914789422135139</v>
      </c>
      <c r="O12" s="40" t="str">
        <f t="shared" si="3"/>
        <v xml:space="preserve">higher than in </v>
      </c>
      <c r="P12" s="41" t="str">
        <f t="shared" ref="P12:P74" si="7">$C$7</f>
        <v>Dubai, United Arab Emirates</v>
      </c>
    </row>
    <row r="13" spans="1:16" hidden="1">
      <c r="A13" s="45"/>
      <c r="B13" s="10"/>
      <c r="C13" s="30" t="s">
        <v>1257</v>
      </c>
      <c r="D13" s="110">
        <f>'Eating Out'!J8</f>
        <v>5</v>
      </c>
      <c r="E13" s="57">
        <f>VLOOKUP(C$6,CPI!C$4:AZ$394,4,FALSE)</f>
        <v>6</v>
      </c>
      <c r="F13" s="58">
        <f t="shared" si="0"/>
        <v>6</v>
      </c>
      <c r="G13" s="113">
        <f>VLOOKUP(C$7,CPI!C$4:AZ$394,4,FALSE)</f>
        <v>5.45</v>
      </c>
      <c r="H13" s="43">
        <f t="shared" si="1"/>
        <v>5.45</v>
      </c>
      <c r="I13" s="117">
        <f t="shared" si="4"/>
        <v>30</v>
      </c>
      <c r="J13" s="121">
        <f t="shared" si="5"/>
        <v>27.25</v>
      </c>
      <c r="K13" s="121"/>
      <c r="L13" s="121"/>
      <c r="M13" s="38">
        <f t="shared" si="2"/>
        <v>1.1009174311926606</v>
      </c>
      <c r="N13" s="39">
        <f t="shared" si="6"/>
        <v>0.10091743119266061</v>
      </c>
      <c r="O13" s="40" t="str">
        <f t="shared" si="3"/>
        <v xml:space="preserve">higher than in </v>
      </c>
      <c r="P13" s="41" t="str">
        <f t="shared" si="7"/>
        <v>Dubai, United Arab Emirates</v>
      </c>
    </row>
    <row r="14" spans="1:16" hidden="1">
      <c r="A14" s="45"/>
      <c r="B14" s="10"/>
      <c r="C14" s="30" t="s">
        <v>417</v>
      </c>
      <c r="D14" s="110">
        <f>'Eating Out'!J9</f>
        <v>5</v>
      </c>
      <c r="E14" s="57">
        <f>VLOOKUP(C$6,CPI!C$4:AZ$394,5,FALSE)</f>
        <v>3</v>
      </c>
      <c r="F14" s="58">
        <f t="shared" si="0"/>
        <v>3</v>
      </c>
      <c r="G14" s="113">
        <f>VLOOKUP(C$7,CPI!C$4:AZ$394,5,FALSE)</f>
        <v>9.5299999999999994</v>
      </c>
      <c r="H14" s="43">
        <f t="shared" si="1"/>
        <v>9.5299999999999994</v>
      </c>
      <c r="I14" s="117">
        <f t="shared" si="4"/>
        <v>15</v>
      </c>
      <c r="J14" s="121">
        <f t="shared" si="5"/>
        <v>47.65</v>
      </c>
      <c r="K14" s="121"/>
      <c r="L14" s="121"/>
      <c r="M14" s="38">
        <f t="shared" si="2"/>
        <v>0.31479538300104931</v>
      </c>
      <c r="N14" s="39">
        <f t="shared" si="6"/>
        <v>-0.68520461699895074</v>
      </c>
      <c r="O14" s="40" t="str">
        <f t="shared" si="3"/>
        <v xml:space="preserve">lower than in </v>
      </c>
      <c r="P14" s="41" t="str">
        <f t="shared" si="7"/>
        <v>Dubai, United Arab Emirates</v>
      </c>
    </row>
    <row r="15" spans="1:16" hidden="1">
      <c r="A15" s="45"/>
      <c r="B15" s="10"/>
      <c r="C15" s="30" t="s">
        <v>418</v>
      </c>
      <c r="D15" s="110">
        <f>'Eating Out'!J10</f>
        <v>10</v>
      </c>
      <c r="E15" s="57">
        <f>VLOOKUP(C$6,CPI!C$4:AZ$394,6,FALSE)</f>
        <v>4.25</v>
      </c>
      <c r="F15" s="58">
        <f t="shared" si="0"/>
        <v>4.25</v>
      </c>
      <c r="G15" s="113">
        <f>VLOOKUP(C$7,CPI!C$4:AZ$394,6,FALSE)</f>
        <v>8.17</v>
      </c>
      <c r="H15" s="43">
        <f t="shared" si="1"/>
        <v>8.17</v>
      </c>
      <c r="I15" s="117">
        <f t="shared" si="4"/>
        <v>42.5</v>
      </c>
      <c r="J15" s="121">
        <f t="shared" si="5"/>
        <v>81.7</v>
      </c>
      <c r="K15" s="121"/>
      <c r="L15" s="121"/>
      <c r="M15" s="38">
        <f t="shared" si="2"/>
        <v>0.52019583843329253</v>
      </c>
      <c r="N15" s="39">
        <f t="shared" si="6"/>
        <v>-0.47980416156670747</v>
      </c>
      <c r="O15" s="40" t="str">
        <f t="shared" si="3"/>
        <v xml:space="preserve">lower than in </v>
      </c>
      <c r="P15" s="41" t="str">
        <f t="shared" si="7"/>
        <v>Dubai, United Arab Emirates</v>
      </c>
    </row>
    <row r="16" spans="1:16" hidden="1">
      <c r="A16" s="45"/>
      <c r="B16" s="10"/>
      <c r="C16" s="30" t="s">
        <v>449</v>
      </c>
      <c r="D16" s="110">
        <f>'Eating Out'!J11</f>
        <v>15</v>
      </c>
      <c r="E16" s="57">
        <f>VLOOKUP(C$6,CPI!C$4:AZ$394,48,FALSE)</f>
        <v>3.5</v>
      </c>
      <c r="F16" s="58">
        <f t="shared" si="0"/>
        <v>3.5</v>
      </c>
      <c r="G16" s="113">
        <f>VLOOKUP(C$7,CPI!C$4:AZ$394,48,FALSE)</f>
        <v>4.08</v>
      </c>
      <c r="H16" s="43">
        <f t="shared" si="1"/>
        <v>4.08</v>
      </c>
      <c r="I16" s="117">
        <f t="shared" si="4"/>
        <v>52.5</v>
      </c>
      <c r="J16" s="121">
        <f t="shared" si="5"/>
        <v>61.2</v>
      </c>
      <c r="K16" s="121"/>
      <c r="L16" s="121"/>
      <c r="M16" s="38">
        <f t="shared" si="2"/>
        <v>0.85784313725490191</v>
      </c>
      <c r="N16" s="39">
        <f t="shared" si="6"/>
        <v>-0.14215686274509809</v>
      </c>
      <c r="O16" s="40" t="str">
        <f t="shared" si="3"/>
        <v xml:space="preserve">lower than in </v>
      </c>
      <c r="P16" s="30" t="str">
        <f t="shared" si="7"/>
        <v>Dubai, United Arab Emirates</v>
      </c>
    </row>
    <row r="17" spans="1:16" hidden="1">
      <c r="A17" s="45"/>
      <c r="B17" s="10"/>
      <c r="C17" s="30" t="s">
        <v>419</v>
      </c>
      <c r="D17" s="110">
        <f>'Eating Out'!J12</f>
        <v>20</v>
      </c>
      <c r="E17" s="57">
        <f>VLOOKUP(C$6,CPI!C$4:AZ$394,7,FALSE)</f>
        <v>1.54</v>
      </c>
      <c r="F17" s="58">
        <f t="shared" si="0"/>
        <v>1.54</v>
      </c>
      <c r="G17" s="113">
        <f>VLOOKUP(C$7,CPI!C$4:AZ$394,7,FALSE)</f>
        <v>0.41</v>
      </c>
      <c r="H17" s="43">
        <f t="shared" si="1"/>
        <v>0.41</v>
      </c>
      <c r="I17" s="117">
        <f t="shared" si="4"/>
        <v>30.8</v>
      </c>
      <c r="J17" s="121">
        <f t="shared" si="5"/>
        <v>8.1999999999999993</v>
      </c>
      <c r="K17" s="121"/>
      <c r="L17" s="121"/>
      <c r="M17" s="38">
        <f t="shared" si="2"/>
        <v>3.75609756097561</v>
      </c>
      <c r="N17" s="39">
        <f t="shared" si="6"/>
        <v>2.75609756097561</v>
      </c>
      <c r="O17" s="40" t="str">
        <f t="shared" si="3"/>
        <v xml:space="preserve">higher than in </v>
      </c>
      <c r="P17" s="30" t="str">
        <f t="shared" si="7"/>
        <v>Dubai, United Arab Emirates</v>
      </c>
    </row>
    <row r="18" spans="1:16" hidden="1">
      <c r="B18" s="10"/>
      <c r="C18" s="30" t="s">
        <v>420</v>
      </c>
      <c r="D18" s="110">
        <f>'Eating Out'!J13</f>
        <v>30.000000010000001</v>
      </c>
      <c r="E18" s="57">
        <f>VLOOKUP(C$6,CPI!C$4:AZ$394,8,FALSE)</f>
        <v>1.4</v>
      </c>
      <c r="F18" s="58">
        <f t="shared" si="0"/>
        <v>1.4</v>
      </c>
      <c r="G18" s="113">
        <f>VLOOKUP(C$7,CPI!C$4:AZ$394,8,FALSE)</f>
        <v>0.3</v>
      </c>
      <c r="H18" s="43">
        <f t="shared" si="1"/>
        <v>0.3</v>
      </c>
      <c r="I18" s="117">
        <f t="shared" si="4"/>
        <v>42.000000014000001</v>
      </c>
      <c r="J18" s="121">
        <f t="shared" si="5"/>
        <v>9.0000000030000002</v>
      </c>
      <c r="K18" s="121"/>
      <c r="L18" s="121"/>
      <c r="M18" s="38">
        <f t="shared" si="2"/>
        <v>4.666666666666667</v>
      </c>
      <c r="N18" s="39">
        <f t="shared" si="6"/>
        <v>3.666666666666667</v>
      </c>
      <c r="O18" s="40" t="str">
        <f t="shared" si="3"/>
        <v xml:space="preserve">higher than in </v>
      </c>
      <c r="P18" s="30" t="str">
        <f t="shared" si="7"/>
        <v>Dubai, United Arab Emirates</v>
      </c>
    </row>
    <row r="19" spans="1:16" hidden="1">
      <c r="B19" s="10"/>
      <c r="C19" s="30"/>
      <c r="D19" s="30"/>
      <c r="E19" s="20"/>
      <c r="F19" s="107">
        <f>SUM(F11:F18)</f>
        <v>88.690000000000012</v>
      </c>
      <c r="G19" s="20"/>
      <c r="H19" s="97">
        <f>SUM(H11:H18)</f>
        <v>76.95</v>
      </c>
      <c r="I19" s="123">
        <f>SUM(I11:I18)</f>
        <v>857.80000001399992</v>
      </c>
      <c r="J19" s="124">
        <f>SUM(J11:J18)</f>
        <v>684.2500000030002</v>
      </c>
      <c r="K19" s="127">
        <f>I19/J19</f>
        <v>1.253635367205318</v>
      </c>
      <c r="L19" s="127">
        <f>K19-1</f>
        <v>0.25363536720531799</v>
      </c>
      <c r="M19" s="22"/>
      <c r="N19" s="17"/>
      <c r="O19" s="25"/>
      <c r="P19" s="10"/>
    </row>
    <row r="20" spans="1:16" hidden="1">
      <c r="B20" s="10"/>
      <c r="C20" s="30"/>
      <c r="D20" s="30"/>
      <c r="E20" s="20"/>
      <c r="F20" s="21"/>
      <c r="G20" s="20"/>
      <c r="H20" s="15" t="s">
        <v>0</v>
      </c>
      <c r="J20" s="117"/>
      <c r="K20" s="117"/>
      <c r="L20" s="117"/>
      <c r="M20" s="22"/>
      <c r="N20" s="17"/>
      <c r="O20" s="25"/>
      <c r="P20" s="10"/>
    </row>
    <row r="21" spans="1:16" hidden="1">
      <c r="B21" s="10"/>
      <c r="C21" s="30"/>
      <c r="D21" s="30"/>
      <c r="E21" s="20"/>
      <c r="F21" s="21"/>
      <c r="G21" s="20"/>
      <c r="H21" s="15"/>
      <c r="J21" s="117"/>
      <c r="K21" s="117"/>
      <c r="L21" s="117"/>
      <c r="M21" s="22"/>
      <c r="N21" s="17"/>
      <c r="O21" s="25"/>
      <c r="P21" s="10"/>
    </row>
    <row r="22" spans="1:16" hidden="1">
      <c r="B22" s="10"/>
      <c r="C22" s="30" t="s">
        <v>0</v>
      </c>
      <c r="D22" s="30"/>
      <c r="E22" s="15"/>
      <c r="F22" s="35"/>
      <c r="G22" s="36"/>
      <c r="H22" s="15" t="s">
        <v>0</v>
      </c>
      <c r="J22" s="117"/>
      <c r="K22" s="117"/>
      <c r="L22" s="117"/>
      <c r="M22" s="22" t="s">
        <v>0</v>
      </c>
      <c r="N22" s="17"/>
      <c r="O22" s="25"/>
      <c r="P22" s="10" t="s">
        <v>0</v>
      </c>
    </row>
    <row r="23" spans="1:16" hidden="1">
      <c r="B23" s="10"/>
      <c r="C23" s="32" t="s">
        <v>400</v>
      </c>
      <c r="D23" s="32"/>
      <c r="E23" s="15"/>
      <c r="F23" s="35"/>
      <c r="G23" s="36"/>
      <c r="H23" s="15" t="s">
        <v>0</v>
      </c>
      <c r="J23" s="117"/>
      <c r="K23" s="117"/>
      <c r="L23" s="117"/>
      <c r="M23" s="22" t="s">
        <v>0</v>
      </c>
      <c r="N23" s="17"/>
      <c r="O23" s="25"/>
      <c r="P23" s="10" t="s">
        <v>0</v>
      </c>
    </row>
    <row r="24" spans="1:16" hidden="1">
      <c r="B24" s="10"/>
      <c r="C24" s="67" t="s">
        <v>421</v>
      </c>
      <c r="D24" s="110">
        <f>Groceries!J6</f>
        <v>20</v>
      </c>
      <c r="E24" s="20">
        <f>VLOOKUP(C$6,CPI!C$4:AZ$394,9,FALSE)</f>
        <v>1.81</v>
      </c>
      <c r="F24" s="58">
        <f>E24*D$9</f>
        <v>1.81</v>
      </c>
      <c r="G24" s="37">
        <f>VLOOKUP(C$7,CPI!C$4:AZ$394,9,FALSE)</f>
        <v>1.45</v>
      </c>
      <c r="H24" s="15">
        <f t="shared" ref="H24:H39" si="8">G24*D$9</f>
        <v>1.45</v>
      </c>
      <c r="I24" s="117">
        <f t="shared" ref="I24:I39" si="9">F24*D24</f>
        <v>36.200000000000003</v>
      </c>
      <c r="J24" s="121">
        <f t="shared" ref="J24:J39" si="10">H24*D24</f>
        <v>29</v>
      </c>
      <c r="K24" s="117"/>
      <c r="L24" s="117"/>
      <c r="M24" s="22">
        <f t="shared" ref="M24:M39" si="11">E24/G24</f>
        <v>1.2482758620689656</v>
      </c>
      <c r="N24" s="17">
        <f t="shared" ref="N24:N74" si="12">M24-1</f>
        <v>0.24827586206896557</v>
      </c>
      <c r="O24" s="25" t="str">
        <f t="shared" ref="O24:O39" si="13">IF(N24=0,"% or equal in ",IF(E24&lt;G24,"lower than in ","higher than in "))</f>
        <v xml:space="preserve">higher than in </v>
      </c>
      <c r="P24" s="10" t="str">
        <f t="shared" si="7"/>
        <v>Dubai, United Arab Emirates</v>
      </c>
    </row>
    <row r="25" spans="1:16" hidden="1">
      <c r="C25" s="68" t="s">
        <v>1254</v>
      </c>
      <c r="D25" s="125">
        <f>Groceries!J7</f>
        <v>15</v>
      </c>
      <c r="E25" s="12">
        <f>VLOOKUP(C$6,CPI!C$4:AZ$394,10,FALSE)</f>
        <v>2.96</v>
      </c>
      <c r="F25" s="58">
        <f t="shared" ref="F25:F39" si="14">E25*D$9</f>
        <v>2.96</v>
      </c>
      <c r="G25" s="15">
        <f>VLOOKUP(C$7,CPI!C$4:AZ$394,10,FALSE)</f>
        <v>1.1100000000000001</v>
      </c>
      <c r="H25" s="3">
        <f t="shared" si="8"/>
        <v>1.1100000000000001</v>
      </c>
      <c r="I25" s="117">
        <f t="shared" si="9"/>
        <v>44.4</v>
      </c>
      <c r="J25" s="121">
        <f t="shared" si="10"/>
        <v>16.650000000000002</v>
      </c>
      <c r="M25" s="5">
        <f t="shared" si="11"/>
        <v>2.6666666666666665</v>
      </c>
      <c r="N25" s="14">
        <f t="shared" si="12"/>
        <v>1.6666666666666665</v>
      </c>
      <c r="O25" s="26" t="str">
        <f t="shared" si="13"/>
        <v xml:space="preserve">higher than in </v>
      </c>
      <c r="P25" t="str">
        <f t="shared" si="7"/>
        <v>Dubai, United Arab Emirates</v>
      </c>
    </row>
    <row r="26" spans="1:16" hidden="1">
      <c r="C26" s="68" t="s">
        <v>450</v>
      </c>
      <c r="D26" s="125">
        <f>Groceries!J8</f>
        <v>5</v>
      </c>
      <c r="E26" s="12">
        <f>VLOOKUP(C$6,CPI!C$4:AZ$394,49,FALSE)</f>
        <v>3.5</v>
      </c>
      <c r="F26" s="58">
        <f t="shared" si="14"/>
        <v>3.5</v>
      </c>
      <c r="G26" s="15">
        <f>VLOOKUP(C$7,CPI!C$4:AZ$394,49,FALSE)</f>
        <v>1.36</v>
      </c>
      <c r="H26" s="3">
        <f t="shared" si="8"/>
        <v>1.36</v>
      </c>
      <c r="I26" s="117">
        <f t="shared" si="9"/>
        <v>17.5</v>
      </c>
      <c r="J26" s="121">
        <f t="shared" si="10"/>
        <v>6.8000000000000007</v>
      </c>
      <c r="M26" s="5">
        <f t="shared" si="11"/>
        <v>2.5735294117647056</v>
      </c>
      <c r="N26" s="14">
        <f t="shared" si="12"/>
        <v>1.5735294117647056</v>
      </c>
      <c r="O26" s="26" t="str">
        <f t="shared" si="13"/>
        <v xml:space="preserve">higher than in </v>
      </c>
      <c r="P26" t="str">
        <f t="shared" si="7"/>
        <v>Dubai, United Arab Emirates</v>
      </c>
    </row>
    <row r="27" spans="1:16" hidden="1">
      <c r="C27" s="68" t="s">
        <v>423</v>
      </c>
      <c r="D27" s="125">
        <f>Groceries!J9</f>
        <v>5</v>
      </c>
      <c r="E27" s="12">
        <f>VLOOKUP(C$6,CPI!C$4:AZ$394,11,FALSE)</f>
        <v>2.37</v>
      </c>
      <c r="F27" s="58">
        <f t="shared" si="14"/>
        <v>2.37</v>
      </c>
      <c r="G27" s="15">
        <f>VLOOKUP(C$7,CPI!C$4:AZ$394,11,FALSE)</f>
        <v>2.4900000000000002</v>
      </c>
      <c r="H27" s="3">
        <f t="shared" si="8"/>
        <v>2.4900000000000002</v>
      </c>
      <c r="I27" s="117">
        <f t="shared" si="9"/>
        <v>11.850000000000001</v>
      </c>
      <c r="J27" s="121">
        <f t="shared" si="10"/>
        <v>12.450000000000001</v>
      </c>
      <c r="M27" s="5">
        <f t="shared" si="11"/>
        <v>0.95180722891566261</v>
      </c>
      <c r="N27" s="14">
        <f t="shared" si="12"/>
        <v>-4.8192771084337394E-2</v>
      </c>
      <c r="O27" s="26" t="str">
        <f t="shared" si="13"/>
        <v xml:space="preserve">lower than in </v>
      </c>
      <c r="P27" t="str">
        <f t="shared" si="7"/>
        <v>Dubai, United Arab Emirates</v>
      </c>
    </row>
    <row r="28" spans="1:16" hidden="1">
      <c r="C28" s="68" t="s">
        <v>424</v>
      </c>
      <c r="D28" s="125">
        <f>Groceries!J10</f>
        <v>5</v>
      </c>
      <c r="E28" s="12">
        <f>VLOOKUP(C$6,CPI!C$4:AZ$394,12,FALSE)</f>
        <v>11</v>
      </c>
      <c r="F28" s="58">
        <f t="shared" si="14"/>
        <v>11</v>
      </c>
      <c r="G28" s="15">
        <f>VLOOKUP(C$7,CPI!C$4:AZ$394,12,FALSE)</f>
        <v>8.85</v>
      </c>
      <c r="H28" s="3">
        <f t="shared" si="8"/>
        <v>8.85</v>
      </c>
      <c r="I28" s="117">
        <f t="shared" si="9"/>
        <v>55</v>
      </c>
      <c r="J28" s="121">
        <f t="shared" si="10"/>
        <v>44.25</v>
      </c>
      <c r="M28" s="5">
        <f t="shared" si="11"/>
        <v>1.2429378531073447</v>
      </c>
      <c r="N28" s="14">
        <f t="shared" si="12"/>
        <v>0.24293785310734473</v>
      </c>
      <c r="O28" s="26" t="str">
        <f t="shared" si="13"/>
        <v xml:space="preserve">higher than in </v>
      </c>
      <c r="P28" t="str">
        <f t="shared" si="7"/>
        <v>Dubai, United Arab Emirates</v>
      </c>
    </row>
    <row r="29" spans="1:16" hidden="1">
      <c r="C29" s="68" t="s">
        <v>1253</v>
      </c>
      <c r="D29" s="125">
        <f>Groceries!J11</f>
        <v>7</v>
      </c>
      <c r="E29" s="12">
        <f>VLOOKUP(C$6,CPI!C$4:AZ$394,19,FALSE)</f>
        <v>11.01</v>
      </c>
      <c r="F29" s="58">
        <f t="shared" si="14"/>
        <v>11.01</v>
      </c>
      <c r="G29" s="15">
        <f>VLOOKUP(C$7,CPI!C$4:AZ$394,19,FALSE)</f>
        <v>6.75</v>
      </c>
      <c r="H29" s="3">
        <f t="shared" si="8"/>
        <v>6.75</v>
      </c>
      <c r="I29" s="117">
        <f t="shared" si="9"/>
        <v>77.069999999999993</v>
      </c>
      <c r="J29" s="121">
        <f t="shared" si="10"/>
        <v>47.25</v>
      </c>
      <c r="M29" s="5">
        <f t="shared" si="11"/>
        <v>1.6311111111111112</v>
      </c>
      <c r="N29" s="14">
        <f t="shared" si="12"/>
        <v>0.63111111111111118</v>
      </c>
      <c r="O29" s="26" t="str">
        <f t="shared" si="13"/>
        <v xml:space="preserve">higher than in </v>
      </c>
      <c r="P29" t="str">
        <f t="shared" si="7"/>
        <v>Dubai, United Arab Emirates</v>
      </c>
    </row>
    <row r="30" spans="1:16" hidden="1">
      <c r="C30" s="68" t="s">
        <v>445</v>
      </c>
      <c r="D30" s="125">
        <f>Groceries!J12</f>
        <v>1</v>
      </c>
      <c r="E30" s="12">
        <f>VLOOKUP(C$6,CPI!C$4:AZ$394,44,FALSE)</f>
        <v>2.84</v>
      </c>
      <c r="F30" s="58">
        <f t="shared" si="14"/>
        <v>2.84</v>
      </c>
      <c r="G30" s="15">
        <f>VLOOKUP(C$7,CPI!C$4:AZ$394,44,FALSE)</f>
        <v>2.1800000000000002</v>
      </c>
      <c r="H30" s="3">
        <f t="shared" si="8"/>
        <v>2.1800000000000002</v>
      </c>
      <c r="I30" s="117">
        <f t="shared" si="9"/>
        <v>2.84</v>
      </c>
      <c r="J30" s="121">
        <f t="shared" si="10"/>
        <v>2.1800000000000002</v>
      </c>
      <c r="M30" s="5">
        <f t="shared" si="11"/>
        <v>1.3027522935779814</v>
      </c>
      <c r="N30" s="14">
        <f t="shared" si="12"/>
        <v>0.30275229357798139</v>
      </c>
      <c r="O30" s="26" t="str">
        <f t="shared" si="13"/>
        <v xml:space="preserve">higher than in </v>
      </c>
      <c r="P30" t="str">
        <f t="shared" si="7"/>
        <v>Dubai, United Arab Emirates</v>
      </c>
    </row>
    <row r="31" spans="1:16" hidden="1">
      <c r="C31" s="68" t="s">
        <v>446</v>
      </c>
      <c r="D31" s="125">
        <f>Groceries!J13</f>
        <v>1</v>
      </c>
      <c r="E31" s="12">
        <f>VLOOKUP(C$6,CPI!C$4:AZ$394,45,FALSE)</f>
        <v>4</v>
      </c>
      <c r="F31" s="58">
        <f t="shared" si="14"/>
        <v>4</v>
      </c>
      <c r="G31" s="15">
        <f>VLOOKUP(C$7,CPI!C$4:AZ$394,45,FALSE)</f>
        <v>1.91</v>
      </c>
      <c r="H31" s="3">
        <f t="shared" si="8"/>
        <v>1.91</v>
      </c>
      <c r="I31" s="117">
        <f t="shared" si="9"/>
        <v>4</v>
      </c>
      <c r="J31" s="121">
        <f t="shared" si="10"/>
        <v>1.91</v>
      </c>
      <c r="M31" s="5">
        <f t="shared" si="11"/>
        <v>2.0942408376963351</v>
      </c>
      <c r="N31" s="14">
        <f t="shared" si="12"/>
        <v>1.0942408376963351</v>
      </c>
      <c r="O31" s="26" t="str">
        <f t="shared" si="13"/>
        <v xml:space="preserve">higher than in </v>
      </c>
      <c r="P31" t="str">
        <f t="shared" si="7"/>
        <v>Dubai, United Arab Emirates</v>
      </c>
    </row>
    <row r="32" spans="1:16" hidden="1">
      <c r="C32" s="68" t="s">
        <v>451</v>
      </c>
      <c r="D32" s="125">
        <f>Groceries!J14</f>
        <v>8</v>
      </c>
      <c r="E32" s="12">
        <f>VLOOKUP(C$6,CPI!C$4:AZ$394,50,FALSE)</f>
        <v>4</v>
      </c>
      <c r="F32" s="58">
        <f t="shared" si="14"/>
        <v>4</v>
      </c>
      <c r="G32" s="15">
        <f>VLOOKUP(C$7,CPI!C$4:AZ$394,50,FALSE)</f>
        <v>1.36</v>
      </c>
      <c r="H32" s="3">
        <f t="shared" si="8"/>
        <v>1.36</v>
      </c>
      <c r="I32" s="117">
        <f t="shared" si="9"/>
        <v>32</v>
      </c>
      <c r="J32" s="121">
        <f t="shared" si="10"/>
        <v>10.88</v>
      </c>
      <c r="M32" s="5">
        <f t="shared" si="11"/>
        <v>2.9411764705882351</v>
      </c>
      <c r="N32" s="14">
        <f t="shared" si="12"/>
        <v>1.9411764705882351</v>
      </c>
      <c r="O32" s="26" t="str">
        <f t="shared" si="13"/>
        <v xml:space="preserve">higher than in </v>
      </c>
      <c r="P32" t="str">
        <f t="shared" si="7"/>
        <v>Dubai, United Arab Emirates</v>
      </c>
    </row>
    <row r="33" spans="3:16" hidden="1">
      <c r="C33" s="68" t="s">
        <v>447</v>
      </c>
      <c r="D33" s="125">
        <f>Groceries!J15</f>
        <v>2</v>
      </c>
      <c r="E33" s="12">
        <f>VLOOKUP(C$6,CPI!C$4:AZ$394,46,FALSE)</f>
        <v>3.09</v>
      </c>
      <c r="F33" s="58">
        <f t="shared" si="14"/>
        <v>3.09</v>
      </c>
      <c r="G33" s="15">
        <f>VLOOKUP(C$7,CPI!C$4:AZ$394,46,FALSE)</f>
        <v>1</v>
      </c>
      <c r="H33" s="3">
        <f t="shared" si="8"/>
        <v>1</v>
      </c>
      <c r="I33" s="117">
        <f t="shared" si="9"/>
        <v>6.18</v>
      </c>
      <c r="J33" s="121">
        <f t="shared" si="10"/>
        <v>2</v>
      </c>
      <c r="M33" s="5">
        <f t="shared" si="11"/>
        <v>3.09</v>
      </c>
      <c r="N33" s="14">
        <f t="shared" si="12"/>
        <v>2.09</v>
      </c>
      <c r="O33" s="26" t="str">
        <f t="shared" si="13"/>
        <v xml:space="preserve">higher than in </v>
      </c>
      <c r="P33" t="str">
        <f t="shared" si="7"/>
        <v>Dubai, United Arab Emirates</v>
      </c>
    </row>
    <row r="34" spans="3:16" hidden="1">
      <c r="C34" s="68" t="s">
        <v>448</v>
      </c>
      <c r="D34" s="125">
        <f>Groceries!J16</f>
        <v>1</v>
      </c>
      <c r="E34" s="12">
        <f>VLOOKUP(C$6,CPI!C$4:AZ$394,47,FALSE)</f>
        <v>1.75</v>
      </c>
      <c r="F34" s="58">
        <f t="shared" si="14"/>
        <v>1.75</v>
      </c>
      <c r="G34" s="15">
        <f>VLOOKUP(C$7,CPI!C$4:AZ$394,47,FALSE)</f>
        <v>1.36</v>
      </c>
      <c r="H34" s="3">
        <f t="shared" si="8"/>
        <v>1.36</v>
      </c>
      <c r="I34" s="117">
        <f t="shared" si="9"/>
        <v>1.75</v>
      </c>
      <c r="J34" s="121">
        <f t="shared" si="10"/>
        <v>1.36</v>
      </c>
      <c r="M34" s="5">
        <f t="shared" si="11"/>
        <v>1.2867647058823528</v>
      </c>
      <c r="N34" s="14">
        <f t="shared" si="12"/>
        <v>0.28676470588235281</v>
      </c>
      <c r="O34" s="26" t="str">
        <f t="shared" si="13"/>
        <v xml:space="preserve">higher than in </v>
      </c>
      <c r="P34" t="str">
        <f t="shared" si="7"/>
        <v>Dubai, United Arab Emirates</v>
      </c>
    </row>
    <row r="35" spans="3:16" hidden="1">
      <c r="C35" s="68" t="s">
        <v>425</v>
      </c>
      <c r="D35" s="125">
        <f>Groceries!J17</f>
        <v>30.000000000099998</v>
      </c>
      <c r="E35" s="12">
        <f>VLOOKUP(C$6,CPI!C$4:AZ$394,13,FALSE)</f>
        <v>1.5</v>
      </c>
      <c r="F35" s="58">
        <f t="shared" si="14"/>
        <v>1.5</v>
      </c>
      <c r="G35" s="15">
        <f>VLOOKUP(C$7,CPI!C$4:AZ$394,13,FALSE)</f>
        <v>0.54</v>
      </c>
      <c r="H35" s="3">
        <f t="shared" si="8"/>
        <v>0.54</v>
      </c>
      <c r="I35" s="117">
        <f t="shared" si="9"/>
        <v>45.000000000149996</v>
      </c>
      <c r="J35" s="121">
        <f t="shared" si="10"/>
        <v>16.200000000054001</v>
      </c>
      <c r="M35" s="5">
        <f t="shared" si="11"/>
        <v>2.7777777777777777</v>
      </c>
      <c r="N35" s="14">
        <f t="shared" si="12"/>
        <v>1.7777777777777777</v>
      </c>
      <c r="O35" s="26" t="str">
        <f t="shared" si="13"/>
        <v xml:space="preserve">higher than in </v>
      </c>
      <c r="P35" t="str">
        <f t="shared" si="7"/>
        <v>Dubai, United Arab Emirates</v>
      </c>
    </row>
    <row r="36" spans="3:16" hidden="1">
      <c r="C36" s="68" t="s">
        <v>426</v>
      </c>
      <c r="D36" s="125">
        <f>Groceries!J18</f>
        <v>5</v>
      </c>
      <c r="E36" s="12">
        <f>VLOOKUP(C$6,CPI!C$4:AZ$394,14,FALSE)</f>
        <v>10</v>
      </c>
      <c r="F36" s="58">
        <f t="shared" si="14"/>
        <v>10</v>
      </c>
      <c r="G36" s="15">
        <f>VLOOKUP(C$7,CPI!C$4:AZ$394,14,FALSE)</f>
        <v>20</v>
      </c>
      <c r="H36" s="3">
        <f t="shared" si="8"/>
        <v>20</v>
      </c>
      <c r="I36" s="117">
        <f t="shared" si="9"/>
        <v>50</v>
      </c>
      <c r="J36" s="121">
        <f t="shared" si="10"/>
        <v>100</v>
      </c>
      <c r="M36" s="5">
        <f t="shared" si="11"/>
        <v>0.5</v>
      </c>
      <c r="N36" s="14">
        <f t="shared" si="12"/>
        <v>-0.5</v>
      </c>
      <c r="O36" s="26" t="str">
        <f t="shared" si="13"/>
        <v xml:space="preserve">lower than in </v>
      </c>
      <c r="P36" t="str">
        <f t="shared" si="7"/>
        <v>Dubai, United Arab Emirates</v>
      </c>
    </row>
    <row r="37" spans="3:16" hidden="1">
      <c r="C37" s="68" t="s">
        <v>427</v>
      </c>
      <c r="D37" s="125">
        <f>Groceries!J19</f>
        <v>0</v>
      </c>
      <c r="E37" s="12">
        <f>VLOOKUP(C$6,CPI!C$4:AZ$394,15,FALSE)</f>
        <v>1.74</v>
      </c>
      <c r="F37" s="58">
        <f t="shared" si="14"/>
        <v>1.74</v>
      </c>
      <c r="G37" s="15">
        <f>VLOOKUP(C$7,CPI!C$4:AZ$394,15,FALSE)</f>
        <v>6.81</v>
      </c>
      <c r="H37" s="3">
        <f t="shared" si="8"/>
        <v>6.81</v>
      </c>
      <c r="I37" s="117">
        <f t="shared" si="9"/>
        <v>0</v>
      </c>
      <c r="J37" s="121">
        <f t="shared" si="10"/>
        <v>0</v>
      </c>
      <c r="M37" s="5">
        <f t="shared" si="11"/>
        <v>0.25550660792951541</v>
      </c>
      <c r="N37" s="14">
        <f t="shared" si="12"/>
        <v>-0.74449339207048459</v>
      </c>
      <c r="O37" s="26" t="str">
        <f t="shared" si="13"/>
        <v xml:space="preserve">lower than in </v>
      </c>
      <c r="P37" t="str">
        <f t="shared" si="7"/>
        <v>Dubai, United Arab Emirates</v>
      </c>
    </row>
    <row r="38" spans="3:16" hidden="1">
      <c r="C38" s="68" t="s">
        <v>418</v>
      </c>
      <c r="D38" s="125">
        <f>Groceries!J20</f>
        <v>5</v>
      </c>
      <c r="E38" s="12">
        <f>VLOOKUP(C$6,CPI!C$4:AZ$394,16,FALSE)</f>
        <v>2.14</v>
      </c>
      <c r="F38" s="58">
        <f t="shared" si="14"/>
        <v>2.14</v>
      </c>
      <c r="G38" s="15">
        <f>VLOOKUP(C$7,CPI!C$4:AZ$394,16,FALSE)</f>
        <v>6.81</v>
      </c>
      <c r="H38" s="3">
        <f t="shared" si="8"/>
        <v>6.81</v>
      </c>
      <c r="I38" s="117">
        <f t="shared" si="9"/>
        <v>10.700000000000001</v>
      </c>
      <c r="J38" s="121">
        <f t="shared" si="10"/>
        <v>34.049999999999997</v>
      </c>
      <c r="M38" s="5">
        <f t="shared" si="11"/>
        <v>0.31424375917767994</v>
      </c>
      <c r="N38" s="14">
        <f t="shared" si="12"/>
        <v>-0.68575624082232012</v>
      </c>
      <c r="O38" s="26" t="str">
        <f t="shared" si="13"/>
        <v xml:space="preserve">lower than in </v>
      </c>
      <c r="P38" t="str">
        <f t="shared" si="7"/>
        <v>Dubai, United Arab Emirates</v>
      </c>
    </row>
    <row r="39" spans="3:16" hidden="1">
      <c r="C39" s="69" t="s">
        <v>1378</v>
      </c>
      <c r="D39" s="125">
        <f>Groceries!J21</f>
        <v>0</v>
      </c>
      <c r="E39" s="12">
        <f>VLOOKUP(C$6,CPI!C$4:AZ$394,17,FALSE)</f>
        <v>6.99</v>
      </c>
      <c r="F39" s="58">
        <f t="shared" si="14"/>
        <v>6.99</v>
      </c>
      <c r="G39" s="15">
        <f>VLOOKUP(C$7,CPI!C$4:AZ$394,17,FALSE)</f>
        <v>2.4</v>
      </c>
      <c r="H39" s="3">
        <f t="shared" si="8"/>
        <v>2.4</v>
      </c>
      <c r="I39" s="117">
        <f t="shared" si="9"/>
        <v>0</v>
      </c>
      <c r="J39" s="121">
        <f t="shared" si="10"/>
        <v>0</v>
      </c>
      <c r="M39" s="5">
        <f t="shared" si="11"/>
        <v>2.9125000000000001</v>
      </c>
      <c r="N39" s="14">
        <f t="shared" si="12"/>
        <v>1.9125000000000001</v>
      </c>
      <c r="O39" s="26" t="str">
        <f t="shared" si="13"/>
        <v xml:space="preserve">higher than in </v>
      </c>
      <c r="P39" t="str">
        <f t="shared" si="7"/>
        <v>Dubai, United Arab Emirates</v>
      </c>
    </row>
    <row r="40" spans="3:16" hidden="1">
      <c r="C40" s="33" t="s">
        <v>0</v>
      </c>
      <c r="E40" s="3"/>
      <c r="F40" s="108">
        <f>SUM(F24:F39)</f>
        <v>70.7</v>
      </c>
      <c r="G40" s="36"/>
      <c r="H40" s="3">
        <f>SUM(H24:H39)</f>
        <v>66.38000000000001</v>
      </c>
      <c r="I40" s="124">
        <f>SUM(I24:I39)</f>
        <v>394.49000000015002</v>
      </c>
      <c r="J40" s="126">
        <f>SUM(J24:J39)</f>
        <v>324.98000000005402</v>
      </c>
      <c r="K40" s="128">
        <f>I40/J40</f>
        <v>1.2138900855439856</v>
      </c>
      <c r="L40" s="129">
        <f>K40-1</f>
        <v>0.21389008554398559</v>
      </c>
      <c r="M40" s="5" t="s">
        <v>0</v>
      </c>
      <c r="N40" s="14" t="s">
        <v>0</v>
      </c>
      <c r="O40" s="26" t="s">
        <v>0</v>
      </c>
      <c r="P40" t="s">
        <v>0</v>
      </c>
    </row>
    <row r="41" spans="3:16" hidden="1">
      <c r="C41" s="34" t="s">
        <v>547</v>
      </c>
      <c r="D41" s="34"/>
      <c r="E41" s="3"/>
      <c r="F41" s="11"/>
      <c r="G41" s="36"/>
      <c r="H41" s="3" t="s">
        <v>0</v>
      </c>
      <c r="M41" s="5" t="s">
        <v>0</v>
      </c>
      <c r="N41" s="14" t="s">
        <v>0</v>
      </c>
      <c r="O41" s="26" t="s">
        <v>0</v>
      </c>
      <c r="P41" t="s">
        <v>0</v>
      </c>
    </row>
    <row r="42" spans="3:16" hidden="1">
      <c r="C42" s="33" t="s">
        <v>1258</v>
      </c>
      <c r="D42" s="33">
        <f>Transportation!J6</f>
        <v>20</v>
      </c>
      <c r="E42" s="3">
        <f>VLOOKUP(C$6,CPI!C$4:AZ$394,18,FALSE)</f>
        <v>1.5</v>
      </c>
      <c r="F42" s="58">
        <f t="shared" ref="F42:F47" si="15">E42*D$9</f>
        <v>1.5</v>
      </c>
      <c r="G42" s="20">
        <f>VLOOKUP(C$7,CPI!C$4:AZ$394,18,FALSE)</f>
        <v>1.33</v>
      </c>
      <c r="H42" s="3">
        <f t="shared" ref="H42:H47" si="16">G42*D$9</f>
        <v>1.33</v>
      </c>
      <c r="I42" s="117">
        <f t="shared" ref="I42:I47" si="17">F42*D42</f>
        <v>30</v>
      </c>
      <c r="J42" s="121">
        <f t="shared" ref="J42:J47" si="18">H42*D42</f>
        <v>26.6</v>
      </c>
      <c r="M42" s="5">
        <f t="shared" ref="M42:M47" si="19">E42/G42</f>
        <v>1.1278195488721805</v>
      </c>
      <c r="N42" s="14">
        <f t="shared" si="12"/>
        <v>0.1278195488721805</v>
      </c>
      <c r="O42" s="26" t="str">
        <f t="shared" ref="O42:O47" si="20">IF(N42=0,"% or equal in ",IF(E42&lt;G42,"lower than in ","higher than in "))</f>
        <v xml:space="preserve">higher than in </v>
      </c>
      <c r="P42" t="str">
        <f t="shared" si="7"/>
        <v>Dubai, United Arab Emirates</v>
      </c>
    </row>
    <row r="43" spans="3:16" hidden="1">
      <c r="C43" s="33" t="s">
        <v>404</v>
      </c>
      <c r="D43" s="33">
        <f>Transportation!J7</f>
        <v>1</v>
      </c>
      <c r="E43" s="3">
        <f>VLOOKUP(C$6,CPI!C$4:AZ$394,20,FALSE)</f>
        <v>30</v>
      </c>
      <c r="F43" s="58">
        <f t="shared" si="15"/>
        <v>30</v>
      </c>
      <c r="G43" s="20">
        <f>VLOOKUP(C$7,CPI!C$4:AZ$394,20,FALSE)</f>
        <v>54.45</v>
      </c>
      <c r="H43" s="3">
        <f t="shared" si="16"/>
        <v>54.45</v>
      </c>
      <c r="I43" s="117">
        <f t="shared" si="17"/>
        <v>30</v>
      </c>
      <c r="J43" s="121">
        <f t="shared" si="18"/>
        <v>54.45</v>
      </c>
      <c r="M43" s="5">
        <f t="shared" si="19"/>
        <v>0.55096418732782371</v>
      </c>
      <c r="N43" s="14">
        <f t="shared" si="12"/>
        <v>-0.44903581267217629</v>
      </c>
      <c r="O43" s="26" t="str">
        <f t="shared" si="20"/>
        <v xml:space="preserve">lower than in </v>
      </c>
      <c r="P43" t="str">
        <f t="shared" si="7"/>
        <v>Dubai, United Arab Emirates</v>
      </c>
    </row>
    <row r="44" spans="3:16" hidden="1">
      <c r="C44" s="33" t="s">
        <v>409</v>
      </c>
      <c r="D44" s="33">
        <f>Transportation!J8</f>
        <v>30</v>
      </c>
      <c r="E44" s="3">
        <f>VLOOKUP(C$6,CPI!C$4:AZ$394,41,FALSE)</f>
        <v>3.35</v>
      </c>
      <c r="F44" s="58">
        <f t="shared" si="15"/>
        <v>3.35</v>
      </c>
      <c r="G44" s="20">
        <f>VLOOKUP(C$7,CPI!C$4:AZ$394,41,FALSE)</f>
        <v>0.95</v>
      </c>
      <c r="H44" s="3">
        <f t="shared" si="16"/>
        <v>0.95</v>
      </c>
      <c r="I44" s="117">
        <f t="shared" si="17"/>
        <v>100.5</v>
      </c>
      <c r="J44" s="121">
        <f t="shared" si="18"/>
        <v>28.5</v>
      </c>
      <c r="M44" s="5">
        <f t="shared" si="19"/>
        <v>3.5263157894736845</v>
      </c>
      <c r="N44" s="14">
        <f t="shared" si="12"/>
        <v>2.5263157894736845</v>
      </c>
      <c r="O44" s="26" t="str">
        <f t="shared" si="20"/>
        <v xml:space="preserve">higher than in </v>
      </c>
      <c r="P44" t="str">
        <f t="shared" si="7"/>
        <v>Dubai, United Arab Emirates</v>
      </c>
    </row>
    <row r="45" spans="3:16" hidden="1">
      <c r="C45" s="33" t="s">
        <v>410</v>
      </c>
      <c r="D45" s="33">
        <f>Transportation!J9</f>
        <v>30.000000100000001</v>
      </c>
      <c r="E45" s="3">
        <f>VLOOKUP(C$6,CPI!C$4:AZ$394,42,FALSE)</f>
        <v>2.17</v>
      </c>
      <c r="F45" s="58">
        <f t="shared" si="15"/>
        <v>2.17</v>
      </c>
      <c r="G45" s="20">
        <f>VLOOKUP(C$7,CPI!C$4:AZ$394,42,FALSE)</f>
        <v>0.45</v>
      </c>
      <c r="H45" s="3">
        <f t="shared" si="16"/>
        <v>0.45</v>
      </c>
      <c r="I45" s="117">
        <f t="shared" si="17"/>
        <v>65.100000217000002</v>
      </c>
      <c r="J45" s="121">
        <f t="shared" si="18"/>
        <v>13.500000045</v>
      </c>
      <c r="M45" s="5">
        <f t="shared" si="19"/>
        <v>4.822222222222222</v>
      </c>
      <c r="N45" s="14">
        <f t="shared" si="12"/>
        <v>3.822222222222222</v>
      </c>
      <c r="O45" s="26" t="str">
        <f t="shared" si="20"/>
        <v xml:space="preserve">higher than in </v>
      </c>
      <c r="P45" t="str">
        <f t="shared" si="7"/>
        <v>Dubai, United Arab Emirates</v>
      </c>
    </row>
    <row r="46" spans="3:16" hidden="1">
      <c r="C46" s="33" t="s">
        <v>411</v>
      </c>
      <c r="D46" s="33">
        <f>Transportation!J10</f>
        <v>0</v>
      </c>
      <c r="E46" s="3">
        <f>VLOOKUP(C$6,CPI!C$4:AZ$394,43,FALSE)</f>
        <v>40</v>
      </c>
      <c r="F46" s="58">
        <f t="shared" si="15"/>
        <v>40</v>
      </c>
      <c r="G46" s="20">
        <f>VLOOKUP(C$7,CPI!C$4:AZ$394,43,FALSE)</f>
        <v>8.17</v>
      </c>
      <c r="H46" s="3">
        <f t="shared" si="16"/>
        <v>8.17</v>
      </c>
      <c r="I46" s="117">
        <f t="shared" si="17"/>
        <v>0</v>
      </c>
      <c r="J46" s="121">
        <f t="shared" si="18"/>
        <v>0</v>
      </c>
      <c r="M46" s="5">
        <f t="shared" si="19"/>
        <v>4.8959608323133414</v>
      </c>
      <c r="N46" s="14">
        <f t="shared" si="12"/>
        <v>3.8959608323133414</v>
      </c>
      <c r="O46" s="26" t="str">
        <f t="shared" si="20"/>
        <v xml:space="preserve">higher than in </v>
      </c>
      <c r="P46" t="str">
        <f t="shared" si="7"/>
        <v>Dubai, United Arab Emirates</v>
      </c>
    </row>
    <row r="47" spans="3:16" hidden="1">
      <c r="C47" s="33" t="s">
        <v>1264</v>
      </c>
      <c r="D47" s="33">
        <f>Transportation!J11</f>
        <v>22</v>
      </c>
      <c r="E47" s="3">
        <f>VLOOKUP(C$6,CPI!C$4:AZ$394,21,FALSE)</f>
        <v>0.85</v>
      </c>
      <c r="F47" s="58">
        <f t="shared" si="15"/>
        <v>0.85</v>
      </c>
      <c r="G47" s="20">
        <f>VLOOKUP(C$7,CPI!C$4:AZ$394,21,FALSE)</f>
        <v>0.48</v>
      </c>
      <c r="H47" s="3">
        <f t="shared" si="16"/>
        <v>0.48</v>
      </c>
      <c r="I47" s="117">
        <f t="shared" si="17"/>
        <v>18.7</v>
      </c>
      <c r="J47" s="121">
        <f t="shared" si="18"/>
        <v>10.559999999999999</v>
      </c>
      <c r="M47" s="5">
        <f t="shared" si="19"/>
        <v>1.7708333333333333</v>
      </c>
      <c r="N47" s="14">
        <f t="shared" si="12"/>
        <v>0.77083333333333326</v>
      </c>
      <c r="O47" s="26" t="str">
        <f t="shared" si="20"/>
        <v xml:space="preserve">higher than in </v>
      </c>
      <c r="P47" t="str">
        <f t="shared" si="7"/>
        <v>Dubai, United Arab Emirates</v>
      </c>
    </row>
    <row r="48" spans="3:16" hidden="1">
      <c r="E48" s="3"/>
      <c r="F48" s="58">
        <f>SUM(F42:F47)</f>
        <v>77.87</v>
      </c>
      <c r="H48" s="3">
        <f>SUM(H42:H47)</f>
        <v>65.830000000000013</v>
      </c>
      <c r="I48" s="124">
        <f>SUM(I42:I47)</f>
        <v>244.30000021699999</v>
      </c>
      <c r="J48" s="126">
        <f>SUM(J42:J47)</f>
        <v>133.61000004500002</v>
      </c>
      <c r="K48" s="128">
        <f>I48/J48</f>
        <v>1.8284559549039701</v>
      </c>
      <c r="L48" s="129">
        <f>K48-1</f>
        <v>0.82845595490397006</v>
      </c>
      <c r="M48" s="5"/>
      <c r="N48" s="14"/>
      <c r="O48" s="26"/>
    </row>
    <row r="49" spans="3:16" hidden="1">
      <c r="C49" s="33" t="s">
        <v>0</v>
      </c>
      <c r="E49" s="3"/>
      <c r="F49" s="11"/>
      <c r="G49" s="36"/>
      <c r="H49" s="3" t="s">
        <v>0</v>
      </c>
      <c r="M49" s="5" t="s">
        <v>0</v>
      </c>
      <c r="N49" s="14" t="s">
        <v>0</v>
      </c>
      <c r="O49" s="26" t="s">
        <v>0</v>
      </c>
      <c r="P49" t="s">
        <v>0</v>
      </c>
    </row>
    <row r="50" spans="3:16" ht="24" hidden="1" thickBot="1">
      <c r="C50" s="34" t="s">
        <v>1268</v>
      </c>
      <c r="D50" s="34"/>
      <c r="E50" s="3"/>
      <c r="F50" s="11"/>
      <c r="G50" s="36"/>
      <c r="H50" s="3" t="s">
        <v>0</v>
      </c>
      <c r="M50" s="5" t="s">
        <v>0</v>
      </c>
      <c r="N50" s="14" t="s">
        <v>0</v>
      </c>
      <c r="O50" s="26" t="s">
        <v>0</v>
      </c>
      <c r="P50" t="s">
        <v>0</v>
      </c>
    </row>
    <row r="51" spans="3:16" ht="24" hidden="1" thickBot="1">
      <c r="C51" s="33" t="s">
        <v>1374</v>
      </c>
      <c r="D51" s="101">
        <f>Utilities!J6</f>
        <v>1</v>
      </c>
      <c r="E51" s="3">
        <f>VLOOKUP(C$6,CPI!C$4:AZ$394,27,FALSE)</f>
        <v>150</v>
      </c>
      <c r="F51" s="58">
        <f>E51*D$9</f>
        <v>150</v>
      </c>
      <c r="G51" s="20">
        <f>VLOOKUP(C$7,CPI!C$4:AZ$394,27,FALSE)</f>
        <v>135.87</v>
      </c>
      <c r="H51" s="3">
        <f>G51*D$9</f>
        <v>135.87</v>
      </c>
      <c r="I51" s="117">
        <f>F51*D51</f>
        <v>150</v>
      </c>
      <c r="J51" s="121">
        <f>H51*D51</f>
        <v>135.87</v>
      </c>
      <c r="M51" s="5">
        <f>E51/G51</f>
        <v>1.103996467211305</v>
      </c>
      <c r="N51" s="14">
        <f t="shared" si="12"/>
        <v>0.10399646721130495</v>
      </c>
      <c r="O51" s="26" t="str">
        <f>IF(N51=0,"% or equal in ",IF(E51&lt;G51,"lower than in ","higher than in "))</f>
        <v xml:space="preserve">higher than in </v>
      </c>
      <c r="P51" t="str">
        <f t="shared" si="7"/>
        <v>Dubai, United Arab Emirates</v>
      </c>
    </row>
    <row r="52" spans="3:16" ht="24" hidden="1" thickBot="1">
      <c r="C52" s="33" t="s">
        <v>1263</v>
      </c>
      <c r="D52" s="101">
        <f>Utilities!J7</f>
        <v>220.00000009999999</v>
      </c>
      <c r="E52" s="3">
        <f>VLOOKUP(C$6,CPI!C$4:AZ$394,28,FALSE)</f>
        <v>0.1</v>
      </c>
      <c r="F52" s="58">
        <f>E52*D$9</f>
        <v>0.1</v>
      </c>
      <c r="G52" s="20">
        <f>VLOOKUP(C$7,CPI!C$4:AZ$394,28,FALSE)</f>
        <v>0.09</v>
      </c>
      <c r="H52" s="3">
        <f>G52*D$9</f>
        <v>0.09</v>
      </c>
      <c r="I52" s="117">
        <f>F52*D52</f>
        <v>22.000000010000001</v>
      </c>
      <c r="J52" s="121">
        <f>H52*D52</f>
        <v>19.800000008999998</v>
      </c>
      <c r="M52" s="5">
        <f>E52/G52</f>
        <v>1.1111111111111112</v>
      </c>
      <c r="N52" s="14">
        <f t="shared" si="12"/>
        <v>0.11111111111111116</v>
      </c>
      <c r="O52" s="26" t="str">
        <f>IF(N52=0,"% or equal in ",IF(E52&lt;G52,"lower than in ","higher than in "))</f>
        <v xml:space="preserve">higher than in </v>
      </c>
      <c r="P52" t="str">
        <f t="shared" si="7"/>
        <v>Dubai, United Arab Emirates</v>
      </c>
    </row>
    <row r="53" spans="3:16" ht="24" hidden="1" thickBot="1">
      <c r="C53" s="33" t="s">
        <v>1267</v>
      </c>
      <c r="D53" s="101">
        <f>Utilities!J8</f>
        <v>1</v>
      </c>
      <c r="E53" s="3">
        <f>VLOOKUP(C$6,CPI!C$4:AZ$394,29,FALSE)</f>
        <v>50</v>
      </c>
      <c r="F53" s="58">
        <f>E53*D$9</f>
        <v>50</v>
      </c>
      <c r="G53" s="20">
        <f>VLOOKUP(C$7,CPI!C$4:AZ$394,29,FALSE)</f>
        <v>68.06</v>
      </c>
      <c r="H53" s="3">
        <f>G53*D$9</f>
        <v>68.06</v>
      </c>
      <c r="I53" s="117">
        <f>F53*D53</f>
        <v>50</v>
      </c>
      <c r="J53" s="121">
        <f>H53*D53</f>
        <v>68.06</v>
      </c>
      <c r="M53" s="5">
        <f>E53/G53</f>
        <v>0.73464590067587421</v>
      </c>
      <c r="N53" s="14">
        <f t="shared" si="12"/>
        <v>-0.26535409932412579</v>
      </c>
      <c r="O53" s="26" t="str">
        <f>IF(N53=0,"% or equal in ",IF(E53&lt;G53,"lower than in ","higher than in "))</f>
        <v xml:space="preserve">lower than in </v>
      </c>
      <c r="P53" t="str">
        <f t="shared" si="7"/>
        <v>Dubai, United Arab Emirates</v>
      </c>
    </row>
    <row r="54" spans="3:16" hidden="1">
      <c r="C54" s="33" t="s">
        <v>0</v>
      </c>
      <c r="E54" s="3"/>
      <c r="F54" s="11"/>
      <c r="H54" s="3" t="s">
        <v>0</v>
      </c>
      <c r="I54" s="124">
        <f>SUM(I51:I53)</f>
        <v>222.00000001000001</v>
      </c>
      <c r="J54" s="126">
        <f>SUM(J51:J53)</f>
        <v>223.73000000900001</v>
      </c>
      <c r="K54" s="128">
        <f>I54/J54</f>
        <v>0.99226746525307108</v>
      </c>
      <c r="L54" s="129">
        <f>K54-1</f>
        <v>-7.7325347469289207E-3</v>
      </c>
      <c r="M54" s="5" t="s">
        <v>0</v>
      </c>
      <c r="N54" s="14" t="s">
        <v>0</v>
      </c>
      <c r="O54" s="26" t="s">
        <v>0</v>
      </c>
      <c r="P54" t="s">
        <v>0</v>
      </c>
    </row>
    <row r="55" spans="3:16" hidden="1">
      <c r="C55" s="34" t="s">
        <v>1259</v>
      </c>
      <c r="D55" s="34"/>
      <c r="E55" s="3"/>
      <c r="F55" s="11"/>
      <c r="H55" s="3" t="s">
        <v>0</v>
      </c>
      <c r="M55" s="5" t="s">
        <v>0</v>
      </c>
      <c r="N55" s="14" t="s">
        <v>0</v>
      </c>
      <c r="O55" s="26" t="s">
        <v>0</v>
      </c>
      <c r="P55" t="s">
        <v>0</v>
      </c>
    </row>
    <row r="56" spans="3:16" hidden="1">
      <c r="C56" s="33" t="s">
        <v>434</v>
      </c>
      <c r="D56" s="33">
        <f>Recreation!J6</f>
        <v>1</v>
      </c>
      <c r="E56" s="3">
        <f>VLOOKUP(C$6,CPI!C$4:AZ$394,30,FALSE)</f>
        <v>40</v>
      </c>
      <c r="F56" s="58">
        <f>E56*D$9</f>
        <v>40</v>
      </c>
      <c r="G56" s="15">
        <f>VLOOKUP(C$7,CPI!C$4:AZ$394,30,FALSE)</f>
        <v>100</v>
      </c>
      <c r="H56" s="3">
        <f>G56*D$9</f>
        <v>100</v>
      </c>
      <c r="I56" s="117">
        <f>F56*D56</f>
        <v>40</v>
      </c>
      <c r="J56" s="121">
        <f>H56*D56</f>
        <v>100</v>
      </c>
      <c r="M56" s="5">
        <f>E56/G56</f>
        <v>0.4</v>
      </c>
      <c r="N56" s="14">
        <f t="shared" si="12"/>
        <v>-0.6</v>
      </c>
      <c r="O56" s="26" t="str">
        <f>IF(N56=0,"% or equal in ",IF(E56&lt;G56,"lower than in ","higher than in "))</f>
        <v xml:space="preserve">lower than in </v>
      </c>
      <c r="P56" t="str">
        <f t="shared" si="7"/>
        <v>Dubai, United Arab Emirates</v>
      </c>
    </row>
    <row r="57" spans="3:16" hidden="1">
      <c r="C57" s="33" t="s">
        <v>435</v>
      </c>
      <c r="D57" s="33">
        <f>Recreation!J7</f>
        <v>1</v>
      </c>
      <c r="E57" s="3">
        <f>VLOOKUP(C$6,CPI!C$4:AZ$394,31,FALSE)</f>
        <v>50</v>
      </c>
      <c r="F57" s="58">
        <f>E57*D$9</f>
        <v>50</v>
      </c>
      <c r="G57" s="15">
        <f>VLOOKUP(C$7,CPI!C$4:AZ$394,31,FALSE)</f>
        <v>20.21</v>
      </c>
      <c r="H57" s="3">
        <f>G57*D$9</f>
        <v>20.21</v>
      </c>
      <c r="I57" s="117">
        <f>F57*D57</f>
        <v>50</v>
      </c>
      <c r="J57" s="121">
        <f>H57*D57</f>
        <v>20.21</v>
      </c>
      <c r="M57" s="5">
        <f>E57/G57</f>
        <v>2.474022761009401</v>
      </c>
      <c r="N57" s="14">
        <f t="shared" si="12"/>
        <v>1.474022761009401</v>
      </c>
      <c r="O57" s="26" t="str">
        <f>IF(N57=0,"% or equal in ",IF(E57&lt;G57,"lower than in ","higher than in "))</f>
        <v xml:space="preserve">higher than in </v>
      </c>
      <c r="P57" t="str">
        <f t="shared" si="7"/>
        <v>Dubai, United Arab Emirates</v>
      </c>
    </row>
    <row r="58" spans="3:16" hidden="1">
      <c r="C58" s="33" t="s">
        <v>1269</v>
      </c>
      <c r="D58" s="33">
        <f>Recreation!J8</f>
        <v>8.0000000001</v>
      </c>
      <c r="E58" s="3">
        <f>VLOOKUP(C$6,CPI!C$4:AZ$394,32,FALSE)</f>
        <v>8</v>
      </c>
      <c r="F58" s="58">
        <f>E58*D$9</f>
        <v>8</v>
      </c>
      <c r="G58" s="15">
        <f>VLOOKUP(C$7,CPI!C$4:AZ$394,32,FALSE)</f>
        <v>9.5299999999999994</v>
      </c>
      <c r="H58" s="3">
        <f>G58*D$9</f>
        <v>9.5299999999999994</v>
      </c>
      <c r="I58" s="117">
        <f>F58*D58</f>
        <v>64.0000000008</v>
      </c>
      <c r="J58" s="121">
        <f>H58*D58</f>
        <v>76.240000000952989</v>
      </c>
      <c r="M58" s="5">
        <f>E58/G58</f>
        <v>0.83945435466946494</v>
      </c>
      <c r="N58" s="14">
        <f t="shared" si="12"/>
        <v>-0.16054564533053506</v>
      </c>
      <c r="O58" s="26" t="str">
        <f>IF(N58=0,"% or equal in ",IF(E58&lt;G58,"lower than in ","higher than in "))</f>
        <v xml:space="preserve">lower than in </v>
      </c>
      <c r="P58" t="str">
        <f t="shared" si="7"/>
        <v>Dubai, United Arab Emirates</v>
      </c>
    </row>
    <row r="59" spans="3:16" hidden="1">
      <c r="C59" s="33" t="s">
        <v>0</v>
      </c>
      <c r="E59" s="3"/>
      <c r="F59" s="11"/>
      <c r="H59" s="3" t="s">
        <v>0</v>
      </c>
      <c r="I59" s="124">
        <f>SUM(I56:I58)</f>
        <v>154.00000000080001</v>
      </c>
      <c r="J59" s="126">
        <f>SUM(J56:J58)</f>
        <v>196.450000000953</v>
      </c>
      <c r="K59" s="128">
        <f>I59/J59</f>
        <v>0.78391448205677239</v>
      </c>
      <c r="L59" s="129">
        <f>K59-1</f>
        <v>-0.21608551794322761</v>
      </c>
      <c r="M59" s="5" t="s">
        <v>0</v>
      </c>
      <c r="N59" s="14" t="s">
        <v>0</v>
      </c>
      <c r="O59" s="26" t="s">
        <v>0</v>
      </c>
      <c r="P59" t="s">
        <v>0</v>
      </c>
    </row>
    <row r="60" spans="3:16" hidden="1">
      <c r="C60" s="34" t="s">
        <v>1260</v>
      </c>
      <c r="D60" s="34"/>
      <c r="E60" s="3"/>
      <c r="F60" s="11"/>
      <c r="H60" s="3" t="s">
        <v>0</v>
      </c>
      <c r="M60" s="5" t="s">
        <v>0</v>
      </c>
      <c r="N60" s="14" t="s">
        <v>0</v>
      </c>
      <c r="O60" s="26" t="s">
        <v>0</v>
      </c>
      <c r="P60" t="s">
        <v>0</v>
      </c>
    </row>
    <row r="61" spans="3:16" hidden="1">
      <c r="C61" s="33" t="s">
        <v>1265</v>
      </c>
      <c r="D61" s="33">
        <f>'Apparel and Footwear'!J6</f>
        <v>0</v>
      </c>
      <c r="E61" s="3">
        <f>VLOOKUP(C$6,CPI!C$4:AZ$394,33,FALSE)</f>
        <v>30</v>
      </c>
      <c r="F61" s="58">
        <f>E61*D$9</f>
        <v>30</v>
      </c>
      <c r="G61" s="15">
        <f>VLOOKUP(C$7,CPI!C$4:AZ$394,33,FALSE)</f>
        <v>81.680000000000007</v>
      </c>
      <c r="H61" s="3">
        <f>G61*D$9</f>
        <v>81.680000000000007</v>
      </c>
      <c r="I61" s="117">
        <f>F61*D61</f>
        <v>0</v>
      </c>
      <c r="J61" s="121">
        <f>H61*D61</f>
        <v>0</v>
      </c>
      <c r="M61" s="5">
        <f>E61/G61</f>
        <v>0.36728697355533785</v>
      </c>
      <c r="N61" s="14">
        <f t="shared" si="12"/>
        <v>-0.6327130264446621</v>
      </c>
      <c r="O61" s="26" t="str">
        <f>IF(N61=0,"% or equal in ",IF(E61&lt;G61,"lower than in ","higher than in "))</f>
        <v xml:space="preserve">lower than in </v>
      </c>
      <c r="P61" t="str">
        <f t="shared" si="7"/>
        <v>Dubai, United Arab Emirates</v>
      </c>
    </row>
    <row r="62" spans="3:16" hidden="1">
      <c r="C62" s="33" t="s">
        <v>438</v>
      </c>
      <c r="D62" s="33">
        <f>'Apparel and Footwear'!J7</f>
        <v>3.0000000001</v>
      </c>
      <c r="E62" s="3">
        <f>VLOOKUP(C$6,CPI!C$4:AZ$394,34,FALSE)</f>
        <v>25</v>
      </c>
      <c r="F62" s="58">
        <f>E62*D$9</f>
        <v>25</v>
      </c>
      <c r="G62" s="15">
        <f>VLOOKUP(C$7,CPI!C$4:AZ$394,34,FALSE)</f>
        <v>49.5</v>
      </c>
      <c r="H62" s="3">
        <f>G62*D$9</f>
        <v>49.5</v>
      </c>
      <c r="I62" s="117">
        <f>F62*D62</f>
        <v>75.000000002500002</v>
      </c>
      <c r="J62" s="121">
        <f>H62*D62</f>
        <v>148.50000000495001</v>
      </c>
      <c r="M62" s="5">
        <f>E62/G62</f>
        <v>0.50505050505050508</v>
      </c>
      <c r="N62" s="14">
        <f t="shared" si="12"/>
        <v>-0.49494949494949492</v>
      </c>
      <c r="O62" s="26" t="str">
        <f>IF(N62=0,"% or equal in ",IF(E62&lt;G62,"lower than in ","higher than in "))</f>
        <v xml:space="preserve">lower than in </v>
      </c>
      <c r="P62" t="str">
        <f t="shared" si="7"/>
        <v>Dubai, United Arab Emirates</v>
      </c>
    </row>
    <row r="63" spans="3:16" hidden="1">
      <c r="C63" s="33" t="s">
        <v>1266</v>
      </c>
      <c r="D63" s="33">
        <f>'Apparel and Footwear'!J8</f>
        <v>1</v>
      </c>
      <c r="E63" s="3">
        <f>VLOOKUP(C$6,CPI!C$4:AZ$394,35,FALSE)</f>
        <v>72.5</v>
      </c>
      <c r="F63" s="58">
        <f>E63*D$9</f>
        <v>72.5</v>
      </c>
      <c r="G63" s="15">
        <f>VLOOKUP(C$7,CPI!C$4:AZ$394,35,FALSE)</f>
        <v>81.680000000000007</v>
      </c>
      <c r="H63" s="3">
        <f>G63*D$9</f>
        <v>81.680000000000007</v>
      </c>
      <c r="I63" s="117">
        <f>F63*D63</f>
        <v>72.5</v>
      </c>
      <c r="J63" s="121">
        <f>H63*D63</f>
        <v>81.680000000000007</v>
      </c>
      <c r="M63" s="5">
        <f>E63/G63</f>
        <v>0.88761018609206654</v>
      </c>
      <c r="N63" s="14">
        <f t="shared" si="12"/>
        <v>-0.11238981390793346</v>
      </c>
      <c r="O63" s="26" t="str">
        <f>IF(N63=0,"% or equal in ",IF(E63&lt;G63,"lower than in ","higher than in "))</f>
        <v xml:space="preserve">lower than in </v>
      </c>
      <c r="P63" t="str">
        <f t="shared" si="7"/>
        <v>Dubai, United Arab Emirates</v>
      </c>
    </row>
    <row r="64" spans="3:16" hidden="1">
      <c r="C64" s="33" t="s">
        <v>440</v>
      </c>
      <c r="D64" s="33">
        <f>'Apparel and Footwear'!J9</f>
        <v>1</v>
      </c>
      <c r="E64" s="3">
        <f>VLOOKUP(C$6,CPI!C$4:AZ$394,36,FALSE)</f>
        <v>75</v>
      </c>
      <c r="F64" s="58">
        <f>E64*D$9</f>
        <v>75</v>
      </c>
      <c r="G64" s="15">
        <f>VLOOKUP(C$7,CPI!C$4:AZ$394,36,FALSE)</f>
        <v>108.9</v>
      </c>
      <c r="H64" s="3">
        <f>G64*D$9</f>
        <v>108.9</v>
      </c>
      <c r="I64" s="117">
        <f>F64*D64</f>
        <v>75</v>
      </c>
      <c r="J64" s="121">
        <f>H64*D64</f>
        <v>108.9</v>
      </c>
      <c r="M64" s="5">
        <f>E64/G64</f>
        <v>0.68870523415977958</v>
      </c>
      <c r="N64" s="14">
        <f t="shared" si="12"/>
        <v>-0.31129476584022042</v>
      </c>
      <c r="O64" s="26" t="str">
        <f>IF(N64=0,"% or equal in ",IF(E64&lt;G64,"lower than in ","higher than in "))</f>
        <v xml:space="preserve">lower than in </v>
      </c>
      <c r="P64" t="str">
        <f t="shared" si="7"/>
        <v>Dubai, United Arab Emirates</v>
      </c>
    </row>
    <row r="65" spans="3:16" hidden="1">
      <c r="C65" s="33" t="s">
        <v>0</v>
      </c>
      <c r="E65" s="3"/>
      <c r="F65" s="11"/>
      <c r="H65" s="3" t="s">
        <v>0</v>
      </c>
      <c r="I65" s="124">
        <f>SUM(I61:I64)</f>
        <v>222.5000000025</v>
      </c>
      <c r="J65" s="126">
        <f>SUM(J61:J64)</f>
        <v>339.08000000495002</v>
      </c>
      <c r="K65" s="128">
        <f>I65/J65</f>
        <v>0.65618733042129251</v>
      </c>
      <c r="L65" s="129">
        <f>K65-1</f>
        <v>-0.34381266957870749</v>
      </c>
      <c r="M65" s="5" t="s">
        <v>0</v>
      </c>
      <c r="N65" s="14" t="s">
        <v>0</v>
      </c>
      <c r="O65" s="26" t="s">
        <v>0</v>
      </c>
      <c r="P65" t="s">
        <v>0</v>
      </c>
    </row>
    <row r="66" spans="3:16" hidden="1">
      <c r="C66" s="34" t="s">
        <v>1426</v>
      </c>
      <c r="D66" s="34"/>
      <c r="E66" s="3"/>
      <c r="F66" s="11"/>
      <c r="H66" s="3" t="s">
        <v>0</v>
      </c>
      <c r="M66" s="5" t="s">
        <v>0</v>
      </c>
      <c r="N66" s="14" t="s">
        <v>0</v>
      </c>
      <c r="O66" s="26" t="s">
        <v>0</v>
      </c>
      <c r="P66" t="s">
        <v>0</v>
      </c>
    </row>
    <row r="67" spans="3:16" hidden="1">
      <c r="C67" s="33" t="s">
        <v>1270</v>
      </c>
      <c r="D67" s="33">
        <f>Accomodation!J6</f>
        <v>0</v>
      </c>
      <c r="E67" s="3">
        <f>VLOOKUP(C$6,CPI!C$4:AZ$394,23,FALSE)</f>
        <v>700</v>
      </c>
      <c r="F67" s="58">
        <f>E67*D$9</f>
        <v>700</v>
      </c>
      <c r="G67" s="15">
        <f>VLOOKUP(C$7,CPI!C$4:AZ$394,23,FALSE)</f>
        <v>1633.54</v>
      </c>
      <c r="H67" s="3">
        <f>G67*D$9</f>
        <v>1633.54</v>
      </c>
      <c r="I67" s="117">
        <f>F67*D67</f>
        <v>0</v>
      </c>
      <c r="J67" s="121">
        <f>H67*D67</f>
        <v>0</v>
      </c>
      <c r="M67" s="5">
        <f>E67/G67</f>
        <v>0.42851720802673948</v>
      </c>
      <c r="N67" s="14">
        <f t="shared" si="12"/>
        <v>-0.57148279197326057</v>
      </c>
      <c r="O67" s="26" t="str">
        <f>IF(N67=0,"% or equal in ",IF(E67&lt;G67,"lower than in ","higher than in "))</f>
        <v xml:space="preserve">lower than in </v>
      </c>
      <c r="P67" t="str">
        <f t="shared" si="7"/>
        <v>Dubai, United Arab Emirates</v>
      </c>
    </row>
    <row r="68" spans="3:16" hidden="1">
      <c r="C68" s="33" t="s">
        <v>1271</v>
      </c>
      <c r="D68" s="33">
        <f>Accomodation!J7</f>
        <v>1E-10</v>
      </c>
      <c r="E68" s="3">
        <f>VLOOKUP(C$6,CPI!C$4:AZ$394,24,FALSE)</f>
        <v>625</v>
      </c>
      <c r="F68" s="58">
        <f>E68*D$9</f>
        <v>625</v>
      </c>
      <c r="G68" s="15">
        <f>VLOOKUP(C$7,CPI!C$4:AZ$394,24,FALSE)</f>
        <v>950.58</v>
      </c>
      <c r="H68" s="3">
        <f>G68*D$9</f>
        <v>950.58</v>
      </c>
      <c r="I68" s="117">
        <f>F68*D68</f>
        <v>6.2499999999999997E-8</v>
      </c>
      <c r="J68" s="121">
        <f>H68*D68</f>
        <v>9.5058000000000003E-8</v>
      </c>
      <c r="M68" s="5">
        <f>E68/G68</f>
        <v>0.65749331986787007</v>
      </c>
      <c r="N68" s="14">
        <f t="shared" si="12"/>
        <v>-0.34250668013212993</v>
      </c>
      <c r="O68" s="26" t="str">
        <f>IF(N68=0,"% or equal in ",IF(E68&lt;G68,"lower than in ","higher than in "))</f>
        <v xml:space="preserve">lower than in </v>
      </c>
      <c r="P68" t="str">
        <f t="shared" si="7"/>
        <v>Dubai, United Arab Emirates</v>
      </c>
    </row>
    <row r="69" spans="3:16" hidden="1">
      <c r="C69" s="33" t="s">
        <v>1272</v>
      </c>
      <c r="D69" s="33">
        <f>Accomodation!J8</f>
        <v>1</v>
      </c>
      <c r="E69" s="3">
        <f>VLOOKUP(C$6,CPI!C$4:AZ$394,25,FALSE)</f>
        <v>1200</v>
      </c>
      <c r="F69" s="58">
        <f>E69*D$9</f>
        <v>1200</v>
      </c>
      <c r="G69" s="15">
        <f>VLOOKUP(C$7,CPI!C$4:AZ$394,25,FALSE)</f>
        <v>3062</v>
      </c>
      <c r="H69" s="3">
        <f>G69*D$9</f>
        <v>3062</v>
      </c>
      <c r="I69" s="117">
        <f>F69*D69</f>
        <v>1200</v>
      </c>
      <c r="J69" s="121">
        <f>H69*D69</f>
        <v>3062</v>
      </c>
      <c r="M69" s="5">
        <f>E69/G69</f>
        <v>0.39190071848465058</v>
      </c>
      <c r="N69" s="14">
        <f t="shared" si="12"/>
        <v>-0.60809928151534942</v>
      </c>
      <c r="O69" s="26" t="str">
        <f>IF(N69=0,"% or equal in ",IF(E69&lt;G69,"lower than in ","higher than in "))</f>
        <v xml:space="preserve">lower than in </v>
      </c>
      <c r="P69" t="str">
        <f t="shared" si="7"/>
        <v>Dubai, United Arab Emirates</v>
      </c>
    </row>
    <row r="70" spans="3:16" hidden="1">
      <c r="C70" s="33" t="s">
        <v>1273</v>
      </c>
      <c r="D70" s="33">
        <f>Accomodation!J9</f>
        <v>0</v>
      </c>
      <c r="E70" s="3">
        <f>VLOOKUP(C$6,CPI!C$4:AZ$394,26,FALSE)</f>
        <v>1000</v>
      </c>
      <c r="F70" s="58">
        <f>E70*D$9</f>
        <v>1000</v>
      </c>
      <c r="G70" s="15">
        <f>VLOOKUP(C$7,CPI!C$4:AZ$394,26,FALSE)</f>
        <v>2239.0300000000002</v>
      </c>
      <c r="H70" s="3">
        <f>G70*D$9</f>
        <v>2239.0300000000002</v>
      </c>
      <c r="I70" s="117">
        <f>F70*D70</f>
        <v>0</v>
      </c>
      <c r="J70" s="121">
        <f>H70*D70</f>
        <v>0</v>
      </c>
      <c r="M70" s="5">
        <f>E70/G70</f>
        <v>0.44662197469439885</v>
      </c>
      <c r="N70" s="14">
        <f t="shared" si="12"/>
        <v>-0.5533780253056011</v>
      </c>
      <c r="O70" s="26" t="str">
        <f>IF(N70=0,"% or equal in ",IF(E70&lt;G70,"lower than in ","higher than in "))</f>
        <v xml:space="preserve">lower than in </v>
      </c>
      <c r="P70" t="str">
        <f t="shared" si="7"/>
        <v>Dubai, United Arab Emirates</v>
      </c>
    </row>
    <row r="71" spans="3:16" hidden="1">
      <c r="C71" s="33" t="s">
        <v>0</v>
      </c>
      <c r="E71" s="3"/>
      <c r="F71" s="11"/>
      <c r="H71" s="3" t="s">
        <v>0</v>
      </c>
      <c r="I71" s="124">
        <f>SUM(I67:I70)</f>
        <v>1200.0000000625</v>
      </c>
      <c r="J71" s="126">
        <f>SUM(J67:J70)</f>
        <v>3062.0000000950581</v>
      </c>
      <c r="K71" s="128">
        <f>I71/J71</f>
        <v>0.39190071849289571</v>
      </c>
      <c r="L71" s="129">
        <f>K71-1</f>
        <v>-0.60809928150710424</v>
      </c>
      <c r="M71" s="5" t="s">
        <v>0</v>
      </c>
      <c r="N71" s="14" t="s">
        <v>0</v>
      </c>
      <c r="O71" s="26" t="s">
        <v>0</v>
      </c>
    </row>
    <row r="72" spans="3:16" hidden="1">
      <c r="C72" s="34" t="s">
        <v>548</v>
      </c>
      <c r="D72" s="34"/>
      <c r="E72" s="3"/>
      <c r="F72" s="11"/>
      <c r="H72" s="3" t="s">
        <v>0</v>
      </c>
      <c r="I72" s="132">
        <f>I71+I65+I59+I54+I48+I40+I19</f>
        <v>3295.0900003069501</v>
      </c>
      <c r="J72" s="132">
        <f>J71+J65+J59+J54+J48+J40+J19</f>
        <v>4964.1000001580151</v>
      </c>
      <c r="K72" s="133">
        <f>I72/J72</f>
        <v>0.6637839689373829</v>
      </c>
      <c r="L72" s="134">
        <f>K72-1</f>
        <v>-0.3362160310626171</v>
      </c>
      <c r="M72" s="5">
        <f>ABS(L72)</f>
        <v>0.3362160310626171</v>
      </c>
      <c r="N72" s="14" t="s">
        <v>0</v>
      </c>
      <c r="O72" s="26" t="s">
        <v>0</v>
      </c>
      <c r="P72" t="s">
        <v>0</v>
      </c>
    </row>
    <row r="73" spans="3:16" hidden="1">
      <c r="C73" s="33" t="s">
        <v>441</v>
      </c>
      <c r="E73" s="3">
        <f>VLOOKUP(C$6,CPI!C$4:AZ$394,37,FALSE)</f>
        <v>1264.76</v>
      </c>
      <c r="F73" s="58">
        <f>E73*D$9</f>
        <v>1264.76</v>
      </c>
      <c r="G73" s="15">
        <f>VLOOKUP(C$7,CPI!C$4:AZ$394,37,FALSE)</f>
        <v>4330.84</v>
      </c>
      <c r="H73" s="3">
        <f>G73*D$9</f>
        <v>4330.84</v>
      </c>
      <c r="M73" s="5">
        <f>E73/G73</f>
        <v>0.29203572517109844</v>
      </c>
      <c r="N73" s="14">
        <f t="shared" si="12"/>
        <v>-0.70796427482890156</v>
      </c>
      <c r="O73" s="26" t="str">
        <f>IF(N73=0,"% or equal in ",IF(E73&lt;G73,"lower than in ","higher than in "))</f>
        <v xml:space="preserve">lower than in </v>
      </c>
      <c r="P73" t="str">
        <f t="shared" si="7"/>
        <v>Dubai, United Arab Emirates</v>
      </c>
    </row>
    <row r="74" spans="3:16" hidden="1">
      <c r="C74" s="33" t="s">
        <v>442</v>
      </c>
      <c r="E74" s="3">
        <f>VLOOKUP(C$6,CPI!C$4:AZ$394,38,FALSE)</f>
        <v>1103.3</v>
      </c>
      <c r="F74" s="58">
        <f>E74*D$9</f>
        <v>1103.3</v>
      </c>
      <c r="G74" s="114">
        <f>VLOOKUP(C$7,CPI!C$4:AZ$394,38,FALSE)</f>
        <v>2344.44</v>
      </c>
      <c r="H74" s="3">
        <f>G74*D$9</f>
        <v>2344.44</v>
      </c>
      <c r="M74" s="5">
        <f>E74/G74</f>
        <v>0.47060278787258364</v>
      </c>
      <c r="N74" s="14">
        <f t="shared" si="12"/>
        <v>-0.52939721212741642</v>
      </c>
      <c r="O74" s="26" t="str">
        <f>IF(N74=0,"% or equal in ",IF(E74&lt;G74,"lower than in ","higher than in "))</f>
        <v xml:space="preserve">lower than in </v>
      </c>
      <c r="P74" t="str">
        <f t="shared" si="7"/>
        <v>Dubai, United Arab Emirates</v>
      </c>
    </row>
    <row r="75" spans="3:16" hidden="1">
      <c r="E75" s="3"/>
      <c r="F75" s="13"/>
      <c r="M75" s="14">
        <f>MAX(M24:M74)</f>
        <v>4.8959608323133414</v>
      </c>
    </row>
    <row r="76" spans="3:16" hidden="1">
      <c r="E76" s="3"/>
      <c r="F76" s="13"/>
    </row>
    <row r="77" spans="3:16" hidden="1">
      <c r="C77" s="33" t="s">
        <v>0</v>
      </c>
      <c r="E77" s="3"/>
      <c r="F77" s="3"/>
    </row>
    <row r="78" spans="3:16" hidden="1">
      <c r="E78" s="3"/>
      <c r="F78" s="3"/>
    </row>
    <row r="79" spans="3:16" hidden="1">
      <c r="E79" s="2"/>
      <c r="F79" s="2"/>
      <c r="O79" s="28"/>
    </row>
    <row r="80" spans="3:16" hidden="1">
      <c r="O80" s="28"/>
    </row>
    <row r="81" spans="15:15" hidden="1"/>
    <row r="82" spans="15:15" hidden="1"/>
    <row r="83" spans="15:15" hidden="1"/>
    <row r="90" spans="15:15">
      <c r="O90" s="29"/>
    </row>
  </sheetData>
  <sheetProtection password="C9F9" sheet="1" objects="1" scenarios="1"/>
  <mergeCells count="2">
    <mergeCell ref="C2:O2"/>
    <mergeCell ref="C3:O3"/>
  </mergeCells>
  <pageMargins left="0.7" right="0.7" top="0.75" bottom="0.75" header="0.3" footer="0.3"/>
  <pageSetup orientation="portrait" verticalDpi="0" r:id="rId1"/>
  <drawing r:id="rId2"/>
  <legacyDrawing r:id="rId3"/>
</worksheet>
</file>

<file path=xl/worksheets/sheet15.xml><?xml version="1.0" encoding="utf-8"?>
<worksheet xmlns="http://schemas.openxmlformats.org/spreadsheetml/2006/main" xmlns:r="http://schemas.openxmlformats.org/officeDocument/2006/relationships">
  <dimension ref="B1:Q50"/>
  <sheetViews>
    <sheetView showGridLines="0" showRowColHeaders="0" workbookViewId="0"/>
  </sheetViews>
  <sheetFormatPr defaultRowHeight="15"/>
  <cols>
    <col min="4" max="4" width="19.28515625" customWidth="1"/>
    <col min="5" max="5" width="13.85546875" customWidth="1"/>
    <col min="6" max="6" width="16.7109375" customWidth="1"/>
    <col min="7" max="7" width="14" customWidth="1"/>
    <col min="8" max="8" width="14.28515625" customWidth="1"/>
    <col min="9" max="9" width="11" customWidth="1"/>
    <col min="10" max="10" width="9.28515625" customWidth="1"/>
    <col min="11" max="11" width="12.7109375" customWidth="1"/>
  </cols>
  <sheetData>
    <row r="1" spans="3:10" ht="21.75" customHeight="1">
      <c r="D1" s="784" t="s">
        <v>1433</v>
      </c>
    </row>
    <row r="2" spans="3:10">
      <c r="C2" s="171"/>
      <c r="D2" s="171"/>
      <c r="E2" s="171"/>
      <c r="F2" s="171"/>
      <c r="G2" s="171"/>
      <c r="H2" s="171"/>
      <c r="I2" s="171"/>
      <c r="J2" s="171"/>
    </row>
    <row r="3" spans="3:10" ht="31.5">
      <c r="C3" s="171"/>
      <c r="D3" s="797" t="s">
        <v>1354</v>
      </c>
      <c r="E3" s="171"/>
      <c r="F3" s="171"/>
      <c r="G3" s="171"/>
      <c r="H3" s="171"/>
      <c r="I3" s="171"/>
      <c r="J3" s="171"/>
    </row>
    <row r="4" spans="3:10">
      <c r="C4" s="171"/>
      <c r="D4" s="171"/>
      <c r="E4" s="171"/>
      <c r="F4" s="171"/>
      <c r="G4" s="171"/>
      <c r="H4" s="171"/>
      <c r="I4" s="171"/>
      <c r="J4" s="171"/>
    </row>
    <row r="5" spans="3:10" hidden="1">
      <c r="C5" s="171"/>
      <c r="D5" s="171"/>
      <c r="E5" s="171" t="str">
        <f>Report!Q127</f>
        <v>Tucson, AZ, United States</v>
      </c>
      <c r="F5" s="171"/>
      <c r="G5" s="171"/>
      <c r="H5" s="171" t="str">
        <f>Report!Q128</f>
        <v>Dubai, United Arab Emirates</v>
      </c>
      <c r="I5" s="171"/>
      <c r="J5" s="171"/>
    </row>
    <row r="6" spans="3:10" hidden="1">
      <c r="C6" s="171"/>
      <c r="D6" s="171"/>
      <c r="E6" s="171">
        <f>Report!Q129</f>
        <v>4500</v>
      </c>
      <c r="F6" s="171"/>
      <c r="G6" s="171"/>
      <c r="H6" s="171">
        <f>Report!Q130</f>
        <v>2500</v>
      </c>
      <c r="I6" s="171"/>
      <c r="J6" s="171"/>
    </row>
    <row r="7" spans="3:10" hidden="1">
      <c r="C7" s="171"/>
      <c r="D7" s="171"/>
      <c r="E7" s="171" t="str">
        <f>Report!Q131</f>
        <v>US Dollar</v>
      </c>
      <c r="F7" s="171"/>
      <c r="G7" s="171"/>
      <c r="H7" s="171" t="str">
        <f>Report!Q132</f>
        <v>USD</v>
      </c>
      <c r="I7" s="171"/>
      <c r="J7" s="171"/>
    </row>
    <row r="8" spans="3:10">
      <c r="C8" s="171"/>
      <c r="D8" s="171"/>
      <c r="E8" s="171"/>
      <c r="F8" s="171"/>
      <c r="G8" s="171"/>
      <c r="H8" s="171"/>
      <c r="I8" s="171"/>
      <c r="J8" s="171"/>
    </row>
    <row r="9" spans="3:10">
      <c r="C9" s="171"/>
      <c r="D9" s="171"/>
      <c r="E9" s="171"/>
      <c r="F9" s="171"/>
      <c r="G9" s="171"/>
      <c r="H9" s="171"/>
      <c r="I9" s="171"/>
      <c r="J9" s="171"/>
    </row>
    <row r="10" spans="3:10">
      <c r="C10" s="171"/>
      <c r="D10" s="171"/>
      <c r="E10" s="171"/>
      <c r="F10" s="171"/>
      <c r="G10" s="171"/>
      <c r="H10" s="171"/>
      <c r="I10" s="171"/>
      <c r="J10" s="171"/>
    </row>
    <row r="11" spans="3:10" ht="28.5" customHeight="1">
      <c r="C11" s="92"/>
      <c r="D11" s="171"/>
      <c r="E11" s="818" t="str">
        <f>Report!P411</f>
        <v>Tucson (USD)</v>
      </c>
      <c r="F11" s="818"/>
      <c r="G11" s="818"/>
      <c r="H11" s="785" t="str">
        <f>Report!Q411</f>
        <v>Dubai (USD)</v>
      </c>
      <c r="I11" s="171"/>
      <c r="J11" s="171"/>
    </row>
    <row r="12" spans="3:10" ht="20.100000000000001" customHeight="1">
      <c r="C12" s="92"/>
      <c r="D12" s="798" t="s">
        <v>751</v>
      </c>
      <c r="E12" s="799">
        <f>'Full Report'!I19</f>
        <v>857.80000001399992</v>
      </c>
      <c r="F12" s="799"/>
      <c r="G12" s="799"/>
      <c r="H12" s="799">
        <f>'Full Report'!J19</f>
        <v>684.2500000030002</v>
      </c>
      <c r="I12" s="171"/>
      <c r="J12" s="171"/>
    </row>
    <row r="13" spans="3:10" ht="20.100000000000001" customHeight="1">
      <c r="C13" s="92"/>
      <c r="D13" s="798" t="s">
        <v>400</v>
      </c>
      <c r="E13" s="799">
        <f>'Full Report'!I40</f>
        <v>394.49000000015002</v>
      </c>
      <c r="F13" s="799"/>
      <c r="G13" s="799"/>
      <c r="H13" s="799">
        <f>'Full Report'!J40</f>
        <v>324.98000000005402</v>
      </c>
      <c r="I13" s="171"/>
      <c r="J13" s="171"/>
    </row>
    <row r="14" spans="3:10" ht="20.100000000000001" customHeight="1">
      <c r="C14" s="92"/>
      <c r="D14" s="798" t="s">
        <v>547</v>
      </c>
      <c r="E14" s="799">
        <f>'Full Report'!I48</f>
        <v>244.30000021699999</v>
      </c>
      <c r="F14" s="799"/>
      <c r="G14" s="799"/>
      <c r="H14" s="799">
        <f>'Full Report'!J48</f>
        <v>133.61000004500002</v>
      </c>
      <c r="I14" s="171"/>
      <c r="J14" s="171"/>
    </row>
    <row r="15" spans="3:10" ht="20.100000000000001" customHeight="1">
      <c r="C15" s="92"/>
      <c r="D15" s="798" t="s">
        <v>1268</v>
      </c>
      <c r="E15" s="799">
        <f>'Full Report'!I54</f>
        <v>222.00000001000001</v>
      </c>
      <c r="F15" s="799"/>
      <c r="G15" s="799"/>
      <c r="H15" s="799">
        <f>'Full Report'!J54</f>
        <v>223.73000000900001</v>
      </c>
      <c r="I15" s="171"/>
      <c r="J15" s="171"/>
    </row>
    <row r="16" spans="3:10" ht="20.100000000000001" customHeight="1">
      <c r="C16" s="92"/>
      <c r="D16" s="798" t="s">
        <v>1259</v>
      </c>
      <c r="E16" s="799">
        <f>'Full Report'!I59</f>
        <v>154.00000000080001</v>
      </c>
      <c r="F16" s="799"/>
      <c r="G16" s="799"/>
      <c r="H16" s="799">
        <f>'Full Report'!J59</f>
        <v>196.450000000953</v>
      </c>
      <c r="I16" s="171"/>
      <c r="J16" s="171"/>
    </row>
    <row r="17" spans="2:17" ht="20.100000000000001" customHeight="1">
      <c r="C17" s="92"/>
      <c r="D17" s="798" t="s">
        <v>1260</v>
      </c>
      <c r="E17" s="799">
        <f>'Full Report'!I65</f>
        <v>222.5000000025</v>
      </c>
      <c r="F17" s="799"/>
      <c r="G17" s="799"/>
      <c r="H17" s="799">
        <f>'Full Report'!J65</f>
        <v>339.08000000495002</v>
      </c>
      <c r="I17" s="171"/>
      <c r="J17" s="171"/>
    </row>
    <row r="18" spans="2:17" ht="28.5" customHeight="1">
      <c r="C18" s="92"/>
      <c r="D18" s="798" t="s">
        <v>1261</v>
      </c>
      <c r="E18" s="799">
        <f>'Full Report'!I71</f>
        <v>1200.0000000625</v>
      </c>
      <c r="F18" s="800"/>
      <c r="G18" s="800"/>
      <c r="H18" s="799">
        <f>'Full Report'!J71</f>
        <v>3062.0000000950581</v>
      </c>
      <c r="I18" s="171"/>
      <c r="J18" s="171"/>
    </row>
    <row r="19" spans="2:17" s="169" customFormat="1" ht="21.95" customHeight="1" thickBot="1">
      <c r="C19" s="801"/>
      <c r="D19" s="848" t="s">
        <v>1350</v>
      </c>
      <c r="E19" s="849">
        <f>Report!Q504</f>
        <v>3295.0900003069501</v>
      </c>
      <c r="F19" s="850" t="s">
        <v>1349</v>
      </c>
      <c r="G19" s="851"/>
      <c r="H19" s="849">
        <f>Report!V504</f>
        <v>4964.1000001580142</v>
      </c>
      <c r="I19" s="802"/>
      <c r="J19" s="33"/>
      <c r="K19" s="170"/>
      <c r="L19" s="170"/>
      <c r="M19" s="170"/>
      <c r="N19" s="170"/>
      <c r="O19" s="170"/>
      <c r="P19" s="170"/>
    </row>
    <row r="20" spans="2:17" s="169" customFormat="1" ht="35.25" hidden="1" customHeight="1">
      <c r="C20" s="801"/>
      <c r="D20" s="792"/>
      <c r="E20" s="803"/>
      <c r="F20" s="804"/>
      <c r="G20" s="804"/>
      <c r="H20" s="805" t="e">
        <f>IF(H21&lt;0,"No Balance/Negative","Balance")</f>
        <v>#VALUE!</v>
      </c>
      <c r="I20" s="806"/>
      <c r="J20" s="33"/>
      <c r="K20" s="170"/>
      <c r="L20" s="170"/>
      <c r="M20" s="170"/>
      <c r="N20" s="170"/>
      <c r="O20" s="170"/>
      <c r="P20" s="170"/>
    </row>
    <row r="21" spans="2:17" s="169" customFormat="1" ht="21.95" hidden="1" customHeight="1">
      <c r="C21" s="801"/>
      <c r="D21" s="807" t="e">
        <f>IF(E21&lt;0,"No Balance/Negative","Balance")</f>
        <v>#VALUE!</v>
      </c>
      <c r="E21" s="808" t="e">
        <f>E25-E19</f>
        <v>#VALUE!</v>
      </c>
      <c r="F21" s="804"/>
      <c r="G21" s="804"/>
      <c r="H21" s="808" t="e">
        <f>H25-H19</f>
        <v>#VALUE!</v>
      </c>
      <c r="I21" s="806"/>
      <c r="J21" s="33"/>
      <c r="K21" s="170"/>
      <c r="L21" s="170"/>
      <c r="M21" s="170"/>
      <c r="N21" s="170"/>
      <c r="O21" s="170"/>
      <c r="P21" s="170"/>
    </row>
    <row r="22" spans="2:17" s="169" customFormat="1" ht="58.5" hidden="1" customHeight="1" thickTop="1">
      <c r="C22" s="801"/>
      <c r="D22" s="792"/>
      <c r="E22" s="944" t="e">
        <f>IF(E21&lt;0,"You're in RED meaning you have overspend and no balance. (i.e credit card)","")</f>
        <v>#VALUE!</v>
      </c>
      <c r="F22" s="944"/>
      <c r="G22" s="804"/>
      <c r="H22" s="944" t="e">
        <f>IF(H21&lt;0,"You're in RED meaning you have overspend and no balance. (i.e credit card)","")</f>
        <v>#VALUE!</v>
      </c>
      <c r="I22" s="944"/>
      <c r="J22" s="33"/>
      <c r="K22" s="170"/>
      <c r="L22" s="170"/>
      <c r="M22" s="170"/>
      <c r="N22" s="170"/>
      <c r="O22" s="170"/>
      <c r="P22" s="170"/>
    </row>
    <row r="23" spans="2:17" ht="64.5" customHeight="1" thickTop="1">
      <c r="C23" s="171"/>
      <c r="D23" s="945" t="str">
        <f>"SUMMARY : Based from your spending patterns, the cost of living in "&amp;Report!D778&amp;" is "&amp;FIXED(Report!D776*100)&amp;Report!R776&amp;Report!D777&amp;". In other words, the similar or comparable things you pay for eating out, groceries, transportation, utilities etc. in "&amp;Report!C637&amp;" for "&amp;H7&amp;FIXED(E19,2)&amp;", is approximately "&amp;H7&amp;FIXED(H19,2)&amp;" in "&amp;Report!V635&amp;"."</f>
        <v>SUMMARY : Based from your spending patterns, the cost of living in Tucson, AZ, United States is 33.62% lower than in Dubai, United Arab Emirates. In other words, the similar or comparable things you pay for eating out, groceries, transportation, utilities etc. in Tucson for USD3,295.09, is approximately USD4,964.10 in Dubai.</v>
      </c>
      <c r="E23" s="945"/>
      <c r="F23" s="945"/>
      <c r="G23" s="945"/>
      <c r="H23" s="945"/>
      <c r="I23" s="945"/>
      <c r="J23" s="33"/>
      <c r="K23" s="10"/>
      <c r="P23" t="str">
        <f>Report!O464</f>
        <v>Eating Out</v>
      </c>
      <c r="Q23">
        <f>Report!P464</f>
        <v>0.25363536720531799</v>
      </c>
    </row>
    <row r="24" spans="2:17" ht="46.5" customHeight="1">
      <c r="C24" s="171"/>
      <c r="D24" s="946" t="str">
        <f>"Therefore, if you are earning a Net Salary of "&amp;Report!Q132&amp;FIXED(Report!P778,2)&amp;" as your spendable income in "&amp;Report!C637&amp;", the comparable spendable income in "&amp;Report!V635&amp;" is "&amp;Report!Q132&amp;FIXED(Report!R775,2)&amp;"."</f>
        <v>Therefore, if you are earning a Net Salary of USD4,500.00 as your spendable income in Tucson, the comparable spendable income in Dubai is USD6,779.31.</v>
      </c>
      <c r="E24" s="946"/>
      <c r="F24" s="946"/>
      <c r="G24" s="946"/>
      <c r="H24" s="946"/>
      <c r="I24" s="946"/>
      <c r="J24" s="33"/>
      <c r="K24" s="10"/>
    </row>
    <row r="25" spans="2:17" ht="24.75" customHeight="1" thickBot="1">
      <c r="C25" s="171"/>
      <c r="D25" s="875" t="s">
        <v>1375</v>
      </c>
      <c r="E25" s="873" t="str">
        <f>H7&amp;FIXED(E6,2)</f>
        <v>USD4,500.00</v>
      </c>
      <c r="F25" s="947" t="str">
        <f>"in "&amp;Report!C637&amp;" is comparable to "</f>
        <v xml:space="preserve">in Tucson is comparable to </v>
      </c>
      <c r="G25" s="947"/>
      <c r="H25" s="849" t="str">
        <f>H7&amp;FIXED(Report!R775,2)</f>
        <v>USD6,779.31</v>
      </c>
      <c r="I25" s="874" t="str">
        <f>" in "&amp;Report!V635&amp;"."</f>
        <v xml:space="preserve"> in Dubai.</v>
      </c>
      <c r="J25" s="33"/>
      <c r="K25" s="10"/>
    </row>
    <row r="26" spans="2:17" ht="24.75" customHeight="1" thickTop="1">
      <c r="C26" s="171"/>
      <c r="D26" s="871"/>
      <c r="E26" s="872"/>
      <c r="F26" s="809"/>
      <c r="G26" s="809"/>
      <c r="H26" s="809"/>
      <c r="I26" s="809"/>
      <c r="J26" s="33"/>
      <c r="K26" s="10"/>
    </row>
    <row r="27" spans="2:17" ht="15.75">
      <c r="C27" s="810"/>
      <c r="D27" s="810"/>
      <c r="E27" s="810"/>
      <c r="F27" s="810"/>
      <c r="G27" s="810"/>
      <c r="H27" s="810"/>
      <c r="I27" s="810"/>
      <c r="J27" s="810"/>
      <c r="K27" s="10"/>
      <c r="P27" t="str">
        <f>Report!O465</f>
        <v>Apparel And Footwear</v>
      </c>
      <c r="Q27">
        <f>Report!P465</f>
        <v>0.21389008554398559</v>
      </c>
    </row>
    <row r="28" spans="2:17" ht="15.75">
      <c r="C28" s="810"/>
      <c r="D28" s="811" t="str">
        <f>"Is the Offered Net Salary good enough to maintain your lifestyle in "&amp;Report!V635&amp;"? Click the full report.."</f>
        <v>Is the Offered Net Salary good enough to maintain your lifestyle in Dubai? Click the full report..</v>
      </c>
      <c r="E28" s="810"/>
      <c r="F28" s="810"/>
      <c r="G28" s="810"/>
      <c r="H28" s="810"/>
      <c r="I28" s="810"/>
      <c r="J28" s="810"/>
      <c r="K28" s="10"/>
      <c r="P28" t="str">
        <f>Report!O466</f>
        <v>Groceries</v>
      </c>
      <c r="Q28">
        <f>Report!P466</f>
        <v>-7.7325347469289207E-3</v>
      </c>
    </row>
    <row r="29" spans="2:17" ht="15.75">
      <c r="B29" s="10"/>
      <c r="C29" s="810"/>
      <c r="D29" s="810"/>
      <c r="E29" s="810"/>
      <c r="F29" s="810"/>
      <c r="G29" s="810"/>
      <c r="H29" s="810"/>
      <c r="I29" s="810"/>
      <c r="J29" s="810"/>
      <c r="K29" s="10"/>
      <c r="P29" t="str">
        <f>Report!O467</f>
        <v>Utilities</v>
      </c>
      <c r="Q29">
        <f>Report!P467</f>
        <v>-0.21608551794322761</v>
      </c>
    </row>
    <row r="30" spans="2:17">
      <c r="B30" s="10"/>
      <c r="C30" s="10"/>
      <c r="D30" s="10"/>
      <c r="E30" s="10"/>
      <c r="F30" s="10"/>
      <c r="G30" s="10"/>
      <c r="H30" s="10"/>
      <c r="I30" s="10"/>
      <c r="J30" s="10"/>
      <c r="K30" s="10"/>
      <c r="P30" t="str">
        <f>Report!O468</f>
        <v>Recreation And Leisure</v>
      </c>
      <c r="Q30">
        <f>Report!P468</f>
        <v>-0.34381266957870749</v>
      </c>
    </row>
    <row r="31" spans="2:17">
      <c r="B31" s="10"/>
      <c r="C31" s="10"/>
      <c r="D31" s="10"/>
      <c r="E31" s="10"/>
      <c r="F31" s="10"/>
      <c r="G31" s="10"/>
      <c r="H31" s="10"/>
      <c r="I31" s="10"/>
      <c r="J31" s="10"/>
      <c r="K31" s="10"/>
      <c r="P31" t="str">
        <f>Report!O469</f>
        <v>Transportation</v>
      </c>
      <c r="Q31">
        <f>Report!P469</f>
        <v>-0.60809928150710424</v>
      </c>
    </row>
    <row r="32" spans="2:17">
      <c r="B32" s="10"/>
      <c r="C32" s="10"/>
      <c r="D32" s="10"/>
      <c r="E32" s="10"/>
      <c r="F32" s="10"/>
      <c r="G32" s="10"/>
      <c r="H32" s="10"/>
      <c r="I32" s="10"/>
      <c r="J32" s="10"/>
      <c r="K32" s="10"/>
    </row>
    <row r="33" spans="2:11">
      <c r="B33" s="10"/>
      <c r="C33" s="10"/>
      <c r="D33" s="10"/>
      <c r="E33" s="10"/>
      <c r="F33" s="10"/>
      <c r="G33" s="10"/>
      <c r="H33" s="10"/>
      <c r="I33" s="10"/>
      <c r="J33" s="10"/>
      <c r="K33" s="10"/>
    </row>
    <row r="34" spans="2:11">
      <c r="B34" s="10"/>
      <c r="C34" s="10"/>
      <c r="D34" s="10"/>
      <c r="E34" s="10"/>
      <c r="F34" s="10"/>
      <c r="G34" s="10"/>
      <c r="H34" s="10"/>
      <c r="I34" s="10"/>
      <c r="J34" s="10"/>
      <c r="K34" s="10"/>
    </row>
    <row r="35" spans="2:11">
      <c r="B35" s="10"/>
      <c r="C35" s="10"/>
      <c r="D35" s="10"/>
      <c r="E35" s="10"/>
      <c r="F35" s="10"/>
      <c r="G35" s="10"/>
      <c r="H35" s="10"/>
      <c r="I35" s="10"/>
      <c r="J35" s="10"/>
      <c r="K35" s="10"/>
    </row>
    <row r="36" spans="2:11">
      <c r="B36" s="10"/>
      <c r="C36" s="10"/>
      <c r="D36" s="10"/>
      <c r="E36" s="10"/>
      <c r="F36" s="10"/>
      <c r="G36" s="10"/>
      <c r="H36" s="10"/>
      <c r="I36" s="10"/>
      <c r="J36" s="10"/>
      <c r="K36" s="10"/>
    </row>
    <row r="37" spans="2:11">
      <c r="B37" s="10"/>
      <c r="C37" s="10"/>
      <c r="D37" s="10"/>
      <c r="E37" s="10"/>
      <c r="F37" s="10"/>
      <c r="G37" s="10"/>
      <c r="H37" s="10"/>
      <c r="I37" s="10"/>
      <c r="J37" s="10"/>
      <c r="K37" s="10"/>
    </row>
    <row r="38" spans="2:11">
      <c r="B38" s="10"/>
      <c r="C38" s="10"/>
      <c r="D38" s="10"/>
      <c r="E38" s="10"/>
      <c r="F38" s="10"/>
      <c r="G38" s="10"/>
      <c r="H38" s="10"/>
      <c r="I38" s="10"/>
      <c r="J38" s="10"/>
      <c r="K38" s="10"/>
    </row>
    <row r="39" spans="2:11">
      <c r="B39" s="10"/>
      <c r="C39" s="10"/>
      <c r="D39" s="10"/>
      <c r="E39" s="10"/>
      <c r="F39" s="10"/>
      <c r="G39" s="10"/>
      <c r="H39" s="10"/>
      <c r="I39" s="10"/>
      <c r="J39" s="10"/>
      <c r="K39" s="10"/>
    </row>
    <row r="40" spans="2:11">
      <c r="B40" s="10"/>
      <c r="C40" s="10"/>
      <c r="D40" s="10"/>
      <c r="E40" s="10"/>
      <c r="F40" s="10"/>
      <c r="G40" s="10"/>
      <c r="H40" s="10"/>
      <c r="I40" s="10"/>
      <c r="J40" s="10"/>
      <c r="K40" s="10"/>
    </row>
    <row r="41" spans="2:11">
      <c r="B41" s="10"/>
      <c r="C41" s="10"/>
      <c r="D41" s="10"/>
      <c r="E41" s="10"/>
      <c r="F41" s="10"/>
      <c r="G41" s="10"/>
      <c r="H41" s="10"/>
      <c r="I41" s="10"/>
      <c r="J41" s="10"/>
      <c r="K41" s="10"/>
    </row>
    <row r="42" spans="2:11">
      <c r="B42" s="10"/>
      <c r="C42" s="10"/>
      <c r="D42" s="10"/>
      <c r="E42" s="10"/>
      <c r="F42" s="10"/>
      <c r="G42" s="10"/>
      <c r="H42" s="10"/>
      <c r="I42" s="10"/>
      <c r="J42" s="10"/>
      <c r="K42" s="10"/>
    </row>
    <row r="43" spans="2:11">
      <c r="B43" s="10"/>
      <c r="C43" s="10"/>
      <c r="D43" s="10"/>
      <c r="E43" s="10"/>
      <c r="F43" s="10"/>
      <c r="G43" s="10"/>
      <c r="H43" s="10"/>
      <c r="I43" s="10"/>
      <c r="J43" s="10"/>
      <c r="K43" s="10"/>
    </row>
    <row r="44" spans="2:11">
      <c r="B44" s="10"/>
      <c r="C44" s="10"/>
      <c r="D44" s="10"/>
      <c r="E44" s="10"/>
      <c r="F44" s="10"/>
      <c r="G44" s="10"/>
      <c r="H44" s="10"/>
      <c r="I44" s="10"/>
      <c r="J44" s="10"/>
      <c r="K44" s="10"/>
    </row>
    <row r="45" spans="2:11">
      <c r="B45" s="10"/>
      <c r="C45" s="10"/>
      <c r="D45" s="10"/>
      <c r="E45" s="10"/>
      <c r="F45" s="10"/>
      <c r="G45" s="10"/>
      <c r="H45" s="10"/>
      <c r="I45" s="10"/>
      <c r="J45" s="10"/>
      <c r="K45" s="10"/>
    </row>
    <row r="46" spans="2:11">
      <c r="B46" s="10"/>
      <c r="C46" s="10"/>
      <c r="D46" s="10"/>
      <c r="E46" s="10"/>
      <c r="F46" s="10"/>
      <c r="G46" s="10"/>
      <c r="H46" s="10"/>
      <c r="I46" s="10"/>
      <c r="J46" s="10"/>
      <c r="K46" s="10"/>
    </row>
    <row r="47" spans="2:11">
      <c r="B47" s="10"/>
      <c r="C47" s="10"/>
      <c r="D47" s="10"/>
      <c r="E47" s="10"/>
      <c r="F47" s="10"/>
      <c r="G47" s="10"/>
      <c r="H47" s="10"/>
      <c r="I47" s="10"/>
      <c r="J47" s="10"/>
      <c r="K47" s="10"/>
    </row>
    <row r="48" spans="2:11">
      <c r="B48" s="10"/>
      <c r="C48" s="10"/>
      <c r="D48" s="10"/>
      <c r="E48" s="10"/>
      <c r="F48" s="10"/>
      <c r="G48" s="10"/>
      <c r="H48" s="10"/>
      <c r="I48" s="10"/>
      <c r="J48" s="10"/>
      <c r="K48" s="10"/>
    </row>
    <row r="49" spans="2:10">
      <c r="B49" s="10"/>
      <c r="C49" s="10"/>
      <c r="D49" s="10"/>
      <c r="E49" s="10"/>
      <c r="F49" s="10"/>
      <c r="G49" s="10"/>
      <c r="H49" s="10"/>
      <c r="I49" s="10"/>
      <c r="J49" s="10"/>
    </row>
    <row r="50" spans="2:10">
      <c r="B50" s="10"/>
      <c r="C50" s="10"/>
      <c r="D50" s="10"/>
      <c r="E50" s="10"/>
      <c r="F50" s="10"/>
      <c r="G50" s="10"/>
      <c r="H50" s="10"/>
      <c r="I50" s="10"/>
      <c r="J50" s="10"/>
    </row>
  </sheetData>
  <sheetProtection password="C9F9" sheet="1" objects="1" scenarios="1"/>
  <mergeCells count="5">
    <mergeCell ref="E22:F22"/>
    <mergeCell ref="H22:I22"/>
    <mergeCell ref="D23:I23"/>
    <mergeCell ref="D24:I24"/>
    <mergeCell ref="F25:G25"/>
  </mergeCells>
  <conditionalFormatting sqref="E21">
    <cfRule type="cellIs" dxfId="1" priority="2" operator="lessThan">
      <formula>0</formula>
    </cfRule>
  </conditionalFormatting>
  <conditionalFormatting sqref="H21 E21">
    <cfRule type="cellIs" dxfId="0" priority="1" operator="lessThan">
      <formula>0</formula>
    </cfRule>
  </conditionalFormatting>
  <pageMargins left="0.7" right="0.7" top="0.75" bottom="0.75" header="0.3" footer="0.3"/>
  <pageSetup orientation="portrait" verticalDpi="0" r:id="rId1"/>
  <drawing r:id="rId2"/>
  <legacyDrawing r:id="rId3"/>
  <picture r:id="rId4"/>
</worksheet>
</file>

<file path=xl/worksheets/sheet16.xml><?xml version="1.0" encoding="utf-8"?>
<worksheet xmlns="http://schemas.openxmlformats.org/spreadsheetml/2006/main" xmlns:r="http://schemas.openxmlformats.org/officeDocument/2006/relationships">
  <dimension ref="A1:AO5797"/>
  <sheetViews>
    <sheetView showGridLines="0" showRowColHeaders="0" topLeftCell="A918" zoomScaleNormal="100" workbookViewId="0"/>
  </sheetViews>
  <sheetFormatPr defaultRowHeight="23.25"/>
  <cols>
    <col min="1" max="1" width="9.85546875" style="10" customWidth="1"/>
    <col min="2" max="2" width="8" style="87" customWidth="1"/>
    <col min="3" max="3" width="8.85546875" style="88" customWidth="1"/>
    <col min="4" max="4" width="38.140625" style="33" customWidth="1"/>
    <col min="5" max="5" width="10.28515625" style="33" hidden="1" customWidth="1"/>
    <col min="6" max="7" width="11.28515625" style="1" hidden="1" customWidth="1"/>
    <col min="8" max="8" width="14" style="3" hidden="1" customWidth="1"/>
    <col min="9" max="9" width="13.7109375" style="3" hidden="1" customWidth="1"/>
    <col min="10" max="10" width="12.5703125" style="3" hidden="1" customWidth="1"/>
    <col min="11" max="11" width="11.28515625" style="3" hidden="1" customWidth="1"/>
    <col min="12" max="14" width="13.7109375" style="3" hidden="1" customWidth="1"/>
    <col min="15" max="15" width="11" style="3" hidden="1" customWidth="1"/>
    <col min="16" max="16" width="14" style="3" customWidth="1"/>
    <col min="17" max="17" width="13.28515625" style="70" customWidth="1"/>
    <col min="18" max="18" width="11.5703125" style="83" customWidth="1"/>
    <col min="19" max="19" width="10.85546875" hidden="1" customWidth="1"/>
    <col min="20" max="20" width="9.5703125" style="1" hidden="1" customWidth="1"/>
    <col min="21" max="21" width="9.28515625" style="1" hidden="1" customWidth="1"/>
    <col min="22" max="22" width="10.5703125" style="1" customWidth="1"/>
    <col min="23" max="23" width="5.28515625" style="141" customWidth="1"/>
    <col min="24" max="24" width="7.85546875" style="10" customWidth="1"/>
    <col min="25" max="41" width="9.140625" style="10"/>
  </cols>
  <sheetData>
    <row r="1" spans="1:25" s="10" customFormat="1">
      <c r="A1" s="10" t="s">
        <v>0</v>
      </c>
      <c r="B1" s="87"/>
      <c r="D1" s="45"/>
      <c r="E1" s="45"/>
      <c r="F1" s="45"/>
      <c r="G1" s="45"/>
      <c r="H1" s="45"/>
      <c r="I1" s="45"/>
      <c r="J1" s="45"/>
      <c r="K1" s="45"/>
      <c r="L1" s="45"/>
      <c r="M1" s="45"/>
      <c r="N1" s="45"/>
      <c r="O1" s="45"/>
      <c r="P1" s="45"/>
      <c r="Q1" s="45"/>
      <c r="R1" s="84"/>
      <c r="S1" s="45"/>
      <c r="T1" s="45"/>
      <c r="U1" s="45"/>
      <c r="V1" s="45"/>
      <c r="W1" s="140"/>
      <c r="X1" s="45"/>
      <c r="Y1" s="45"/>
    </row>
    <row r="2" spans="1:25" s="10" customFormat="1">
      <c r="B2" s="87"/>
      <c r="D2" s="784" t="s">
        <v>1433</v>
      </c>
      <c r="E2" s="45"/>
      <c r="F2" s="45"/>
      <c r="G2" s="45"/>
      <c r="H2" s="45"/>
      <c r="I2" s="45"/>
      <c r="J2" s="45"/>
      <c r="K2" s="45"/>
      <c r="L2" s="45"/>
      <c r="M2" s="45"/>
      <c r="N2" s="45"/>
      <c r="O2" s="45"/>
      <c r="P2" s="45"/>
      <c r="Q2" s="45"/>
      <c r="R2" s="84"/>
      <c r="S2" s="45"/>
      <c r="T2" s="45"/>
      <c r="U2" s="45"/>
      <c r="V2" s="45"/>
      <c r="W2" s="140"/>
      <c r="X2" s="45"/>
      <c r="Y2" s="45"/>
    </row>
    <row r="3" spans="1:25" ht="20.100000000000001" customHeight="1">
      <c r="E3" s="61"/>
      <c r="F3" s="66"/>
      <c r="G3" s="66"/>
      <c r="H3" s="73"/>
      <c r="I3" s="73"/>
      <c r="J3" s="74"/>
      <c r="K3" s="74"/>
      <c r="L3" s="74"/>
      <c r="M3" s="74"/>
      <c r="N3" s="74"/>
      <c r="O3" s="74"/>
      <c r="P3" s="73"/>
      <c r="Q3" s="72"/>
      <c r="R3" s="82"/>
      <c r="S3" s="60"/>
      <c r="T3" s="76"/>
      <c r="W3" s="99"/>
    </row>
    <row r="4" spans="1:25" ht="20.100000000000001" customHeight="1">
      <c r="R4" s="659"/>
      <c r="V4" s="92"/>
      <c r="W4" s="99"/>
    </row>
    <row r="5" spans="1:25" ht="20.100000000000001" customHeight="1">
      <c r="R5" s="659"/>
      <c r="W5" s="99"/>
    </row>
    <row r="6" spans="1:25" ht="20.100000000000001" customHeight="1">
      <c r="R6" s="659"/>
      <c r="W6" s="99"/>
    </row>
    <row r="7" spans="1:25" ht="60.75">
      <c r="C7" s="661"/>
      <c r="D7" s="982" t="s">
        <v>1336</v>
      </c>
      <c r="E7" s="983"/>
      <c r="F7" s="983"/>
      <c r="G7" s="983"/>
      <c r="H7" s="983"/>
      <c r="I7" s="983"/>
      <c r="J7" s="983"/>
      <c r="K7" s="983"/>
      <c r="L7" s="983"/>
      <c r="M7" s="983"/>
      <c r="N7" s="983"/>
      <c r="O7" s="983"/>
      <c r="P7" s="983"/>
      <c r="Q7" s="983"/>
      <c r="R7" s="983"/>
      <c r="S7" s="662"/>
      <c r="T7" s="662"/>
      <c r="W7" s="99"/>
    </row>
    <row r="8" spans="1:25" ht="60.75">
      <c r="D8" s="982" t="s">
        <v>1372</v>
      </c>
      <c r="E8" s="983"/>
      <c r="F8" s="983"/>
      <c r="G8" s="983"/>
      <c r="H8" s="983"/>
      <c r="I8" s="983"/>
      <c r="J8" s="983"/>
      <c r="K8" s="983"/>
      <c r="L8" s="983"/>
      <c r="M8" s="983"/>
      <c r="N8" s="983"/>
      <c r="O8" s="983"/>
      <c r="P8" s="983"/>
      <c r="Q8" s="983"/>
      <c r="R8" s="983"/>
      <c r="S8" s="982"/>
      <c r="T8" s="983"/>
      <c r="U8" s="983"/>
      <c r="W8" s="99"/>
    </row>
    <row r="9" spans="1:25" ht="45">
      <c r="D9" s="982" t="s">
        <v>1338</v>
      </c>
      <c r="E9" s="983"/>
      <c r="F9" s="983"/>
      <c r="G9" s="983"/>
      <c r="H9" s="983"/>
      <c r="I9" s="983"/>
      <c r="J9" s="983"/>
      <c r="K9" s="983"/>
      <c r="L9" s="983"/>
      <c r="M9" s="983"/>
      <c r="N9" s="983"/>
      <c r="O9" s="983"/>
      <c r="P9" s="983"/>
      <c r="Q9" s="983"/>
      <c r="R9" s="983"/>
      <c r="S9" s="982"/>
      <c r="T9" s="983"/>
      <c r="U9" s="983"/>
      <c r="V9" s="171"/>
      <c r="W9" s="99"/>
    </row>
    <row r="10" spans="1:25" ht="18" customHeight="1">
      <c r="R10" s="70"/>
      <c r="W10" s="99"/>
    </row>
    <row r="11" spans="1:25">
      <c r="R11" s="659"/>
      <c r="W11" s="99"/>
    </row>
    <row r="12" spans="1:25" ht="63.75" customHeight="1">
      <c r="D12" s="1023">
        <v>2013</v>
      </c>
      <c r="E12" s="1023"/>
      <c r="F12" s="1023"/>
      <c r="G12" s="1023"/>
      <c r="H12" s="1023"/>
      <c r="I12" s="1023"/>
      <c r="J12" s="1023"/>
      <c r="K12" s="1023"/>
      <c r="L12" s="1023"/>
      <c r="M12" s="1023"/>
      <c r="N12" s="1023"/>
      <c r="O12" s="1023"/>
      <c r="P12" s="1023"/>
      <c r="Q12" s="1023"/>
      <c r="R12" s="1023"/>
      <c r="W12" s="99"/>
    </row>
    <row r="13" spans="1:25">
      <c r="A13" s="10">
        <v>777</v>
      </c>
      <c r="R13" s="659"/>
      <c r="W13" s="99"/>
    </row>
    <row r="14" spans="1:25">
      <c r="R14" s="659"/>
      <c r="W14" s="99"/>
    </row>
    <row r="15" spans="1:25">
      <c r="D15" s="972" t="str">
        <f>Q127</f>
        <v>Tucson, AZ, United States</v>
      </c>
      <c r="E15" s="972"/>
      <c r="F15" s="972"/>
      <c r="G15" s="972"/>
      <c r="H15" s="972"/>
      <c r="I15" s="972"/>
      <c r="J15" s="972"/>
      <c r="K15" s="972"/>
      <c r="L15" s="972"/>
      <c r="M15" s="972"/>
      <c r="N15" s="972"/>
      <c r="O15" s="972"/>
      <c r="P15" s="972"/>
      <c r="Q15" s="972"/>
      <c r="R15" s="972"/>
      <c r="S15" s="972"/>
      <c r="T15" s="972"/>
      <c r="U15" s="972"/>
      <c r="V15" s="972"/>
      <c r="W15" s="99"/>
    </row>
    <row r="16" spans="1:25">
      <c r="E16" s="62"/>
      <c r="F16" s="60"/>
      <c r="G16" s="60"/>
      <c r="H16" s="66"/>
      <c r="I16" s="66"/>
      <c r="J16" s="66"/>
      <c r="K16" s="66"/>
      <c r="L16" s="66"/>
      <c r="M16" s="66"/>
      <c r="N16" s="66"/>
      <c r="O16" s="66"/>
      <c r="P16" s="663" t="s">
        <v>1337</v>
      </c>
      <c r="Q16" s="75"/>
      <c r="R16" s="82"/>
      <c r="S16" s="60"/>
      <c r="T16" s="76"/>
      <c r="W16" s="99"/>
    </row>
    <row r="17" spans="3:23">
      <c r="D17" s="972" t="str">
        <f>Q128</f>
        <v>Dubai, United Arab Emirates</v>
      </c>
      <c r="E17" s="972"/>
      <c r="F17" s="972"/>
      <c r="G17" s="972"/>
      <c r="H17" s="972"/>
      <c r="I17" s="972"/>
      <c r="J17" s="972"/>
      <c r="K17" s="972"/>
      <c r="L17" s="972"/>
      <c r="M17" s="972"/>
      <c r="N17" s="972"/>
      <c r="O17" s="972"/>
      <c r="P17" s="972"/>
      <c r="Q17" s="972"/>
      <c r="R17" s="972"/>
      <c r="S17" s="972"/>
      <c r="T17" s="972"/>
      <c r="U17" s="972"/>
      <c r="V17" s="972"/>
      <c r="W17" s="99"/>
    </row>
    <row r="18" spans="3:23">
      <c r="E18" s="62"/>
      <c r="F18" s="60"/>
      <c r="G18" s="60"/>
      <c r="H18" s="66"/>
      <c r="I18" s="66"/>
      <c r="J18" s="66"/>
      <c r="K18" s="66"/>
      <c r="L18" s="66"/>
      <c r="M18" s="66"/>
      <c r="N18" s="66"/>
      <c r="O18" s="66"/>
      <c r="P18" s="66"/>
      <c r="Q18" s="75"/>
      <c r="R18" s="82"/>
      <c r="S18" s="60"/>
      <c r="T18" s="76"/>
      <c r="W18" s="99"/>
    </row>
    <row r="19" spans="3:23">
      <c r="R19" s="659"/>
      <c r="W19" s="99"/>
    </row>
    <row r="20" spans="3:23">
      <c r="R20" s="659"/>
      <c r="W20" s="99"/>
    </row>
    <row r="21" spans="3:23">
      <c r="R21" s="659"/>
      <c r="W21" s="99"/>
    </row>
    <row r="22" spans="3:23">
      <c r="D22" s="948" t="s">
        <v>1436</v>
      </c>
      <c r="E22" s="948"/>
      <c r="F22" s="948"/>
      <c r="G22" s="948"/>
      <c r="H22" s="948"/>
      <c r="I22" s="948"/>
      <c r="J22" s="948"/>
      <c r="K22" s="948"/>
      <c r="L22" s="948"/>
      <c r="M22" s="948"/>
      <c r="N22" s="948"/>
      <c r="O22" s="948"/>
      <c r="P22" s="948"/>
      <c r="Q22" s="948"/>
      <c r="R22" s="948"/>
      <c r="S22" s="948"/>
      <c r="T22" s="948"/>
      <c r="U22" s="948"/>
      <c r="V22" s="948"/>
      <c r="W22" s="99"/>
    </row>
    <row r="23" spans="3:23" ht="32.25" customHeight="1">
      <c r="R23" s="659"/>
      <c r="W23" s="99"/>
    </row>
    <row r="24" spans="3:23">
      <c r="E24" s="62"/>
      <c r="F24" s="60"/>
      <c r="G24" s="60"/>
      <c r="H24" s="66"/>
      <c r="I24" s="66"/>
      <c r="J24" s="66"/>
      <c r="K24" s="66"/>
      <c r="L24" s="66"/>
      <c r="M24" s="66"/>
      <c r="N24" s="66"/>
      <c r="O24" s="66"/>
      <c r="P24" s="66"/>
      <c r="Q24" s="75"/>
      <c r="R24" s="91"/>
      <c r="S24" s="60"/>
      <c r="T24" s="76"/>
      <c r="V24" s="3"/>
      <c r="W24" s="99"/>
    </row>
    <row r="25" spans="3:23">
      <c r="R25" s="659"/>
      <c r="W25" s="99"/>
    </row>
    <row r="26" spans="3:23">
      <c r="R26" s="659"/>
      <c r="W26" s="99"/>
    </row>
    <row r="27" spans="3:23">
      <c r="R27" s="659"/>
      <c r="W27" s="99"/>
    </row>
    <row r="28" spans="3:23">
      <c r="E28" s="62"/>
      <c r="F28" s="60"/>
      <c r="G28" s="60"/>
      <c r="H28" s="66"/>
      <c r="I28" s="66"/>
      <c r="J28" s="66"/>
      <c r="K28" s="66"/>
      <c r="L28" s="66"/>
      <c r="M28" s="66"/>
      <c r="N28" s="66"/>
      <c r="O28" s="66"/>
      <c r="P28" s="66"/>
      <c r="Q28" s="75"/>
      <c r="R28" s="91"/>
      <c r="S28" s="60"/>
      <c r="T28" s="76"/>
      <c r="W28" s="99"/>
    </row>
    <row r="29" spans="3:23">
      <c r="D29" s="65"/>
      <c r="E29" s="62"/>
      <c r="F29" s="60"/>
      <c r="G29" s="60"/>
      <c r="H29" s="66"/>
      <c r="I29" s="66"/>
      <c r="J29" s="66"/>
      <c r="K29" s="66"/>
      <c r="L29" s="66"/>
      <c r="M29" s="66"/>
      <c r="N29" s="66"/>
      <c r="O29" s="66"/>
      <c r="P29" s="66"/>
      <c r="Q29" s="75"/>
      <c r="R29" s="82"/>
      <c r="S29" s="60"/>
      <c r="T29" s="76"/>
      <c r="W29" s="99"/>
    </row>
    <row r="30" spans="3:23">
      <c r="D30" s="916" t="s">
        <v>1443</v>
      </c>
      <c r="E30" s="62"/>
      <c r="F30" s="60"/>
      <c r="G30" s="60"/>
      <c r="H30" s="66"/>
      <c r="I30" s="66"/>
      <c r="J30" s="66"/>
      <c r="K30" s="66"/>
      <c r="L30" s="66"/>
      <c r="M30" s="66"/>
      <c r="N30" s="66"/>
      <c r="O30" s="66"/>
      <c r="P30" s="66"/>
      <c r="Q30" s="75"/>
      <c r="R30" s="82"/>
      <c r="S30" s="60"/>
      <c r="T30" s="76"/>
      <c r="W30" s="99"/>
    </row>
    <row r="31" spans="3:23">
      <c r="C31" s="137"/>
      <c r="D31" s="30"/>
      <c r="E31" s="30"/>
      <c r="F31" s="10"/>
      <c r="G31" s="10"/>
      <c r="H31" s="15"/>
      <c r="I31" s="15"/>
      <c r="J31" s="15"/>
      <c r="K31" s="15"/>
      <c r="L31" s="15"/>
      <c r="M31" s="15"/>
      <c r="N31" s="15"/>
      <c r="O31" s="15"/>
      <c r="P31" s="15"/>
      <c r="Q31" s="71"/>
      <c r="R31" s="84"/>
      <c r="S31" s="10"/>
      <c r="T31" s="10"/>
      <c r="U31" s="10"/>
      <c r="V31" s="10"/>
      <c r="W31" s="138"/>
    </row>
    <row r="32" spans="3:23" hidden="1">
      <c r="F32" s="171"/>
      <c r="G32" s="171"/>
      <c r="R32" s="659"/>
      <c r="S32" s="171"/>
      <c r="T32" s="171"/>
      <c r="U32" s="171"/>
      <c r="V32" s="171"/>
      <c r="W32" s="99"/>
    </row>
    <row r="33" spans="4:23" hidden="1">
      <c r="F33" s="171"/>
      <c r="G33" s="171"/>
      <c r="R33" s="659"/>
      <c r="S33" s="171"/>
      <c r="T33" s="171"/>
      <c r="U33" s="171"/>
      <c r="V33" s="171"/>
      <c r="W33" s="99"/>
    </row>
    <row r="34" spans="4:23" hidden="1">
      <c r="F34" s="171"/>
      <c r="G34" s="171"/>
      <c r="R34" s="659"/>
      <c r="S34" s="171"/>
      <c r="T34" s="171"/>
      <c r="U34" s="171"/>
      <c r="V34" s="171"/>
      <c r="W34" s="99"/>
    </row>
    <row r="35" spans="4:23" hidden="1">
      <c r="F35" s="171"/>
      <c r="G35" s="171"/>
      <c r="R35" s="659"/>
      <c r="S35" s="171"/>
      <c r="T35" s="171"/>
      <c r="U35" s="171"/>
      <c r="V35" s="171"/>
      <c r="W35" s="99"/>
    </row>
    <row r="36" spans="4:23" hidden="1">
      <c r="F36" s="171"/>
      <c r="G36" s="171"/>
      <c r="R36" s="659"/>
      <c r="S36" s="171"/>
      <c r="T36" s="171"/>
      <c r="U36" s="171"/>
      <c r="V36" s="171"/>
      <c r="W36" s="99"/>
    </row>
    <row r="37" spans="4:23" hidden="1">
      <c r="F37" s="171"/>
      <c r="G37" s="171"/>
      <c r="R37" s="659"/>
      <c r="S37" s="171"/>
      <c r="T37" s="171"/>
      <c r="U37" s="171"/>
      <c r="V37" s="171"/>
      <c r="W37" s="99"/>
    </row>
    <row r="38" spans="4:23" hidden="1">
      <c r="F38" s="171"/>
      <c r="G38" s="171"/>
      <c r="R38" s="659"/>
      <c r="S38" s="171"/>
      <c r="T38" s="171"/>
      <c r="U38" s="171"/>
      <c r="V38" s="171"/>
      <c r="W38" s="99"/>
    </row>
    <row r="39" spans="4:23" hidden="1">
      <c r="F39" s="171"/>
      <c r="G39" s="171"/>
      <c r="R39" s="659"/>
      <c r="S39" s="171"/>
      <c r="T39" s="171"/>
      <c r="U39" s="171"/>
      <c r="V39" s="171"/>
      <c r="W39" s="99"/>
    </row>
    <row r="40" spans="4:23" hidden="1">
      <c r="D40" s="955" t="s">
        <v>1345</v>
      </c>
      <c r="E40" s="955"/>
      <c r="F40" s="955"/>
      <c r="G40" s="955"/>
      <c r="H40" s="955"/>
      <c r="I40" s="955"/>
      <c r="J40" s="955"/>
      <c r="K40" s="955"/>
      <c r="L40" s="955"/>
      <c r="M40" s="955"/>
      <c r="N40" s="955"/>
      <c r="O40" s="955"/>
      <c r="P40" s="955"/>
      <c r="Q40" s="955"/>
      <c r="R40" s="955"/>
      <c r="S40" s="171"/>
      <c r="T40" s="171"/>
      <c r="U40" s="171"/>
      <c r="V40" s="171"/>
      <c r="W40" s="99"/>
    </row>
    <row r="41" spans="4:23" ht="98.25" hidden="1" customHeight="1">
      <c r="D41" s="951" t="s">
        <v>1347</v>
      </c>
      <c r="E41" s="951"/>
      <c r="F41" s="951"/>
      <c r="G41" s="951"/>
      <c r="H41" s="951"/>
      <c r="I41" s="951"/>
      <c r="J41" s="951"/>
      <c r="K41" s="951"/>
      <c r="L41" s="951"/>
      <c r="M41" s="951"/>
      <c r="N41" s="951"/>
      <c r="O41" s="951"/>
      <c r="P41" s="951"/>
      <c r="Q41" s="951"/>
      <c r="R41" s="951"/>
      <c r="S41" s="171"/>
      <c r="T41" s="171"/>
      <c r="U41" s="171"/>
      <c r="V41" s="171"/>
      <c r="W41" s="99"/>
    </row>
    <row r="42" spans="4:23" ht="55.5" hidden="1" customHeight="1">
      <c r="D42" s="951" t="s">
        <v>1348</v>
      </c>
      <c r="E42" s="951"/>
      <c r="F42" s="951"/>
      <c r="G42" s="951"/>
      <c r="H42" s="951"/>
      <c r="I42" s="951"/>
      <c r="J42" s="951"/>
      <c r="K42" s="951"/>
      <c r="L42" s="951"/>
      <c r="M42" s="951"/>
      <c r="N42" s="951"/>
      <c r="O42" s="951"/>
      <c r="P42" s="951"/>
      <c r="Q42" s="951"/>
      <c r="R42" s="951"/>
      <c r="S42" s="171"/>
      <c r="T42" s="171"/>
      <c r="U42" s="171"/>
      <c r="V42" s="171"/>
      <c r="W42" s="99"/>
    </row>
    <row r="43" spans="4:23" ht="81" hidden="1" customHeight="1">
      <c r="D43" s="951" t="s">
        <v>1346</v>
      </c>
      <c r="E43" s="951"/>
      <c r="F43" s="951"/>
      <c r="G43" s="951"/>
      <c r="H43" s="951"/>
      <c r="I43" s="951"/>
      <c r="J43" s="951"/>
      <c r="K43" s="951"/>
      <c r="L43" s="951"/>
      <c r="M43" s="951"/>
      <c r="N43" s="951"/>
      <c r="O43" s="951"/>
      <c r="P43" s="951"/>
      <c r="Q43" s="951"/>
      <c r="R43" s="951"/>
      <c r="S43" s="171"/>
      <c r="T43" s="171"/>
      <c r="U43" s="171"/>
      <c r="V43" s="171"/>
      <c r="W43" s="99"/>
    </row>
    <row r="44" spans="4:23" hidden="1">
      <c r="F44" s="171"/>
      <c r="G44" s="171"/>
      <c r="R44" s="659"/>
      <c r="S44" s="171"/>
      <c r="T44" s="171"/>
      <c r="U44" s="171"/>
      <c r="V44" s="171"/>
      <c r="W44" s="99"/>
    </row>
    <row r="45" spans="4:23" hidden="1">
      <c r="F45" s="171"/>
      <c r="G45" s="171"/>
      <c r="R45" s="659"/>
      <c r="S45" s="171"/>
      <c r="T45" s="171"/>
      <c r="U45" s="171"/>
      <c r="V45" s="171"/>
      <c r="W45" s="99"/>
    </row>
    <row r="46" spans="4:23" hidden="1">
      <c r="R46" s="659"/>
      <c r="S46" s="171"/>
      <c r="T46" s="171"/>
      <c r="U46" s="171"/>
      <c r="V46" s="171"/>
      <c r="W46" s="99"/>
    </row>
    <row r="47" spans="4:23" hidden="1">
      <c r="R47" s="659"/>
      <c r="S47" s="171"/>
      <c r="T47" s="171"/>
      <c r="U47" s="171"/>
      <c r="V47" s="171"/>
      <c r="W47" s="99"/>
    </row>
    <row r="48" spans="4:23" hidden="1">
      <c r="R48" s="659"/>
      <c r="S48" s="171"/>
      <c r="T48" s="171"/>
      <c r="U48" s="171"/>
      <c r="V48" s="171"/>
      <c r="W48" s="99"/>
    </row>
    <row r="49" spans="2:24" hidden="1">
      <c r="R49" s="659"/>
      <c r="S49" s="171"/>
      <c r="T49" s="171"/>
      <c r="U49" s="171"/>
      <c r="V49" s="171"/>
      <c r="W49" s="99"/>
    </row>
    <row r="50" spans="2:24" hidden="1">
      <c r="F50" s="171"/>
      <c r="G50" s="171"/>
      <c r="R50" s="659"/>
      <c r="S50" s="171"/>
      <c r="T50" s="171"/>
      <c r="U50" s="171"/>
      <c r="V50" s="171"/>
      <c r="W50" s="99"/>
    </row>
    <row r="51" spans="2:24" hidden="1">
      <c r="F51" s="171"/>
      <c r="G51" s="171"/>
      <c r="R51" s="659"/>
      <c r="S51" s="171"/>
      <c r="T51" s="171"/>
      <c r="U51" s="171"/>
      <c r="V51" s="171"/>
      <c r="W51" s="99"/>
    </row>
    <row r="52" spans="2:24" hidden="1">
      <c r="F52" s="171"/>
      <c r="G52" s="171"/>
      <c r="R52" s="659"/>
      <c r="S52" s="171"/>
      <c r="T52" s="171"/>
      <c r="U52" s="171"/>
      <c r="V52" s="171"/>
      <c r="W52" s="99"/>
    </row>
    <row r="53" spans="2:24" hidden="1">
      <c r="F53" s="171"/>
      <c r="G53" s="171"/>
      <c r="R53" s="659"/>
      <c r="S53" s="171"/>
      <c r="T53" s="171"/>
      <c r="U53" s="171"/>
      <c r="V53" s="171"/>
      <c r="W53" s="99"/>
    </row>
    <row r="54" spans="2:24" hidden="1">
      <c r="F54" s="171"/>
      <c r="G54" s="171"/>
      <c r="R54" s="659"/>
      <c r="S54" s="171"/>
      <c r="T54" s="171"/>
      <c r="U54" s="171"/>
      <c r="V54" s="171"/>
      <c r="W54" s="99"/>
    </row>
    <row r="55" spans="2:24" hidden="1">
      <c r="F55" s="171"/>
      <c r="G55" s="171"/>
      <c r="R55" s="659"/>
      <c r="S55" s="171"/>
      <c r="T55" s="171"/>
      <c r="U55" s="171"/>
      <c r="V55" s="171"/>
      <c r="W55" s="99"/>
    </row>
    <row r="56" spans="2:24" hidden="1">
      <c r="C56" s="137"/>
      <c r="D56" s="30"/>
      <c r="E56" s="30"/>
      <c r="F56" s="10"/>
      <c r="G56" s="10"/>
      <c r="H56" s="15"/>
      <c r="I56" s="15"/>
      <c r="J56" s="15"/>
      <c r="K56" s="15"/>
      <c r="L56" s="15"/>
      <c r="M56" s="15"/>
      <c r="N56" s="15"/>
      <c r="O56" s="15"/>
      <c r="P56" s="15"/>
      <c r="Q56" s="71"/>
      <c r="R56" s="84"/>
      <c r="S56" s="10"/>
      <c r="T56" s="10"/>
      <c r="U56" s="10"/>
      <c r="V56" s="10"/>
      <c r="W56" s="138"/>
    </row>
    <row r="57" spans="2:24" s="10" customFormat="1" hidden="1">
      <c r="B57" s="87"/>
      <c r="C57" s="88"/>
      <c r="D57" s="65"/>
      <c r="E57" s="62"/>
      <c r="F57" s="60"/>
      <c r="G57" s="60"/>
      <c r="H57" s="66"/>
      <c r="I57" s="66"/>
      <c r="J57" s="66"/>
      <c r="K57" s="66"/>
      <c r="L57" s="66"/>
      <c r="M57" s="66"/>
      <c r="N57" s="66"/>
      <c r="O57" s="66"/>
      <c r="P57" s="66"/>
      <c r="Q57" s="75"/>
      <c r="R57" s="82"/>
      <c r="S57" s="60"/>
      <c r="T57" s="76"/>
      <c r="U57" s="1"/>
      <c r="V57" s="1"/>
      <c r="W57" s="99"/>
      <c r="X57" s="87"/>
    </row>
    <row r="58" spans="2:24" s="10" customFormat="1" hidden="1">
      <c r="B58" s="87"/>
      <c r="C58" s="88"/>
      <c r="D58" s="81"/>
      <c r="E58" s="62"/>
      <c r="F58" s="92"/>
      <c r="G58" s="92"/>
      <c r="H58" s="90"/>
      <c r="I58" s="90"/>
      <c r="J58" s="90"/>
      <c r="K58" s="90"/>
      <c r="L58" s="90"/>
      <c r="M58" s="90"/>
      <c r="N58" s="90"/>
      <c r="O58" s="90"/>
      <c r="P58" s="90"/>
      <c r="Q58" s="75"/>
      <c r="R58" s="91"/>
      <c r="S58" s="92"/>
      <c r="T58" s="94"/>
      <c r="U58" s="93"/>
      <c r="V58" s="93"/>
      <c r="W58" s="99"/>
    </row>
    <row r="59" spans="2:24" s="10" customFormat="1" hidden="1">
      <c r="B59" s="87"/>
      <c r="C59" s="178"/>
      <c r="D59" s="81"/>
      <c r="E59" s="181"/>
      <c r="F59" s="180"/>
      <c r="G59" s="180"/>
      <c r="H59" s="182"/>
      <c r="I59" s="182"/>
      <c r="J59" s="182"/>
      <c r="K59" s="182"/>
      <c r="L59" s="182"/>
      <c r="M59" s="182"/>
      <c r="N59" s="182"/>
      <c r="O59" s="182"/>
      <c r="P59" s="182"/>
      <c r="Q59" s="183"/>
      <c r="R59" s="184"/>
      <c r="S59" s="180"/>
      <c r="T59" s="185"/>
      <c r="U59" s="177"/>
      <c r="V59" s="177"/>
      <c r="W59" s="186"/>
    </row>
    <row r="60" spans="2:24" s="10" customFormat="1" hidden="1">
      <c r="B60" s="87"/>
      <c r="C60" s="178"/>
      <c r="D60" s="81"/>
      <c r="E60" s="181"/>
      <c r="F60" s="180"/>
      <c r="G60" s="180"/>
      <c r="H60" s="182"/>
      <c r="I60" s="182"/>
      <c r="J60" s="182"/>
      <c r="K60" s="182"/>
      <c r="L60" s="182"/>
      <c r="M60" s="182"/>
      <c r="N60" s="182"/>
      <c r="O60" s="182"/>
      <c r="P60" s="182"/>
      <c r="Q60" s="183"/>
      <c r="R60" s="184"/>
      <c r="S60" s="180"/>
      <c r="T60" s="185"/>
      <c r="U60" s="177"/>
      <c r="V60" s="177"/>
      <c r="W60" s="186"/>
    </row>
    <row r="61" spans="2:24" s="10" customFormat="1" ht="96" hidden="1" customHeight="1">
      <c r="B61" s="87"/>
      <c r="C61" s="178"/>
      <c r="D61" s="640" t="s">
        <v>1315</v>
      </c>
      <c r="E61" s="171"/>
      <c r="F61" s="171"/>
      <c r="G61" s="171"/>
      <c r="H61" s="171"/>
      <c r="I61" s="171"/>
      <c r="J61" s="171"/>
      <c r="K61" s="171"/>
      <c r="L61" s="171"/>
      <c r="M61" s="171"/>
      <c r="N61" s="171"/>
      <c r="O61" s="171"/>
      <c r="P61" s="171"/>
      <c r="Q61" s="171"/>
      <c r="R61" s="171"/>
      <c r="S61" s="180"/>
      <c r="T61" s="185"/>
      <c r="U61" s="177"/>
      <c r="V61" s="177"/>
      <c r="W61" s="186"/>
    </row>
    <row r="62" spans="2:24" s="106" customFormat="1" ht="88.5" hidden="1" customHeight="1">
      <c r="B62" s="105"/>
      <c r="C62" s="187"/>
      <c r="D62" s="1024" t="s">
        <v>1335</v>
      </c>
      <c r="E62" s="1024"/>
      <c r="F62" s="1024"/>
      <c r="G62" s="1024"/>
      <c r="H62" s="1024"/>
      <c r="I62" s="1024"/>
      <c r="J62" s="1024"/>
      <c r="K62" s="1024"/>
      <c r="L62" s="1024"/>
      <c r="M62" s="1024"/>
      <c r="N62" s="1024"/>
      <c r="O62" s="1024"/>
      <c r="P62" s="1024"/>
      <c r="Q62" s="1024"/>
      <c r="R62" s="1024"/>
      <c r="S62" s="188"/>
      <c r="T62" s="189"/>
      <c r="U62" s="190"/>
      <c r="V62" s="190"/>
      <c r="W62" s="191"/>
    </row>
    <row r="63" spans="2:24" s="106" customFormat="1" ht="121.5" hidden="1" customHeight="1">
      <c r="B63" s="105"/>
      <c r="C63" s="187"/>
      <c r="D63" s="1025" t="s">
        <v>1334</v>
      </c>
      <c r="E63" s="1025"/>
      <c r="F63" s="1025"/>
      <c r="G63" s="1025"/>
      <c r="H63" s="1025"/>
      <c r="I63" s="1025"/>
      <c r="J63" s="1025"/>
      <c r="K63" s="1025"/>
      <c r="L63" s="1025"/>
      <c r="M63" s="1025"/>
      <c r="N63" s="1025"/>
      <c r="O63" s="1025"/>
      <c r="P63" s="1025"/>
      <c r="Q63" s="1025"/>
      <c r="R63" s="1025"/>
      <c r="S63" s="192"/>
      <c r="T63" s="192"/>
      <c r="U63" s="192"/>
      <c r="V63" s="192"/>
      <c r="W63" s="191"/>
    </row>
    <row r="64" spans="2:24" s="10" customFormat="1" ht="113.25" hidden="1" customHeight="1">
      <c r="B64" s="87"/>
      <c r="C64" s="178"/>
      <c r="D64" s="951" t="s">
        <v>1313</v>
      </c>
      <c r="E64" s="951"/>
      <c r="F64" s="951"/>
      <c r="G64" s="951"/>
      <c r="H64" s="951"/>
      <c r="I64" s="951"/>
      <c r="J64" s="951"/>
      <c r="K64" s="951"/>
      <c r="L64" s="951"/>
      <c r="M64" s="951"/>
      <c r="N64" s="951"/>
      <c r="O64" s="951"/>
      <c r="P64" s="951"/>
      <c r="Q64" s="951"/>
      <c r="R64" s="951"/>
      <c r="S64" s="192"/>
      <c r="T64" s="192"/>
      <c r="U64" s="192"/>
      <c r="V64" s="192"/>
      <c r="W64" s="186"/>
    </row>
    <row r="65" spans="2:24" s="10" customFormat="1" ht="18.75" hidden="1" customHeight="1">
      <c r="B65" s="87"/>
      <c r="C65" s="171"/>
      <c r="D65" s="171"/>
      <c r="E65" s="171"/>
      <c r="F65" s="171"/>
      <c r="G65" s="171"/>
      <c r="H65" s="171"/>
      <c r="I65" s="171"/>
      <c r="J65" s="171"/>
      <c r="K65" s="171"/>
      <c r="L65" s="171"/>
      <c r="M65" s="171"/>
      <c r="N65" s="171"/>
      <c r="O65" s="171"/>
      <c r="P65" s="171"/>
      <c r="Q65" s="171"/>
      <c r="R65" s="171"/>
      <c r="S65" s="192"/>
      <c r="T65" s="192"/>
      <c r="U65" s="192"/>
      <c r="V65" s="192"/>
      <c r="W65" s="186"/>
    </row>
    <row r="66" spans="2:24" s="10" customFormat="1" ht="93.75" hidden="1" customHeight="1">
      <c r="B66" s="87"/>
      <c r="C66" s="171"/>
      <c r="D66" s="171"/>
      <c r="E66" s="171"/>
      <c r="F66" s="171"/>
      <c r="G66" s="171"/>
      <c r="H66" s="171"/>
      <c r="I66" s="171"/>
      <c r="J66" s="171"/>
      <c r="K66" s="171"/>
      <c r="L66" s="171"/>
      <c r="M66" s="171"/>
      <c r="N66" s="171"/>
      <c r="O66" s="171"/>
      <c r="P66" s="171"/>
      <c r="Q66" s="171"/>
      <c r="R66" s="171"/>
      <c r="S66" s="192"/>
      <c r="T66" s="192"/>
      <c r="U66" s="192"/>
      <c r="V66" s="192"/>
      <c r="W66" s="186"/>
    </row>
    <row r="67" spans="2:24" s="10" customFormat="1" ht="62.25" hidden="1" customHeight="1">
      <c r="B67" s="87"/>
      <c r="C67" s="171"/>
      <c r="D67" s="171"/>
      <c r="E67" s="171"/>
      <c r="F67" s="171"/>
      <c r="G67" s="171"/>
      <c r="H67" s="171"/>
      <c r="I67" s="171"/>
      <c r="J67" s="171"/>
      <c r="K67" s="171"/>
      <c r="L67" s="171"/>
      <c r="M67" s="171"/>
      <c r="N67" s="171"/>
      <c r="O67" s="171"/>
      <c r="P67" s="171"/>
      <c r="Q67" s="171"/>
      <c r="R67" s="171"/>
      <c r="S67" s="177"/>
      <c r="T67" s="177"/>
      <c r="U67" s="177"/>
      <c r="V67" s="177"/>
      <c r="W67" s="186"/>
    </row>
    <row r="68" spans="2:24" s="10" customFormat="1" ht="60" hidden="1" customHeight="1">
      <c r="B68" s="87"/>
      <c r="C68" s="171" t="s">
        <v>0</v>
      </c>
      <c r="D68" s="171"/>
      <c r="E68" s="171"/>
      <c r="F68" s="171"/>
      <c r="G68" s="171"/>
      <c r="H68" s="171"/>
      <c r="I68" s="171"/>
      <c r="J68" s="171"/>
      <c r="K68" s="171"/>
      <c r="L68" s="171"/>
      <c r="M68" s="171"/>
      <c r="N68" s="171"/>
      <c r="O68" s="171"/>
      <c r="P68" s="171"/>
      <c r="Q68" s="171"/>
      <c r="R68" s="171"/>
      <c r="S68" s="177"/>
      <c r="T68" s="177"/>
      <c r="U68" s="177"/>
      <c r="V68" s="177"/>
      <c r="W68" s="186"/>
    </row>
    <row r="69" spans="2:24" s="10" customFormat="1" hidden="1">
      <c r="B69" s="87"/>
      <c r="X69" s="87"/>
    </row>
    <row r="70" spans="2:24" s="10" customFormat="1" hidden="1">
      <c r="B70" s="87"/>
      <c r="C70" s="642"/>
      <c r="D70" s="171"/>
      <c r="E70" s="177"/>
      <c r="F70" s="177"/>
      <c r="G70" s="177"/>
      <c r="H70" s="177"/>
      <c r="I70" s="177"/>
      <c r="J70" s="177"/>
      <c r="K70" s="177"/>
      <c r="L70" s="177"/>
      <c r="M70" s="177"/>
      <c r="N70" s="177"/>
      <c r="O70" s="177"/>
      <c r="P70" s="177"/>
      <c r="Q70" s="177"/>
      <c r="R70" s="177"/>
      <c r="S70" s="177"/>
      <c r="T70" s="177"/>
      <c r="U70" s="177"/>
      <c r="V70" s="177"/>
      <c r="W70" s="186"/>
    </row>
    <row r="71" spans="2:24" s="10" customFormat="1" hidden="1">
      <c r="B71" s="87"/>
      <c r="C71" s="171"/>
      <c r="D71" s="1012"/>
      <c r="E71" s="1012"/>
      <c r="F71" s="1012"/>
      <c r="G71" s="1012"/>
      <c r="H71" s="1012"/>
      <c r="I71" s="1012"/>
      <c r="J71" s="1012"/>
      <c r="K71" s="1012"/>
      <c r="L71" s="1012"/>
      <c r="M71" s="1012"/>
      <c r="N71" s="1012"/>
      <c r="O71" s="1012"/>
      <c r="P71" s="1012"/>
      <c r="Q71" s="1012"/>
      <c r="R71" s="177"/>
      <c r="S71" s="177"/>
      <c r="T71" s="177"/>
      <c r="U71" s="177"/>
      <c r="V71" s="177"/>
      <c r="W71" s="186"/>
    </row>
    <row r="72" spans="2:24" s="10" customFormat="1" hidden="1">
      <c r="B72" s="87"/>
      <c r="C72" s="171"/>
      <c r="D72" s="623" t="s">
        <v>1332</v>
      </c>
      <c r="E72" s="196"/>
      <c r="F72" s="196"/>
      <c r="G72" s="196"/>
      <c r="H72" s="196"/>
      <c r="I72" s="196"/>
      <c r="J72" s="196"/>
      <c r="K72" s="196"/>
      <c r="L72" s="196"/>
      <c r="M72" s="196"/>
      <c r="N72" s="196"/>
      <c r="O72" s="196"/>
      <c r="P72" s="196"/>
      <c r="Q72" s="196"/>
      <c r="R72" s="324"/>
      <c r="S72" s="614"/>
      <c r="T72" s="614"/>
      <c r="U72" s="614"/>
      <c r="V72" s="614"/>
      <c r="W72" s="614"/>
    </row>
    <row r="73" spans="2:24" s="10" customFormat="1" hidden="1">
      <c r="B73" s="87"/>
      <c r="C73" s="171"/>
      <c r="D73" s="196"/>
      <c r="E73" s="196"/>
      <c r="F73" s="196"/>
      <c r="G73" s="196"/>
      <c r="H73" s="196"/>
      <c r="I73" s="196"/>
      <c r="J73" s="196"/>
      <c r="K73" s="196"/>
      <c r="L73" s="196"/>
      <c r="M73" s="196"/>
      <c r="N73" s="196"/>
      <c r="O73" s="196"/>
      <c r="P73" s="196"/>
      <c r="Q73" s="196"/>
      <c r="R73" s="324"/>
      <c r="S73" s="614"/>
      <c r="T73" s="614"/>
      <c r="U73" s="614"/>
      <c r="V73" s="614"/>
      <c r="W73" s="614"/>
    </row>
    <row r="74" spans="2:24" s="10" customFormat="1" ht="20.100000000000001" hidden="1" customHeight="1">
      <c r="B74" s="87"/>
      <c r="C74" s="171"/>
      <c r="D74" s="324" t="s">
        <v>1323</v>
      </c>
      <c r="E74" s="177"/>
      <c r="F74" s="177"/>
      <c r="G74" s="177"/>
      <c r="H74" s="177"/>
      <c r="I74" s="177"/>
      <c r="J74" s="177"/>
      <c r="K74" s="177"/>
      <c r="L74" s="177"/>
      <c r="M74" s="177"/>
      <c r="N74" s="177"/>
      <c r="O74" s="177"/>
      <c r="P74" s="177"/>
      <c r="Q74" s="177"/>
      <c r="R74" s="323" t="s">
        <v>1333</v>
      </c>
      <c r="S74" s="644"/>
      <c r="T74" s="645"/>
      <c r="U74" s="614"/>
      <c r="V74" s="647">
        <v>4</v>
      </c>
      <c r="W74" s="171"/>
    </row>
    <row r="75" spans="2:24" s="10" customFormat="1" ht="20.100000000000001" hidden="1" customHeight="1">
      <c r="B75" s="87"/>
      <c r="C75" s="171"/>
      <c r="D75" s="324" t="s">
        <v>1283</v>
      </c>
      <c r="E75" s="177"/>
      <c r="F75" s="177"/>
      <c r="G75" s="177"/>
      <c r="H75" s="177"/>
      <c r="I75" s="177"/>
      <c r="J75" s="177"/>
      <c r="K75" s="177"/>
      <c r="L75" s="177"/>
      <c r="M75" s="177"/>
      <c r="N75" s="177"/>
      <c r="O75" s="177"/>
      <c r="P75" s="177"/>
      <c r="Q75" s="177"/>
      <c r="R75" s="323" t="s">
        <v>1333</v>
      </c>
      <c r="S75" s="644"/>
      <c r="T75" s="645"/>
      <c r="U75" s="614"/>
      <c r="V75" s="647">
        <v>5</v>
      </c>
      <c r="W75" s="171"/>
    </row>
    <row r="76" spans="2:24" s="10" customFormat="1" ht="20.100000000000001" hidden="1" customHeight="1">
      <c r="B76" s="87"/>
      <c r="C76" s="171"/>
      <c r="D76" s="324"/>
      <c r="E76" s="324"/>
      <c r="F76" s="324"/>
      <c r="G76" s="324"/>
      <c r="H76" s="324"/>
      <c r="I76" s="324"/>
      <c r="J76" s="324"/>
      <c r="K76" s="324"/>
      <c r="L76" s="324"/>
      <c r="M76" s="324"/>
      <c r="N76" s="324"/>
      <c r="O76" s="324"/>
      <c r="P76" s="324"/>
      <c r="Q76" s="324"/>
      <c r="R76" s="323"/>
      <c r="S76" s="644"/>
      <c r="T76" s="645"/>
      <c r="U76" s="614"/>
      <c r="V76" s="614"/>
      <c r="W76" s="647"/>
    </row>
    <row r="77" spans="2:24" s="10" customFormat="1" ht="20.100000000000001" hidden="1" customHeight="1">
      <c r="B77" s="87"/>
      <c r="C77" s="171"/>
      <c r="D77" s="324" t="str">
        <f>D176</f>
        <v>PART 1 : Comparison Per Item</v>
      </c>
      <c r="E77" s="177"/>
      <c r="F77" s="177"/>
      <c r="G77" s="177"/>
      <c r="H77" s="177"/>
      <c r="I77" s="177"/>
      <c r="J77" s="177"/>
      <c r="K77" s="177"/>
      <c r="L77" s="177"/>
      <c r="M77" s="177"/>
      <c r="N77" s="177"/>
      <c r="O77" s="177"/>
      <c r="P77" s="177"/>
      <c r="Q77" s="177"/>
      <c r="R77" s="323" t="s">
        <v>1333</v>
      </c>
      <c r="S77" s="644"/>
      <c r="T77" s="645"/>
      <c r="U77" s="614"/>
      <c r="V77" s="647">
        <v>6</v>
      </c>
      <c r="W77" s="171"/>
    </row>
    <row r="78" spans="2:24" s="10" customFormat="1" ht="20.100000000000001" hidden="1" customHeight="1">
      <c r="B78" s="87"/>
      <c r="C78" s="171"/>
      <c r="D78" s="643" t="s">
        <v>1285</v>
      </c>
      <c r="E78" s="177"/>
      <c r="F78" s="177"/>
      <c r="G78" s="177"/>
      <c r="H78" s="177"/>
      <c r="I78" s="177"/>
      <c r="J78" s="177"/>
      <c r="K78" s="177"/>
      <c r="L78" s="177"/>
      <c r="M78" s="177"/>
      <c r="N78" s="177"/>
      <c r="O78" s="177"/>
      <c r="P78" s="177"/>
      <c r="Q78" s="177"/>
      <c r="R78" s="323" t="s">
        <v>1333</v>
      </c>
      <c r="S78" s="644"/>
      <c r="T78" s="645"/>
      <c r="U78" s="614"/>
      <c r="V78" s="647">
        <v>6</v>
      </c>
      <c r="W78" s="171"/>
    </row>
    <row r="79" spans="2:24" s="10" customFormat="1" ht="20.100000000000001" hidden="1" customHeight="1">
      <c r="B79" s="87"/>
      <c r="C79" s="171"/>
      <c r="D79" s="643" t="s">
        <v>1324</v>
      </c>
      <c r="E79" s="177"/>
      <c r="F79" s="177"/>
      <c r="G79" s="177"/>
      <c r="H79" s="177"/>
      <c r="I79" s="177"/>
      <c r="J79" s="177"/>
      <c r="K79" s="177"/>
      <c r="L79" s="177"/>
      <c r="M79" s="177"/>
      <c r="N79" s="177"/>
      <c r="O79" s="177"/>
      <c r="P79" s="177"/>
      <c r="Q79" s="177"/>
      <c r="R79" s="323" t="s">
        <v>1333</v>
      </c>
      <c r="S79" s="644"/>
      <c r="T79" s="645"/>
      <c r="U79" s="614"/>
      <c r="V79" s="647">
        <v>7</v>
      </c>
      <c r="W79" s="171"/>
    </row>
    <row r="80" spans="2:24" s="10" customFormat="1" ht="20.100000000000001" hidden="1" customHeight="1">
      <c r="B80" s="87"/>
      <c r="C80" s="171"/>
      <c r="D80" s="643" t="s">
        <v>1325</v>
      </c>
      <c r="E80" s="177"/>
      <c r="F80" s="177"/>
      <c r="G80" s="177"/>
      <c r="H80" s="177"/>
      <c r="I80" s="177"/>
      <c r="J80" s="177"/>
      <c r="K80" s="177"/>
      <c r="L80" s="177"/>
      <c r="M80" s="177"/>
      <c r="N80" s="177"/>
      <c r="O80" s="177"/>
      <c r="P80" s="177"/>
      <c r="Q80" s="177"/>
      <c r="R80" s="323" t="s">
        <v>1333</v>
      </c>
      <c r="S80" s="644"/>
      <c r="T80" s="645"/>
      <c r="U80" s="614"/>
      <c r="V80" s="647">
        <v>8</v>
      </c>
      <c r="W80" s="171"/>
    </row>
    <row r="81" spans="2:23" s="10" customFormat="1" ht="20.100000000000001" hidden="1" customHeight="1">
      <c r="B81" s="87"/>
      <c r="C81" s="171"/>
      <c r="D81" s="643" t="s">
        <v>1326</v>
      </c>
      <c r="E81" s="177"/>
      <c r="F81" s="177"/>
      <c r="G81" s="177"/>
      <c r="H81" s="177"/>
      <c r="I81" s="177"/>
      <c r="J81" s="177"/>
      <c r="K81" s="177"/>
      <c r="L81" s="177"/>
      <c r="M81" s="177"/>
      <c r="N81" s="177"/>
      <c r="O81" s="177"/>
      <c r="P81" s="177"/>
      <c r="Q81" s="177"/>
      <c r="R81" s="323" t="s">
        <v>1333</v>
      </c>
      <c r="S81" s="644"/>
      <c r="T81" s="645"/>
      <c r="U81" s="614"/>
      <c r="V81" s="647">
        <v>9</v>
      </c>
      <c r="W81" s="171"/>
    </row>
    <row r="82" spans="2:23" s="10" customFormat="1" ht="20.100000000000001" hidden="1" customHeight="1">
      <c r="B82" s="87"/>
      <c r="C82" s="171"/>
      <c r="D82" s="643" t="s">
        <v>1327</v>
      </c>
      <c r="E82" s="177"/>
      <c r="F82" s="177"/>
      <c r="G82" s="177"/>
      <c r="H82" s="177"/>
      <c r="I82" s="177"/>
      <c r="J82" s="177"/>
      <c r="K82" s="177"/>
      <c r="L82" s="177"/>
      <c r="M82" s="177"/>
      <c r="N82" s="177"/>
      <c r="O82" s="177"/>
      <c r="P82" s="177"/>
      <c r="Q82" s="177"/>
      <c r="R82" s="323" t="s">
        <v>1333</v>
      </c>
      <c r="S82" s="644"/>
      <c r="T82" s="645"/>
      <c r="U82" s="614"/>
      <c r="V82" s="647">
        <v>10</v>
      </c>
      <c r="W82" s="171"/>
    </row>
    <row r="83" spans="2:23" s="10" customFormat="1" ht="20.100000000000001" hidden="1" customHeight="1">
      <c r="B83" s="87"/>
      <c r="C83" s="171"/>
      <c r="D83" s="643" t="s">
        <v>1328</v>
      </c>
      <c r="E83" s="177"/>
      <c r="F83" s="177"/>
      <c r="G83" s="177"/>
      <c r="H83" s="177"/>
      <c r="I83" s="177"/>
      <c r="J83" s="177"/>
      <c r="K83" s="177"/>
      <c r="L83" s="177"/>
      <c r="M83" s="177"/>
      <c r="N83" s="177"/>
      <c r="O83" s="177"/>
      <c r="P83" s="177"/>
      <c r="Q83" s="177"/>
      <c r="R83" s="323" t="s">
        <v>1333</v>
      </c>
      <c r="S83" s="644"/>
      <c r="T83" s="645"/>
      <c r="U83" s="614"/>
      <c r="V83" s="647">
        <v>11</v>
      </c>
      <c r="W83" s="171"/>
    </row>
    <row r="84" spans="2:23" s="10" customFormat="1" ht="20.100000000000001" hidden="1" customHeight="1">
      <c r="B84" s="87"/>
      <c r="C84" s="171"/>
      <c r="D84" s="643" t="s">
        <v>1329</v>
      </c>
      <c r="E84" s="177"/>
      <c r="F84" s="177"/>
      <c r="G84" s="177"/>
      <c r="H84" s="177"/>
      <c r="I84" s="177"/>
      <c r="J84" s="177"/>
      <c r="K84" s="177"/>
      <c r="L84" s="177"/>
      <c r="M84" s="177"/>
      <c r="N84" s="177"/>
      <c r="O84" s="177"/>
      <c r="P84" s="177"/>
      <c r="Q84" s="177"/>
      <c r="R84" s="323" t="s">
        <v>1333</v>
      </c>
      <c r="S84" s="646"/>
      <c r="T84" s="646"/>
      <c r="U84" s="646"/>
      <c r="V84" s="647">
        <v>12</v>
      </c>
      <c r="W84" s="171"/>
    </row>
    <row r="85" spans="2:23" s="10" customFormat="1" ht="20.100000000000001" hidden="1" customHeight="1">
      <c r="B85" s="87"/>
      <c r="C85" s="171"/>
      <c r="D85" s="643" t="s">
        <v>1330</v>
      </c>
      <c r="E85" s="177"/>
      <c r="F85" s="177"/>
      <c r="G85" s="177"/>
      <c r="H85" s="177"/>
      <c r="I85" s="177"/>
      <c r="J85" s="177"/>
      <c r="K85" s="177"/>
      <c r="L85" s="177"/>
      <c r="M85" s="177"/>
      <c r="N85" s="177"/>
      <c r="O85" s="177"/>
      <c r="P85" s="177"/>
      <c r="Q85" s="177"/>
      <c r="R85" s="323" t="s">
        <v>1333</v>
      </c>
      <c r="S85" s="644"/>
      <c r="T85" s="645"/>
      <c r="U85" s="614"/>
      <c r="V85" s="647">
        <v>13</v>
      </c>
      <c r="W85" s="171"/>
    </row>
    <row r="86" spans="2:23" s="10" customFormat="1" ht="20.100000000000001" hidden="1" customHeight="1">
      <c r="B86" s="87"/>
      <c r="C86" s="171"/>
      <c r="D86" s="324"/>
      <c r="E86" s="324"/>
      <c r="F86" s="324"/>
      <c r="G86" s="324"/>
      <c r="H86" s="324"/>
      <c r="I86" s="324"/>
      <c r="J86" s="324"/>
      <c r="K86" s="324"/>
      <c r="L86" s="324"/>
      <c r="M86" s="324"/>
      <c r="N86" s="324"/>
      <c r="O86" s="324"/>
      <c r="P86" s="324"/>
      <c r="Q86" s="324"/>
      <c r="R86" s="323"/>
      <c r="S86" s="644"/>
      <c r="T86" s="645"/>
      <c r="U86" s="614"/>
      <c r="V86" s="614"/>
      <c r="W86" s="647"/>
    </row>
    <row r="87" spans="2:23" s="10" customFormat="1" ht="20.100000000000001" hidden="1" customHeight="1">
      <c r="B87" s="87"/>
      <c r="C87" s="171"/>
      <c r="D87" s="324" t="s">
        <v>1342</v>
      </c>
      <c r="E87" s="177"/>
      <c r="F87" s="177"/>
      <c r="G87" s="177"/>
      <c r="H87" s="177"/>
      <c r="I87" s="177"/>
      <c r="J87" s="177"/>
      <c r="K87" s="177"/>
      <c r="L87" s="177"/>
      <c r="M87" s="177"/>
      <c r="N87" s="177"/>
      <c r="O87" s="177"/>
      <c r="P87" s="171"/>
      <c r="Q87" s="177"/>
      <c r="R87" s="323" t="s">
        <v>1333</v>
      </c>
      <c r="S87" s="644"/>
      <c r="T87" s="645"/>
      <c r="U87" s="614"/>
      <c r="V87" s="647">
        <v>14</v>
      </c>
      <c r="W87" s="171"/>
    </row>
    <row r="88" spans="2:23" s="10" customFormat="1" ht="20.100000000000001" hidden="1" customHeight="1">
      <c r="B88" s="87"/>
      <c r="C88" s="171"/>
      <c r="D88" s="643" t="str">
        <f>D459</f>
        <v>Living in Tucson is cheaper than in Dubai</v>
      </c>
      <c r="E88" s="177"/>
      <c r="F88" s="177"/>
      <c r="G88" s="177"/>
      <c r="H88" s="177"/>
      <c r="I88" s="177"/>
      <c r="J88" s="177"/>
      <c r="K88" s="177"/>
      <c r="L88" s="177"/>
      <c r="M88" s="177"/>
      <c r="N88" s="177"/>
      <c r="O88" s="177"/>
      <c r="P88" s="177"/>
      <c r="Q88" s="177"/>
      <c r="R88" s="323" t="s">
        <v>1333</v>
      </c>
      <c r="S88" s="644"/>
      <c r="T88" s="645"/>
      <c r="U88" s="614"/>
      <c r="V88" s="647">
        <v>15</v>
      </c>
      <c r="W88" s="171"/>
    </row>
    <row r="89" spans="2:23" s="10" customFormat="1" ht="20.100000000000001" hidden="1" customHeight="1">
      <c r="B89" s="87"/>
      <c r="C89" s="171"/>
      <c r="D89" s="643" t="str">
        <f>D461</f>
        <v>Living Costs Difference by Category</v>
      </c>
      <c r="E89" s="177"/>
      <c r="F89" s="177"/>
      <c r="G89" s="177"/>
      <c r="H89" s="177"/>
      <c r="I89" s="177"/>
      <c r="J89" s="177"/>
      <c r="K89" s="177"/>
      <c r="L89" s="177"/>
      <c r="M89" s="177"/>
      <c r="N89" s="177"/>
      <c r="O89" s="177"/>
      <c r="P89" s="177"/>
      <c r="Q89" s="177"/>
      <c r="R89" s="323" t="s">
        <v>1333</v>
      </c>
      <c r="S89" s="644"/>
      <c r="T89" s="645"/>
      <c r="U89" s="614"/>
      <c r="V89" s="647">
        <v>15</v>
      </c>
      <c r="W89" s="647"/>
    </row>
    <row r="90" spans="2:23" s="10" customFormat="1" ht="20.100000000000001" hidden="1" customHeight="1">
      <c r="B90" s="87"/>
      <c r="C90" s="171"/>
      <c r="D90" s="643" t="s">
        <v>1286</v>
      </c>
      <c r="E90" s="177"/>
      <c r="F90" s="177"/>
      <c r="G90" s="177"/>
      <c r="H90" s="177"/>
      <c r="I90" s="177"/>
      <c r="J90" s="177"/>
      <c r="K90" s="177"/>
      <c r="L90" s="177"/>
      <c r="M90" s="177"/>
      <c r="N90" s="177"/>
      <c r="O90" s="177"/>
      <c r="P90" s="171"/>
      <c r="Q90" s="177"/>
      <c r="R90" s="323" t="s">
        <v>1333</v>
      </c>
      <c r="S90" s="614">
        <v>17</v>
      </c>
      <c r="T90" s="614"/>
      <c r="U90" s="614"/>
      <c r="V90" s="647">
        <v>15</v>
      </c>
      <c r="W90" s="647"/>
    </row>
    <row r="91" spans="2:23" s="10" customFormat="1" ht="20.100000000000001" hidden="1" customHeight="1">
      <c r="B91" s="87"/>
      <c r="C91" s="171"/>
      <c r="D91" s="643" t="str">
        <f>D509</f>
        <v>Personal Cost of Accomodation is more expensive in Dubai</v>
      </c>
      <c r="E91" s="177"/>
      <c r="F91" s="177"/>
      <c r="G91" s="177"/>
      <c r="H91" s="177"/>
      <c r="I91" s="177"/>
      <c r="J91" s="177"/>
      <c r="K91" s="177"/>
      <c r="L91" s="177"/>
      <c r="M91" s="177"/>
      <c r="N91" s="177"/>
      <c r="O91" s="177"/>
      <c r="P91" s="177"/>
      <c r="Q91" s="177"/>
      <c r="R91" s="323" t="s">
        <v>1333</v>
      </c>
      <c r="S91" s="614">
        <v>16</v>
      </c>
      <c r="T91" s="614"/>
      <c r="U91" s="614"/>
      <c r="V91" s="647">
        <v>16</v>
      </c>
      <c r="W91" s="647"/>
    </row>
    <row r="92" spans="2:23" s="10" customFormat="1" ht="20.100000000000001" hidden="1" customHeight="1">
      <c r="B92" s="87"/>
      <c r="C92" s="171"/>
      <c r="D92" s="643" t="str">
        <f>D541</f>
        <v>Personal Cost of Eating Out is cheaper in Dubai</v>
      </c>
      <c r="E92" s="177"/>
      <c r="F92" s="177"/>
      <c r="G92" s="177"/>
      <c r="H92" s="177"/>
      <c r="I92" s="177"/>
      <c r="J92" s="177"/>
      <c r="K92" s="177"/>
      <c r="L92" s="177"/>
      <c r="M92" s="177"/>
      <c r="N92" s="177"/>
      <c r="O92" s="177"/>
      <c r="P92" s="177"/>
      <c r="Q92" s="177"/>
      <c r="R92" s="323" t="s">
        <v>1333</v>
      </c>
      <c r="S92" s="614">
        <v>16</v>
      </c>
      <c r="T92" s="614"/>
      <c r="U92" s="614"/>
      <c r="V92" s="647">
        <v>16</v>
      </c>
      <c r="W92" s="647"/>
    </row>
    <row r="93" spans="2:23" s="10" customFormat="1" ht="20.100000000000001" hidden="1" customHeight="1">
      <c r="B93" s="87"/>
      <c r="C93" s="171"/>
      <c r="D93" s="643" t="str">
        <f>D583</f>
        <v>Personal Cost of Groceries is cheaper in Dubai</v>
      </c>
      <c r="E93" s="177"/>
      <c r="F93" s="177"/>
      <c r="G93" s="177"/>
      <c r="H93" s="177"/>
      <c r="I93" s="177"/>
      <c r="J93" s="177"/>
      <c r="K93" s="177"/>
      <c r="L93" s="177"/>
      <c r="M93" s="177"/>
      <c r="N93" s="177"/>
      <c r="O93" s="177"/>
      <c r="P93" s="177"/>
      <c r="Q93" s="177"/>
      <c r="R93" s="323" t="s">
        <v>1333</v>
      </c>
      <c r="S93" s="614">
        <v>17</v>
      </c>
      <c r="T93" s="614"/>
      <c r="U93" s="614"/>
      <c r="V93" s="647">
        <v>17</v>
      </c>
      <c r="W93" s="647"/>
    </row>
    <row r="94" spans="2:23" s="10" customFormat="1" ht="20.100000000000001" hidden="1" customHeight="1">
      <c r="B94" s="87"/>
      <c r="C94" s="171"/>
      <c r="D94" s="643" t="str">
        <f>D632</f>
        <v>Personal Cost of Transportation is cheaper in Dubai</v>
      </c>
      <c r="E94" s="177"/>
      <c r="F94" s="177"/>
      <c r="G94" s="177"/>
      <c r="H94" s="177"/>
      <c r="I94" s="177"/>
      <c r="J94" s="177"/>
      <c r="K94" s="177"/>
      <c r="L94" s="177"/>
      <c r="M94" s="177"/>
      <c r="N94" s="177"/>
      <c r="O94" s="177"/>
      <c r="P94" s="177"/>
      <c r="Q94" s="177"/>
      <c r="R94" s="323" t="s">
        <v>1333</v>
      </c>
      <c r="S94" s="614"/>
      <c r="T94" s="614"/>
      <c r="U94" s="614"/>
      <c r="V94" s="647">
        <v>18</v>
      </c>
      <c r="W94" s="171"/>
    </row>
    <row r="95" spans="2:23" s="10" customFormat="1" ht="20.100000000000001" hidden="1" customHeight="1">
      <c r="B95" s="87"/>
      <c r="C95" s="171"/>
      <c r="D95" s="643" t="str">
        <f>D668</f>
        <v>Personal Cost of Utilities is more expensive in Dubai</v>
      </c>
      <c r="E95" s="197"/>
      <c r="F95" s="197"/>
      <c r="G95" s="197"/>
      <c r="H95" s="197"/>
      <c r="I95" s="197"/>
      <c r="J95" s="197"/>
      <c r="K95" s="197"/>
      <c r="L95" s="197"/>
      <c r="M95" s="197"/>
      <c r="N95" s="197"/>
      <c r="O95" s="197"/>
      <c r="P95" s="197"/>
      <c r="Q95" s="197"/>
      <c r="R95" s="323" t="s">
        <v>1333</v>
      </c>
      <c r="S95" s="614"/>
      <c r="T95" s="614"/>
      <c r="U95" s="614"/>
      <c r="V95" s="647">
        <v>18</v>
      </c>
      <c r="W95" s="171"/>
    </row>
    <row r="96" spans="2:23" s="10" customFormat="1" ht="20.100000000000001" hidden="1" customHeight="1">
      <c r="B96" s="87"/>
      <c r="C96" s="171"/>
      <c r="D96" s="643" t="str">
        <f>D703</f>
        <v>Personal Cost of Recreation and Leisure is more expensive in Dubai</v>
      </c>
      <c r="E96" s="177"/>
      <c r="F96" s="177"/>
      <c r="G96" s="177"/>
      <c r="H96" s="177"/>
      <c r="I96" s="177"/>
      <c r="J96" s="177"/>
      <c r="K96" s="177"/>
      <c r="L96" s="177"/>
      <c r="M96" s="177"/>
      <c r="N96" s="177"/>
      <c r="O96" s="177"/>
      <c r="P96" s="177"/>
      <c r="Q96" s="177"/>
      <c r="R96" s="323" t="s">
        <v>1333</v>
      </c>
      <c r="S96" s="614"/>
      <c r="T96" s="614"/>
      <c r="U96" s="614"/>
      <c r="V96" s="647">
        <v>19</v>
      </c>
      <c r="W96" s="171"/>
    </row>
    <row r="97" spans="2:23" s="10" customFormat="1" ht="20.100000000000001" hidden="1" customHeight="1">
      <c r="B97" s="87"/>
      <c r="C97" s="171"/>
      <c r="D97" s="643" t="str">
        <f>D735</f>
        <v>Personal Cost of Apparel And Footwear is more expensive in Dubai</v>
      </c>
      <c r="E97" s="177"/>
      <c r="F97" s="177"/>
      <c r="G97" s="177"/>
      <c r="H97" s="177"/>
      <c r="I97" s="177"/>
      <c r="J97" s="177"/>
      <c r="K97" s="177"/>
      <c r="L97" s="177"/>
      <c r="M97" s="177"/>
      <c r="N97" s="177"/>
      <c r="O97" s="177"/>
      <c r="P97" s="177"/>
      <c r="Q97" s="177"/>
      <c r="R97" s="323" t="s">
        <v>1333</v>
      </c>
      <c r="S97" s="614"/>
      <c r="T97" s="614"/>
      <c r="U97" s="614"/>
      <c r="V97" s="647">
        <v>19</v>
      </c>
      <c r="W97" s="171"/>
    </row>
    <row r="98" spans="2:23" s="10" customFormat="1" ht="20.100000000000001" hidden="1" customHeight="1">
      <c r="B98" s="87"/>
      <c r="C98" s="171"/>
      <c r="D98" s="324"/>
      <c r="E98" s="324"/>
      <c r="F98" s="324"/>
      <c r="G98" s="324"/>
      <c r="H98" s="324"/>
      <c r="I98" s="324"/>
      <c r="J98" s="324"/>
      <c r="K98" s="324"/>
      <c r="L98" s="324"/>
      <c r="M98" s="324"/>
      <c r="N98" s="324"/>
      <c r="O98" s="324"/>
      <c r="P98" s="324"/>
      <c r="Q98" s="324"/>
      <c r="R98" s="323"/>
      <c r="S98" s="614"/>
      <c r="T98" s="614"/>
      <c r="U98" s="614"/>
      <c r="V98" s="614"/>
      <c r="W98" s="647"/>
    </row>
    <row r="99" spans="2:23" s="10" customFormat="1" ht="20.100000000000001" hidden="1" customHeight="1">
      <c r="B99" s="87"/>
      <c r="C99" s="642"/>
      <c r="D99" s="324" t="s">
        <v>1303</v>
      </c>
      <c r="E99" s="177"/>
      <c r="F99" s="177"/>
      <c r="G99" s="177"/>
      <c r="H99" s="177"/>
      <c r="I99" s="177"/>
      <c r="J99" s="177"/>
      <c r="K99" s="177"/>
      <c r="L99" s="177"/>
      <c r="M99" s="177"/>
      <c r="N99" s="177"/>
      <c r="O99" s="177"/>
      <c r="P99" s="177"/>
      <c r="Q99" s="177"/>
      <c r="R99" s="323" t="s">
        <v>1333</v>
      </c>
      <c r="S99" s="614"/>
      <c r="T99" s="614"/>
      <c r="U99" s="614"/>
      <c r="V99" s="647">
        <v>20</v>
      </c>
      <c r="W99" s="647"/>
    </row>
    <row r="100" spans="2:23" s="10" customFormat="1" ht="20.100000000000001" hidden="1" customHeight="1">
      <c r="B100" s="87"/>
      <c r="C100" s="171"/>
      <c r="D100" s="643" t="str">
        <f>D828</f>
        <v>Your Current Net Salary is comparable to USD6,779.31 in Dubai</v>
      </c>
      <c r="E100" s="177"/>
      <c r="F100" s="177"/>
      <c r="G100" s="177"/>
      <c r="H100" s="177"/>
      <c r="I100" s="177"/>
      <c r="J100" s="177"/>
      <c r="K100" s="177"/>
      <c r="L100" s="177"/>
      <c r="M100" s="177"/>
      <c r="N100" s="177"/>
      <c r="O100" s="177"/>
      <c r="P100" s="177"/>
      <c r="Q100" s="177"/>
      <c r="R100" s="323" t="s">
        <v>1333</v>
      </c>
      <c r="S100" s="614"/>
      <c r="T100" s="614"/>
      <c r="U100" s="614"/>
      <c r="V100" s="647">
        <v>21</v>
      </c>
      <c r="W100" s="647"/>
    </row>
    <row r="101" spans="2:23" s="10" customFormat="1" ht="20.100000000000001" hidden="1" customHeight="1">
      <c r="B101" s="87"/>
      <c r="C101" s="171"/>
      <c r="D101" s="643" t="s">
        <v>1331</v>
      </c>
      <c r="E101" s="177"/>
      <c r="F101" s="177"/>
      <c r="G101" s="177"/>
      <c r="H101" s="177"/>
      <c r="I101" s="177"/>
      <c r="J101" s="177"/>
      <c r="K101" s="177"/>
      <c r="L101" s="177"/>
      <c r="M101" s="177"/>
      <c r="N101" s="177"/>
      <c r="O101" s="177"/>
      <c r="P101" s="177"/>
      <c r="Q101" s="177"/>
      <c r="R101" s="323" t="s">
        <v>1333</v>
      </c>
      <c r="S101" s="644"/>
      <c r="T101" s="645"/>
      <c r="U101" s="614"/>
      <c r="V101" s="647">
        <v>22</v>
      </c>
      <c r="W101" s="647"/>
    </row>
    <row r="102" spans="2:23" s="10" customFormat="1" ht="20.100000000000001" hidden="1" customHeight="1">
      <c r="B102" s="87"/>
      <c r="C102" s="171"/>
      <c r="D102" s="643" t="str">
        <f>D881</f>
        <v>Comparing with Dubai average salary</v>
      </c>
      <c r="E102" s="177"/>
      <c r="F102" s="177"/>
      <c r="G102" s="177"/>
      <c r="H102" s="177"/>
      <c r="I102" s="177"/>
      <c r="J102" s="177"/>
      <c r="K102" s="177"/>
      <c r="L102" s="177"/>
      <c r="M102" s="177"/>
      <c r="N102" s="177"/>
      <c r="O102" s="177"/>
      <c r="P102" s="177"/>
      <c r="Q102" s="177"/>
      <c r="R102" s="323" t="s">
        <v>1333</v>
      </c>
      <c r="S102" s="644"/>
      <c r="T102" s="645"/>
      <c r="U102" s="614"/>
      <c r="V102" s="647">
        <v>23</v>
      </c>
      <c r="W102" s="647"/>
    </row>
    <row r="103" spans="2:23" s="10" customFormat="1" ht="20.100000000000001" hidden="1" customHeight="1">
      <c r="B103" s="87"/>
      <c r="C103" s="171"/>
      <c r="D103" s="643" t="str">
        <f>D885</f>
        <v>Where do you stand compared to the rest of Dubai</v>
      </c>
      <c r="E103" s="177"/>
      <c r="F103" s="177"/>
      <c r="G103" s="177"/>
      <c r="H103" s="177"/>
      <c r="I103" s="177"/>
      <c r="J103" s="177"/>
      <c r="K103" s="177"/>
      <c r="L103" s="177"/>
      <c r="M103" s="177"/>
      <c r="N103" s="177"/>
      <c r="O103" s="177"/>
      <c r="P103" s="177"/>
      <c r="Q103" s="177"/>
      <c r="R103" s="323" t="s">
        <v>1333</v>
      </c>
      <c r="S103" s="644"/>
      <c r="T103" s="645"/>
      <c r="U103" s="614"/>
      <c r="V103" s="647">
        <v>23</v>
      </c>
      <c r="W103" s="647"/>
    </row>
    <row r="104" spans="2:23" s="10" customFormat="1" ht="20.100000000000001" hidden="1" customHeight="1">
      <c r="B104" s="87"/>
      <c r="C104" s="171"/>
      <c r="D104" s="324" t="s">
        <v>1244</v>
      </c>
      <c r="E104" s="177"/>
      <c r="F104" s="177"/>
      <c r="G104" s="177"/>
      <c r="H104" s="177"/>
      <c r="I104" s="177"/>
      <c r="J104" s="177"/>
      <c r="K104" s="177"/>
      <c r="L104" s="177"/>
      <c r="M104" s="177"/>
      <c r="N104" s="177"/>
      <c r="O104" s="177"/>
      <c r="P104" s="177"/>
      <c r="Q104" s="177"/>
      <c r="R104" s="323" t="s">
        <v>1333</v>
      </c>
      <c r="S104" s="644"/>
      <c r="T104" s="645"/>
      <c r="U104" s="614"/>
      <c r="V104" s="647">
        <v>24</v>
      </c>
      <c r="W104" s="647"/>
    </row>
    <row r="105" spans="2:23" s="10" customFormat="1" hidden="1">
      <c r="B105" s="87"/>
      <c r="C105" s="171"/>
      <c r="D105" s="171"/>
      <c r="E105" s="177"/>
      <c r="F105" s="177"/>
      <c r="G105" s="177"/>
      <c r="H105" s="177"/>
      <c r="I105" s="177"/>
      <c r="J105" s="177"/>
      <c r="K105" s="177"/>
      <c r="L105" s="177"/>
      <c r="M105" s="177"/>
      <c r="N105" s="177"/>
      <c r="O105" s="177"/>
      <c r="P105" s="177"/>
      <c r="Q105" s="177"/>
      <c r="R105" s="184"/>
      <c r="S105" s="644"/>
      <c r="T105" s="645"/>
      <c r="U105" s="614"/>
      <c r="V105" s="614"/>
      <c r="W105" s="647"/>
    </row>
    <row r="106" spans="2:23" s="10" customFormat="1" hidden="1">
      <c r="B106" s="87"/>
    </row>
    <row r="107" spans="2:23" s="10" customFormat="1" hidden="1">
      <c r="B107" s="87"/>
      <c r="C107" s="178"/>
      <c r="D107" s="177"/>
      <c r="E107" s="177"/>
      <c r="F107" s="177"/>
      <c r="G107" s="177"/>
      <c r="H107" s="177"/>
      <c r="I107" s="177"/>
      <c r="J107" s="177"/>
      <c r="K107" s="177"/>
      <c r="L107" s="177"/>
      <c r="M107" s="177"/>
      <c r="N107" s="177"/>
      <c r="O107" s="177"/>
      <c r="P107" s="177"/>
      <c r="Q107" s="177"/>
      <c r="R107" s="184"/>
      <c r="S107" s="644"/>
      <c r="T107" s="645"/>
      <c r="U107" s="614"/>
      <c r="V107" s="614"/>
      <c r="W107" s="647"/>
    </row>
    <row r="108" spans="2:23" s="10" customFormat="1" hidden="1">
      <c r="B108" s="87"/>
      <c r="C108" s="178"/>
      <c r="D108" s="177"/>
      <c r="E108" s="177"/>
      <c r="F108" s="177"/>
      <c r="G108" s="177"/>
      <c r="H108" s="177"/>
      <c r="I108" s="177"/>
      <c r="J108" s="177"/>
      <c r="K108" s="177"/>
      <c r="L108" s="177"/>
      <c r="M108" s="177"/>
      <c r="N108" s="177"/>
      <c r="O108" s="177"/>
      <c r="P108" s="177"/>
      <c r="Q108" s="177"/>
      <c r="R108" s="184"/>
      <c r="S108" s="644"/>
      <c r="T108" s="645"/>
      <c r="U108" s="614"/>
      <c r="V108" s="614"/>
      <c r="W108" s="614"/>
    </row>
    <row r="109" spans="2:23" s="10" customFormat="1" hidden="1">
      <c r="B109" s="87"/>
      <c r="C109" s="178"/>
      <c r="D109" s="324"/>
      <c r="E109" s="324"/>
      <c r="F109" s="324"/>
      <c r="G109" s="324"/>
      <c r="H109" s="324"/>
      <c r="I109" s="324"/>
      <c r="J109" s="324"/>
      <c r="K109" s="324"/>
      <c r="L109" s="324"/>
      <c r="M109" s="324"/>
      <c r="N109" s="324"/>
      <c r="O109" s="324"/>
      <c r="P109" s="324"/>
      <c r="Q109" s="324"/>
      <c r="R109" s="323"/>
      <c r="S109" s="644"/>
      <c r="T109" s="645"/>
      <c r="U109" s="614"/>
      <c r="V109" s="614"/>
      <c r="W109" s="614"/>
    </row>
    <row r="110" spans="2:23" s="10" customFormat="1" ht="34.5" hidden="1">
      <c r="B110" s="87"/>
      <c r="C110" s="178"/>
      <c r="D110" s="199" t="s">
        <v>1316</v>
      </c>
      <c r="E110" s="177"/>
      <c r="F110" s="177"/>
      <c r="G110" s="177"/>
      <c r="H110" s="177"/>
      <c r="I110" s="177"/>
      <c r="J110" s="177"/>
      <c r="K110" s="177"/>
      <c r="L110" s="177"/>
      <c r="M110" s="177"/>
      <c r="N110" s="177"/>
      <c r="O110" s="177"/>
      <c r="P110" s="177"/>
      <c r="Q110" s="177"/>
      <c r="R110" s="184"/>
      <c r="S110" s="644"/>
      <c r="T110" s="645"/>
      <c r="U110" s="614"/>
      <c r="V110" s="614"/>
      <c r="W110" s="614"/>
    </row>
    <row r="111" spans="2:23" s="10" customFormat="1" hidden="1">
      <c r="B111" s="87"/>
      <c r="C111" s="178"/>
      <c r="D111" s="199"/>
      <c r="E111" s="177"/>
      <c r="F111" s="177"/>
      <c r="G111" s="177"/>
      <c r="H111" s="177"/>
      <c r="I111" s="177"/>
      <c r="J111" s="177"/>
      <c r="K111" s="177"/>
      <c r="L111" s="177"/>
      <c r="M111" s="177"/>
      <c r="N111" s="177"/>
      <c r="O111" s="177"/>
      <c r="P111" s="177"/>
      <c r="Q111" s="177"/>
      <c r="R111" s="184"/>
      <c r="S111" s="644"/>
      <c r="T111" s="644"/>
      <c r="U111" s="614"/>
      <c r="V111" s="614"/>
      <c r="W111" s="614"/>
    </row>
    <row r="112" spans="2:23" s="10" customFormat="1" ht="72" hidden="1" customHeight="1">
      <c r="B112" s="87"/>
      <c r="C112" s="178"/>
      <c r="D112" s="1003" t="str">
        <f>"This report compares the cost-of-living and salary adjustment and comparative analysis between "&amp;Q127&amp;" and "&amp;Q128&amp;". Overall based on your personal monthly spending patterns, "&amp;D155</f>
        <v xml:space="preserve">This report compares the cost-of-living and salary adjustment and comparative analysis between Tucson, AZ, United States and Dubai, United Arab Emirates. Overall based on your personal monthly spending patterns, the cost of living in Tucson, AZ, United States is 33.62% lower than in Dubai, United Arab Emirates. In other words, on average it is cheaper to live in Tucson than in Dubai. </v>
      </c>
      <c r="E112" s="1003"/>
      <c r="F112" s="1003"/>
      <c r="G112" s="1003"/>
      <c r="H112" s="1003"/>
      <c r="I112" s="1003"/>
      <c r="J112" s="1003"/>
      <c r="K112" s="1003"/>
      <c r="L112" s="1003"/>
      <c r="M112" s="1003"/>
      <c r="N112" s="1003"/>
      <c r="O112" s="1003"/>
      <c r="P112" s="1003"/>
      <c r="Q112" s="1003"/>
      <c r="R112" s="1003"/>
      <c r="S112" s="1003"/>
      <c r="T112" s="1003"/>
      <c r="U112" s="1003"/>
      <c r="V112" s="1003"/>
      <c r="W112" s="186"/>
    </row>
    <row r="113" spans="2:23" s="10" customFormat="1" ht="87" hidden="1" customHeight="1">
      <c r="B113" s="87"/>
      <c r="C113" s="178"/>
      <c r="D113" s="968" t="s">
        <v>1317</v>
      </c>
      <c r="E113" s="968"/>
      <c r="F113" s="968"/>
      <c r="G113" s="968"/>
      <c r="H113" s="968"/>
      <c r="I113" s="968"/>
      <c r="J113" s="968"/>
      <c r="K113" s="968"/>
      <c r="L113" s="968"/>
      <c r="M113" s="968"/>
      <c r="N113" s="968"/>
      <c r="O113" s="968"/>
      <c r="P113" s="968"/>
      <c r="Q113" s="968"/>
      <c r="R113" s="968"/>
      <c r="S113" s="968"/>
      <c r="T113" s="968"/>
      <c r="U113" s="968"/>
      <c r="V113" s="968"/>
      <c r="W113" s="186"/>
    </row>
    <row r="114" spans="2:23" s="10" customFormat="1" ht="35.25" hidden="1" customHeight="1">
      <c r="B114" s="87"/>
      <c r="C114" s="178"/>
      <c r="D114" s="968" t="s">
        <v>1320</v>
      </c>
      <c r="E114" s="968"/>
      <c r="F114" s="968"/>
      <c r="G114" s="968"/>
      <c r="H114" s="968"/>
      <c r="I114" s="968"/>
      <c r="J114" s="968"/>
      <c r="K114" s="968"/>
      <c r="L114" s="968"/>
      <c r="M114" s="968"/>
      <c r="N114" s="968"/>
      <c r="O114" s="968"/>
      <c r="P114" s="968"/>
      <c r="Q114" s="968"/>
      <c r="R114" s="968"/>
      <c r="S114" s="968"/>
      <c r="T114" s="968"/>
      <c r="U114" s="968"/>
      <c r="V114" s="968"/>
      <c r="W114" s="186"/>
    </row>
    <row r="115" spans="2:23" s="10" customFormat="1" ht="90" hidden="1" customHeight="1">
      <c r="B115" s="87"/>
      <c r="C115" s="178"/>
      <c r="D115" s="1003" t="str">
        <f>"living categories. The section evaluates this range of items, comparing average differences, broken down by category and then item per item. "&amp;"The section exhibits the results in a table and a chart, for quick and easy comparison.  This section aimed to identify the different sections, graphs and data comparing "&amp;Q127&amp;" and "&amp;Q128&amp;" in order for you to get a clear perspective and disclose any significant cost in each items that represent the components of cost of living. "</f>
        <v xml:space="preserve">living categories. The section evaluates this range of items, comparing average differences, broken down by category and then item per item. The section exhibits the results in a table and a chart, for quick and easy comparison.  This section aimed to identify the different sections, graphs and data comparing Tucson, AZ, United States and Dubai, United Arab Emirates in order for you to get a clear perspective and disclose any significant cost in each items that represent the components of cost of living. </v>
      </c>
      <c r="E115" s="1003"/>
      <c r="F115" s="1003"/>
      <c r="G115" s="1003"/>
      <c r="H115" s="1003"/>
      <c r="I115" s="1003"/>
      <c r="J115" s="1003"/>
      <c r="K115" s="1003"/>
      <c r="L115" s="1003"/>
      <c r="M115" s="1003"/>
      <c r="N115" s="1003"/>
      <c r="O115" s="1003"/>
      <c r="P115" s="1003"/>
      <c r="Q115" s="1003"/>
      <c r="R115" s="1003"/>
      <c r="S115" s="1003"/>
      <c r="T115" s="1003"/>
      <c r="U115" s="1003"/>
      <c r="V115" s="1003"/>
      <c r="W115" s="186"/>
    </row>
    <row r="116" spans="2:23" s="10" customFormat="1" ht="25.5" hidden="1" customHeight="1">
      <c r="B116" s="87"/>
      <c r="C116" s="178"/>
      <c r="D116" s="968" t="s">
        <v>1321</v>
      </c>
      <c r="E116" s="968"/>
      <c r="F116" s="968"/>
      <c r="G116" s="968"/>
      <c r="H116" s="968"/>
      <c r="I116" s="968"/>
      <c r="J116" s="968"/>
      <c r="K116" s="968"/>
      <c r="L116" s="968"/>
      <c r="M116" s="968"/>
      <c r="N116" s="968"/>
      <c r="O116" s="968"/>
      <c r="P116" s="968"/>
      <c r="Q116" s="968"/>
      <c r="R116" s="968"/>
      <c r="S116" s="968"/>
      <c r="T116" s="968"/>
      <c r="U116" s="968"/>
      <c r="V116" s="968"/>
      <c r="W116" s="186"/>
    </row>
    <row r="117" spans="2:23" s="10" customFormat="1" ht="62.25" hidden="1" customHeight="1">
      <c r="B117" s="87"/>
      <c r="C117" s="178"/>
      <c r="D117" s="1027" t="str">
        <f>"approximate cost per month for each item that represent your cost of living in "&amp;Q128&amp;". "&amp;D156</f>
        <v>approximate cost per month for each item that represent your cost of living in Dubai, United Arab Emirates. Not all categories in Tucson, AZ, United States are lower than in Dubai, United Arab Emirates . Only 4 out of 7 categories are lower than in Dubai, United Arab Emirates. Accomodation is the cheapest category.</v>
      </c>
      <c r="E117" s="1027"/>
      <c r="F117" s="1027"/>
      <c r="G117" s="1027"/>
      <c r="H117" s="1027"/>
      <c r="I117" s="1027"/>
      <c r="J117" s="1027"/>
      <c r="K117" s="1027"/>
      <c r="L117" s="1027"/>
      <c r="M117" s="1027"/>
      <c r="N117" s="1027"/>
      <c r="O117" s="1027"/>
      <c r="P117" s="1027"/>
      <c r="Q117" s="1027"/>
      <c r="R117" s="1027"/>
      <c r="S117" s="1027"/>
      <c r="T117" s="1027"/>
      <c r="U117" s="1027"/>
      <c r="V117" s="1027"/>
      <c r="W117" s="186"/>
    </row>
    <row r="118" spans="2:23" s="10" customFormat="1" ht="15" hidden="1" customHeight="1">
      <c r="B118" s="87"/>
      <c r="C118" s="178"/>
      <c r="D118" s="200" t="s">
        <v>1322</v>
      </c>
      <c r="E118" s="198"/>
      <c r="F118" s="198"/>
      <c r="G118" s="198"/>
      <c r="H118" s="198"/>
      <c r="I118" s="198"/>
      <c r="J118" s="198"/>
      <c r="K118" s="198"/>
      <c r="L118" s="198"/>
      <c r="M118" s="198"/>
      <c r="N118" s="198"/>
      <c r="O118" s="198"/>
      <c r="P118" s="1003" t="str">
        <f>"report analyze your current net salary after tax in "</f>
        <v xml:space="preserve">report analyze your current net salary after tax in </v>
      </c>
      <c r="Q118" s="1003"/>
      <c r="R118" s="1003"/>
      <c r="S118" s="1003"/>
      <c r="T118" s="1003"/>
      <c r="U118" s="1003"/>
      <c r="V118" s="1003"/>
      <c r="W118" s="186"/>
    </row>
    <row r="119" spans="2:23" s="10" customFormat="1" ht="106.5" hidden="1" customHeight="1">
      <c r="B119" s="87"/>
      <c r="C119" s="178"/>
      <c r="D119" s="1003" t="str">
        <f>Q127&amp;" and determines for a comparable salary after tax in "&amp;Q128&amp;". "&amp;D153&amp;D152</f>
        <v>Tucson, AZ, United States and determines for a comparable salary after tax in Dubai, United Arab Emirates. As  you  are  being  offered a  salary  of USD2,500.00 after-tax income in Dubai, the purchasing power of that amount is 63.12% less than the after-tax income amount in Tucson. Therefore, your current home net salary after tax of USD4,500.00 in Tucson is comparable to an amount of USD6,779.31 in Dubai . Strictly speaking, you would have to earn at least USD6,779.31 in Dubai to maintain your current lifestyle of USD4,500.00 in Tucson.</v>
      </c>
      <c r="E119" s="1003"/>
      <c r="F119" s="1003"/>
      <c r="G119" s="1003"/>
      <c r="H119" s="1003"/>
      <c r="I119" s="1003"/>
      <c r="J119" s="1003"/>
      <c r="K119" s="1003"/>
      <c r="L119" s="1003"/>
      <c r="M119" s="1003"/>
      <c r="N119" s="1003"/>
      <c r="O119" s="1003"/>
      <c r="P119" s="1003"/>
      <c r="Q119" s="1003"/>
      <c r="R119" s="1003"/>
      <c r="S119" s="1003"/>
      <c r="T119" s="1003"/>
      <c r="U119" s="1003"/>
      <c r="V119" s="1003"/>
      <c r="W119" s="186"/>
    </row>
    <row r="120" spans="2:23" s="10" customFormat="1" ht="89.25" hidden="1" customHeight="1">
      <c r="B120" s="87"/>
      <c r="C120" s="178"/>
      <c r="D120" s="1003" t="str">
        <f>$D$154</f>
        <v>In conclusion, you have a deficit, meaning that you need an additional USD4,279.31 (apart from USD2,500.00 of the expected net salary) in order to maintain the same purchasing power of USD4,500.00 as in Tucson while in Dubai.</v>
      </c>
      <c r="E120" s="1003"/>
      <c r="F120" s="1003"/>
      <c r="G120" s="1003"/>
      <c r="H120" s="1003"/>
      <c r="I120" s="1003"/>
      <c r="J120" s="1003"/>
      <c r="K120" s="1003"/>
      <c r="L120" s="1003"/>
      <c r="M120" s="1003"/>
      <c r="N120" s="1003"/>
      <c r="O120" s="1003"/>
      <c r="P120" s="1003"/>
      <c r="Q120" s="1003"/>
      <c r="R120" s="1003"/>
      <c r="S120" s="1003"/>
      <c r="T120" s="1003"/>
      <c r="U120" s="1003"/>
      <c r="V120" s="1003"/>
      <c r="W120" s="186"/>
    </row>
    <row r="121" spans="2:23" s="10" customFormat="1" ht="21.75" hidden="1" customHeight="1">
      <c r="B121" s="87"/>
      <c r="C121" s="178"/>
      <c r="D121" s="201"/>
      <c r="E121" s="201"/>
      <c r="F121" s="201"/>
      <c r="G121" s="201"/>
      <c r="H121" s="201"/>
      <c r="I121" s="201"/>
      <c r="J121" s="201"/>
      <c r="K121" s="201"/>
      <c r="L121" s="201"/>
      <c r="M121" s="201"/>
      <c r="N121" s="201"/>
      <c r="O121" s="201"/>
      <c r="P121" s="201"/>
      <c r="Q121" s="201"/>
      <c r="R121" s="201"/>
      <c r="S121" s="201"/>
      <c r="T121" s="201"/>
      <c r="U121" s="201"/>
      <c r="V121" s="201"/>
      <c r="W121" s="186"/>
    </row>
    <row r="122" spans="2:23" s="10" customFormat="1" ht="21.75" hidden="1" customHeight="1">
      <c r="B122" s="87"/>
      <c r="C122" s="178"/>
      <c r="D122" s="201"/>
      <c r="E122" s="201"/>
      <c r="F122" s="201"/>
      <c r="G122" s="201"/>
      <c r="H122" s="201"/>
      <c r="I122" s="201"/>
      <c r="J122" s="201"/>
      <c r="K122" s="201"/>
      <c r="L122" s="201"/>
      <c r="M122" s="201"/>
      <c r="N122" s="201"/>
      <c r="O122" s="201"/>
      <c r="P122" s="201"/>
      <c r="Q122" s="201"/>
      <c r="R122" s="201"/>
      <c r="S122" s="201"/>
      <c r="T122" s="201"/>
      <c r="U122" s="201"/>
      <c r="V122" s="201"/>
      <c r="W122" s="186"/>
    </row>
    <row r="123" spans="2:23" s="10" customFormat="1" ht="21.75" hidden="1" customHeight="1">
      <c r="B123" s="87"/>
    </row>
    <row r="124" spans="2:23" s="10" customFormat="1" ht="18.75" hidden="1" customHeight="1">
      <c r="B124" s="87"/>
      <c r="C124" s="178"/>
      <c r="D124" s="201"/>
      <c r="E124" s="201"/>
      <c r="F124" s="201"/>
      <c r="G124" s="201"/>
      <c r="H124" s="201"/>
      <c r="I124" s="201"/>
      <c r="J124" s="201"/>
      <c r="K124" s="201"/>
      <c r="L124" s="201"/>
      <c r="M124" s="201"/>
      <c r="N124" s="201"/>
      <c r="O124" s="201"/>
      <c r="P124" s="201"/>
      <c r="Q124" s="201"/>
      <c r="R124" s="201"/>
      <c r="S124" s="201"/>
      <c r="T124" s="201"/>
      <c r="U124" s="201"/>
      <c r="V124" s="201"/>
      <c r="W124" s="186"/>
    </row>
    <row r="125" spans="2:23" s="10" customFormat="1" ht="37.5" hidden="1" customHeight="1">
      <c r="B125" s="87"/>
      <c r="C125" s="202"/>
      <c r="D125" s="203"/>
      <c r="E125" s="204"/>
      <c r="F125" s="205"/>
      <c r="G125" s="205"/>
      <c r="H125" s="206"/>
      <c r="I125" s="206"/>
      <c r="J125" s="207"/>
      <c r="K125" s="207"/>
      <c r="L125" s="207"/>
      <c r="M125" s="207"/>
      <c r="N125" s="207"/>
      <c r="O125" s="207"/>
      <c r="P125" s="208" t="s">
        <v>1283</v>
      </c>
      <c r="Q125" s="209"/>
      <c r="R125" s="210"/>
      <c r="S125" s="211"/>
      <c r="T125" s="212"/>
      <c r="U125" s="211"/>
      <c r="V125" s="211"/>
      <c r="W125" s="186"/>
    </row>
    <row r="126" spans="2:23" s="10" customFormat="1" ht="30" hidden="1" customHeight="1">
      <c r="B126" s="87"/>
      <c r="C126" s="202"/>
      <c r="D126" s="213"/>
      <c r="E126" s="214"/>
      <c r="F126" s="182"/>
      <c r="G126" s="182"/>
      <c r="H126" s="213"/>
      <c r="I126" s="213"/>
      <c r="J126" s="215"/>
      <c r="K126" s="215"/>
      <c r="L126" s="215"/>
      <c r="M126" s="215"/>
      <c r="N126" s="215"/>
      <c r="O126" s="215"/>
      <c r="P126" s="213"/>
      <c r="Q126" s="216" t="str">
        <f>Info!$F$12&amp;"                                  "</f>
        <v xml:space="preserve">4500                                  </v>
      </c>
      <c r="R126" s="184"/>
      <c r="S126" s="180"/>
      <c r="T126" s="185"/>
      <c r="U126" s="177"/>
      <c r="V126" s="177"/>
      <c r="W126" s="186"/>
    </row>
    <row r="127" spans="2:23" s="10" customFormat="1" ht="25.5" hidden="1" customHeight="1">
      <c r="B127" s="87"/>
      <c r="C127" s="217">
        <v>1</v>
      </c>
      <c r="D127" s="218" t="s">
        <v>1230</v>
      </c>
      <c r="E127" s="219"/>
      <c r="F127" s="220"/>
      <c r="G127" s="220"/>
      <c r="H127" s="221"/>
      <c r="I127" s="221"/>
      <c r="J127" s="220" t="str">
        <f>RIGHT(I129,5)</f>
        <v>rates</v>
      </c>
      <c r="K127" s="220"/>
      <c r="L127" s="220"/>
      <c r="M127" s="220"/>
      <c r="N127" s="220"/>
      <c r="O127" s="220"/>
      <c r="P127" s="190"/>
      <c r="Q127" s="222" t="str">
        <f>Info!P7</f>
        <v>Tucson, AZ, United States</v>
      </c>
      <c r="R127" s="177"/>
      <c r="S127" s="180"/>
      <c r="T127" s="185"/>
      <c r="U127" s="177"/>
      <c r="V127" s="177"/>
      <c r="W127" s="186"/>
    </row>
    <row r="128" spans="2:23" s="10" customFormat="1" ht="25.5" hidden="1" customHeight="1">
      <c r="B128" s="87"/>
      <c r="C128" s="217">
        <v>2</v>
      </c>
      <c r="D128" s="223" t="s">
        <v>1229</v>
      </c>
      <c r="E128" s="219"/>
      <c r="F128" s="220"/>
      <c r="G128" s="220"/>
      <c r="H128" s="221"/>
      <c r="I128" s="221"/>
      <c r="J128" s="220"/>
      <c r="K128" s="220"/>
      <c r="L128" s="220"/>
      <c r="M128" s="220"/>
      <c r="N128" s="220"/>
      <c r="O128" s="220"/>
      <c r="P128" s="190"/>
      <c r="Q128" s="220" t="str">
        <f>Info!$F$14</f>
        <v>Dubai, United Arab Emirates</v>
      </c>
      <c r="R128" s="224"/>
      <c r="S128" s="180"/>
      <c r="T128" s="185"/>
      <c r="U128" s="177"/>
      <c r="V128" s="177"/>
      <c r="W128" s="186"/>
    </row>
    <row r="129" spans="2:24" s="10" customFormat="1" ht="17.25" hidden="1" customHeight="1">
      <c r="B129" s="105"/>
      <c r="C129" s="217">
        <v>3</v>
      </c>
      <c r="D129" s="223" t="s">
        <v>1231</v>
      </c>
      <c r="E129" s="225"/>
      <c r="F129" s="226"/>
      <c r="G129" s="226"/>
      <c r="H129" s="227"/>
      <c r="I129" s="228" t="str">
        <f>Info!F14</f>
        <v>Dubai, United Arab Emirates</v>
      </c>
      <c r="J129" s="226"/>
      <c r="K129" s="226"/>
      <c r="L129" s="226"/>
      <c r="M129" s="226"/>
      <c r="N129" s="226"/>
      <c r="O129" s="226"/>
      <c r="P129" s="190"/>
      <c r="Q129" s="229">
        <f>Info!$F$12</f>
        <v>4500</v>
      </c>
      <c r="R129" s="230"/>
      <c r="S129" s="188"/>
      <c r="T129" s="189"/>
      <c r="U129" s="190"/>
      <c r="V129" s="190"/>
      <c r="W129" s="191"/>
      <c r="X129" s="106"/>
    </row>
    <row r="130" spans="2:24" s="10" customFormat="1" ht="33.75" hidden="1" customHeight="1">
      <c r="B130" s="87"/>
      <c r="C130" s="217">
        <v>4</v>
      </c>
      <c r="D130" s="223" t="s">
        <v>1295</v>
      </c>
      <c r="E130" s="231"/>
      <c r="F130" s="231"/>
      <c r="G130" s="231"/>
      <c r="H130" s="231"/>
      <c r="I130" s="231" t="s">
        <v>1293</v>
      </c>
      <c r="J130" s="231"/>
      <c r="K130" s="231"/>
      <c r="L130" s="231"/>
      <c r="M130" s="231"/>
      <c r="N130" s="231"/>
      <c r="O130" s="231"/>
      <c r="P130" s="190"/>
      <c r="Q130" s="229">
        <f>Info!$F$16</f>
        <v>2500</v>
      </c>
      <c r="R130" s="224"/>
      <c r="S130" s="180"/>
      <c r="T130" s="185"/>
      <c r="U130" s="177"/>
      <c r="V130" s="177"/>
      <c r="W130" s="186"/>
    </row>
    <row r="131" spans="2:24" s="10" customFormat="1" ht="17.25" hidden="1" customHeight="1">
      <c r="B131" s="105"/>
      <c r="C131" s="217">
        <v>5</v>
      </c>
      <c r="D131" s="223" t="s">
        <v>1232</v>
      </c>
      <c r="E131" s="232"/>
      <c r="F131" s="232" t="s">
        <v>0</v>
      </c>
      <c r="G131" s="232"/>
      <c r="H131" s="232"/>
      <c r="I131" s="232" t="s">
        <v>769</v>
      </c>
      <c r="J131" s="232"/>
      <c r="K131" s="232"/>
      <c r="L131" s="232"/>
      <c r="M131" s="232"/>
      <c r="N131" s="232"/>
      <c r="O131" s="232"/>
      <c r="P131" s="190"/>
      <c r="Q131" s="233" t="str">
        <f>Info!F8</f>
        <v>US Dollar</v>
      </c>
      <c r="R131" s="230"/>
      <c r="S131" s="188"/>
      <c r="T131" s="189"/>
      <c r="U131" s="190"/>
      <c r="V131" s="190"/>
      <c r="W131" s="191"/>
      <c r="X131" s="106"/>
    </row>
    <row r="132" spans="2:24" s="10" customFormat="1" ht="28.5" hidden="1" customHeight="1">
      <c r="B132" s="87"/>
      <c r="C132" s="217">
        <v>6</v>
      </c>
      <c r="D132" s="223">
        <f>Info!H8</f>
        <v>0</v>
      </c>
      <c r="E132" s="177"/>
      <c r="F132" s="177"/>
      <c r="G132" s="177"/>
      <c r="H132" s="177"/>
      <c r="I132" s="177"/>
      <c r="J132" s="177"/>
      <c r="K132" s="177"/>
      <c r="L132" s="177"/>
      <c r="M132" s="177"/>
      <c r="N132" s="177"/>
      <c r="O132" s="177"/>
      <c r="P132" s="190"/>
      <c r="Q132" s="234" t="str">
        <f>Info!$J$8</f>
        <v>USD</v>
      </c>
      <c r="R132" s="184"/>
      <c r="S132" s="180"/>
      <c r="T132" s="185"/>
      <c r="U132" s="177"/>
      <c r="V132" s="177"/>
      <c r="W132" s="186"/>
    </row>
    <row r="133" spans="2:24" s="10" customFormat="1" ht="15" hidden="1" customHeight="1">
      <c r="B133" s="105"/>
      <c r="C133" s="235"/>
      <c r="D133" s="187"/>
      <c r="E133" s="187"/>
      <c r="F133" s="187"/>
      <c r="G133" s="187"/>
      <c r="H133" s="187"/>
      <c r="I133" s="187"/>
      <c r="J133" s="187"/>
      <c r="K133" s="187"/>
      <c r="L133" s="187"/>
      <c r="M133" s="187"/>
      <c r="N133" s="187"/>
      <c r="O133" s="187"/>
      <c r="P133" s="187"/>
      <c r="Q133" s="190"/>
      <c r="R133" s="236"/>
      <c r="S133" s="188"/>
      <c r="T133" s="189"/>
      <c r="U133" s="190"/>
      <c r="V133" s="190"/>
      <c r="W133" s="191"/>
      <c r="X133" s="106"/>
    </row>
    <row r="134" spans="2:24" s="10" customFormat="1" ht="15" hidden="1" customHeight="1">
      <c r="B134" s="105"/>
      <c r="C134" s="235"/>
      <c r="D134" s="233"/>
      <c r="E134" s="190"/>
      <c r="F134" s="190"/>
      <c r="G134" s="190"/>
      <c r="H134" s="190"/>
      <c r="I134" s="190"/>
      <c r="J134" s="190"/>
      <c r="K134" s="190"/>
      <c r="L134" s="190"/>
      <c r="M134" s="190"/>
      <c r="N134" s="190"/>
      <c r="O134" s="190"/>
      <c r="P134" s="190"/>
      <c r="Q134" s="190"/>
      <c r="R134" s="236"/>
      <c r="S134" s="188"/>
      <c r="T134" s="189"/>
      <c r="U134" s="190"/>
      <c r="V134" s="190"/>
      <c r="W134" s="191"/>
      <c r="X134" s="106"/>
    </row>
    <row r="135" spans="2:24" s="10" customFormat="1" ht="21" hidden="1" customHeight="1">
      <c r="B135" s="105"/>
      <c r="C135" s="235"/>
      <c r="D135" s="237" t="s">
        <v>1284</v>
      </c>
      <c r="E135" s="190"/>
      <c r="F135" s="190"/>
      <c r="G135" s="190"/>
      <c r="H135" s="190"/>
      <c r="I135" s="190"/>
      <c r="J135" s="190"/>
      <c r="K135" s="190"/>
      <c r="L135" s="190"/>
      <c r="M135" s="190"/>
      <c r="N135" s="190"/>
      <c r="O135" s="190"/>
      <c r="P135" s="190"/>
      <c r="Q135" s="190"/>
      <c r="R135" s="190"/>
      <c r="S135" s="188"/>
      <c r="T135" s="189"/>
      <c r="U135" s="190"/>
      <c r="V135" s="190"/>
      <c r="W135" s="191"/>
      <c r="X135" s="106"/>
    </row>
    <row r="136" spans="2:24" s="10" customFormat="1" ht="21" hidden="1" customHeight="1">
      <c r="B136" s="105"/>
      <c r="C136" s="235"/>
      <c r="D136" s="237"/>
      <c r="E136" s="190"/>
      <c r="F136" s="190"/>
      <c r="G136" s="190"/>
      <c r="H136" s="190"/>
      <c r="I136" s="190"/>
      <c r="J136" s="190"/>
      <c r="K136" s="190"/>
      <c r="L136" s="190"/>
      <c r="M136" s="190"/>
      <c r="N136" s="190"/>
      <c r="O136" s="190"/>
      <c r="P136" s="190"/>
      <c r="Q136" s="190"/>
      <c r="R136" s="190"/>
      <c r="S136" s="188"/>
      <c r="T136" s="189"/>
      <c r="U136" s="190"/>
      <c r="V136" s="190"/>
      <c r="W136" s="191"/>
      <c r="X136" s="106"/>
    </row>
    <row r="137" spans="2:24" s="10" customFormat="1" ht="45" hidden="1" customHeight="1">
      <c r="B137" s="105"/>
      <c r="C137" s="238">
        <v>7</v>
      </c>
      <c r="D137" s="1003" t="str">
        <f>"Overall "&amp;D155</f>
        <v xml:space="preserve">Overall the cost of living in Tucson, AZ, United States is 33.62% lower than in Dubai, United Arab Emirates. In other words, on average it is cheaper to live in Tucson than in Dubai. </v>
      </c>
      <c r="E137" s="1003"/>
      <c r="F137" s="1003"/>
      <c r="G137" s="1003"/>
      <c r="H137" s="1003"/>
      <c r="I137" s="1003"/>
      <c r="J137" s="1003"/>
      <c r="K137" s="1003"/>
      <c r="L137" s="1003"/>
      <c r="M137" s="1003"/>
      <c r="N137" s="1003"/>
      <c r="O137" s="1003"/>
      <c r="P137" s="1003"/>
      <c r="Q137" s="1003"/>
      <c r="R137" s="1003"/>
      <c r="S137" s="1003"/>
      <c r="T137" s="1003"/>
      <c r="U137" s="1003"/>
      <c r="V137" s="1003"/>
      <c r="W137" s="191"/>
      <c r="X137" s="106"/>
    </row>
    <row r="138" spans="2:24" s="10" customFormat="1" ht="15" hidden="1" customHeight="1">
      <c r="B138" s="105"/>
      <c r="C138" s="238"/>
      <c r="D138" s="190"/>
      <c r="E138" s="190"/>
      <c r="F138" s="190"/>
      <c r="G138" s="190"/>
      <c r="H138" s="190"/>
      <c r="I138" s="190"/>
      <c r="J138" s="190"/>
      <c r="K138" s="190"/>
      <c r="L138" s="190"/>
      <c r="M138" s="190"/>
      <c r="N138" s="190"/>
      <c r="O138" s="190"/>
      <c r="P138" s="190"/>
      <c r="Q138" s="190"/>
      <c r="R138" s="190"/>
      <c r="S138" s="188"/>
      <c r="T138" s="189"/>
      <c r="U138" s="190"/>
      <c r="V138" s="239"/>
      <c r="W138" s="191"/>
      <c r="X138" s="106"/>
    </row>
    <row r="139" spans="2:24" s="10" customFormat="1" ht="18" hidden="1" customHeight="1">
      <c r="B139" s="87"/>
      <c r="C139" s="238"/>
      <c r="D139" s="240" t="str">
        <f>"1. "&amp;D202</f>
        <v>1. Accomodation Rental</v>
      </c>
      <c r="E139" s="234"/>
      <c r="F139" s="234"/>
      <c r="G139" s="234"/>
      <c r="H139" s="234"/>
      <c r="I139" s="234"/>
      <c r="J139" s="234"/>
      <c r="K139" s="234"/>
      <c r="L139" s="234"/>
      <c r="M139" s="234"/>
      <c r="N139" s="234"/>
      <c r="O139" s="234"/>
      <c r="P139" s="241">
        <f>$W$533</f>
        <v>-0.60809928150710424</v>
      </c>
      <c r="Q139" s="242" t="str">
        <f t="shared" ref="Q139:Q145" si="0">IF(P139&lt;0,"lower","higher")</f>
        <v>lower</v>
      </c>
      <c r="R139" s="257" t="s">
        <v>1261</v>
      </c>
      <c r="S139" s="178"/>
      <c r="T139" s="243"/>
      <c r="U139" s="186"/>
      <c r="V139" s="521">
        <f>'Full Report'!$J$71</f>
        <v>3062.0000000950581</v>
      </c>
      <c r="W139" s="186">
        <f t="shared" ref="W139:W145" si="1">IF(P139&lt;0,0,1)</f>
        <v>0</v>
      </c>
    </row>
    <row r="140" spans="2:24" s="10" customFormat="1" ht="18" hidden="1" customHeight="1">
      <c r="B140" s="87"/>
      <c r="C140" s="238"/>
      <c r="D140" s="245" t="str">
        <f>"2. "&amp;D236</f>
        <v>2. Eating Out</v>
      </c>
      <c r="E140" s="234"/>
      <c r="F140" s="234"/>
      <c r="G140" s="234"/>
      <c r="H140" s="234"/>
      <c r="I140" s="234"/>
      <c r="J140" s="234"/>
      <c r="K140" s="234"/>
      <c r="L140" s="234"/>
      <c r="M140" s="234"/>
      <c r="N140" s="234"/>
      <c r="O140" s="234"/>
      <c r="P140" s="246">
        <f>$W$569</f>
        <v>0.25363536720531799</v>
      </c>
      <c r="Q140" s="247" t="str">
        <f t="shared" si="0"/>
        <v>higher</v>
      </c>
      <c r="R140" s="257" t="s">
        <v>751</v>
      </c>
      <c r="S140" s="178"/>
      <c r="T140" s="243"/>
      <c r="U140" s="186"/>
      <c r="V140" s="521">
        <f>'Full Report'!$J$19</f>
        <v>684.2500000030002</v>
      </c>
      <c r="W140" s="186">
        <f t="shared" si="1"/>
        <v>1</v>
      </c>
    </row>
    <row r="141" spans="2:24" s="10" customFormat="1" ht="18" hidden="1" customHeight="1" thickBot="1">
      <c r="B141" s="87"/>
      <c r="C141" s="238"/>
      <c r="D141" s="248" t="str">
        <f>"3. "&amp;D263</f>
        <v>3. Groceries</v>
      </c>
      <c r="E141" s="234"/>
      <c r="F141" s="234"/>
      <c r="G141" s="234"/>
      <c r="H141" s="234"/>
      <c r="I141" s="234"/>
      <c r="J141" s="234"/>
      <c r="K141" s="234"/>
      <c r="L141" s="234"/>
      <c r="M141" s="234"/>
      <c r="N141" s="234"/>
      <c r="O141" s="234"/>
      <c r="P141" s="241">
        <f>W618</f>
        <v>0.21389008554398559</v>
      </c>
      <c r="Q141" s="242" t="str">
        <f t="shared" si="0"/>
        <v>higher</v>
      </c>
      <c r="R141" s="257" t="s">
        <v>400</v>
      </c>
      <c r="S141" s="178"/>
      <c r="T141" s="243"/>
      <c r="U141" s="186"/>
      <c r="V141" s="521">
        <f>'Full Report'!$J$40</f>
        <v>324.98000000005402</v>
      </c>
      <c r="W141" s="186">
        <f t="shared" si="1"/>
        <v>1</v>
      </c>
    </row>
    <row r="142" spans="2:24" s="10" customFormat="1" ht="18" hidden="1" customHeight="1">
      <c r="B142" s="87"/>
      <c r="C142" s="235"/>
      <c r="D142" s="249" t="str">
        <f>"4. "&amp;D305</f>
        <v>4. Transportation</v>
      </c>
      <c r="E142" s="234"/>
      <c r="F142" s="234"/>
      <c r="G142" s="234"/>
      <c r="H142" s="234"/>
      <c r="I142" s="234"/>
      <c r="J142" s="234"/>
      <c r="K142" s="234"/>
      <c r="L142" s="234"/>
      <c r="M142" s="234"/>
      <c r="N142" s="234"/>
      <c r="O142" s="234"/>
      <c r="P142" s="246">
        <f>W660</f>
        <v>0.82845595490397006</v>
      </c>
      <c r="Q142" s="247" t="str">
        <f t="shared" si="0"/>
        <v>higher</v>
      </c>
      <c r="R142" s="257" t="s">
        <v>547</v>
      </c>
      <c r="S142" s="178"/>
      <c r="T142" s="243"/>
      <c r="U142" s="186"/>
      <c r="V142" s="521">
        <f>'Full Report'!$J$48</f>
        <v>133.61000004500002</v>
      </c>
      <c r="W142" s="186">
        <f t="shared" si="1"/>
        <v>1</v>
      </c>
    </row>
    <row r="143" spans="2:24" s="10" customFormat="1" ht="18" hidden="1" customHeight="1">
      <c r="B143" s="87"/>
      <c r="C143" s="235"/>
      <c r="D143" s="240" t="str">
        <f>"5. "&amp;D338</f>
        <v>5. Utilities</v>
      </c>
      <c r="E143" s="234"/>
      <c r="F143" s="234"/>
      <c r="G143" s="234"/>
      <c r="H143" s="234"/>
      <c r="I143" s="234"/>
      <c r="J143" s="234"/>
      <c r="K143" s="234"/>
      <c r="L143" s="234"/>
      <c r="M143" s="234"/>
      <c r="N143" s="234"/>
      <c r="O143" s="234"/>
      <c r="P143" s="241">
        <f>$W$692</f>
        <v>-7.7325347469289207E-3</v>
      </c>
      <c r="Q143" s="242" t="str">
        <f t="shared" si="0"/>
        <v>lower</v>
      </c>
      <c r="R143" s="257" t="s">
        <v>1268</v>
      </c>
      <c r="S143" s="178"/>
      <c r="T143" s="243"/>
      <c r="U143" s="186"/>
      <c r="V143" s="521">
        <f>'Full Report'!$J$54</f>
        <v>223.73000000900001</v>
      </c>
      <c r="W143" s="186">
        <f t="shared" si="1"/>
        <v>0</v>
      </c>
    </row>
    <row r="144" spans="2:24" s="10" customFormat="1" ht="18" hidden="1" customHeight="1">
      <c r="B144" s="87"/>
      <c r="C144" s="235"/>
      <c r="D144" s="245" t="str">
        <f>"6. "&amp;D374</f>
        <v>6. Recreation And Leisure</v>
      </c>
      <c r="E144" s="234"/>
      <c r="F144" s="234"/>
      <c r="G144" s="234"/>
      <c r="H144" s="234"/>
      <c r="I144" s="234"/>
      <c r="J144" s="234"/>
      <c r="K144" s="234"/>
      <c r="L144" s="234"/>
      <c r="M144" s="234"/>
      <c r="N144" s="234"/>
      <c r="O144" s="234"/>
      <c r="P144" s="246">
        <f>$W$727</f>
        <v>-0.21608551794322761</v>
      </c>
      <c r="Q144" s="247" t="str">
        <f t="shared" si="0"/>
        <v>lower</v>
      </c>
      <c r="R144" s="257" t="s">
        <v>1274</v>
      </c>
      <c r="S144" s="178"/>
      <c r="T144" s="243"/>
      <c r="U144" s="186"/>
      <c r="V144" s="521">
        <f>'Full Report'!$J$59</f>
        <v>196.450000000953</v>
      </c>
      <c r="W144" s="186">
        <f t="shared" si="1"/>
        <v>0</v>
      </c>
    </row>
    <row r="145" spans="2:23" s="10" customFormat="1" ht="18" hidden="1" customHeight="1" thickBot="1">
      <c r="B145" s="87"/>
      <c r="C145" s="235"/>
      <c r="D145" s="248" t="str">
        <f>"7. "&amp;D411</f>
        <v>7. Apparel And Footwear</v>
      </c>
      <c r="E145" s="234"/>
      <c r="F145" s="234"/>
      <c r="G145" s="234"/>
      <c r="H145" s="234"/>
      <c r="I145" s="234"/>
      <c r="J145" s="234"/>
      <c r="K145" s="234"/>
      <c r="L145" s="234"/>
      <c r="M145" s="234"/>
      <c r="N145" s="234"/>
      <c r="O145" s="234"/>
      <c r="P145" s="241">
        <f>$W$760</f>
        <v>-0.34381266957870749</v>
      </c>
      <c r="Q145" s="250" t="str">
        <f t="shared" si="0"/>
        <v>lower</v>
      </c>
      <c r="R145" s="257" t="s">
        <v>1260</v>
      </c>
      <c r="S145" s="178"/>
      <c r="T145" s="243"/>
      <c r="U145" s="186"/>
      <c r="V145" s="521">
        <f>'Full Report'!$J$65</f>
        <v>339.08000000495002</v>
      </c>
      <c r="W145" s="186">
        <f t="shared" si="1"/>
        <v>0</v>
      </c>
    </row>
    <row r="146" spans="2:23" s="10" customFormat="1" hidden="1">
      <c r="B146" s="87"/>
      <c r="C146" s="235" t="str">
        <f>IF(V148=1," categories is "," categories are")</f>
        <v xml:space="preserve"> categories are</v>
      </c>
      <c r="D146" s="251" t="str">
        <f>VLOOKUP(P146,P139:R145,3,FALSE)</f>
        <v>Accomodation</v>
      </c>
      <c r="E146" s="251"/>
      <c r="F146" s="251"/>
      <c r="G146" s="251"/>
      <c r="H146" s="251"/>
      <c r="I146" s="251"/>
      <c r="J146" s="251"/>
      <c r="K146" s="251"/>
      <c r="L146" s="251"/>
      <c r="M146" s="251"/>
      <c r="N146" s="251"/>
      <c r="O146" s="251"/>
      <c r="P146" s="252">
        <f>MIN(P139:P145)</f>
        <v>-0.60809928150710424</v>
      </c>
      <c r="Q146" s="251" t="str">
        <f>VLOOKUP(R146,P139:R145,3,FALSE)</f>
        <v>Transportation</v>
      </c>
      <c r="R146" s="253">
        <f>MAX(P139:P145)</f>
        <v>0.82845595490397006</v>
      </c>
      <c r="S146" s="254"/>
      <c r="T146" s="255"/>
      <c r="U146" s="251"/>
      <c r="V146" s="251">
        <f>COUNT(W139:W145)</f>
        <v>7</v>
      </c>
      <c r="W146" s="186">
        <f>SUM(W139:W145)</f>
        <v>3</v>
      </c>
    </row>
    <row r="147" spans="2:23" s="10" customFormat="1" hidden="1">
      <c r="B147" s="87"/>
      <c r="C147" s="235"/>
      <c r="D147" s="251" t="str">
        <f>D146&amp;" is the cheapest category."</f>
        <v>Accomodation is the cheapest category.</v>
      </c>
      <c r="E147" s="251"/>
      <c r="F147" s="251"/>
      <c r="G147" s="251"/>
      <c r="H147" s="251"/>
      <c r="I147" s="251"/>
      <c r="J147" s="251"/>
      <c r="K147" s="251"/>
      <c r="L147" s="251"/>
      <c r="M147" s="251"/>
      <c r="N147" s="251"/>
      <c r="O147" s="251"/>
      <c r="P147" s="251" t="str">
        <f>IF(Q147&lt;0,D147,R147)</f>
        <v>Accomodation is the cheapest category.</v>
      </c>
      <c r="Q147" s="252">
        <f>'Full Report'!$L$72</f>
        <v>-0.3362160310626171</v>
      </c>
      <c r="R147" s="256" t="str">
        <f>Q146&amp;" is the most expensive category."</f>
        <v>Transportation is the most expensive category.</v>
      </c>
      <c r="S147" s="254"/>
      <c r="T147" s="255"/>
      <c r="U147" s="251"/>
      <c r="V147" s="251"/>
      <c r="W147" s="186"/>
    </row>
    <row r="148" spans="2:23" s="10" customFormat="1" hidden="1">
      <c r="B148" s="87"/>
      <c r="C148" s="235"/>
      <c r="D148" s="251" t="str">
        <f>IF(V775&gt;0,"need an additional ", "have an extra ")</f>
        <v xml:space="preserve">need an additional </v>
      </c>
      <c r="E148" s="251"/>
      <c r="F148" s="251"/>
      <c r="G148" s="251"/>
      <c r="H148" s="251"/>
      <c r="I148" s="251"/>
      <c r="J148" s="251"/>
      <c r="K148" s="251"/>
      <c r="L148" s="251"/>
      <c r="M148" s="251"/>
      <c r="N148" s="251"/>
      <c r="O148" s="251"/>
      <c r="P148" s="251" t="str">
        <f>IF(V775&gt;0," deficit"," surplus ")</f>
        <v xml:space="preserve"> deficit</v>
      </c>
      <c r="Q148" s="252" t="str">
        <f>IF(Q147&gt;0," higher than in "," lower than in ")</f>
        <v xml:space="preserve"> lower than in </v>
      </c>
      <c r="R148" s="256" t="b">
        <f>OR(W146=0,W148=0,D154,D149)</f>
        <v>0</v>
      </c>
      <c r="S148" s="254"/>
      <c r="T148" s="255"/>
      <c r="U148" s="251"/>
      <c r="V148" s="251">
        <f>IF(Q147&lt;0,W148,W146)</f>
        <v>4</v>
      </c>
      <c r="W148" s="186">
        <f>V146-W146</f>
        <v>4</v>
      </c>
    </row>
    <row r="149" spans="2:23" s="10" customFormat="1" hidden="1">
      <c r="B149" s="87"/>
      <c r="C149" s="235"/>
      <c r="D149" s="251" t="str">
        <f>"All categories are"&amp;Q148&amp;Q128&amp;". "&amp;P147</f>
        <v>All categories are lower than in Dubai, United Arab Emirates. Accomodation is the cheapest category.</v>
      </c>
      <c r="E149" s="251"/>
      <c r="F149" s="251"/>
      <c r="G149" s="251"/>
      <c r="H149" s="251"/>
      <c r="I149" s="251"/>
      <c r="J149" s="251"/>
      <c r="K149" s="251"/>
      <c r="L149" s="251"/>
      <c r="M149" s="251"/>
      <c r="N149" s="251"/>
      <c r="O149" s="251"/>
      <c r="P149" s="251"/>
      <c r="Q149" s="251"/>
      <c r="R149" s="256"/>
      <c r="S149" s="254"/>
      <c r="T149" s="255"/>
      <c r="U149" s="251"/>
      <c r="V149" s="251" t="str">
        <f>IF(V775&gt;0," (apart from "," (from ")</f>
        <v xml:space="preserve"> (apart from </v>
      </c>
      <c r="W149" s="186"/>
    </row>
    <row r="150" spans="2:23" s="10" customFormat="1" ht="34.5" hidden="1" customHeight="1">
      <c r="B150" s="87"/>
      <c r="C150" s="235"/>
      <c r="D150" s="1013" t="str">
        <f>"Not all categories in "&amp;Q127&amp;" are"&amp;Q148&amp;Q128&amp;" . Only "&amp;V148&amp;" out of 7"&amp;C146&amp;Q148&amp;""&amp;Q128&amp;". "&amp;P147</f>
        <v>Not all categories in Tucson, AZ, United States are lower than in Dubai, United Arab Emirates . Only 4 out of 7 categories are lower than in Dubai, United Arab Emirates. Accomodation is the cheapest category.</v>
      </c>
      <c r="E150" s="1013"/>
      <c r="F150" s="1013"/>
      <c r="G150" s="1013"/>
      <c r="H150" s="1013"/>
      <c r="I150" s="1013"/>
      <c r="J150" s="1013"/>
      <c r="K150" s="1013"/>
      <c r="L150" s="1013"/>
      <c r="M150" s="1013"/>
      <c r="N150" s="1013"/>
      <c r="O150" s="1013"/>
      <c r="P150" s="1013"/>
      <c r="Q150" s="1013"/>
      <c r="R150" s="1013"/>
      <c r="S150" s="1013"/>
      <c r="T150" s="1013"/>
      <c r="U150" s="1013"/>
      <c r="V150" s="1013"/>
      <c r="W150" s="257"/>
    </row>
    <row r="151" spans="2:23" s="10" customFormat="1" ht="34.5" hidden="1" customHeight="1">
      <c r="B151" s="87"/>
      <c r="C151" s="235"/>
      <c r="D151" s="258" t="s">
        <v>1282</v>
      </c>
      <c r="E151" s="259"/>
      <c r="F151" s="259"/>
      <c r="G151" s="259"/>
      <c r="H151" s="259"/>
      <c r="I151" s="259"/>
      <c r="J151" s="259"/>
      <c r="K151" s="259"/>
      <c r="L151" s="259"/>
      <c r="M151" s="259"/>
      <c r="N151" s="259"/>
      <c r="O151" s="259"/>
      <c r="P151" s="259"/>
      <c r="Q151" s="259"/>
      <c r="R151" s="259"/>
      <c r="S151" s="259"/>
      <c r="T151" s="259"/>
      <c r="U151" s="259"/>
      <c r="V151" s="259"/>
      <c r="W151" s="257"/>
    </row>
    <row r="152" spans="2:23" s="10" customFormat="1" ht="50.25" hidden="1" customHeight="1">
      <c r="B152" s="87"/>
      <c r="C152" s="235"/>
      <c r="D152" s="968" t="str">
        <f>" Therefore, your current home net salary after tax of "&amp;Q132&amp;FIXED(Q129,2)&amp;" in "&amp;C637&amp;" is comparable to an amount of "&amp;Q132&amp;FIXED(R775,2)&amp;" in "&amp;V708&amp;" ."&amp;" Strictly speaking, you would have to earn at least "&amp;Q132&amp;FIXED(R775,2)&amp;" in "&amp;V708&amp;" to maintain your current lifestyle of "&amp;Q132&amp;FIXED(Q129)&amp;" in "&amp;C637&amp;"."</f>
        <v xml:space="preserve"> Therefore, your current home net salary after tax of USD4,500.00 in Tucson is comparable to an amount of USD6,779.31 in Dubai . Strictly speaking, you would have to earn at least USD6,779.31 in Dubai to maintain your current lifestyle of USD4,500.00 in Tucson.</v>
      </c>
      <c r="E152" s="968"/>
      <c r="F152" s="968"/>
      <c r="G152" s="968"/>
      <c r="H152" s="968"/>
      <c r="I152" s="968"/>
      <c r="J152" s="968"/>
      <c r="K152" s="968"/>
      <c r="L152" s="968"/>
      <c r="M152" s="968"/>
      <c r="N152" s="968"/>
      <c r="O152" s="968"/>
      <c r="P152" s="968"/>
      <c r="Q152" s="968"/>
      <c r="R152" s="968"/>
      <c r="S152" s="968"/>
      <c r="T152" s="968"/>
      <c r="U152" s="968"/>
      <c r="V152" s="968"/>
      <c r="W152" s="186"/>
    </row>
    <row r="153" spans="2:23" s="10" customFormat="1" ht="51.75" hidden="1" customHeight="1">
      <c r="B153" s="87"/>
      <c r="C153" s="235"/>
      <c r="D153" s="954" t="str">
        <f>"As  you  are  being  offered a  salary  of "&amp;Q132&amp;FIXED(P777,2)&amp;" after-tax income in "&amp;V635&amp;", the purchasing power of that amount is "&amp;FIXED(Q781*100)&amp;V781&amp;" the after-tax income amount in "&amp;C637&amp;"."</f>
        <v>As  you  are  being  offered a  salary  of USD2,500.00 after-tax income in Dubai, the purchasing power of that amount is 63.12% less than the after-tax income amount in Tucson.</v>
      </c>
      <c r="E153" s="954"/>
      <c r="F153" s="954"/>
      <c r="G153" s="954"/>
      <c r="H153" s="954"/>
      <c r="I153" s="954"/>
      <c r="J153" s="954"/>
      <c r="K153" s="954"/>
      <c r="L153" s="954"/>
      <c r="M153" s="954"/>
      <c r="N153" s="954"/>
      <c r="O153" s="954"/>
      <c r="P153" s="954"/>
      <c r="Q153" s="954"/>
      <c r="R153" s="954"/>
      <c r="S153" s="954"/>
      <c r="T153" s="954"/>
      <c r="U153" s="954"/>
      <c r="V153" s="954"/>
      <c r="W153" s="186"/>
    </row>
    <row r="154" spans="2:23" s="10" customFormat="1" ht="53.25" hidden="1" customHeight="1">
      <c r="B154" s="87"/>
      <c r="C154" s="235"/>
      <c r="D154" s="1003" t="str">
        <f>"In conclusion, you have a"&amp;P148&amp;", meaning that you "&amp;D148&amp;Q132&amp;(FIXED(V774,2)&amp;V149&amp;Q132&amp;FIXED(P777,2)&amp;" of the expected net salary) in order to maintain the same purchasing power of "&amp;Q132&amp;FIXED(P778,2)&amp;" as in "&amp;C637&amp;" while in "&amp;V635&amp;".")</f>
        <v>In conclusion, you have a deficit, meaning that you need an additional USD4,279.31 (apart from USD2,500.00 of the expected net salary) in order to maintain the same purchasing power of USD4,500.00 as in Tucson while in Dubai.</v>
      </c>
      <c r="E154" s="1003"/>
      <c r="F154" s="1003"/>
      <c r="G154" s="1003"/>
      <c r="H154" s="1003"/>
      <c r="I154" s="1003"/>
      <c r="J154" s="1003"/>
      <c r="K154" s="1003"/>
      <c r="L154" s="1003"/>
      <c r="M154" s="1003"/>
      <c r="N154" s="1003"/>
      <c r="O154" s="1003"/>
      <c r="P154" s="1003"/>
      <c r="Q154" s="1003"/>
      <c r="R154" s="1003"/>
      <c r="S154" s="1003"/>
      <c r="T154" s="1003"/>
      <c r="U154" s="1003"/>
      <c r="V154" s="1003"/>
      <c r="W154" s="186"/>
    </row>
    <row r="155" spans="2:23" s="10" customFormat="1" ht="42.75" hidden="1" customHeight="1">
      <c r="B155" s="87"/>
      <c r="C155" s="235"/>
      <c r="D155" s="954" t="str">
        <f>"the cost of living in "&amp;Q127&amp;" is "&amp;FIXED('Full Report'!M72*100,2)&amp;R776&amp;Q128&amp;". In other words, on average it "&amp;V776&amp;" to live in "&amp;C637&amp;" than in "&amp;V708&amp;". "</f>
        <v xml:space="preserve">the cost of living in Tucson, AZ, United States is 33.62% lower than in Dubai, United Arab Emirates. In other words, on average it is cheaper to live in Tucson than in Dubai. </v>
      </c>
      <c r="E155" s="954"/>
      <c r="F155" s="954"/>
      <c r="G155" s="954"/>
      <c r="H155" s="954"/>
      <c r="I155" s="954"/>
      <c r="J155" s="954"/>
      <c r="K155" s="954"/>
      <c r="L155" s="954"/>
      <c r="M155" s="954"/>
      <c r="N155" s="954"/>
      <c r="O155" s="954"/>
      <c r="P155" s="954"/>
      <c r="Q155" s="954"/>
      <c r="R155" s="954"/>
      <c r="S155" s="954"/>
      <c r="T155" s="954"/>
      <c r="U155" s="954"/>
      <c r="V155" s="954"/>
      <c r="W155" s="186"/>
    </row>
    <row r="156" spans="2:23" s="10" customFormat="1" ht="50.25" hidden="1" customHeight="1">
      <c r="B156" s="87"/>
      <c r="C156" s="235"/>
      <c r="D156" s="954" t="str">
        <f>IF(R148=TRUE,D149,D150)</f>
        <v>Not all categories in Tucson, AZ, United States are lower than in Dubai, United Arab Emirates . Only 4 out of 7 categories are lower than in Dubai, United Arab Emirates. Accomodation is the cheapest category.</v>
      </c>
      <c r="E156" s="954"/>
      <c r="F156" s="954"/>
      <c r="G156" s="954"/>
      <c r="H156" s="954"/>
      <c r="I156" s="954"/>
      <c r="J156" s="954"/>
      <c r="K156" s="954"/>
      <c r="L156" s="954"/>
      <c r="M156" s="954"/>
      <c r="N156" s="954"/>
      <c r="O156" s="954"/>
      <c r="P156" s="954"/>
      <c r="Q156" s="954"/>
      <c r="R156" s="954"/>
      <c r="S156" s="954"/>
      <c r="T156" s="954"/>
      <c r="U156" s="954"/>
      <c r="V156" s="954"/>
      <c r="W156" s="186"/>
    </row>
    <row r="157" spans="2:23" s="10" customFormat="1" ht="36" hidden="1" customHeight="1">
      <c r="B157" s="87"/>
      <c r="C157" s="235"/>
      <c r="D157" s="1010" t="str">
        <f>"Not all categories in "&amp;Q127&amp;" are"&amp;Q148&amp;Q128&amp;" . Only "&amp;V148&amp;" out of 7"&amp;C146&amp;Q148&amp;""&amp;Q128&amp;". "</f>
        <v xml:space="preserve">Not all categories in Tucson, AZ, United States are lower than in Dubai, United Arab Emirates . Only 4 out of 7 categories are lower than in Dubai, United Arab Emirates. </v>
      </c>
      <c r="E157" s="1010"/>
      <c r="F157" s="1010"/>
      <c r="G157" s="1010"/>
      <c r="H157" s="1010"/>
      <c r="I157" s="1010"/>
      <c r="J157" s="1010"/>
      <c r="K157" s="1010"/>
      <c r="L157" s="1010"/>
      <c r="M157" s="1010"/>
      <c r="N157" s="1010"/>
      <c r="O157" s="1010"/>
      <c r="P157" s="1010"/>
      <c r="Q157" s="1010"/>
      <c r="R157" s="1010"/>
      <c r="S157" s="1010"/>
      <c r="T157" s="1010"/>
      <c r="U157" s="1010"/>
      <c r="V157" s="1010"/>
      <c r="W157" s="186"/>
    </row>
    <row r="158" spans="2:23" s="10" customFormat="1" hidden="1">
      <c r="B158" s="87"/>
      <c r="C158" s="235"/>
      <c r="D158" s="1010" t="str">
        <f>"All categories are"&amp;Q148&amp;Q128&amp;". "</f>
        <v xml:space="preserve">All categories are lower than in Dubai, United Arab Emirates. </v>
      </c>
      <c r="E158" s="1010"/>
      <c r="F158" s="1010"/>
      <c r="G158" s="1010"/>
      <c r="H158" s="1010"/>
      <c r="I158" s="1010"/>
      <c r="J158" s="1010"/>
      <c r="K158" s="1010"/>
      <c r="L158" s="1010"/>
      <c r="M158" s="1010"/>
      <c r="N158" s="1010"/>
      <c r="O158" s="1010"/>
      <c r="P158" s="1010"/>
      <c r="Q158" s="1010"/>
      <c r="R158" s="1010"/>
      <c r="S158" s="1010"/>
      <c r="T158" s="1010"/>
      <c r="U158" s="1010"/>
      <c r="V158" s="1010"/>
      <c r="W158" s="186"/>
    </row>
    <row r="159" spans="2:23" s="10" customFormat="1" ht="21" hidden="1" customHeight="1">
      <c r="B159" s="87"/>
      <c r="C159" s="235"/>
      <c r="D159" s="177"/>
      <c r="E159" s="177"/>
      <c r="F159" s="177"/>
      <c r="G159" s="177"/>
      <c r="H159" s="177"/>
      <c r="I159" s="177"/>
      <c r="J159" s="177"/>
      <c r="K159" s="177"/>
      <c r="L159" s="177"/>
      <c r="M159" s="177"/>
      <c r="N159" s="177"/>
      <c r="O159" s="177"/>
      <c r="P159" s="177"/>
      <c r="Q159" s="177"/>
      <c r="R159" s="177"/>
      <c r="S159" s="177"/>
      <c r="T159" s="177"/>
      <c r="U159" s="177"/>
      <c r="V159" s="177"/>
      <c r="W159" s="186"/>
    </row>
    <row r="160" spans="2:23" s="10" customFormat="1" ht="38.25" hidden="1" customHeight="1">
      <c r="B160" s="87"/>
      <c r="C160" s="238">
        <v>8</v>
      </c>
      <c r="D160" s="1003" t="str">
        <f>IF(R148=TRUE,D158,D157)</f>
        <v xml:space="preserve">Not all categories in Tucson, AZ, United States are lower than in Dubai, United Arab Emirates . Only 4 out of 7 categories are lower than in Dubai, United Arab Emirates. </v>
      </c>
      <c r="E160" s="1003"/>
      <c r="F160" s="1003"/>
      <c r="G160" s="1003"/>
      <c r="H160" s="1003"/>
      <c r="I160" s="1003"/>
      <c r="J160" s="1003"/>
      <c r="K160" s="1003"/>
      <c r="L160" s="1003"/>
      <c r="M160" s="1003"/>
      <c r="N160" s="1003"/>
      <c r="O160" s="1003"/>
      <c r="P160" s="1003"/>
      <c r="Q160" s="1003"/>
      <c r="R160" s="1003"/>
      <c r="S160" s="1003"/>
      <c r="T160" s="1003"/>
      <c r="U160" s="1003"/>
      <c r="V160" s="1003"/>
      <c r="W160" s="186"/>
    </row>
    <row r="161" spans="2:23" s="10" customFormat="1" hidden="1">
      <c r="B161" s="87"/>
      <c r="C161" s="238">
        <v>9</v>
      </c>
      <c r="D161" s="637" t="str">
        <f>P147</f>
        <v>Accomodation is the cheapest category.</v>
      </c>
      <c r="E161" s="180"/>
      <c r="F161" s="180"/>
      <c r="G161" s="180"/>
      <c r="H161" s="180"/>
      <c r="I161" s="180"/>
      <c r="J161" s="180"/>
      <c r="K161" s="180"/>
      <c r="L161" s="180"/>
      <c r="M161" s="180"/>
      <c r="N161" s="180"/>
      <c r="O161" s="180"/>
      <c r="P161" s="180"/>
      <c r="Q161" s="180"/>
      <c r="R161" s="638"/>
      <c r="S161" s="180"/>
      <c r="T161" s="185"/>
      <c r="U161" s="180"/>
      <c r="V161" s="180"/>
      <c r="W161" s="186"/>
    </row>
    <row r="162" spans="2:23" s="10" customFormat="1" ht="38.25" hidden="1" customHeight="1">
      <c r="B162" s="87"/>
      <c r="C162" s="238">
        <v>10</v>
      </c>
      <c r="D162" s="1003" t="str">
        <f>"Your current salary after tax of "&amp;Q132&amp;FIXED(Q129,2)&amp;" in "&amp;Q127&amp;" is comparable to "&amp;Q132&amp;FIXED(R775,2)&amp;" in "&amp;Q128&amp;"."</f>
        <v>Your current salary after tax of USD4,500.00 in Tucson, AZ, United States is comparable to USD6,779.31 in Dubai, United Arab Emirates.</v>
      </c>
      <c r="E162" s="1003"/>
      <c r="F162" s="1003"/>
      <c r="G162" s="1003"/>
      <c r="H162" s="1003"/>
      <c r="I162" s="1003"/>
      <c r="J162" s="1003"/>
      <c r="K162" s="1003"/>
      <c r="L162" s="1003"/>
      <c r="M162" s="1003"/>
      <c r="N162" s="1003"/>
      <c r="O162" s="1003"/>
      <c r="P162" s="1003"/>
      <c r="Q162" s="1003"/>
      <c r="R162" s="1003"/>
      <c r="S162" s="1003"/>
      <c r="T162" s="1003"/>
      <c r="U162" s="1003"/>
      <c r="V162" s="1003"/>
      <c r="W162" s="186"/>
    </row>
    <row r="163" spans="2:23" s="10" customFormat="1" ht="49.5" hidden="1" customHeight="1">
      <c r="B163" s="87"/>
      <c r="C163" s="238">
        <v>11</v>
      </c>
      <c r="D163" s="1003" t="str">
        <f>"As you are being offered a salary of "&amp;Q132&amp;FIXED(Q130,2)&amp;" in "&amp;Q128&amp;" then you have a"&amp;P148&amp;" of "&amp;Q132&amp;FIXED(V774,2)&amp;" in your personal monthly budget."</f>
        <v>As you are being offered a salary of USD2,500.00 in Dubai, United Arab Emirates then you have a deficit of USD4,279.31 in your personal monthly budget.</v>
      </c>
      <c r="E163" s="1003"/>
      <c r="F163" s="1003"/>
      <c r="G163" s="1003"/>
      <c r="H163" s="1003"/>
      <c r="I163" s="1003"/>
      <c r="J163" s="1003"/>
      <c r="K163" s="1003"/>
      <c r="L163" s="1003"/>
      <c r="M163" s="1003"/>
      <c r="N163" s="1003"/>
      <c r="O163" s="1003"/>
      <c r="P163" s="1003"/>
      <c r="Q163" s="1003"/>
      <c r="R163" s="1003"/>
      <c r="S163" s="1003"/>
      <c r="T163" s="1003"/>
      <c r="U163" s="1003"/>
      <c r="V163" s="1003"/>
      <c r="W163" s="186"/>
    </row>
    <row r="164" spans="2:23" s="10" customFormat="1" ht="17.100000000000001" hidden="1" customHeight="1">
      <c r="B164" s="87"/>
      <c r="C164" s="235"/>
      <c r="D164" s="177"/>
      <c r="E164" s="177"/>
      <c r="F164" s="177"/>
      <c r="G164" s="177"/>
      <c r="H164" s="177"/>
      <c r="I164" s="177"/>
      <c r="J164" s="177"/>
      <c r="K164" s="177"/>
      <c r="L164" s="177"/>
      <c r="M164" s="177"/>
      <c r="N164" s="177"/>
      <c r="O164" s="177"/>
      <c r="P164" s="177"/>
      <c r="Q164" s="177"/>
      <c r="R164" s="177"/>
      <c r="S164" s="177"/>
      <c r="T164" s="177"/>
      <c r="U164" s="177"/>
      <c r="V164" s="177"/>
      <c r="W164" s="186"/>
    </row>
    <row r="165" spans="2:23" s="10" customFormat="1" ht="17.100000000000001" hidden="1" customHeight="1">
      <c r="B165" s="87"/>
      <c r="C165" s="235"/>
      <c r="D165" s="177"/>
      <c r="E165" s="177"/>
      <c r="F165" s="177"/>
      <c r="G165" s="177"/>
      <c r="H165" s="177"/>
      <c r="I165" s="177"/>
      <c r="J165" s="177"/>
      <c r="K165" s="177"/>
      <c r="L165" s="177"/>
      <c r="M165" s="177"/>
      <c r="N165" s="177"/>
      <c r="O165" s="177"/>
      <c r="P165" s="177"/>
      <c r="Q165" s="177"/>
      <c r="R165" s="177"/>
      <c r="S165" s="177"/>
      <c r="T165" s="177"/>
      <c r="U165" s="177"/>
      <c r="V165" s="177"/>
      <c r="W165" s="186"/>
    </row>
    <row r="166" spans="2:23" s="10" customFormat="1" ht="17.100000000000001" hidden="1" customHeight="1">
      <c r="B166" s="87"/>
      <c r="C166" s="178"/>
      <c r="D166" s="177"/>
      <c r="E166" s="177"/>
      <c r="F166" s="177"/>
      <c r="G166" s="177"/>
      <c r="H166" s="177"/>
      <c r="I166" s="177"/>
      <c r="J166" s="177"/>
      <c r="K166" s="177"/>
      <c r="L166" s="177"/>
      <c r="M166" s="177"/>
      <c r="N166" s="177"/>
      <c r="O166" s="177"/>
      <c r="P166" s="177"/>
      <c r="Q166" s="177"/>
      <c r="R166" s="177"/>
      <c r="S166" s="177"/>
      <c r="T166" s="177"/>
      <c r="U166" s="177"/>
      <c r="V166" s="177"/>
      <c r="W166" s="186"/>
    </row>
    <row r="167" spans="2:23" s="10" customFormat="1" ht="17.100000000000001" hidden="1" customHeight="1">
      <c r="B167" s="87"/>
      <c r="C167" s="178"/>
      <c r="D167" s="177"/>
      <c r="E167" s="177"/>
      <c r="F167" s="177"/>
      <c r="G167" s="177"/>
      <c r="H167" s="177"/>
      <c r="I167" s="177"/>
      <c r="J167" s="177"/>
      <c r="K167" s="177"/>
      <c r="L167" s="177"/>
      <c r="M167" s="177"/>
      <c r="N167" s="177"/>
      <c r="O167" s="177"/>
      <c r="P167" s="177"/>
      <c r="Q167" s="177"/>
      <c r="R167" s="177"/>
      <c r="S167" s="177"/>
      <c r="T167" s="177"/>
      <c r="U167" s="177"/>
      <c r="V167" s="177"/>
      <c r="W167" s="186"/>
    </row>
    <row r="168" spans="2:23" s="10" customFormat="1" ht="17.100000000000001" hidden="1" customHeight="1">
      <c r="B168" s="87"/>
      <c r="C168" s="178"/>
      <c r="D168" s="177"/>
      <c r="E168" s="177"/>
      <c r="F168" s="177"/>
      <c r="G168" s="177"/>
      <c r="H168" s="177"/>
      <c r="I168" s="177"/>
      <c r="J168" s="177"/>
      <c r="K168" s="177"/>
      <c r="L168" s="177"/>
      <c r="M168" s="177"/>
      <c r="N168" s="177"/>
      <c r="O168" s="177"/>
      <c r="P168" s="177"/>
      <c r="Q168" s="177"/>
      <c r="R168" s="177"/>
      <c r="S168" s="177"/>
      <c r="T168" s="177"/>
      <c r="U168" s="177"/>
      <c r="V168" s="177"/>
      <c r="W168" s="186"/>
    </row>
    <row r="169" spans="2:23" s="10" customFormat="1" ht="17.100000000000001" hidden="1" customHeight="1">
      <c r="B169" s="87"/>
    </row>
    <row r="170" spans="2:23" s="10" customFormat="1" ht="17.100000000000001" hidden="1" customHeight="1">
      <c r="B170" s="87"/>
      <c r="C170" s="178"/>
      <c r="D170" s="177"/>
      <c r="E170" s="177"/>
      <c r="F170" s="177"/>
      <c r="G170" s="177"/>
      <c r="H170" s="177"/>
      <c r="I170" s="177"/>
      <c r="J170" s="177"/>
      <c r="K170" s="177"/>
      <c r="L170" s="177"/>
      <c r="M170" s="177"/>
      <c r="N170" s="177"/>
      <c r="O170" s="177"/>
      <c r="P170" s="177"/>
      <c r="Q170" s="177"/>
      <c r="R170" s="177"/>
      <c r="S170" s="177"/>
      <c r="T170" s="177"/>
      <c r="U170" s="177"/>
      <c r="V170" s="177"/>
      <c r="W170" s="186"/>
    </row>
    <row r="171" spans="2:23" s="10" customFormat="1" ht="17.100000000000001" hidden="1" customHeight="1">
      <c r="B171" s="87"/>
      <c r="C171" s="178"/>
      <c r="D171" s="669"/>
      <c r="E171" s="669"/>
      <c r="F171" s="669"/>
      <c r="G171" s="669"/>
      <c r="H171" s="669"/>
      <c r="I171" s="669"/>
      <c r="J171" s="669"/>
      <c r="K171" s="669"/>
      <c r="L171" s="669"/>
      <c r="M171" s="669"/>
      <c r="N171" s="669"/>
      <c r="O171" s="669"/>
      <c r="P171" s="669"/>
      <c r="Q171" s="669"/>
      <c r="R171" s="669"/>
      <c r="S171" s="669"/>
      <c r="T171" s="669"/>
      <c r="U171" s="669"/>
      <c r="V171" s="669"/>
      <c r="W171" s="186"/>
    </row>
    <row r="172" spans="2:23" s="10" customFormat="1" ht="17.100000000000001" hidden="1" customHeight="1">
      <c r="B172" s="87"/>
      <c r="C172" s="178"/>
      <c r="D172" s="669"/>
      <c r="E172" s="669"/>
      <c r="F172" s="669"/>
      <c r="G172" s="669"/>
      <c r="H172" s="669"/>
      <c r="I172" s="669"/>
      <c r="J172" s="669"/>
      <c r="K172" s="669"/>
      <c r="L172" s="669"/>
      <c r="M172" s="669"/>
      <c r="N172" s="669"/>
      <c r="O172" s="669"/>
      <c r="P172" s="669"/>
      <c r="Q172" s="669"/>
      <c r="R172" s="669"/>
      <c r="S172" s="669"/>
      <c r="T172" s="669"/>
      <c r="U172" s="669"/>
      <c r="V172" s="669"/>
      <c r="W172" s="186"/>
    </row>
    <row r="173" spans="2:23" s="10" customFormat="1" ht="17.100000000000001" hidden="1" customHeight="1">
      <c r="B173" s="87"/>
      <c r="C173" s="178"/>
      <c r="D173" s="669"/>
      <c r="E173" s="669"/>
      <c r="F173" s="669"/>
      <c r="G173" s="669"/>
      <c r="H173" s="669"/>
      <c r="I173" s="669"/>
      <c r="J173" s="669"/>
      <c r="K173" s="669"/>
      <c r="L173" s="669"/>
      <c r="M173" s="669"/>
      <c r="N173" s="669"/>
      <c r="O173" s="669"/>
      <c r="P173" s="669"/>
      <c r="Q173" s="669"/>
      <c r="R173" s="669"/>
      <c r="S173" s="669"/>
      <c r="T173" s="669"/>
      <c r="U173" s="669"/>
      <c r="V173" s="669"/>
      <c r="W173" s="186"/>
    </row>
    <row r="174" spans="2:23" s="10" customFormat="1" ht="48" hidden="1" customHeight="1">
      <c r="B174" s="87"/>
      <c r="C174" s="178"/>
      <c r="D174" s="260"/>
      <c r="E174" s="177"/>
      <c r="F174" s="177"/>
      <c r="G174" s="177"/>
      <c r="H174" s="177"/>
      <c r="I174" s="177"/>
      <c r="J174" s="177"/>
      <c r="K174" s="177"/>
      <c r="L174" s="177"/>
      <c r="M174" s="177"/>
      <c r="N174" s="177"/>
      <c r="O174" s="177"/>
      <c r="P174" s="177"/>
      <c r="Q174" s="177"/>
      <c r="R174" s="177"/>
      <c r="S174" s="177"/>
      <c r="T174" s="177"/>
      <c r="U174" s="177"/>
      <c r="V174" s="177"/>
      <c r="W174" s="186"/>
    </row>
    <row r="175" spans="2:23" s="10" customFormat="1" hidden="1">
      <c r="B175" s="87"/>
      <c r="C175" s="178"/>
      <c r="D175" s="177"/>
      <c r="E175" s="177"/>
      <c r="F175" s="177"/>
      <c r="G175" s="177"/>
      <c r="H175" s="177"/>
      <c r="I175" s="177"/>
      <c r="J175" s="177"/>
      <c r="K175" s="177"/>
      <c r="L175" s="177"/>
      <c r="M175" s="177"/>
      <c r="N175" s="177"/>
      <c r="O175" s="177"/>
      <c r="P175" s="177"/>
      <c r="Q175" s="177"/>
      <c r="R175" s="177"/>
      <c r="S175" s="177"/>
      <c r="T175" s="177"/>
      <c r="U175" s="177"/>
      <c r="V175" s="177"/>
      <c r="W175" s="186"/>
    </row>
    <row r="176" spans="2:23" s="10" customFormat="1" ht="42" hidden="1">
      <c r="B176" s="87"/>
      <c r="C176" s="178"/>
      <c r="D176" s="664" t="s">
        <v>1339</v>
      </c>
      <c r="E176" s="181"/>
      <c r="F176" s="180"/>
      <c r="G176" s="180"/>
      <c r="H176" s="182"/>
      <c r="I176" s="182"/>
      <c r="J176" s="182"/>
      <c r="K176" s="182"/>
      <c r="L176" s="182"/>
      <c r="M176" s="182"/>
      <c r="N176" s="182"/>
      <c r="O176" s="182"/>
      <c r="P176" s="182"/>
      <c r="Q176" s="261"/>
      <c r="R176" s="262"/>
      <c r="S176" s="263"/>
      <c r="T176" s="180"/>
      <c r="U176" s="180"/>
      <c r="V176" s="262"/>
      <c r="W176" s="186"/>
    </row>
    <row r="177" spans="2:23" s="10" customFormat="1" ht="26.25" hidden="1" customHeight="1">
      <c r="B177" s="87"/>
      <c r="C177" s="178"/>
      <c r="D177" s="1006"/>
      <c r="E177" s="1006"/>
      <c r="F177" s="1006"/>
      <c r="G177" s="1006"/>
      <c r="H177" s="1006"/>
      <c r="I177" s="1006"/>
      <c r="J177" s="1006"/>
      <c r="K177" s="1006"/>
      <c r="L177" s="1006"/>
      <c r="M177" s="1006"/>
      <c r="N177" s="1006"/>
      <c r="O177" s="1006"/>
      <c r="P177" s="1006"/>
      <c r="Q177" s="1006"/>
      <c r="R177" s="1006"/>
      <c r="S177" s="1006"/>
      <c r="T177" s="1006"/>
      <c r="U177" s="1006"/>
      <c r="V177" s="1006"/>
      <c r="W177" s="186"/>
    </row>
    <row r="178" spans="2:23" s="10" customFormat="1" ht="48" hidden="1" customHeight="1">
      <c r="B178" s="87"/>
      <c r="C178" s="178"/>
      <c r="D178" s="264" t="s">
        <v>1285</v>
      </c>
      <c r="E178" s="264"/>
      <c r="F178" s="264"/>
      <c r="G178" s="264"/>
      <c r="H178" s="264"/>
      <c r="I178" s="264"/>
      <c r="J178" s="264"/>
      <c r="K178" s="264"/>
      <c r="L178" s="264"/>
      <c r="M178" s="264"/>
      <c r="N178" s="264"/>
      <c r="O178" s="264"/>
      <c r="P178" s="264"/>
      <c r="Q178" s="264"/>
      <c r="R178" s="264"/>
      <c r="S178" s="264"/>
      <c r="T178" s="264"/>
      <c r="U178" s="264"/>
      <c r="V178" s="264"/>
      <c r="W178" s="186"/>
    </row>
    <row r="179" spans="2:23" s="10" customFormat="1" ht="93.75" hidden="1" customHeight="1">
      <c r="B179" s="87"/>
      <c r="C179" s="178"/>
      <c r="D179" s="985" t="s">
        <v>1307</v>
      </c>
      <c r="E179" s="985"/>
      <c r="F179" s="985"/>
      <c r="G179" s="985"/>
      <c r="H179" s="985"/>
      <c r="I179" s="985"/>
      <c r="J179" s="985"/>
      <c r="K179" s="985"/>
      <c r="L179" s="985"/>
      <c r="M179" s="985"/>
      <c r="N179" s="985"/>
      <c r="O179" s="985"/>
      <c r="P179" s="985"/>
      <c r="Q179" s="985"/>
      <c r="R179" s="985"/>
      <c r="S179" s="198"/>
      <c r="T179" s="198"/>
      <c r="U179" s="198"/>
      <c r="V179" s="198"/>
      <c r="W179" s="265"/>
    </row>
    <row r="180" spans="2:23" ht="110.25" hidden="1" customHeight="1">
      <c r="C180" s="178"/>
      <c r="D180" s="986" t="s">
        <v>1279</v>
      </c>
      <c r="E180" s="986"/>
      <c r="F180" s="986"/>
      <c r="G180" s="986"/>
      <c r="H180" s="986"/>
      <c r="I180" s="986"/>
      <c r="J180" s="986"/>
      <c r="K180" s="986"/>
      <c r="L180" s="986"/>
      <c r="M180" s="986"/>
      <c r="N180" s="986"/>
      <c r="O180" s="986"/>
      <c r="P180" s="986"/>
      <c r="Q180" s="986"/>
      <c r="R180" s="986"/>
      <c r="S180" s="986"/>
      <c r="T180" s="986"/>
      <c r="U180" s="986"/>
      <c r="V180" s="986"/>
      <c r="W180" s="265"/>
    </row>
    <row r="181" spans="2:23" ht="17.100000000000001" hidden="1" customHeight="1">
      <c r="C181" s="178"/>
      <c r="D181" s="177"/>
      <c r="E181" s="177"/>
      <c r="F181" s="177"/>
      <c r="G181" s="177"/>
      <c r="H181" s="266"/>
      <c r="I181" s="266"/>
      <c r="J181" s="266"/>
      <c r="K181" s="266"/>
      <c r="L181" s="266"/>
      <c r="M181" s="266"/>
      <c r="N181" s="266"/>
      <c r="O181" s="266"/>
      <c r="P181" s="266"/>
      <c r="Q181" s="267"/>
      <c r="R181" s="268"/>
      <c r="S181" s="177"/>
      <c r="T181" s="177"/>
      <c r="U181" s="177"/>
      <c r="V181" s="177"/>
      <c r="W181" s="265"/>
    </row>
    <row r="182" spans="2:23" ht="21.75" hidden="1" customHeight="1">
      <c r="C182" s="178"/>
      <c r="D182" s="269"/>
      <c r="E182" s="269"/>
      <c r="F182" s="177"/>
      <c r="G182" s="177"/>
      <c r="H182" s="266"/>
      <c r="I182" s="266"/>
      <c r="J182" s="266"/>
      <c r="K182" s="266"/>
      <c r="L182" s="266"/>
      <c r="M182" s="266"/>
      <c r="N182" s="266"/>
      <c r="O182" s="266"/>
      <c r="P182" s="266"/>
      <c r="Q182" s="270"/>
      <c r="R182" s="266"/>
      <c r="S182" s="271"/>
      <c r="T182" s="177"/>
      <c r="U182" s="177"/>
      <c r="V182" s="177"/>
      <c r="W182" s="265"/>
    </row>
    <row r="183" spans="2:23" ht="20.25" hidden="1" customHeight="1">
      <c r="C183" s="178"/>
      <c r="D183" s="269"/>
      <c r="E183" s="269"/>
      <c r="F183" s="177"/>
      <c r="G183" s="177"/>
      <c r="H183" s="266"/>
      <c r="I183" s="266"/>
      <c r="J183" s="266"/>
      <c r="K183" s="266"/>
      <c r="L183" s="266"/>
      <c r="M183" s="266"/>
      <c r="N183" s="266"/>
      <c r="O183" s="266"/>
      <c r="P183" s="266"/>
      <c r="Q183" s="270"/>
      <c r="R183" s="266"/>
      <c r="S183" s="271"/>
      <c r="T183" s="177"/>
      <c r="U183" s="177"/>
      <c r="V183" s="177"/>
      <c r="W183" s="265"/>
    </row>
    <row r="184" spans="2:23" ht="17.100000000000001" hidden="1" customHeight="1">
      <c r="C184" s="178"/>
      <c r="D184" s="272"/>
      <c r="E184" s="273"/>
      <c r="F184" s="180"/>
      <c r="G184" s="180"/>
      <c r="H184" s="182"/>
      <c r="I184" s="182"/>
      <c r="J184" s="266"/>
      <c r="K184" s="180"/>
      <c r="L184" s="180"/>
      <c r="M184" s="180"/>
      <c r="N184" s="180"/>
      <c r="O184" s="180"/>
      <c r="P184" s="274"/>
      <c r="Q184" s="275"/>
      <c r="R184" s="276"/>
      <c r="S184" s="177"/>
      <c r="T184" s="177"/>
      <c r="U184" s="177"/>
      <c r="V184" s="177"/>
      <c r="W184" s="265"/>
    </row>
    <row r="185" spans="2:23" ht="17.100000000000001" hidden="1" customHeight="1">
      <c r="C185" s="178"/>
      <c r="D185" s="272"/>
      <c r="E185" s="273"/>
      <c r="F185" s="180"/>
      <c r="G185" s="180"/>
      <c r="H185" s="182"/>
      <c r="I185" s="182"/>
      <c r="J185" s="182"/>
      <c r="K185" s="182"/>
      <c r="L185" s="182"/>
      <c r="M185" s="182"/>
      <c r="N185" s="182"/>
      <c r="O185" s="182"/>
      <c r="P185" s="277"/>
      <c r="Q185" s="278"/>
      <c r="R185" s="276"/>
      <c r="S185" s="177"/>
      <c r="T185" s="177"/>
      <c r="U185" s="177"/>
      <c r="V185" s="177"/>
      <c r="W185" s="265"/>
    </row>
    <row r="186" spans="2:23" ht="17.100000000000001" hidden="1" customHeight="1" thickBot="1">
      <c r="C186" s="178"/>
      <c r="D186" s="279"/>
      <c r="E186" s="273"/>
      <c r="F186" s="180"/>
      <c r="G186" s="180"/>
      <c r="H186" s="182"/>
      <c r="I186" s="182"/>
      <c r="J186" s="182"/>
      <c r="K186" s="182"/>
      <c r="L186" s="182"/>
      <c r="M186" s="182"/>
      <c r="N186" s="182"/>
      <c r="O186" s="182"/>
      <c r="P186" s="280"/>
      <c r="Q186" s="278"/>
      <c r="R186" s="276"/>
      <c r="S186" s="177"/>
      <c r="T186" s="177"/>
      <c r="U186" s="177"/>
      <c r="V186" s="177"/>
      <c r="W186" s="265"/>
    </row>
    <row r="187" spans="2:23" ht="17.100000000000001" hidden="1" customHeight="1">
      <c r="C187" s="178"/>
      <c r="D187" s="177"/>
      <c r="E187" s="177"/>
      <c r="F187" s="177"/>
      <c r="G187" s="177"/>
      <c r="H187" s="266"/>
      <c r="I187" s="266"/>
      <c r="J187" s="266"/>
      <c r="K187" s="266"/>
      <c r="L187" s="266"/>
      <c r="M187" s="266"/>
      <c r="N187" s="266"/>
      <c r="O187" s="266"/>
      <c r="P187" s="266"/>
      <c r="Q187" s="267"/>
      <c r="R187" s="268"/>
      <c r="S187" s="177"/>
      <c r="T187" s="177"/>
      <c r="U187" s="177"/>
      <c r="V187" s="177"/>
      <c r="W187" s="265"/>
    </row>
    <row r="188" spans="2:23" ht="16.5" hidden="1" customHeight="1">
      <c r="C188" s="178"/>
      <c r="D188" s="1003"/>
      <c r="E188" s="1003"/>
      <c r="F188" s="1003"/>
      <c r="G188" s="1003"/>
      <c r="H188" s="1003"/>
      <c r="I188" s="1003"/>
      <c r="J188" s="1003"/>
      <c r="K188" s="1003"/>
      <c r="L188" s="1003"/>
      <c r="M188" s="1003"/>
      <c r="N188" s="1003"/>
      <c r="O188" s="1003"/>
      <c r="P188" s="1003"/>
      <c r="Q188" s="1003"/>
      <c r="R188" s="1003"/>
      <c r="S188" s="1003"/>
      <c r="T188" s="1003"/>
      <c r="U188" s="1003"/>
      <c r="V188" s="1003"/>
      <c r="W188" s="265"/>
    </row>
    <row r="189" spans="2:23" ht="17.100000000000001" hidden="1" customHeight="1">
      <c r="C189" s="178"/>
      <c r="D189" s="269"/>
      <c r="E189" s="269"/>
      <c r="F189" s="177"/>
      <c r="G189" s="177"/>
      <c r="H189" s="266"/>
      <c r="I189" s="266"/>
      <c r="J189" s="266"/>
      <c r="K189" s="266"/>
      <c r="L189" s="266"/>
      <c r="M189" s="266"/>
      <c r="N189" s="266"/>
      <c r="O189" s="266"/>
      <c r="P189" s="266"/>
      <c r="Q189" s="270"/>
      <c r="R189" s="281"/>
      <c r="S189" s="177"/>
      <c r="T189" s="177"/>
      <c r="U189" s="177"/>
      <c r="V189" s="177"/>
      <c r="W189" s="265"/>
    </row>
    <row r="190" spans="2:23" s="10" customFormat="1" ht="17.100000000000001" hidden="1" customHeight="1">
      <c r="B190" s="87"/>
      <c r="C190" s="266"/>
      <c r="D190" s="266"/>
      <c r="E190" s="266"/>
      <c r="F190" s="266"/>
      <c r="G190" s="266"/>
      <c r="H190" s="266"/>
      <c r="I190" s="266"/>
      <c r="J190" s="266"/>
      <c r="K190" s="266"/>
      <c r="L190" s="266"/>
      <c r="M190" s="266"/>
      <c r="N190" s="266"/>
      <c r="O190" s="266"/>
      <c r="P190" s="266"/>
      <c r="Q190" s="266"/>
      <c r="R190" s="266"/>
      <c r="S190" s="266"/>
      <c r="T190" s="266"/>
      <c r="U190" s="266"/>
      <c r="V190" s="266"/>
      <c r="W190" s="266"/>
    </row>
    <row r="191" spans="2:23" hidden="1">
      <c r="C191" s="178"/>
      <c r="D191" s="269"/>
      <c r="E191" s="269"/>
      <c r="F191" s="177"/>
      <c r="G191" s="177"/>
      <c r="H191" s="266"/>
      <c r="I191" s="266"/>
      <c r="J191" s="266"/>
      <c r="K191" s="266"/>
      <c r="L191" s="266"/>
      <c r="M191" s="266"/>
      <c r="N191" s="266"/>
      <c r="O191" s="266"/>
      <c r="P191" s="266"/>
      <c r="Q191" s="270"/>
      <c r="R191" s="281"/>
      <c r="S191" s="177"/>
      <c r="T191" s="177"/>
      <c r="U191" s="177"/>
      <c r="V191" s="177"/>
      <c r="W191" s="186"/>
    </row>
    <row r="192" spans="2:23" hidden="1">
      <c r="C192" s="178"/>
      <c r="D192" s="269"/>
      <c r="E192" s="269"/>
      <c r="F192" s="669"/>
      <c r="G192" s="669"/>
      <c r="H192" s="266"/>
      <c r="I192" s="266"/>
      <c r="J192" s="266"/>
      <c r="K192" s="266"/>
      <c r="L192" s="266"/>
      <c r="M192" s="266"/>
      <c r="N192" s="266"/>
      <c r="O192" s="266"/>
      <c r="P192" s="266"/>
      <c r="Q192" s="270"/>
      <c r="R192" s="281"/>
      <c r="S192" s="669"/>
      <c r="T192" s="669"/>
      <c r="U192" s="669"/>
      <c r="V192" s="669"/>
      <c r="W192" s="186"/>
    </row>
    <row r="193" spans="1:41" hidden="1">
      <c r="C193" s="178"/>
      <c r="D193" s="269"/>
      <c r="E193" s="269"/>
      <c r="F193" s="669"/>
      <c r="G193" s="669"/>
      <c r="H193" s="266"/>
      <c r="I193" s="266"/>
      <c r="J193" s="266"/>
      <c r="K193" s="266"/>
      <c r="L193" s="266"/>
      <c r="M193" s="266"/>
      <c r="N193" s="266"/>
      <c r="O193" s="266"/>
      <c r="P193" s="266"/>
      <c r="Q193" s="270"/>
      <c r="R193" s="281"/>
      <c r="S193" s="669"/>
      <c r="T193" s="669"/>
      <c r="U193" s="669"/>
      <c r="V193" s="669"/>
      <c r="W193" s="186"/>
    </row>
    <row r="194" spans="1:41" hidden="1">
      <c r="C194" s="178"/>
      <c r="D194" s="269"/>
      <c r="E194" s="269"/>
      <c r="F194" s="669"/>
      <c r="G194" s="669"/>
      <c r="H194" s="266"/>
      <c r="I194" s="266"/>
      <c r="J194" s="266"/>
      <c r="K194" s="266"/>
      <c r="L194" s="266"/>
      <c r="M194" s="266"/>
      <c r="N194" s="266"/>
      <c r="O194" s="266"/>
      <c r="P194" s="266"/>
      <c r="Q194" s="270"/>
      <c r="R194" s="281"/>
      <c r="S194" s="669"/>
      <c r="T194" s="669"/>
      <c r="U194" s="669"/>
      <c r="V194" s="669"/>
      <c r="W194" s="186"/>
    </row>
    <row r="195" spans="1:41" hidden="1">
      <c r="C195" s="178"/>
      <c r="D195" s="269"/>
      <c r="E195" s="269"/>
      <c r="F195" s="669"/>
      <c r="G195" s="669"/>
      <c r="H195" s="266"/>
      <c r="I195" s="266"/>
      <c r="J195" s="266"/>
      <c r="K195" s="266"/>
      <c r="L195" s="266"/>
      <c r="M195" s="266"/>
      <c r="N195" s="266"/>
      <c r="O195" s="266"/>
      <c r="P195" s="266"/>
      <c r="Q195" s="270"/>
      <c r="R195" s="281"/>
      <c r="S195" s="669"/>
      <c r="T195" s="669"/>
      <c r="U195" s="669"/>
      <c r="V195" s="669"/>
      <c r="W195" s="186"/>
    </row>
    <row r="196" spans="1:41" hidden="1">
      <c r="C196" s="178"/>
      <c r="D196" s="269"/>
      <c r="E196" s="269"/>
      <c r="F196" s="177"/>
      <c r="G196" s="177"/>
      <c r="H196" s="266"/>
      <c r="I196" s="266"/>
      <c r="J196" s="266"/>
      <c r="K196" s="266"/>
      <c r="L196" s="266"/>
      <c r="M196" s="266"/>
      <c r="N196" s="266"/>
      <c r="O196" s="266"/>
      <c r="P196" s="266"/>
      <c r="Q196" s="270"/>
      <c r="R196" s="282"/>
      <c r="S196" s="263"/>
      <c r="T196" s="185"/>
      <c r="U196" s="177"/>
      <c r="V196" s="282"/>
      <c r="W196" s="186"/>
    </row>
    <row r="197" spans="1:41" s="10" customFormat="1" hidden="1">
      <c r="B197" s="87"/>
      <c r="C197" s="193"/>
      <c r="D197" s="283"/>
      <c r="E197" s="283"/>
      <c r="F197" s="283"/>
      <c r="G197" s="283"/>
      <c r="H197" s="283"/>
      <c r="I197" s="283"/>
      <c r="J197" s="283"/>
      <c r="K197" s="283"/>
      <c r="L197" s="283"/>
      <c r="M197" s="283"/>
      <c r="N197" s="283"/>
      <c r="O197" s="283"/>
      <c r="P197" s="283"/>
      <c r="Q197" s="283"/>
      <c r="R197" s="283"/>
      <c r="S197" s="283"/>
      <c r="T197" s="283"/>
      <c r="U197" s="283"/>
      <c r="V197" s="284"/>
      <c r="W197" s="195"/>
    </row>
    <row r="198" spans="1:41" s="10" customFormat="1" hidden="1">
      <c r="B198" s="87"/>
      <c r="C198" s="178"/>
      <c r="D198" s="285"/>
      <c r="E198" s="285"/>
      <c r="F198" s="285"/>
      <c r="G198" s="285"/>
      <c r="H198" s="285"/>
      <c r="I198" s="285"/>
      <c r="J198" s="285"/>
      <c r="K198" s="285"/>
      <c r="L198" s="285"/>
      <c r="M198" s="285"/>
      <c r="N198" s="285"/>
      <c r="O198" s="285"/>
      <c r="P198" s="285"/>
      <c r="Q198" s="285"/>
      <c r="R198" s="285"/>
      <c r="S198" s="285"/>
      <c r="T198" s="285"/>
      <c r="U198" s="285"/>
      <c r="V198" s="286"/>
      <c r="W198" s="186"/>
    </row>
    <row r="199" spans="1:41" s="10" customFormat="1" hidden="1">
      <c r="B199" s="87"/>
      <c r="C199" s="178"/>
      <c r="D199" s="285"/>
      <c r="E199" s="285"/>
      <c r="F199" s="285"/>
      <c r="G199" s="285"/>
      <c r="H199" s="285"/>
      <c r="I199" s="285"/>
      <c r="J199" s="285"/>
      <c r="K199" s="285"/>
      <c r="L199" s="285"/>
      <c r="M199" s="285"/>
      <c r="N199" s="285"/>
      <c r="O199" s="285"/>
      <c r="P199" s="285"/>
      <c r="Q199" s="285"/>
      <c r="R199" s="285"/>
      <c r="S199" s="285"/>
      <c r="T199" s="285"/>
      <c r="U199" s="285"/>
      <c r="V199" s="286"/>
      <c r="W199" s="186"/>
    </row>
    <row r="200" spans="1:41" s="10" customFormat="1" hidden="1">
      <c r="B200" s="87"/>
      <c r="C200" s="178"/>
      <c r="D200" s="287" t="s">
        <v>1277</v>
      </c>
      <c r="E200" s="285"/>
      <c r="F200" s="285"/>
      <c r="G200" s="285"/>
      <c r="H200" s="285"/>
      <c r="I200" s="285"/>
      <c r="J200" s="285"/>
      <c r="K200" s="285"/>
      <c r="L200" s="285"/>
      <c r="M200" s="285"/>
      <c r="N200" s="285"/>
      <c r="O200" s="285"/>
      <c r="P200" s="285"/>
      <c r="Q200" s="285"/>
      <c r="R200" s="288"/>
      <c r="S200" s="289"/>
      <c r="T200" s="289"/>
      <c r="U200" s="289"/>
      <c r="V200" s="290"/>
      <c r="W200" s="186"/>
    </row>
    <row r="201" spans="1:41" s="10" customFormat="1" ht="19.5" hidden="1" customHeight="1" thickBot="1">
      <c r="B201" s="87"/>
      <c r="C201" s="178"/>
      <c r="D201" s="287"/>
      <c r="E201" s="285"/>
      <c r="F201" s="285"/>
      <c r="G201" s="285"/>
      <c r="H201" s="285"/>
      <c r="I201" s="285"/>
      <c r="J201" s="285"/>
      <c r="K201" s="285"/>
      <c r="L201" s="285"/>
      <c r="M201" s="285"/>
      <c r="N201" s="285"/>
      <c r="O201" s="285"/>
      <c r="P201" s="285"/>
      <c r="Q201" s="285"/>
      <c r="R201" s="285"/>
      <c r="S201" s="285"/>
      <c r="T201" s="285"/>
      <c r="U201" s="285"/>
      <c r="V201" s="286"/>
      <c r="W201" s="186"/>
    </row>
    <row r="202" spans="1:41" ht="25.5" hidden="1" customHeight="1">
      <c r="C202" s="178"/>
      <c r="D202" s="291" t="str">
        <f>'Full Report'!C66</f>
        <v>Accomodation Rental</v>
      </c>
      <c r="E202" s="292"/>
      <c r="F202" s="292"/>
      <c r="G202" s="292"/>
      <c r="H202" s="292"/>
      <c r="I202" s="292"/>
      <c r="J202" s="292"/>
      <c r="K202" s="292"/>
      <c r="L202" s="292"/>
      <c r="M202" s="292"/>
      <c r="N202" s="292"/>
      <c r="O202" s="292"/>
      <c r="P202" s="293" t="str">
        <f>P236</f>
        <v>Tucson (USD)</v>
      </c>
      <c r="Q202" s="293" t="str">
        <f>Q236</f>
        <v>Dubai (USD)</v>
      </c>
      <c r="R202" s="294" t="str">
        <f>R236</f>
        <v>Difference</v>
      </c>
      <c r="S202" s="295"/>
      <c r="T202" s="296"/>
      <c r="U202" s="296"/>
      <c r="V202" s="297"/>
      <c r="W202" s="186"/>
    </row>
    <row r="203" spans="1:41" hidden="1">
      <c r="C203" s="178"/>
      <c r="D203" s="298" t="str">
        <f>'Full Report'!C67</f>
        <v>1 bed Apartment in City Centre</v>
      </c>
      <c r="E203" s="269"/>
      <c r="F203" s="269"/>
      <c r="G203" s="269"/>
      <c r="H203" s="269"/>
      <c r="I203" s="269"/>
      <c r="J203" s="269"/>
      <c r="K203" s="269"/>
      <c r="L203" s="269"/>
      <c r="M203" s="269"/>
      <c r="N203" s="269"/>
      <c r="O203" s="269"/>
      <c r="P203" s="299">
        <f>'Full Report'!F67</f>
        <v>700</v>
      </c>
      <c r="Q203" s="300">
        <f>'Full Report'!H67</f>
        <v>1633.54</v>
      </c>
      <c r="R203" s="276">
        <f>V203-1</f>
        <v>-0.57148279197326057</v>
      </c>
      <c r="S203" s="263"/>
      <c r="T203" s="180"/>
      <c r="U203" s="180"/>
      <c r="V203" s="301">
        <f>P203/Q203</f>
        <v>0.42851720802673948</v>
      </c>
      <c r="W203" s="186"/>
    </row>
    <row r="204" spans="1:41" hidden="1">
      <c r="C204" s="178"/>
      <c r="D204" s="302" t="str">
        <f>'Full Report'!C68</f>
        <v>1 bed Apartment Outside of Centre</v>
      </c>
      <c r="E204" s="303">
        <f>Info!K8</f>
        <v>1</v>
      </c>
      <c r="F204" s="304"/>
      <c r="G204" s="304"/>
      <c r="H204" s="305"/>
      <c r="I204" s="305"/>
      <c r="J204" s="306"/>
      <c r="K204" s="304"/>
      <c r="L204" s="304"/>
      <c r="M204" s="304"/>
      <c r="N204" s="304"/>
      <c r="O204" s="304"/>
      <c r="P204" s="307">
        <f>'Full Report'!F68</f>
        <v>625</v>
      </c>
      <c r="Q204" s="308">
        <f>'Full Report'!H68</f>
        <v>950.58</v>
      </c>
      <c r="R204" s="309">
        <f>V204-1</f>
        <v>-0.34250668013212993</v>
      </c>
      <c r="S204" s="295"/>
      <c r="T204" s="296"/>
      <c r="U204" s="296"/>
      <c r="V204" s="301">
        <f>P204/Q204</f>
        <v>0.65749331986787007</v>
      </c>
      <c r="W204" s="186"/>
    </row>
    <row r="205" spans="1:41" hidden="1">
      <c r="C205" s="178"/>
      <c r="D205" s="298" t="str">
        <f>'Full Report'!C69</f>
        <v>3 bed Apartment in City Centre</v>
      </c>
      <c r="E205" s="310" t="str">
        <f>Info!J8</f>
        <v>USD</v>
      </c>
      <c r="F205" s="214"/>
      <c r="G205" s="214"/>
      <c r="H205" s="311"/>
      <c r="I205" s="311"/>
      <c r="J205" s="311"/>
      <c r="K205" s="311"/>
      <c r="L205" s="311"/>
      <c r="M205" s="311"/>
      <c r="N205" s="311"/>
      <c r="O205" s="311"/>
      <c r="P205" s="312">
        <f>'Full Report'!F69</f>
        <v>1200</v>
      </c>
      <c r="Q205" s="313">
        <f>'Full Report'!H69</f>
        <v>3062</v>
      </c>
      <c r="R205" s="276">
        <f>V205-1</f>
        <v>-0.60809928151534942</v>
      </c>
      <c r="S205" s="263"/>
      <c r="T205" s="180"/>
      <c r="U205" s="180"/>
      <c r="V205" s="301">
        <f>P205/Q205</f>
        <v>0.39190071848465058</v>
      </c>
      <c r="W205" s="186"/>
    </row>
    <row r="206" spans="1:41" ht="24" hidden="1" thickBot="1">
      <c r="C206" s="178"/>
      <c r="D206" s="314" t="str">
        <f>'Full Report'!C70</f>
        <v>3 bed Apartment Outside of Centre</v>
      </c>
      <c r="E206" s="303"/>
      <c r="F206" s="304"/>
      <c r="G206" s="304"/>
      <c r="H206" s="305"/>
      <c r="I206" s="305"/>
      <c r="J206" s="305"/>
      <c r="K206" s="305"/>
      <c r="L206" s="305"/>
      <c r="M206" s="305"/>
      <c r="N206" s="305"/>
      <c r="O206" s="305"/>
      <c r="P206" s="315">
        <f>'Full Report'!F70</f>
        <v>1000</v>
      </c>
      <c r="Q206" s="316">
        <f>'Full Report'!H70</f>
        <v>2239.0300000000002</v>
      </c>
      <c r="R206" s="309">
        <f>V206-1</f>
        <v>-0.5533780253056011</v>
      </c>
      <c r="S206" s="295"/>
      <c r="T206" s="296"/>
      <c r="U206" s="296"/>
      <c r="V206" s="317">
        <f>P206/Q206</f>
        <v>0.44662197469439885</v>
      </c>
      <c r="W206" s="186"/>
    </row>
    <row r="207" spans="1:41" hidden="1">
      <c r="C207" s="178"/>
      <c r="D207" s="269"/>
      <c r="E207" s="310"/>
      <c r="F207" s="214"/>
      <c r="G207" s="214"/>
      <c r="H207" s="311"/>
      <c r="I207" s="311"/>
      <c r="J207" s="311"/>
      <c r="K207" s="311"/>
      <c r="L207" s="311"/>
      <c r="M207" s="311"/>
      <c r="N207" s="311"/>
      <c r="O207" s="311"/>
      <c r="P207" s="311"/>
      <c r="Q207" s="313"/>
      <c r="R207" s="282"/>
      <c r="S207" s="263"/>
      <c r="T207" s="180"/>
      <c r="U207" s="180"/>
      <c r="V207" s="318"/>
      <c r="W207" s="186"/>
    </row>
    <row r="208" spans="1:41" s="41" customFormat="1" ht="44.1" hidden="1" customHeight="1">
      <c r="A208" s="30"/>
      <c r="B208" s="87"/>
      <c r="C208" s="178"/>
      <c r="D208" s="969" t="str">
        <f>IF(T520=392,D529,D531)</f>
        <v xml:space="preserve">Overall, based on 4 apartments in the Rental category, the cost of rental in Tucson, AZ, United States is 55.30% lower than in Dubai, United Arab Emirates. In other words, on average it is more cheaper to spend money on accomodation rental in Tucson. </v>
      </c>
      <c r="E208" s="969"/>
      <c r="F208" s="969"/>
      <c r="G208" s="969"/>
      <c r="H208" s="969"/>
      <c r="I208" s="969"/>
      <c r="J208" s="969"/>
      <c r="K208" s="969"/>
      <c r="L208" s="969"/>
      <c r="M208" s="969"/>
      <c r="N208" s="969"/>
      <c r="O208" s="969"/>
      <c r="P208" s="969"/>
      <c r="Q208" s="969"/>
      <c r="R208" s="969"/>
      <c r="S208" s="969"/>
      <c r="T208" s="969"/>
      <c r="U208" s="969"/>
      <c r="V208" s="969"/>
      <c r="W208" s="186"/>
      <c r="X208" s="10"/>
      <c r="Y208" s="30"/>
      <c r="Z208" s="30"/>
      <c r="AA208" s="30"/>
      <c r="AB208" s="30"/>
      <c r="AC208" s="30"/>
      <c r="AD208" s="30"/>
      <c r="AE208" s="30"/>
      <c r="AF208" s="30"/>
      <c r="AG208" s="30"/>
      <c r="AH208" s="30"/>
      <c r="AI208" s="30"/>
      <c r="AJ208" s="30"/>
      <c r="AK208" s="30"/>
      <c r="AL208" s="30"/>
      <c r="AM208" s="30"/>
      <c r="AN208" s="30"/>
      <c r="AO208" s="30"/>
    </row>
    <row r="209" spans="1:41" s="41" customFormat="1" ht="57" hidden="1" customHeight="1">
      <c r="A209" s="30"/>
      <c r="B209" s="87"/>
      <c r="C209" s="178"/>
      <c r="D209" s="1009" t="str">
        <f>IF(T520=392,D529,D532)</f>
        <v xml:space="preserve"> All apartments under this category have lower price than in Dubai. 3 bed Apartment in City Centre is the cheapest item in comparison to Dubai. Its cost is 60.81% higher than in Dubai, United Arab Emirates.</v>
      </c>
      <c r="E209" s="1009"/>
      <c r="F209" s="1009"/>
      <c r="G209" s="1009"/>
      <c r="H209" s="1009"/>
      <c r="I209" s="1009"/>
      <c r="J209" s="1009"/>
      <c r="K209" s="1009"/>
      <c r="L209" s="1009"/>
      <c r="M209" s="1009"/>
      <c r="N209" s="1009"/>
      <c r="O209" s="1009"/>
      <c r="P209" s="1009"/>
      <c r="Q209" s="1009"/>
      <c r="R209" s="1009"/>
      <c r="S209" s="1009"/>
      <c r="T209" s="1009"/>
      <c r="U209" s="1009"/>
      <c r="V209" s="1009"/>
      <c r="W209" s="186"/>
      <c r="X209" s="10"/>
      <c r="Y209" s="30"/>
      <c r="Z209" s="30"/>
      <c r="AA209" s="30"/>
      <c r="AB209" s="30"/>
      <c r="AC209" s="30"/>
      <c r="AD209" s="30"/>
      <c r="AE209" s="30"/>
      <c r="AF209" s="30"/>
      <c r="AG209" s="30"/>
      <c r="AH209" s="30"/>
      <c r="AI209" s="30"/>
      <c r="AJ209" s="30"/>
      <c r="AK209" s="30"/>
      <c r="AL209" s="30"/>
      <c r="AM209" s="30"/>
      <c r="AN209" s="30"/>
      <c r="AO209" s="30"/>
    </row>
    <row r="210" spans="1:41" s="41" customFormat="1" ht="17.100000000000001" hidden="1" customHeight="1">
      <c r="A210" s="30"/>
      <c r="B210" s="87"/>
      <c r="C210" s="178"/>
      <c r="D210" s="214"/>
      <c r="E210" s="214"/>
      <c r="F210" s="319"/>
      <c r="G210" s="320"/>
      <c r="H210" s="319"/>
      <c r="I210" s="214"/>
      <c r="J210" s="262"/>
      <c r="K210" s="262"/>
      <c r="L210" s="262"/>
      <c r="M210" s="262"/>
      <c r="N210" s="262"/>
      <c r="O210" s="262"/>
      <c r="P210" s="321"/>
      <c r="Q210" s="322"/>
      <c r="R210" s="184"/>
      <c r="S210" s="180"/>
      <c r="T210" s="185"/>
      <c r="U210" s="180"/>
      <c r="V210" s="177"/>
      <c r="W210" s="186"/>
      <c r="X210" s="10"/>
      <c r="Y210" s="30"/>
      <c r="Z210" s="30"/>
      <c r="AA210" s="30"/>
      <c r="AB210" s="30"/>
      <c r="AC210" s="30"/>
      <c r="AD210" s="30"/>
      <c r="AE210" s="30"/>
      <c r="AF210" s="30"/>
      <c r="AG210" s="30"/>
      <c r="AH210" s="30"/>
      <c r="AI210" s="30"/>
      <c r="AJ210" s="30"/>
      <c r="AK210" s="30"/>
      <c r="AL210" s="30"/>
      <c r="AM210" s="30"/>
      <c r="AN210" s="30"/>
      <c r="AO210" s="30"/>
    </row>
    <row r="211" spans="1:41" hidden="1">
      <c r="C211" s="178"/>
      <c r="D211" s="214"/>
      <c r="E211" s="214"/>
      <c r="F211" s="319"/>
      <c r="G211" s="320"/>
      <c r="H211" s="319"/>
      <c r="I211" s="182"/>
      <c r="J211" s="262"/>
      <c r="K211" s="262"/>
      <c r="L211" s="262"/>
      <c r="M211" s="262"/>
      <c r="N211" s="262"/>
      <c r="O211" s="262"/>
      <c r="P211" s="321"/>
      <c r="Q211" s="322"/>
      <c r="R211" s="184"/>
      <c r="S211" s="180"/>
      <c r="T211" s="180"/>
      <c r="U211" s="180"/>
      <c r="V211" s="177"/>
      <c r="W211" s="186"/>
    </row>
    <row r="212" spans="1:41" hidden="1">
      <c r="C212" s="178"/>
      <c r="D212" s="214"/>
      <c r="E212" s="214"/>
      <c r="F212" s="319"/>
      <c r="G212" s="320"/>
      <c r="H212" s="319"/>
      <c r="I212" s="182"/>
      <c r="J212" s="262"/>
      <c r="K212" s="262"/>
      <c r="L212" s="262"/>
      <c r="M212" s="262"/>
      <c r="N212" s="262"/>
      <c r="O212" s="262"/>
      <c r="P212" s="321"/>
      <c r="Q212" s="322"/>
      <c r="R212" s="184"/>
      <c r="S212" s="180"/>
      <c r="T212" s="180"/>
      <c r="U212" s="180"/>
      <c r="V212" s="177"/>
      <c r="W212" s="186"/>
    </row>
    <row r="213" spans="1:41" s="41" customFormat="1" ht="17.100000000000001" hidden="1" customHeight="1">
      <c r="A213" s="30"/>
      <c r="B213" s="87"/>
      <c r="C213" s="178"/>
      <c r="D213" s="214"/>
      <c r="E213" s="214"/>
      <c r="F213" s="319"/>
      <c r="G213" s="320"/>
      <c r="H213" s="319"/>
      <c r="I213" s="182"/>
      <c r="J213" s="262"/>
      <c r="K213" s="262"/>
      <c r="L213" s="262"/>
      <c r="M213" s="262"/>
      <c r="N213" s="262"/>
      <c r="O213" s="262"/>
      <c r="P213" s="321"/>
      <c r="Q213" s="322"/>
      <c r="R213" s="184"/>
      <c r="S213" s="180"/>
      <c r="T213" s="180"/>
      <c r="U213" s="180"/>
      <c r="V213" s="177"/>
      <c r="W213" s="186"/>
      <c r="X213" s="10"/>
      <c r="Y213" s="30"/>
      <c r="Z213" s="30"/>
      <c r="AA213" s="30"/>
      <c r="AB213" s="30"/>
      <c r="AC213" s="30"/>
      <c r="AD213" s="30"/>
      <c r="AE213" s="30"/>
      <c r="AF213" s="30"/>
      <c r="AG213" s="30"/>
      <c r="AH213" s="30"/>
      <c r="AI213" s="30"/>
      <c r="AJ213" s="30"/>
      <c r="AK213" s="30"/>
      <c r="AL213" s="30"/>
      <c r="AM213" s="30"/>
      <c r="AN213" s="30"/>
      <c r="AO213" s="30"/>
    </row>
    <row r="214" spans="1:41" s="41" customFormat="1" ht="17.100000000000001" hidden="1" customHeight="1">
      <c r="A214" s="30"/>
      <c r="B214" s="87"/>
      <c r="C214" s="178"/>
      <c r="D214" s="214"/>
      <c r="E214" s="214"/>
      <c r="F214" s="319"/>
      <c r="G214" s="320"/>
      <c r="H214" s="319"/>
      <c r="I214" s="182"/>
      <c r="J214" s="262"/>
      <c r="K214" s="262"/>
      <c r="L214" s="262"/>
      <c r="M214" s="262"/>
      <c r="N214" s="262"/>
      <c r="O214" s="262"/>
      <c r="P214" s="321"/>
      <c r="Q214" s="322"/>
      <c r="R214" s="184"/>
      <c r="S214" s="180"/>
      <c r="T214" s="180"/>
      <c r="U214" s="180"/>
      <c r="V214" s="177"/>
      <c r="W214" s="186"/>
      <c r="X214" s="10"/>
      <c r="Y214" s="30"/>
      <c r="Z214" s="30"/>
      <c r="AA214" s="30"/>
      <c r="AB214" s="30"/>
      <c r="AC214" s="30"/>
      <c r="AD214" s="30"/>
      <c r="AE214" s="30"/>
      <c r="AF214" s="30"/>
      <c r="AG214" s="30"/>
      <c r="AH214" s="30"/>
      <c r="AI214" s="30"/>
      <c r="AJ214" s="30"/>
      <c r="AK214" s="30"/>
      <c r="AL214" s="30"/>
      <c r="AM214" s="30"/>
      <c r="AN214" s="30"/>
      <c r="AO214" s="30"/>
    </row>
    <row r="215" spans="1:41" s="41" customFormat="1" ht="17.100000000000001" hidden="1" customHeight="1">
      <c r="A215" s="30"/>
      <c r="B215" s="87"/>
      <c r="C215" s="178"/>
      <c r="D215" s="214"/>
      <c r="E215" s="214"/>
      <c r="F215" s="319"/>
      <c r="G215" s="320"/>
      <c r="H215" s="319"/>
      <c r="I215" s="182"/>
      <c r="J215" s="262"/>
      <c r="K215" s="262"/>
      <c r="L215" s="262"/>
      <c r="M215" s="262"/>
      <c r="N215" s="262"/>
      <c r="O215" s="262"/>
      <c r="P215" s="321"/>
      <c r="Q215" s="322"/>
      <c r="R215" s="184"/>
      <c r="S215" s="180"/>
      <c r="T215" s="180"/>
      <c r="U215" s="180"/>
      <c r="V215" s="177"/>
      <c r="W215" s="186"/>
      <c r="X215" s="10"/>
      <c r="Y215" s="30"/>
      <c r="Z215" s="30"/>
      <c r="AA215" s="30"/>
      <c r="AB215" s="30"/>
      <c r="AC215" s="30"/>
      <c r="AD215" s="30"/>
      <c r="AE215" s="30"/>
      <c r="AF215" s="30"/>
      <c r="AG215" s="30"/>
      <c r="AH215" s="30"/>
      <c r="AI215" s="30"/>
      <c r="AJ215" s="30"/>
      <c r="AK215" s="30"/>
      <c r="AL215" s="30"/>
      <c r="AM215" s="30"/>
      <c r="AN215" s="30"/>
      <c r="AO215" s="30"/>
    </row>
    <row r="216" spans="1:41" s="41" customFormat="1" ht="17.100000000000001" hidden="1" customHeight="1">
      <c r="A216" s="30"/>
      <c r="B216" s="87"/>
      <c r="C216" s="178"/>
      <c r="D216" s="214"/>
      <c r="E216" s="214"/>
      <c r="F216" s="319"/>
      <c r="G216" s="320"/>
      <c r="H216" s="319"/>
      <c r="I216" s="182"/>
      <c r="J216" s="262"/>
      <c r="K216" s="262"/>
      <c r="L216" s="262"/>
      <c r="M216" s="262"/>
      <c r="N216" s="262"/>
      <c r="O216" s="262"/>
      <c r="P216" s="321"/>
      <c r="Q216" s="322"/>
      <c r="R216" s="184"/>
      <c r="S216" s="180"/>
      <c r="T216" s="180"/>
      <c r="U216" s="180"/>
      <c r="V216" s="177"/>
      <c r="W216" s="186"/>
      <c r="X216" s="10"/>
      <c r="Y216" s="30"/>
      <c r="Z216" s="30"/>
      <c r="AA216" s="30"/>
      <c r="AB216" s="30"/>
      <c r="AC216" s="30"/>
      <c r="AD216" s="30"/>
      <c r="AE216" s="30"/>
      <c r="AF216" s="30"/>
      <c r="AG216" s="30"/>
      <c r="AH216" s="30"/>
      <c r="AI216" s="30"/>
      <c r="AJ216" s="30"/>
      <c r="AK216" s="30"/>
      <c r="AL216" s="30"/>
      <c r="AM216" s="30"/>
      <c r="AN216" s="30"/>
      <c r="AO216" s="30"/>
    </row>
    <row r="217" spans="1:41" hidden="1">
      <c r="C217" s="178"/>
      <c r="D217" s="987"/>
      <c r="E217" s="987"/>
      <c r="F217" s="988"/>
      <c r="G217" s="989"/>
      <c r="H217" s="988"/>
      <c r="I217" s="990"/>
      <c r="J217" s="991"/>
      <c r="K217" s="991"/>
      <c r="L217" s="991"/>
      <c r="M217" s="991"/>
      <c r="N217" s="991"/>
      <c r="O217" s="991"/>
      <c r="P217" s="992"/>
      <c r="Q217" s="993"/>
      <c r="R217" s="994"/>
      <c r="S217" s="995"/>
      <c r="T217" s="995"/>
      <c r="U217" s="995"/>
      <c r="V217" s="996"/>
      <c r="W217" s="186"/>
    </row>
    <row r="218" spans="1:41" hidden="1">
      <c r="C218" s="178"/>
      <c r="D218" s="269"/>
      <c r="E218" s="269"/>
      <c r="F218" s="177"/>
      <c r="G218" s="177"/>
      <c r="H218" s="266"/>
      <c r="I218" s="266"/>
      <c r="J218" s="266"/>
      <c r="K218" s="266"/>
      <c r="L218" s="266"/>
      <c r="M218" s="266"/>
      <c r="N218" s="266"/>
      <c r="O218" s="266"/>
      <c r="P218" s="266"/>
      <c r="Q218" s="270"/>
      <c r="R218" s="325"/>
      <c r="S218" s="271"/>
      <c r="T218" s="177"/>
      <c r="U218" s="177"/>
      <c r="V218" s="177"/>
      <c r="W218" s="186"/>
    </row>
    <row r="219" spans="1:41" s="41" customFormat="1" ht="17.100000000000001" hidden="1" customHeight="1">
      <c r="A219" s="30"/>
      <c r="B219" s="87"/>
      <c r="C219" s="178"/>
      <c r="D219" s="180"/>
      <c r="E219" s="180"/>
      <c r="F219" s="180"/>
      <c r="G219" s="180"/>
      <c r="H219" s="180"/>
      <c r="I219" s="180"/>
      <c r="J219" s="180"/>
      <c r="K219" s="180"/>
      <c r="L219" s="180"/>
      <c r="M219" s="180"/>
      <c r="N219" s="180"/>
      <c r="O219" s="180"/>
      <c r="P219" s="180"/>
      <c r="Q219" s="180"/>
      <c r="R219" s="180"/>
      <c r="S219" s="180"/>
      <c r="T219" s="180"/>
      <c r="U219" s="180"/>
      <c r="V219" s="180"/>
      <c r="W219" s="186"/>
      <c r="X219" s="10"/>
      <c r="Y219" s="30"/>
      <c r="Z219" s="30"/>
      <c r="AA219" s="30"/>
      <c r="AB219" s="30"/>
      <c r="AC219" s="30"/>
      <c r="AD219" s="30"/>
      <c r="AE219" s="30"/>
      <c r="AF219" s="30"/>
      <c r="AG219" s="30"/>
      <c r="AH219" s="30"/>
      <c r="AI219" s="30"/>
      <c r="AJ219" s="30"/>
      <c r="AK219" s="30"/>
      <c r="AL219" s="30"/>
      <c r="AM219" s="30"/>
      <c r="AN219" s="30"/>
      <c r="AO219" s="30"/>
    </row>
    <row r="220" spans="1:41" s="41" customFormat="1" ht="17.100000000000001" hidden="1" customHeight="1">
      <c r="A220" s="30"/>
      <c r="B220" s="87"/>
      <c r="C220" s="178"/>
      <c r="D220" s="326"/>
      <c r="E220" s="326"/>
      <c r="F220" s="326"/>
      <c r="G220" s="326"/>
      <c r="H220" s="326"/>
      <c r="I220" s="326"/>
      <c r="J220" s="326"/>
      <c r="K220" s="326"/>
      <c r="L220" s="326"/>
      <c r="M220" s="326"/>
      <c r="N220" s="326"/>
      <c r="O220" s="326"/>
      <c r="P220" s="326"/>
      <c r="Q220" s="326"/>
      <c r="R220" s="326"/>
      <c r="S220" s="326"/>
      <c r="T220" s="326"/>
      <c r="U220" s="326"/>
      <c r="V220" s="326"/>
      <c r="W220" s="186"/>
      <c r="X220" s="10"/>
      <c r="Y220" s="30"/>
      <c r="Z220" s="30"/>
      <c r="AA220" s="30"/>
      <c r="AB220" s="30"/>
      <c r="AC220" s="30"/>
      <c r="AD220" s="30"/>
      <c r="AE220" s="30"/>
      <c r="AF220" s="30"/>
      <c r="AG220" s="30"/>
      <c r="AH220" s="30"/>
      <c r="AI220" s="30"/>
      <c r="AJ220" s="30"/>
      <c r="AK220" s="30"/>
      <c r="AL220" s="30"/>
      <c r="AM220" s="30"/>
      <c r="AN220" s="30"/>
      <c r="AO220" s="30"/>
    </row>
    <row r="221" spans="1:41" s="41" customFormat="1" ht="33.75" hidden="1" customHeight="1">
      <c r="A221" s="30"/>
      <c r="B221" s="87"/>
      <c r="C221" s="178"/>
      <c r="D221" s="984" t="str">
        <f>$D$354</f>
        <v>On the graph above, Dubai is set at 0%. As a result, items greater than 0% are higher than Dubai , items less than 0% are below Dubai and items equal to 0% shared a same price.</v>
      </c>
      <c r="E221" s="984"/>
      <c r="F221" s="984"/>
      <c r="G221" s="984"/>
      <c r="H221" s="984"/>
      <c r="I221" s="984"/>
      <c r="J221" s="984"/>
      <c r="K221" s="984"/>
      <c r="L221" s="984"/>
      <c r="M221" s="984"/>
      <c r="N221" s="984"/>
      <c r="O221" s="984"/>
      <c r="P221" s="984"/>
      <c r="Q221" s="984"/>
      <c r="R221" s="984"/>
      <c r="S221" s="984"/>
      <c r="T221" s="984"/>
      <c r="U221" s="984"/>
      <c r="V221" s="984"/>
      <c r="W221" s="186"/>
      <c r="X221" s="10"/>
      <c r="Y221" s="30"/>
      <c r="Z221" s="30"/>
      <c r="AA221" s="30"/>
      <c r="AB221" s="30"/>
      <c r="AC221" s="30"/>
      <c r="AD221" s="30"/>
      <c r="AE221" s="30"/>
      <c r="AF221" s="30"/>
      <c r="AG221" s="30"/>
      <c r="AH221" s="30"/>
      <c r="AI221" s="30"/>
      <c r="AJ221" s="30"/>
      <c r="AK221" s="30"/>
      <c r="AL221" s="30"/>
      <c r="AM221" s="30"/>
      <c r="AN221" s="30"/>
      <c r="AO221" s="30"/>
    </row>
    <row r="222" spans="1:41" s="41" customFormat="1" ht="17.100000000000001" hidden="1" customHeight="1">
      <c r="A222" s="30"/>
      <c r="B222" s="87"/>
      <c r="C222" s="178"/>
      <c r="D222" s="269"/>
      <c r="E222" s="269"/>
      <c r="F222" s="177"/>
      <c r="G222" s="177"/>
      <c r="H222" s="266"/>
      <c r="I222" s="266"/>
      <c r="J222" s="266"/>
      <c r="K222" s="266"/>
      <c r="L222" s="266"/>
      <c r="M222" s="266"/>
      <c r="N222" s="266"/>
      <c r="O222" s="266"/>
      <c r="P222" s="266"/>
      <c r="Q222" s="270"/>
      <c r="R222" s="281"/>
      <c r="S222" s="177"/>
      <c r="T222" s="177"/>
      <c r="U222" s="177"/>
      <c r="V222" s="177"/>
      <c r="W222" s="186"/>
      <c r="X222" s="10"/>
      <c r="Y222" s="30"/>
      <c r="Z222" s="30"/>
      <c r="AA222" s="30"/>
      <c r="AB222" s="30"/>
      <c r="AC222" s="30"/>
      <c r="AD222" s="30"/>
      <c r="AE222" s="30"/>
      <c r="AF222" s="30"/>
      <c r="AG222" s="30"/>
      <c r="AH222" s="30"/>
      <c r="AI222" s="30"/>
      <c r="AJ222" s="30"/>
      <c r="AK222" s="30"/>
      <c r="AL222" s="30"/>
      <c r="AM222" s="30"/>
      <c r="AN222" s="30"/>
      <c r="AO222" s="30"/>
    </row>
    <row r="223" spans="1:41" s="41" customFormat="1" ht="17.100000000000001" hidden="1" customHeight="1">
      <c r="A223" s="30"/>
      <c r="B223" s="77"/>
      <c r="C223" s="327"/>
      <c r="D223" s="269"/>
      <c r="E223" s="269"/>
      <c r="F223" s="269"/>
      <c r="G223" s="269"/>
      <c r="H223" s="269"/>
      <c r="I223" s="269"/>
      <c r="J223" s="269"/>
      <c r="K223" s="269"/>
      <c r="L223" s="269"/>
      <c r="M223" s="269"/>
      <c r="N223" s="269"/>
      <c r="O223" s="269"/>
      <c r="P223" s="269"/>
      <c r="Q223" s="269"/>
      <c r="R223" s="269"/>
      <c r="S223" s="269"/>
      <c r="T223" s="269"/>
      <c r="U223" s="269"/>
      <c r="V223" s="269"/>
      <c r="W223" s="328"/>
      <c r="X223" s="30"/>
      <c r="Y223" s="30"/>
      <c r="Z223" s="30"/>
      <c r="AA223" s="30"/>
      <c r="AB223" s="30"/>
      <c r="AC223" s="30"/>
      <c r="AD223" s="30"/>
      <c r="AE223" s="30"/>
      <c r="AF223" s="30"/>
      <c r="AG223" s="30"/>
      <c r="AH223" s="30"/>
      <c r="AI223" s="30"/>
      <c r="AJ223" s="30"/>
      <c r="AK223" s="30"/>
      <c r="AL223" s="30"/>
      <c r="AM223" s="30"/>
      <c r="AN223" s="30"/>
      <c r="AO223" s="30"/>
    </row>
    <row r="224" spans="1:41" hidden="1">
      <c r="C224" s="178"/>
      <c r="D224" s="177" t="str">
        <f>'Full Report'!C65</f>
        <v xml:space="preserve"> </v>
      </c>
      <c r="E224" s="177"/>
      <c r="F224" s="177"/>
      <c r="G224" s="177"/>
      <c r="H224" s="177"/>
      <c r="I224" s="177"/>
      <c r="J224" s="177"/>
      <c r="K224" s="177"/>
      <c r="L224" s="177"/>
      <c r="M224" s="177"/>
      <c r="N224" s="177"/>
      <c r="O224" s="177"/>
      <c r="P224" s="177"/>
      <c r="Q224" s="177"/>
      <c r="R224" s="282"/>
      <c r="S224" s="263"/>
      <c r="T224" s="185"/>
      <c r="U224" s="177"/>
      <c r="V224" s="282"/>
      <c r="W224" s="186"/>
    </row>
    <row r="225" spans="1:41" hidden="1">
      <c r="C225" s="178"/>
      <c r="D225" s="269"/>
      <c r="E225" s="269"/>
      <c r="F225" s="177"/>
      <c r="G225" s="177"/>
      <c r="H225" s="266"/>
      <c r="I225" s="266"/>
      <c r="J225" s="266"/>
      <c r="K225" s="266"/>
      <c r="L225" s="266"/>
      <c r="M225" s="266"/>
      <c r="N225" s="266"/>
      <c r="O225" s="266"/>
      <c r="P225" s="266"/>
      <c r="Q225" s="270"/>
      <c r="R225" s="281"/>
      <c r="S225" s="177"/>
      <c r="T225" s="177"/>
      <c r="U225" s="177"/>
      <c r="V225" s="177"/>
      <c r="W225" s="186"/>
    </row>
    <row r="226" spans="1:41" s="41" customFormat="1" ht="17.100000000000001" hidden="1" customHeight="1">
      <c r="A226" s="30"/>
      <c r="B226" s="77"/>
      <c r="C226" s="327"/>
      <c r="D226" s="269"/>
      <c r="E226" s="269"/>
      <c r="F226" s="269"/>
      <c r="G226" s="269"/>
      <c r="H226" s="269"/>
      <c r="I226" s="269"/>
      <c r="J226" s="269"/>
      <c r="K226" s="269"/>
      <c r="L226" s="269"/>
      <c r="M226" s="269"/>
      <c r="N226" s="269"/>
      <c r="O226" s="269"/>
      <c r="P226" s="269"/>
      <c r="Q226" s="269"/>
      <c r="R226" s="269"/>
      <c r="S226" s="269"/>
      <c r="T226" s="269"/>
      <c r="U226" s="269"/>
      <c r="V226" s="269"/>
      <c r="W226" s="328"/>
      <c r="X226" s="30"/>
      <c r="Y226" s="30"/>
      <c r="Z226" s="30"/>
      <c r="AA226" s="30"/>
      <c r="AB226" s="30"/>
      <c r="AC226" s="30"/>
      <c r="AD226" s="30"/>
      <c r="AE226" s="30"/>
      <c r="AF226" s="30"/>
      <c r="AG226" s="30"/>
      <c r="AH226" s="30"/>
      <c r="AI226" s="30"/>
      <c r="AJ226" s="30"/>
      <c r="AK226" s="30"/>
      <c r="AL226" s="30"/>
      <c r="AM226" s="30"/>
      <c r="AN226" s="30"/>
      <c r="AO226" s="30"/>
    </row>
    <row r="227" spans="1:41" s="41" customFormat="1" ht="17.100000000000001" hidden="1" customHeight="1">
      <c r="A227" s="30"/>
      <c r="B227" s="77"/>
      <c r="C227" s="327"/>
      <c r="D227" s="269"/>
      <c r="E227" s="269"/>
      <c r="F227" s="269"/>
      <c r="G227" s="269"/>
      <c r="H227" s="269"/>
      <c r="I227" s="269"/>
      <c r="J227" s="269"/>
      <c r="K227" s="269"/>
      <c r="L227" s="269"/>
      <c r="M227" s="269"/>
      <c r="N227" s="269"/>
      <c r="O227" s="269"/>
      <c r="P227" s="269"/>
      <c r="Q227" s="269"/>
      <c r="R227" s="269"/>
      <c r="S227" s="269"/>
      <c r="T227" s="269"/>
      <c r="U227" s="269"/>
      <c r="V227" s="269"/>
      <c r="W227" s="328"/>
      <c r="X227" s="30"/>
      <c r="Y227" s="30"/>
      <c r="Z227" s="30"/>
      <c r="AA227" s="30"/>
      <c r="AB227" s="30"/>
      <c r="AC227" s="30"/>
      <c r="AD227" s="30"/>
      <c r="AE227" s="30"/>
      <c r="AF227" s="30"/>
      <c r="AG227" s="30"/>
      <c r="AH227" s="30"/>
      <c r="AI227" s="30"/>
      <c r="AJ227" s="30"/>
      <c r="AK227" s="30"/>
      <c r="AL227" s="30"/>
      <c r="AM227" s="30"/>
      <c r="AN227" s="30"/>
      <c r="AO227" s="30"/>
    </row>
    <row r="228" spans="1:41" s="41" customFormat="1" ht="17.100000000000001" hidden="1" customHeight="1">
      <c r="A228" s="30"/>
      <c r="B228" s="77"/>
      <c r="C228" s="327"/>
      <c r="D228" s="269"/>
      <c r="E228" s="269"/>
      <c r="F228" s="269"/>
      <c r="G228" s="269"/>
      <c r="H228" s="269"/>
      <c r="I228" s="269"/>
      <c r="J228" s="269"/>
      <c r="K228" s="269"/>
      <c r="L228" s="269"/>
      <c r="M228" s="269"/>
      <c r="N228" s="269"/>
      <c r="O228" s="269"/>
      <c r="P228" s="269"/>
      <c r="Q228" s="269"/>
      <c r="R228" s="269"/>
      <c r="S228" s="269"/>
      <c r="T228" s="269"/>
      <c r="U228" s="269"/>
      <c r="V228" s="269"/>
      <c r="W228" s="328"/>
      <c r="X228" s="30"/>
      <c r="Y228" s="30"/>
      <c r="Z228" s="30"/>
      <c r="AA228" s="30"/>
      <c r="AB228" s="30"/>
      <c r="AC228" s="30"/>
      <c r="AD228" s="30"/>
      <c r="AE228" s="30"/>
      <c r="AF228" s="30"/>
      <c r="AG228" s="30"/>
      <c r="AH228" s="30"/>
      <c r="AI228" s="30"/>
      <c r="AJ228" s="30"/>
      <c r="AK228" s="30"/>
      <c r="AL228" s="30"/>
      <c r="AM228" s="30"/>
      <c r="AN228" s="30"/>
      <c r="AO228" s="30"/>
    </row>
    <row r="229" spans="1:41" s="41" customFormat="1" ht="17.100000000000001" hidden="1" customHeight="1">
      <c r="A229" s="30"/>
      <c r="B229" s="77"/>
      <c r="C229" s="327"/>
      <c r="D229" s="269"/>
      <c r="E229" s="269"/>
      <c r="F229" s="269"/>
      <c r="G229" s="269"/>
      <c r="H229" s="269"/>
      <c r="I229" s="269"/>
      <c r="J229" s="269"/>
      <c r="K229" s="269"/>
      <c r="L229" s="269"/>
      <c r="M229" s="269"/>
      <c r="N229" s="269"/>
      <c r="O229" s="269"/>
      <c r="P229" s="269"/>
      <c r="Q229" s="269"/>
      <c r="R229" s="269"/>
      <c r="S229" s="269"/>
      <c r="T229" s="269"/>
      <c r="U229" s="269"/>
      <c r="V229" s="269"/>
      <c r="W229" s="328"/>
      <c r="X229" s="30"/>
      <c r="Y229" s="30"/>
      <c r="Z229" s="30"/>
      <c r="AA229" s="30"/>
      <c r="AB229" s="30"/>
      <c r="AC229" s="30"/>
      <c r="AD229" s="30"/>
      <c r="AE229" s="30"/>
      <c r="AF229" s="30"/>
      <c r="AG229" s="30"/>
      <c r="AH229" s="30"/>
      <c r="AI229" s="30"/>
      <c r="AJ229" s="30"/>
      <c r="AK229" s="30"/>
      <c r="AL229" s="30"/>
      <c r="AM229" s="30"/>
      <c r="AN229" s="30"/>
      <c r="AO229" s="30"/>
    </row>
    <row r="230" spans="1:41" s="10" customFormat="1" hidden="1">
      <c r="B230" s="87"/>
      <c r="C230" s="327"/>
      <c r="D230" s="177"/>
      <c r="E230" s="177"/>
      <c r="F230" s="177"/>
      <c r="G230" s="177"/>
      <c r="H230" s="177"/>
      <c r="I230" s="177"/>
      <c r="J230" s="177"/>
      <c r="K230" s="177"/>
      <c r="L230" s="177"/>
      <c r="M230" s="177"/>
      <c r="N230" s="177"/>
      <c r="O230" s="177"/>
      <c r="P230" s="177"/>
      <c r="Q230" s="177"/>
      <c r="R230" s="177"/>
      <c r="S230" s="177"/>
      <c r="T230" s="177"/>
      <c r="U230" s="177"/>
      <c r="V230" s="177"/>
      <c r="W230" s="328"/>
    </row>
    <row r="231" spans="1:41" s="10" customFormat="1" hidden="1">
      <c r="B231" s="87"/>
      <c r="C231" s="193"/>
      <c r="D231" s="329"/>
      <c r="E231" s="329"/>
      <c r="F231" s="194"/>
      <c r="G231" s="194"/>
      <c r="H231" s="330"/>
      <c r="I231" s="330"/>
      <c r="J231" s="330"/>
      <c r="K231" s="330"/>
      <c r="L231" s="330"/>
      <c r="M231" s="330"/>
      <c r="N231" s="330"/>
      <c r="O231" s="330"/>
      <c r="P231" s="330"/>
      <c r="Q231" s="331"/>
      <c r="R231" s="331"/>
      <c r="S231" s="194"/>
      <c r="T231" s="194"/>
      <c r="U231" s="194"/>
      <c r="V231" s="194"/>
      <c r="W231" s="195"/>
    </row>
    <row r="232" spans="1:41" hidden="1">
      <c r="C232" s="178"/>
      <c r="D232" s="269"/>
      <c r="E232" s="181"/>
      <c r="F232" s="180"/>
      <c r="G232" s="180"/>
      <c r="H232" s="182"/>
      <c r="I232" s="182"/>
      <c r="J232" s="182"/>
      <c r="K232" s="182"/>
      <c r="L232" s="182"/>
      <c r="M232" s="182"/>
      <c r="N232" s="182"/>
      <c r="O232" s="182"/>
      <c r="P232" s="182"/>
      <c r="Q232" s="183"/>
      <c r="R232" s="184"/>
      <c r="S232" s="180"/>
      <c r="T232" s="180"/>
      <c r="U232" s="177"/>
      <c r="V232" s="177"/>
      <c r="W232" s="186"/>
    </row>
    <row r="233" spans="1:41" hidden="1">
      <c r="C233" s="178"/>
      <c r="D233" s="269"/>
      <c r="E233" s="181"/>
      <c r="F233" s="180"/>
      <c r="G233" s="180"/>
      <c r="H233" s="182"/>
      <c r="I233" s="182"/>
      <c r="J233" s="182"/>
      <c r="K233" s="182"/>
      <c r="L233" s="182"/>
      <c r="M233" s="182"/>
      <c r="N233" s="182"/>
      <c r="O233" s="182"/>
      <c r="P233" s="182"/>
      <c r="Q233" s="183"/>
      <c r="R233" s="184"/>
      <c r="S233" s="180"/>
      <c r="T233" s="180"/>
      <c r="U233" s="177"/>
      <c r="V233" s="177"/>
      <c r="W233" s="186"/>
    </row>
    <row r="234" spans="1:41" hidden="1">
      <c r="C234" s="178"/>
      <c r="D234" s="332" t="s">
        <v>1275</v>
      </c>
      <c r="E234" s="181"/>
      <c r="F234" s="180"/>
      <c r="G234" s="180"/>
      <c r="H234" s="182"/>
      <c r="I234" s="182"/>
      <c r="J234" s="182"/>
      <c r="K234" s="182"/>
      <c r="L234" s="182"/>
      <c r="M234" s="182"/>
      <c r="N234" s="182"/>
      <c r="O234" s="182"/>
      <c r="P234" s="182"/>
      <c r="Q234" s="183"/>
      <c r="R234" s="333"/>
      <c r="S234" s="289"/>
      <c r="T234" s="289"/>
      <c r="U234" s="289"/>
      <c r="V234" s="334"/>
      <c r="W234" s="186"/>
    </row>
    <row r="235" spans="1:41" ht="24" hidden="1" thickBot="1">
      <c r="C235" s="178"/>
      <c r="D235" s="335"/>
      <c r="E235" s="181"/>
      <c r="F235" s="180"/>
      <c r="G235" s="180"/>
      <c r="H235" s="182"/>
      <c r="I235" s="182"/>
      <c r="J235" s="182"/>
      <c r="K235" s="182"/>
      <c r="L235" s="182"/>
      <c r="M235" s="182"/>
      <c r="N235" s="182"/>
      <c r="O235" s="182"/>
      <c r="P235" s="336"/>
      <c r="Q235" s="336"/>
      <c r="R235" s="177"/>
      <c r="S235" s="263"/>
      <c r="T235" s="185"/>
      <c r="U235" s="177"/>
      <c r="V235" s="178"/>
      <c r="W235" s="178"/>
    </row>
    <row r="236" spans="1:41" hidden="1">
      <c r="C236" s="178"/>
      <c r="D236" s="337" t="str">
        <f>'Full Report'!$C$10</f>
        <v>Eating Out</v>
      </c>
      <c r="E236" s="338"/>
      <c r="F236" s="338"/>
      <c r="G236" s="338"/>
      <c r="H236" s="338"/>
      <c r="I236" s="338"/>
      <c r="J236" s="338"/>
      <c r="K236" s="338"/>
      <c r="L236" s="338"/>
      <c r="M236" s="338"/>
      <c r="N236" s="338"/>
      <c r="O236" s="338"/>
      <c r="P236" s="293" t="str">
        <f>P263</f>
        <v>Tucson (USD)</v>
      </c>
      <c r="Q236" s="293" t="str">
        <f>Q263</f>
        <v>Dubai (USD)</v>
      </c>
      <c r="R236" s="339" t="str">
        <f>R263</f>
        <v>Difference</v>
      </c>
      <c r="S236" s="340"/>
      <c r="T236" s="340"/>
      <c r="U236" s="341"/>
      <c r="V236" s="257"/>
      <c r="W236" s="178"/>
    </row>
    <row r="237" spans="1:41" hidden="1">
      <c r="C237" s="178"/>
      <c r="D237" s="342" t="str">
        <f>'Full Report'!C11</f>
        <v>Meal, in a Budget Restaurant</v>
      </c>
      <c r="E237" s="342"/>
      <c r="F237" s="342"/>
      <c r="G237" s="342"/>
      <c r="H237" s="342"/>
      <c r="I237" s="342"/>
      <c r="J237" s="342"/>
      <c r="K237" s="342"/>
      <c r="L237" s="342"/>
      <c r="M237" s="342"/>
      <c r="N237" s="342"/>
      <c r="O237" s="342"/>
      <c r="P237" s="343">
        <f>'Full Report'!F11</f>
        <v>9</v>
      </c>
      <c r="Q237" s="343">
        <f>'Full Report'!H11</f>
        <v>8.17</v>
      </c>
      <c r="R237" s="344">
        <f t="shared" ref="R237:R245" si="2">V237-1</f>
        <v>0.10159118727050176</v>
      </c>
      <c r="S237" s="345"/>
      <c r="T237" s="345"/>
      <c r="U237" s="346"/>
      <c r="V237" s="347">
        <f t="shared" ref="V237:V245" si="3">P237/Q237</f>
        <v>1.1015911872705018</v>
      </c>
      <c r="W237" s="178"/>
    </row>
    <row r="238" spans="1:41" hidden="1">
      <c r="C238" s="178"/>
      <c r="D238" s="340" t="str">
        <f>'Full Report'!C12</f>
        <v>Meal for 2, Established Restaurant, 3-course</v>
      </c>
      <c r="E238" s="340"/>
      <c r="F238" s="340"/>
      <c r="G238" s="340"/>
      <c r="H238" s="340"/>
      <c r="I238" s="340"/>
      <c r="J238" s="340"/>
      <c r="K238" s="340"/>
      <c r="L238" s="340"/>
      <c r="M238" s="340"/>
      <c r="N238" s="340"/>
      <c r="O238" s="340"/>
      <c r="P238" s="348">
        <f>'Full Report'!F12</f>
        <v>60</v>
      </c>
      <c r="Q238" s="348">
        <f>'Full Report'!H12</f>
        <v>40.840000000000003</v>
      </c>
      <c r="R238" s="349">
        <f t="shared" si="2"/>
        <v>0.46914789422135139</v>
      </c>
      <c r="S238" s="350"/>
      <c r="T238" s="350"/>
      <c r="U238" s="351"/>
      <c r="V238" s="347">
        <f t="shared" si="3"/>
        <v>1.4691478942213514</v>
      </c>
      <c r="W238" s="178"/>
    </row>
    <row r="239" spans="1:41" hidden="1">
      <c r="C239" s="178"/>
      <c r="D239" s="342" t="str">
        <f>'Full Report'!C13</f>
        <v>Combo Meal at McDonalds etc.</v>
      </c>
      <c r="E239" s="342"/>
      <c r="F239" s="342"/>
      <c r="G239" s="342"/>
      <c r="H239" s="342"/>
      <c r="I239" s="342"/>
      <c r="J239" s="342"/>
      <c r="K239" s="342"/>
      <c r="L239" s="342"/>
      <c r="M239" s="342"/>
      <c r="N239" s="342"/>
      <c r="O239" s="342"/>
      <c r="P239" s="343">
        <f>'Full Report'!F13</f>
        <v>6</v>
      </c>
      <c r="Q239" s="343">
        <f>'Full Report'!H13</f>
        <v>5.45</v>
      </c>
      <c r="R239" s="344">
        <f t="shared" si="2"/>
        <v>0.10091743119266061</v>
      </c>
      <c r="S239" s="345"/>
      <c r="T239" s="345"/>
      <c r="U239" s="346"/>
      <c r="V239" s="347">
        <f t="shared" si="3"/>
        <v>1.1009174311926606</v>
      </c>
      <c r="W239" s="178"/>
    </row>
    <row r="240" spans="1:41" hidden="1">
      <c r="C240" s="178"/>
      <c r="D240" s="340" t="str">
        <f>'Full Report'!C14</f>
        <v>Domestic Beer (0.5 liter draught)</v>
      </c>
      <c r="E240" s="340"/>
      <c r="F240" s="340"/>
      <c r="G240" s="340"/>
      <c r="H240" s="340"/>
      <c r="I240" s="340"/>
      <c r="J240" s="340"/>
      <c r="K240" s="340"/>
      <c r="L240" s="340"/>
      <c r="M240" s="340"/>
      <c r="N240" s="340"/>
      <c r="O240" s="340"/>
      <c r="P240" s="348">
        <f>'Full Report'!F14</f>
        <v>3</v>
      </c>
      <c r="Q240" s="348">
        <f>'Full Report'!H14</f>
        <v>9.5299999999999994</v>
      </c>
      <c r="R240" s="349">
        <f t="shared" si="2"/>
        <v>-0.68520461699895074</v>
      </c>
      <c r="S240" s="350"/>
      <c r="T240" s="350"/>
      <c r="U240" s="351"/>
      <c r="V240" s="347">
        <f t="shared" si="3"/>
        <v>0.31479538300104931</v>
      </c>
      <c r="W240" s="178"/>
    </row>
    <row r="241" spans="3:23" hidden="1">
      <c r="C241" s="178"/>
      <c r="D241" s="342" t="str">
        <f>'Full Report'!C15</f>
        <v>Imported Beer (0.33 liter bottle)</v>
      </c>
      <c r="E241" s="342"/>
      <c r="F241" s="342"/>
      <c r="G241" s="342"/>
      <c r="H241" s="342"/>
      <c r="I241" s="342"/>
      <c r="J241" s="342"/>
      <c r="K241" s="342"/>
      <c r="L241" s="342"/>
      <c r="M241" s="342"/>
      <c r="N241" s="342"/>
      <c r="O241" s="342"/>
      <c r="P241" s="343">
        <f>'Full Report'!F15</f>
        <v>4.25</v>
      </c>
      <c r="Q241" s="343">
        <f>'Full Report'!H15</f>
        <v>8.17</v>
      </c>
      <c r="R241" s="344">
        <f t="shared" si="2"/>
        <v>-0.47980416156670747</v>
      </c>
      <c r="S241" s="345"/>
      <c r="T241" s="345"/>
      <c r="U241" s="346"/>
      <c r="V241" s="347">
        <f t="shared" si="3"/>
        <v>0.52019583843329253</v>
      </c>
      <c r="W241" s="178"/>
    </row>
    <row r="242" spans="3:23" hidden="1">
      <c r="C242" s="178"/>
      <c r="D242" s="340" t="str">
        <f>'Full Report'!C16</f>
        <v>Cappuccino (regular)</v>
      </c>
      <c r="E242" s="340"/>
      <c r="F242" s="340"/>
      <c r="G242" s="340"/>
      <c r="H242" s="340"/>
      <c r="I242" s="340"/>
      <c r="J242" s="340"/>
      <c r="K242" s="340"/>
      <c r="L242" s="340"/>
      <c r="M242" s="340"/>
      <c r="N242" s="340"/>
      <c r="O242" s="340"/>
      <c r="P242" s="348">
        <f>'Full Report'!F16</f>
        <v>3.5</v>
      </c>
      <c r="Q242" s="348">
        <f>'Full Report'!H16</f>
        <v>4.08</v>
      </c>
      <c r="R242" s="349">
        <f t="shared" si="2"/>
        <v>-0.14215686274509809</v>
      </c>
      <c r="S242" s="350"/>
      <c r="T242" s="350"/>
      <c r="U242" s="351"/>
      <c r="V242" s="347">
        <f t="shared" si="3"/>
        <v>0.85784313725490191</v>
      </c>
      <c r="W242" s="178"/>
    </row>
    <row r="243" spans="3:23" hidden="1">
      <c r="C243" s="178"/>
      <c r="D243" s="342" t="str">
        <f>'Full Report'!C17</f>
        <v>Coke/Pepsi (0.33 liter bottle)</v>
      </c>
      <c r="E243" s="342"/>
      <c r="F243" s="342"/>
      <c r="G243" s="342"/>
      <c r="H243" s="342"/>
      <c r="I243" s="342"/>
      <c r="J243" s="342"/>
      <c r="K243" s="342"/>
      <c r="L243" s="342"/>
      <c r="M243" s="342"/>
      <c r="N243" s="342"/>
      <c r="O243" s="342"/>
      <c r="P243" s="343">
        <f>'Full Report'!F17</f>
        <v>1.54</v>
      </c>
      <c r="Q243" s="343">
        <f>'Full Report'!H17</f>
        <v>0.41</v>
      </c>
      <c r="R243" s="344">
        <f t="shared" si="2"/>
        <v>2.75609756097561</v>
      </c>
      <c r="S243" s="345"/>
      <c r="T243" s="345"/>
      <c r="U243" s="346"/>
      <c r="V243" s="347">
        <f t="shared" si="3"/>
        <v>3.75609756097561</v>
      </c>
      <c r="W243" s="178"/>
    </row>
    <row r="244" spans="3:23" hidden="1">
      <c r="C244" s="178"/>
      <c r="D244" s="340" t="str">
        <f>'Full Report'!C18</f>
        <v>Water (0.33 liter bottle)</v>
      </c>
      <c r="E244" s="340"/>
      <c r="F244" s="340"/>
      <c r="G244" s="340"/>
      <c r="H244" s="340"/>
      <c r="I244" s="340"/>
      <c r="J244" s="340"/>
      <c r="K244" s="340"/>
      <c r="L244" s="340"/>
      <c r="M244" s="340"/>
      <c r="N244" s="340"/>
      <c r="O244" s="340"/>
      <c r="P244" s="348">
        <f>'Full Report'!F18</f>
        <v>1.4</v>
      </c>
      <c r="Q244" s="348">
        <f>'Full Report'!H18</f>
        <v>0.3</v>
      </c>
      <c r="R244" s="352">
        <f t="shared" si="2"/>
        <v>3.666666666666667</v>
      </c>
      <c r="S244" s="353"/>
      <c r="T244" s="353"/>
      <c r="U244" s="354"/>
      <c r="V244" s="355">
        <f t="shared" si="3"/>
        <v>4.666666666666667</v>
      </c>
      <c r="W244" s="178"/>
    </row>
    <row r="245" spans="3:23" ht="24" hidden="1" thickBot="1">
      <c r="C245" s="178"/>
      <c r="D245" s="356" t="s">
        <v>768</v>
      </c>
      <c r="E245" s="181"/>
      <c r="F245" s="180"/>
      <c r="G245" s="180"/>
      <c r="H245" s="182"/>
      <c r="I245" s="182"/>
      <c r="J245" s="182"/>
      <c r="K245" s="182"/>
      <c r="L245" s="182"/>
      <c r="M245" s="182"/>
      <c r="N245" s="182"/>
      <c r="O245" s="182"/>
      <c r="P245" s="357">
        <f>SUM(P237:P244)</f>
        <v>88.690000000000012</v>
      </c>
      <c r="Q245" s="358">
        <f>SUM(Q237:Q244)</f>
        <v>76.95</v>
      </c>
      <c r="R245" s="359">
        <f t="shared" si="2"/>
        <v>0.15256660168940872</v>
      </c>
      <c r="S245" s="360"/>
      <c r="T245" s="361"/>
      <c r="U245" s="361"/>
      <c r="V245" s="362">
        <f t="shared" si="3"/>
        <v>1.1525666016894087</v>
      </c>
      <c r="W245" s="178"/>
    </row>
    <row r="246" spans="3:23" ht="17.25" hidden="1" customHeight="1" thickTop="1">
      <c r="C246" s="178"/>
      <c r="D246" s="269"/>
      <c r="E246" s="269"/>
      <c r="F246" s="177"/>
      <c r="G246" s="177"/>
      <c r="H246" s="266"/>
      <c r="I246" s="266"/>
      <c r="J246" s="266"/>
      <c r="K246" s="266"/>
      <c r="L246" s="266"/>
      <c r="M246" s="266"/>
      <c r="N246" s="266"/>
      <c r="O246" s="266"/>
      <c r="P246" s="266"/>
      <c r="Q246" s="270"/>
      <c r="R246" s="266"/>
      <c r="S246" s="271"/>
      <c r="T246" s="177"/>
      <c r="U246" s="177"/>
      <c r="V246" s="186"/>
      <c r="W246" s="186"/>
    </row>
    <row r="247" spans="3:23" ht="54.75" hidden="1" customHeight="1">
      <c r="C247" s="178"/>
      <c r="D247" s="1011" t="str">
        <f>IF(T556=784,D565,D567)</f>
        <v xml:space="preserve">Overall, based on 8 items in the eating out category, the cost of eating out in Tucson, AZ, United States is 15.26% higher than in Dubai, United Arab Emirates. Apparently, on average it is more expensive to spend money for eating out in Tucson, AZ, United States. </v>
      </c>
      <c r="E247" s="1011"/>
      <c r="F247" s="1011"/>
      <c r="G247" s="1011"/>
      <c r="H247" s="1011"/>
      <c r="I247" s="1011"/>
      <c r="J247" s="1011"/>
      <c r="K247" s="1011"/>
      <c r="L247" s="1011"/>
      <c r="M247" s="1011"/>
      <c r="N247" s="1011"/>
      <c r="O247" s="1011"/>
      <c r="P247" s="1011"/>
      <c r="Q247" s="1011"/>
      <c r="R247" s="1011"/>
      <c r="S247" s="1011"/>
      <c r="T247" s="1011"/>
      <c r="U247" s="1011"/>
      <c r="V247" s="1011"/>
      <c r="W247" s="186"/>
    </row>
    <row r="248" spans="3:23" ht="42" hidden="1" customHeight="1">
      <c r="C248" s="178"/>
      <c r="D248" s="1011" t="str">
        <f>IF(T556=784,D565,D568)</f>
        <v xml:space="preserve"> As shown in the graph below, 5 out of 8 items under this category are higher than in Dubai. Water (0.33 liter bottle) in Tucson is the most expensive item in comparison to Dubai, United Arab Emirates. Its cost is 366.67 % more expensive in Tucson.</v>
      </c>
      <c r="E248" s="1011"/>
      <c r="F248" s="1011"/>
      <c r="G248" s="1011"/>
      <c r="H248" s="1011"/>
      <c r="I248" s="1011"/>
      <c r="J248" s="1011"/>
      <c r="K248" s="1011"/>
      <c r="L248" s="1011"/>
      <c r="M248" s="1011"/>
      <c r="N248" s="1011"/>
      <c r="O248" s="1011"/>
      <c r="P248" s="1011"/>
      <c r="Q248" s="1011"/>
      <c r="R248" s="1011"/>
      <c r="S248" s="1011"/>
      <c r="T248" s="1011"/>
      <c r="U248" s="1011"/>
      <c r="V248" s="1011"/>
      <c r="W248" s="186"/>
    </row>
    <row r="249" spans="3:23" hidden="1">
      <c r="C249" s="178"/>
      <c r="D249" s="214"/>
      <c r="E249" s="181"/>
      <c r="F249" s="180"/>
      <c r="G249" s="180"/>
      <c r="H249" s="182"/>
      <c r="I249" s="182"/>
      <c r="J249" s="182"/>
      <c r="K249" s="182"/>
      <c r="L249" s="182"/>
      <c r="M249" s="182"/>
      <c r="N249" s="182"/>
      <c r="O249" s="182"/>
      <c r="P249" s="182"/>
      <c r="Q249" s="183"/>
      <c r="R249" s="184"/>
      <c r="S249" s="180"/>
      <c r="T249" s="180"/>
      <c r="U249" s="177"/>
      <c r="V249" s="177"/>
      <c r="W249" s="186"/>
    </row>
    <row r="250" spans="3:23" hidden="1">
      <c r="C250" s="178"/>
      <c r="D250" s="214"/>
      <c r="E250" s="181"/>
      <c r="F250" s="180"/>
      <c r="G250" s="180"/>
      <c r="H250" s="182"/>
      <c r="I250" s="182"/>
      <c r="J250" s="182"/>
      <c r="K250" s="182"/>
      <c r="L250" s="182"/>
      <c r="M250" s="182"/>
      <c r="N250" s="182"/>
      <c r="O250" s="182"/>
      <c r="P250" s="182"/>
      <c r="Q250" s="183"/>
      <c r="R250" s="184"/>
      <c r="S250" s="180"/>
      <c r="T250" s="180"/>
      <c r="U250" s="177"/>
      <c r="V250" s="177"/>
      <c r="W250" s="186"/>
    </row>
    <row r="251" spans="3:23" hidden="1">
      <c r="C251" s="178"/>
      <c r="D251" s="214"/>
      <c r="E251" s="181"/>
      <c r="F251" s="180"/>
      <c r="G251" s="180"/>
      <c r="H251" s="182"/>
      <c r="I251" s="182"/>
      <c r="J251" s="182"/>
      <c r="K251" s="182"/>
      <c r="L251" s="182"/>
      <c r="M251" s="182"/>
      <c r="N251" s="182"/>
      <c r="O251" s="182"/>
      <c r="P251" s="182"/>
      <c r="Q251" s="183"/>
      <c r="R251" s="184"/>
      <c r="S251" s="180"/>
      <c r="T251" s="180"/>
      <c r="U251" s="177"/>
      <c r="V251" s="177"/>
      <c r="W251" s="186"/>
    </row>
    <row r="252" spans="3:23" hidden="1">
      <c r="C252" s="178"/>
      <c r="D252" s="1014"/>
      <c r="E252" s="1014"/>
      <c r="F252" s="1014"/>
      <c r="G252" s="1014"/>
      <c r="H252" s="1014"/>
      <c r="I252" s="1014"/>
      <c r="J252" s="1014"/>
      <c r="K252" s="1014"/>
      <c r="L252" s="1014"/>
      <c r="M252" s="1014"/>
      <c r="N252" s="1014"/>
      <c r="O252" s="1014"/>
      <c r="P252" s="1014"/>
      <c r="Q252" s="1014"/>
      <c r="R252" s="1014"/>
      <c r="S252" s="1014"/>
      <c r="T252" s="185"/>
      <c r="U252" s="177"/>
      <c r="V252" s="177"/>
      <c r="W252" s="186"/>
    </row>
    <row r="253" spans="3:23" hidden="1">
      <c r="C253" s="178"/>
      <c r="D253" s="269"/>
      <c r="E253" s="269"/>
      <c r="F253" s="177"/>
      <c r="G253" s="177"/>
      <c r="H253" s="266"/>
      <c r="I253" s="266"/>
      <c r="J253" s="266"/>
      <c r="K253" s="266"/>
      <c r="L253" s="266"/>
      <c r="M253" s="266"/>
      <c r="N253" s="266"/>
      <c r="O253" s="266"/>
      <c r="P253" s="266"/>
      <c r="Q253" s="270"/>
      <c r="R253" s="281"/>
      <c r="S253" s="177"/>
      <c r="T253" s="177"/>
      <c r="U253" s="177"/>
      <c r="V253" s="177"/>
      <c r="W253" s="186"/>
    </row>
    <row r="254" spans="3:23" hidden="1">
      <c r="C254" s="178"/>
      <c r="D254" s="269"/>
      <c r="E254" s="269"/>
      <c r="F254" s="177"/>
      <c r="G254" s="177"/>
      <c r="H254" s="266"/>
      <c r="I254" s="266"/>
      <c r="J254" s="266"/>
      <c r="K254" s="266"/>
      <c r="L254" s="266"/>
      <c r="M254" s="266"/>
      <c r="N254" s="266"/>
      <c r="O254" s="266"/>
      <c r="P254" s="266"/>
      <c r="Q254" s="270"/>
      <c r="R254" s="281"/>
      <c r="S254" s="177"/>
      <c r="T254" s="177"/>
      <c r="U254" s="177"/>
      <c r="V254" s="177"/>
      <c r="W254" s="186"/>
    </row>
    <row r="255" spans="3:23" ht="36" hidden="1" customHeight="1">
      <c r="C255" s="178"/>
      <c r="D255" s="971" t="str">
        <f>$D$298</f>
        <v>On the graph above, Dubai is set at 0%. As a result, items greater than 0% are higher than Dubai , items less than 0% are below Dubai and items equal to 0% shared a same price.</v>
      </c>
      <c r="E255" s="971"/>
      <c r="F255" s="971"/>
      <c r="G255" s="971"/>
      <c r="H255" s="971"/>
      <c r="I255" s="971"/>
      <c r="J255" s="971"/>
      <c r="K255" s="971"/>
      <c r="L255" s="971"/>
      <c r="M255" s="971"/>
      <c r="N255" s="971"/>
      <c r="O255" s="971"/>
      <c r="P255" s="971"/>
      <c r="Q255" s="971"/>
      <c r="R255" s="971"/>
      <c r="S255" s="971"/>
      <c r="T255" s="971"/>
      <c r="U255" s="971"/>
      <c r="V255" s="971"/>
      <c r="W255" s="186"/>
    </row>
    <row r="256" spans="3:23" ht="40.5" hidden="1" customHeight="1">
      <c r="C256" s="178"/>
      <c r="D256" s="1022"/>
      <c r="E256" s="1022"/>
      <c r="F256" s="1022"/>
      <c r="G256" s="1022"/>
      <c r="H256" s="1022"/>
      <c r="I256" s="1022"/>
      <c r="J256" s="1022"/>
      <c r="K256" s="1022"/>
      <c r="L256" s="1022"/>
      <c r="M256" s="1022"/>
      <c r="N256" s="1022"/>
      <c r="O256" s="1022"/>
      <c r="P256" s="1022"/>
      <c r="Q256" s="1022"/>
      <c r="R256" s="1022"/>
      <c r="S256" s="1022"/>
      <c r="T256" s="1022"/>
      <c r="U256" s="1022"/>
      <c r="V256" s="1022"/>
      <c r="W256" s="186"/>
    </row>
    <row r="257" spans="1:41" ht="40.5" hidden="1" customHeight="1">
      <c r="C257" s="178"/>
      <c r="D257" s="363"/>
      <c r="E257" s="363"/>
      <c r="F257" s="363"/>
      <c r="G257" s="363"/>
      <c r="H257" s="363"/>
      <c r="I257" s="363"/>
      <c r="J257" s="363"/>
      <c r="K257" s="363"/>
      <c r="L257" s="363"/>
      <c r="M257" s="363"/>
      <c r="N257" s="363"/>
      <c r="O257" s="363"/>
      <c r="P257" s="363"/>
      <c r="Q257" s="363"/>
      <c r="R257" s="363"/>
      <c r="S257" s="363"/>
      <c r="T257" s="363"/>
      <c r="U257" s="363"/>
      <c r="V257" s="363"/>
      <c r="W257" s="186"/>
    </row>
    <row r="258" spans="1:41" ht="39.75" hidden="1" customHeight="1">
      <c r="C258" s="178"/>
      <c r="D258" s="326"/>
      <c r="E258" s="326"/>
      <c r="F258" s="326"/>
      <c r="G258" s="326"/>
      <c r="H258" s="326"/>
      <c r="I258" s="326"/>
      <c r="J258" s="326"/>
      <c r="K258" s="326"/>
      <c r="L258" s="326"/>
      <c r="M258" s="326"/>
      <c r="N258" s="326"/>
      <c r="O258" s="326"/>
      <c r="P258" s="326"/>
      <c r="Q258" s="326"/>
      <c r="R258" s="326"/>
      <c r="S258" s="326"/>
      <c r="T258" s="326"/>
      <c r="U258" s="326"/>
      <c r="V258" s="326"/>
      <c r="W258" s="186"/>
    </row>
    <row r="259" spans="1:41" s="10" customFormat="1" ht="15.75" hidden="1" customHeight="1">
      <c r="B259" s="87"/>
      <c r="C259" s="178"/>
      <c r="D259" s="326"/>
      <c r="E259" s="326"/>
      <c r="F259" s="326"/>
      <c r="G259" s="326"/>
      <c r="H259" s="326"/>
      <c r="I259" s="326"/>
      <c r="J259" s="326"/>
      <c r="K259" s="326"/>
      <c r="L259" s="326"/>
      <c r="M259" s="326"/>
      <c r="N259" s="326"/>
      <c r="O259" s="326"/>
      <c r="P259" s="326"/>
      <c r="Q259" s="326"/>
      <c r="R259" s="326"/>
      <c r="S259" s="326"/>
      <c r="T259" s="326"/>
      <c r="U259" s="326"/>
      <c r="V259" s="326"/>
      <c r="W259" s="186"/>
    </row>
    <row r="260" spans="1:41" s="10" customFormat="1" ht="16.5" hidden="1" customHeight="1">
      <c r="B260" s="87"/>
    </row>
    <row r="261" spans="1:41" s="10" customFormat="1" ht="22.5" hidden="1" customHeight="1">
      <c r="B261" s="87"/>
      <c r="C261" s="178"/>
      <c r="D261" s="332" t="s">
        <v>1276</v>
      </c>
      <c r="E261" s="326"/>
      <c r="F261" s="326"/>
      <c r="G261" s="326"/>
      <c r="H261" s="326"/>
      <c r="I261" s="326"/>
      <c r="J261" s="326"/>
      <c r="K261" s="326"/>
      <c r="L261" s="326"/>
      <c r="M261" s="326"/>
      <c r="N261" s="326"/>
      <c r="O261" s="326"/>
      <c r="P261" s="326"/>
      <c r="Q261" s="326"/>
      <c r="R261" s="333"/>
      <c r="S261" s="289"/>
      <c r="T261" s="289"/>
      <c r="U261" s="289"/>
      <c r="V261" s="334"/>
      <c r="W261" s="186"/>
    </row>
    <row r="262" spans="1:41" s="10" customFormat="1" ht="9" hidden="1" customHeight="1" thickBot="1">
      <c r="B262" s="87"/>
      <c r="C262" s="178"/>
      <c r="D262" s="326"/>
      <c r="E262" s="326"/>
      <c r="F262" s="326"/>
      <c r="G262" s="326"/>
      <c r="H262" s="326"/>
      <c r="I262" s="326"/>
      <c r="J262" s="326"/>
      <c r="K262" s="326"/>
      <c r="L262" s="326"/>
      <c r="M262" s="326"/>
      <c r="N262" s="326"/>
      <c r="O262" s="326"/>
      <c r="P262" s="326"/>
      <c r="Q262" s="326"/>
      <c r="R262" s="326"/>
      <c r="S262" s="326"/>
      <c r="T262" s="326"/>
      <c r="U262" s="326"/>
      <c r="V262" s="364"/>
      <c r="W262" s="186"/>
    </row>
    <row r="263" spans="1:41" ht="23.25" hidden="1" customHeight="1" thickBot="1">
      <c r="C263" s="178"/>
      <c r="D263" s="337" t="str">
        <f>'Full Report'!$C$23</f>
        <v>Groceries</v>
      </c>
      <c r="E263" s="338"/>
      <c r="F263" s="338"/>
      <c r="G263" s="338"/>
      <c r="H263" s="338"/>
      <c r="I263" s="338"/>
      <c r="J263" s="338"/>
      <c r="K263" s="338"/>
      <c r="L263" s="338"/>
      <c r="M263" s="338"/>
      <c r="N263" s="338"/>
      <c r="O263" s="338"/>
      <c r="P263" s="293" t="str">
        <f>$C$587&amp;" ("&amp;Q132&amp;")"</f>
        <v>Tucson (USD)</v>
      </c>
      <c r="Q263" s="365" t="str">
        <f>$T$587&amp;" ("&amp;Q132&amp;")"</f>
        <v>Dubai (USD)</v>
      </c>
      <c r="R263" s="366" t="s">
        <v>1233</v>
      </c>
      <c r="S263" s="338"/>
      <c r="T263" s="338"/>
      <c r="U263" s="338"/>
      <c r="V263" s="364"/>
      <c r="W263" s="186"/>
    </row>
    <row r="264" spans="1:41" s="144" customFormat="1" ht="14.1" hidden="1" customHeight="1">
      <c r="A264" s="142"/>
      <c r="B264" s="143"/>
      <c r="C264" s="367"/>
      <c r="D264" s="368" t="str">
        <f>'Full Report'!C24</f>
        <v>Milk (regular), 1 liter</v>
      </c>
      <c r="E264" s="369"/>
      <c r="F264" s="370"/>
      <c r="G264" s="371"/>
      <c r="H264" s="372"/>
      <c r="I264" s="373"/>
      <c r="J264" s="373"/>
      <c r="K264" s="373"/>
      <c r="L264" s="373"/>
      <c r="M264" s="373"/>
      <c r="N264" s="373"/>
      <c r="O264" s="373"/>
      <c r="P264" s="374">
        <f>'Full Report'!F24</f>
        <v>1.81</v>
      </c>
      <c r="Q264" s="375">
        <f>'Full Report'!H24</f>
        <v>1.45</v>
      </c>
      <c r="R264" s="376">
        <f t="shared" ref="R264:R280" si="4">V264-1</f>
        <v>0.24827586206896557</v>
      </c>
      <c r="S264" s="377"/>
      <c r="T264" s="377"/>
      <c r="U264" s="378"/>
      <c r="V264" s="379">
        <f t="shared" ref="V264:V280" si="5">P264/Q264</f>
        <v>1.2482758620689656</v>
      </c>
      <c r="W264" s="380"/>
      <c r="X264" s="142"/>
      <c r="Y264" s="142"/>
      <c r="Z264" s="142"/>
      <c r="AA264" s="142"/>
      <c r="AB264" s="142"/>
      <c r="AC264" s="142"/>
      <c r="AD264" s="142"/>
      <c r="AE264" s="142"/>
      <c r="AF264" s="142"/>
      <c r="AG264" s="142"/>
      <c r="AH264" s="142"/>
      <c r="AI264" s="142"/>
      <c r="AJ264" s="142"/>
      <c r="AK264" s="142"/>
      <c r="AL264" s="142"/>
      <c r="AM264" s="142"/>
      <c r="AN264" s="142"/>
      <c r="AO264" s="142"/>
    </row>
    <row r="265" spans="1:41" s="144" customFormat="1" ht="14.1" hidden="1" customHeight="1">
      <c r="A265" s="142"/>
      <c r="B265" s="143"/>
      <c r="C265" s="367"/>
      <c r="D265" s="381" t="str">
        <f>'Full Report'!C25</f>
        <v>White Bread (500g)</v>
      </c>
      <c r="E265" s="369"/>
      <c r="F265" s="370"/>
      <c r="G265" s="371"/>
      <c r="H265" s="372"/>
      <c r="I265" s="373"/>
      <c r="J265" s="373"/>
      <c r="K265" s="373"/>
      <c r="L265" s="373"/>
      <c r="M265" s="373"/>
      <c r="N265" s="373"/>
      <c r="O265" s="373"/>
      <c r="P265" s="382">
        <f>'Full Report'!F25</f>
        <v>2.96</v>
      </c>
      <c r="Q265" s="383">
        <f>'Full Report'!H25</f>
        <v>1.1100000000000001</v>
      </c>
      <c r="R265" s="384">
        <f t="shared" si="4"/>
        <v>1.6666666666666665</v>
      </c>
      <c r="S265" s="385"/>
      <c r="T265" s="385"/>
      <c r="U265" s="386"/>
      <c r="V265" s="379">
        <f t="shared" si="5"/>
        <v>2.6666666666666665</v>
      </c>
      <c r="W265" s="380"/>
      <c r="X265" s="142"/>
      <c r="Y265" s="142"/>
      <c r="Z265" s="142"/>
      <c r="AA265" s="142"/>
      <c r="AB265" s="142"/>
      <c r="AC265" s="142"/>
      <c r="AD265" s="142"/>
      <c r="AE265" s="142"/>
      <c r="AF265" s="142"/>
      <c r="AG265" s="142"/>
      <c r="AH265" s="142"/>
      <c r="AI265" s="142"/>
      <c r="AJ265" s="142"/>
      <c r="AK265" s="142"/>
      <c r="AL265" s="142"/>
      <c r="AM265" s="142"/>
      <c r="AN265" s="142"/>
      <c r="AO265" s="142"/>
    </row>
    <row r="266" spans="1:41" s="144" customFormat="1" ht="14.1" hidden="1" customHeight="1">
      <c r="A266" s="142"/>
      <c r="B266" s="143"/>
      <c r="C266" s="367"/>
      <c r="D266" s="368" t="str">
        <f>'Full Report'!C26</f>
        <v>Rice (1kg)</v>
      </c>
      <c r="E266" s="369"/>
      <c r="F266" s="370"/>
      <c r="G266" s="370"/>
      <c r="H266" s="372"/>
      <c r="I266" s="373"/>
      <c r="J266" s="373"/>
      <c r="K266" s="373"/>
      <c r="L266" s="373"/>
      <c r="M266" s="373"/>
      <c r="N266" s="373"/>
      <c r="O266" s="373"/>
      <c r="P266" s="374">
        <f>'Full Report'!F26</f>
        <v>3.5</v>
      </c>
      <c r="Q266" s="375">
        <f>'Full Report'!H26</f>
        <v>1.36</v>
      </c>
      <c r="R266" s="376">
        <f t="shared" si="4"/>
        <v>1.5735294117647056</v>
      </c>
      <c r="S266" s="377"/>
      <c r="T266" s="377"/>
      <c r="U266" s="378"/>
      <c r="V266" s="379">
        <f t="shared" si="5"/>
        <v>2.5735294117647056</v>
      </c>
      <c r="W266" s="380"/>
      <c r="X266" s="142"/>
      <c r="Y266" s="142"/>
      <c r="Z266" s="142"/>
      <c r="AA266" s="142"/>
      <c r="AB266" s="142"/>
      <c r="AC266" s="142"/>
      <c r="AD266" s="142"/>
      <c r="AE266" s="142"/>
      <c r="AF266" s="142"/>
      <c r="AG266" s="142"/>
      <c r="AH266" s="142"/>
      <c r="AI266" s="142"/>
      <c r="AJ266" s="142"/>
      <c r="AK266" s="142"/>
      <c r="AL266" s="142"/>
      <c r="AM266" s="142"/>
      <c r="AN266" s="142"/>
      <c r="AO266" s="142"/>
    </row>
    <row r="267" spans="1:41" s="144" customFormat="1" ht="14.1" hidden="1" customHeight="1">
      <c r="A267" s="142"/>
      <c r="B267" s="143"/>
      <c r="C267" s="367"/>
      <c r="D267" s="381" t="str">
        <f>'Full Report'!C27</f>
        <v>Eggs (12)</v>
      </c>
      <c r="E267" s="387"/>
      <c r="F267" s="388"/>
      <c r="G267" s="388"/>
      <c r="H267" s="389"/>
      <c r="I267" s="390"/>
      <c r="J267" s="390"/>
      <c r="K267" s="390"/>
      <c r="L267" s="390"/>
      <c r="M267" s="390"/>
      <c r="N267" s="390"/>
      <c r="O267" s="390"/>
      <c r="P267" s="382">
        <f>'Full Report'!F27</f>
        <v>2.37</v>
      </c>
      <c r="Q267" s="383">
        <f>'Full Report'!H27</f>
        <v>2.4900000000000002</v>
      </c>
      <c r="R267" s="384">
        <f t="shared" si="4"/>
        <v>-4.8192771084337394E-2</v>
      </c>
      <c r="S267" s="385"/>
      <c r="T267" s="385"/>
      <c r="U267" s="386"/>
      <c r="V267" s="379">
        <f t="shared" si="5"/>
        <v>0.95180722891566261</v>
      </c>
      <c r="W267" s="380"/>
      <c r="X267" s="142"/>
      <c r="Y267" s="142"/>
      <c r="Z267" s="142"/>
      <c r="AA267" s="142"/>
      <c r="AB267" s="142"/>
      <c r="AC267" s="142"/>
      <c r="AD267" s="142"/>
      <c r="AE267" s="142"/>
      <c r="AF267" s="142"/>
      <c r="AG267" s="142"/>
      <c r="AH267" s="142"/>
      <c r="AI267" s="142"/>
      <c r="AJ267" s="142"/>
      <c r="AK267" s="142"/>
      <c r="AL267" s="142"/>
      <c r="AM267" s="142"/>
      <c r="AN267" s="142"/>
      <c r="AO267" s="142"/>
    </row>
    <row r="268" spans="1:41" s="144" customFormat="1" ht="14.1" hidden="1" customHeight="1">
      <c r="A268" s="142"/>
      <c r="B268" s="143"/>
      <c r="C268" s="367"/>
      <c r="D268" s="368" t="str">
        <f>'Full Report'!C28</f>
        <v>Local Cheese (1kg)</v>
      </c>
      <c r="E268" s="391"/>
      <c r="F268" s="370"/>
      <c r="G268" s="370"/>
      <c r="H268" s="370"/>
      <c r="I268" s="373"/>
      <c r="J268" s="373"/>
      <c r="K268" s="373"/>
      <c r="L268" s="373"/>
      <c r="M268" s="373"/>
      <c r="N268" s="373"/>
      <c r="O268" s="373"/>
      <c r="P268" s="374">
        <f>'Full Report'!F28</f>
        <v>11</v>
      </c>
      <c r="Q268" s="375">
        <f>'Full Report'!H28</f>
        <v>8.85</v>
      </c>
      <c r="R268" s="376">
        <f t="shared" si="4"/>
        <v>0.24293785310734473</v>
      </c>
      <c r="S268" s="377"/>
      <c r="T268" s="377"/>
      <c r="U268" s="378"/>
      <c r="V268" s="379">
        <f t="shared" si="5"/>
        <v>1.2429378531073447</v>
      </c>
      <c r="W268" s="380"/>
      <c r="X268" s="142"/>
      <c r="Y268" s="142"/>
      <c r="Z268" s="142"/>
      <c r="AA268" s="142"/>
      <c r="AB268" s="142"/>
      <c r="AC268" s="142"/>
      <c r="AD268" s="142"/>
      <c r="AE268" s="142"/>
      <c r="AF268" s="142"/>
      <c r="AG268" s="142"/>
      <c r="AH268" s="142"/>
      <c r="AI268" s="142"/>
      <c r="AJ268" s="142"/>
      <c r="AK268" s="142"/>
      <c r="AL268" s="142"/>
      <c r="AM268" s="142"/>
      <c r="AN268" s="142"/>
      <c r="AO268" s="142"/>
    </row>
    <row r="269" spans="1:41" s="144" customFormat="1" ht="14.1" hidden="1" customHeight="1">
      <c r="A269" s="142"/>
      <c r="B269" s="143"/>
      <c r="C269" s="367"/>
      <c r="D269" s="381" t="str">
        <f>'Full Report'!C29</f>
        <v>Boneless Chicken Breasts (1kg)</v>
      </c>
      <c r="E269" s="392"/>
      <c r="F269" s="388"/>
      <c r="G269" s="388"/>
      <c r="H269" s="388"/>
      <c r="I269" s="390"/>
      <c r="J269" s="390"/>
      <c r="K269" s="390"/>
      <c r="L269" s="390"/>
      <c r="M269" s="390"/>
      <c r="N269" s="390"/>
      <c r="O269" s="390"/>
      <c r="P269" s="382">
        <f>'Full Report'!F29</f>
        <v>11.01</v>
      </c>
      <c r="Q269" s="383">
        <f>'Full Report'!H29</f>
        <v>6.75</v>
      </c>
      <c r="R269" s="384">
        <f t="shared" si="4"/>
        <v>0.63111111111111118</v>
      </c>
      <c r="S269" s="385"/>
      <c r="T269" s="385"/>
      <c r="U269" s="386"/>
      <c r="V269" s="379">
        <f t="shared" si="5"/>
        <v>1.6311111111111112</v>
      </c>
      <c r="W269" s="380"/>
      <c r="X269" s="142"/>
      <c r="Y269" s="142"/>
      <c r="Z269" s="142"/>
      <c r="AA269" s="142"/>
      <c r="AB269" s="142"/>
      <c r="AC269" s="142"/>
      <c r="AD269" s="142"/>
      <c r="AE269" s="142"/>
      <c r="AF269" s="142"/>
      <c r="AG269" s="142"/>
      <c r="AH269" s="142"/>
      <c r="AI269" s="142"/>
      <c r="AJ269" s="142"/>
      <c r="AK269" s="142"/>
      <c r="AL269" s="142"/>
      <c r="AM269" s="142"/>
      <c r="AN269" s="142"/>
      <c r="AO269" s="142"/>
    </row>
    <row r="270" spans="1:41" s="144" customFormat="1" ht="14.1" hidden="1" customHeight="1">
      <c r="A270" s="142"/>
      <c r="B270" s="143"/>
      <c r="C270" s="367"/>
      <c r="D270" s="368" t="str">
        <f>'Full Report'!C30</f>
        <v>Apples (1kg)</v>
      </c>
      <c r="E270" s="391"/>
      <c r="F270" s="370"/>
      <c r="G270" s="370"/>
      <c r="H270" s="370"/>
      <c r="I270" s="373"/>
      <c r="J270" s="373"/>
      <c r="K270" s="373"/>
      <c r="L270" s="373"/>
      <c r="M270" s="373"/>
      <c r="N270" s="373"/>
      <c r="O270" s="373"/>
      <c r="P270" s="374">
        <f>'Full Report'!F30</f>
        <v>2.84</v>
      </c>
      <c r="Q270" s="375">
        <f>'Full Report'!H30</f>
        <v>2.1800000000000002</v>
      </c>
      <c r="R270" s="376">
        <f t="shared" si="4"/>
        <v>0.30275229357798139</v>
      </c>
      <c r="S270" s="377"/>
      <c r="T270" s="377"/>
      <c r="U270" s="378"/>
      <c r="V270" s="379">
        <f t="shared" si="5"/>
        <v>1.3027522935779814</v>
      </c>
      <c r="W270" s="380"/>
      <c r="X270" s="142"/>
      <c r="Y270" s="142"/>
      <c r="Z270" s="142"/>
      <c r="AA270" s="142"/>
      <c r="AB270" s="142"/>
      <c r="AC270" s="142"/>
      <c r="AD270" s="142"/>
      <c r="AE270" s="142"/>
      <c r="AF270" s="142"/>
      <c r="AG270" s="142"/>
      <c r="AH270" s="142"/>
      <c r="AI270" s="142"/>
      <c r="AJ270" s="142"/>
      <c r="AK270" s="142"/>
      <c r="AL270" s="142"/>
      <c r="AM270" s="142"/>
      <c r="AN270" s="142"/>
      <c r="AO270" s="142"/>
    </row>
    <row r="271" spans="1:41" s="144" customFormat="1" ht="14.1" hidden="1" customHeight="1">
      <c r="A271" s="142"/>
      <c r="B271" s="143"/>
      <c r="C271" s="367"/>
      <c r="D271" s="381" t="str">
        <f>'Full Report'!C31</f>
        <v>Oranges (1kg)</v>
      </c>
      <c r="E271" s="392"/>
      <c r="F271" s="388"/>
      <c r="G271" s="388"/>
      <c r="H271" s="388"/>
      <c r="I271" s="390"/>
      <c r="J271" s="390"/>
      <c r="K271" s="390"/>
      <c r="L271" s="390"/>
      <c r="M271" s="390"/>
      <c r="N271" s="390"/>
      <c r="O271" s="390"/>
      <c r="P271" s="382">
        <f>'Full Report'!F31</f>
        <v>4</v>
      </c>
      <c r="Q271" s="383">
        <f>'Full Report'!H31</f>
        <v>1.91</v>
      </c>
      <c r="R271" s="384">
        <f t="shared" si="4"/>
        <v>1.0942408376963351</v>
      </c>
      <c r="S271" s="385"/>
      <c r="T271" s="385"/>
      <c r="U271" s="386"/>
      <c r="V271" s="379">
        <f t="shared" si="5"/>
        <v>2.0942408376963351</v>
      </c>
      <c r="W271" s="380"/>
      <c r="X271" s="142"/>
      <c r="Y271" s="142"/>
      <c r="Z271" s="142"/>
      <c r="AA271" s="142"/>
      <c r="AB271" s="142"/>
      <c r="AC271" s="142"/>
      <c r="AD271" s="142"/>
      <c r="AE271" s="142"/>
      <c r="AF271" s="142"/>
      <c r="AG271" s="142"/>
      <c r="AH271" s="142"/>
      <c r="AI271" s="142"/>
      <c r="AJ271" s="142"/>
      <c r="AK271" s="142"/>
      <c r="AL271" s="142"/>
      <c r="AM271" s="142"/>
      <c r="AN271" s="142"/>
      <c r="AO271" s="142"/>
    </row>
    <row r="272" spans="1:41" s="144" customFormat="1" ht="14.1" hidden="1" customHeight="1">
      <c r="A272" s="142"/>
      <c r="B272" s="143"/>
      <c r="C272" s="367"/>
      <c r="D272" s="368" t="str">
        <f>'Full Report'!C32</f>
        <v>Tomato (1kg)</v>
      </c>
      <c r="E272" s="391"/>
      <c r="F272" s="370"/>
      <c r="G272" s="370"/>
      <c r="H272" s="370"/>
      <c r="I272" s="373"/>
      <c r="J272" s="373"/>
      <c r="K272" s="373"/>
      <c r="L272" s="373"/>
      <c r="M272" s="373"/>
      <c r="N272" s="373"/>
      <c r="O272" s="373"/>
      <c r="P272" s="374">
        <f>'Full Report'!F32</f>
        <v>4</v>
      </c>
      <c r="Q272" s="375">
        <f>'Full Report'!H32</f>
        <v>1.36</v>
      </c>
      <c r="R272" s="376">
        <f t="shared" si="4"/>
        <v>1.9411764705882351</v>
      </c>
      <c r="S272" s="377"/>
      <c r="T272" s="377"/>
      <c r="U272" s="378"/>
      <c r="V272" s="379">
        <f t="shared" si="5"/>
        <v>2.9411764705882351</v>
      </c>
      <c r="W272" s="380"/>
      <c r="X272" s="142"/>
      <c r="Y272" s="142"/>
      <c r="Z272" s="142"/>
      <c r="AA272" s="142"/>
      <c r="AB272" s="142"/>
      <c r="AC272" s="142"/>
      <c r="AD272" s="142"/>
      <c r="AE272" s="142"/>
      <c r="AF272" s="142"/>
      <c r="AG272" s="142"/>
      <c r="AH272" s="142"/>
      <c r="AI272" s="142"/>
      <c r="AJ272" s="142"/>
      <c r="AK272" s="142"/>
      <c r="AL272" s="142"/>
      <c r="AM272" s="142"/>
      <c r="AN272" s="142"/>
      <c r="AO272" s="142"/>
    </row>
    <row r="273" spans="1:41" s="144" customFormat="1" ht="14.1" hidden="1" customHeight="1">
      <c r="A273" s="142"/>
      <c r="B273" s="143"/>
      <c r="C273" s="367"/>
      <c r="D273" s="381" t="str">
        <f>'Full Report'!C33</f>
        <v>Potato (1kg)</v>
      </c>
      <c r="E273" s="392"/>
      <c r="F273" s="388"/>
      <c r="G273" s="388"/>
      <c r="H273" s="388"/>
      <c r="I273" s="390"/>
      <c r="J273" s="390"/>
      <c r="K273" s="390"/>
      <c r="L273" s="390"/>
      <c r="M273" s="390"/>
      <c r="N273" s="390"/>
      <c r="O273" s="390"/>
      <c r="P273" s="382">
        <f>'Full Report'!F33</f>
        <v>3.09</v>
      </c>
      <c r="Q273" s="383">
        <f>'Full Report'!H33</f>
        <v>1</v>
      </c>
      <c r="R273" s="384">
        <f t="shared" si="4"/>
        <v>2.09</v>
      </c>
      <c r="S273" s="385"/>
      <c r="T273" s="385"/>
      <c r="U273" s="386"/>
      <c r="V273" s="379">
        <f t="shared" si="5"/>
        <v>3.09</v>
      </c>
      <c r="W273" s="380"/>
      <c r="X273" s="142"/>
      <c r="Y273" s="142"/>
      <c r="Z273" s="142"/>
      <c r="AA273" s="142"/>
      <c r="AB273" s="142"/>
      <c r="AC273" s="142"/>
      <c r="AD273" s="142"/>
      <c r="AE273" s="142"/>
      <c r="AF273" s="142"/>
      <c r="AG273" s="142"/>
      <c r="AH273" s="142"/>
      <c r="AI273" s="142"/>
      <c r="AJ273" s="142"/>
      <c r="AK273" s="142"/>
      <c r="AL273" s="142"/>
      <c r="AM273" s="142"/>
      <c r="AN273" s="142"/>
      <c r="AO273" s="142"/>
    </row>
    <row r="274" spans="1:41" s="144" customFormat="1" ht="14.1" hidden="1" customHeight="1">
      <c r="A274" s="142"/>
      <c r="B274" s="143"/>
      <c r="C274" s="367"/>
      <c r="D274" s="368" t="str">
        <f>'Full Report'!C34</f>
        <v>Lettuce (1 head)</v>
      </c>
      <c r="E274" s="391"/>
      <c r="F274" s="370"/>
      <c r="G274" s="370"/>
      <c r="H274" s="370"/>
      <c r="I274" s="373"/>
      <c r="J274" s="373"/>
      <c r="K274" s="373"/>
      <c r="L274" s="373"/>
      <c r="M274" s="373"/>
      <c r="N274" s="373"/>
      <c r="O274" s="373"/>
      <c r="P274" s="374">
        <f>'Full Report'!F34</f>
        <v>1.75</v>
      </c>
      <c r="Q274" s="375">
        <f>'Full Report'!H34</f>
        <v>1.36</v>
      </c>
      <c r="R274" s="376">
        <f t="shared" si="4"/>
        <v>0.28676470588235281</v>
      </c>
      <c r="S274" s="377"/>
      <c r="T274" s="377"/>
      <c r="U274" s="378"/>
      <c r="V274" s="379">
        <f t="shared" si="5"/>
        <v>1.2867647058823528</v>
      </c>
      <c r="W274" s="380"/>
      <c r="X274" s="142"/>
      <c r="Y274" s="142"/>
      <c r="Z274" s="142"/>
      <c r="AA274" s="142"/>
      <c r="AB274" s="142"/>
      <c r="AC274" s="142"/>
      <c r="AD274" s="142"/>
      <c r="AE274" s="142"/>
      <c r="AF274" s="142"/>
      <c r="AG274" s="142"/>
      <c r="AH274" s="142"/>
      <c r="AI274" s="142"/>
      <c r="AJ274" s="142"/>
      <c r="AK274" s="142"/>
      <c r="AL274" s="142"/>
      <c r="AM274" s="142"/>
      <c r="AN274" s="142"/>
      <c r="AO274" s="142"/>
    </row>
    <row r="275" spans="1:41" s="144" customFormat="1" ht="14.1" hidden="1" customHeight="1">
      <c r="A275" s="142"/>
      <c r="B275" s="143"/>
      <c r="C275" s="367"/>
      <c r="D275" s="381" t="str">
        <f>'Full Report'!C35</f>
        <v>Water (1.5 liter bottle)</v>
      </c>
      <c r="E275" s="392"/>
      <c r="F275" s="388"/>
      <c r="G275" s="388"/>
      <c r="H275" s="388"/>
      <c r="I275" s="390"/>
      <c r="J275" s="390"/>
      <c r="K275" s="390"/>
      <c r="L275" s="390"/>
      <c r="M275" s="390"/>
      <c r="N275" s="390"/>
      <c r="O275" s="390"/>
      <c r="P275" s="382">
        <f>'Full Report'!F35</f>
        <v>1.5</v>
      </c>
      <c r="Q275" s="383">
        <f>'Full Report'!H35</f>
        <v>0.54</v>
      </c>
      <c r="R275" s="384">
        <f t="shared" si="4"/>
        <v>1.7777777777777777</v>
      </c>
      <c r="S275" s="385"/>
      <c r="T275" s="385"/>
      <c r="U275" s="386"/>
      <c r="V275" s="379">
        <f t="shared" si="5"/>
        <v>2.7777777777777777</v>
      </c>
      <c r="W275" s="380"/>
      <c r="X275" s="142"/>
      <c r="Y275" s="142"/>
      <c r="Z275" s="142"/>
      <c r="AA275" s="142"/>
      <c r="AB275" s="142"/>
      <c r="AC275" s="142"/>
      <c r="AD275" s="142"/>
      <c r="AE275" s="142"/>
      <c r="AF275" s="142"/>
      <c r="AG275" s="142"/>
      <c r="AH275" s="142"/>
      <c r="AI275" s="142"/>
      <c r="AJ275" s="142"/>
      <c r="AK275" s="142"/>
      <c r="AL275" s="142"/>
      <c r="AM275" s="142"/>
      <c r="AN275" s="142"/>
      <c r="AO275" s="142"/>
    </row>
    <row r="276" spans="1:41" s="144" customFormat="1" ht="14.1" hidden="1" customHeight="1">
      <c r="A276" s="142"/>
      <c r="B276" s="143"/>
      <c r="C276" s="367"/>
      <c r="D276" s="368" t="str">
        <f>'Full Report'!C36</f>
        <v>Bottle of Wine (Mid-Range)</v>
      </c>
      <c r="E276" s="391"/>
      <c r="F276" s="370"/>
      <c r="G276" s="370"/>
      <c r="H276" s="370"/>
      <c r="I276" s="373"/>
      <c r="J276" s="373"/>
      <c r="K276" s="373"/>
      <c r="L276" s="373"/>
      <c r="M276" s="373"/>
      <c r="N276" s="373"/>
      <c r="O276" s="373"/>
      <c r="P276" s="374">
        <f>'Full Report'!F36</f>
        <v>10</v>
      </c>
      <c r="Q276" s="375">
        <f>'Full Report'!H36</f>
        <v>20</v>
      </c>
      <c r="R276" s="376">
        <f t="shared" si="4"/>
        <v>-0.5</v>
      </c>
      <c r="S276" s="377"/>
      <c r="T276" s="377"/>
      <c r="U276" s="378"/>
      <c r="V276" s="379">
        <f t="shared" si="5"/>
        <v>0.5</v>
      </c>
      <c r="W276" s="380"/>
      <c r="X276" s="142"/>
      <c r="Y276" s="142"/>
      <c r="Z276" s="142"/>
      <c r="AA276" s="142"/>
      <c r="AB276" s="142"/>
      <c r="AC276" s="142"/>
      <c r="AD276" s="142"/>
      <c r="AE276" s="142"/>
      <c r="AF276" s="142"/>
      <c r="AG276" s="142"/>
      <c r="AH276" s="142"/>
      <c r="AI276" s="142"/>
      <c r="AJ276" s="142"/>
      <c r="AK276" s="142"/>
      <c r="AL276" s="142"/>
      <c r="AM276" s="142"/>
      <c r="AN276" s="142"/>
      <c r="AO276" s="142"/>
    </row>
    <row r="277" spans="1:41" s="144" customFormat="1" ht="14.1" hidden="1" customHeight="1">
      <c r="A277" s="142"/>
      <c r="B277" s="143"/>
      <c r="C277" s="367"/>
      <c r="D277" s="381" t="str">
        <f>'Full Report'!C37</f>
        <v>Domestic Beer (0.5 liter bottle)</v>
      </c>
      <c r="E277" s="392"/>
      <c r="F277" s="388"/>
      <c r="G277" s="388"/>
      <c r="H277" s="388"/>
      <c r="I277" s="390"/>
      <c r="J277" s="390"/>
      <c r="K277" s="390"/>
      <c r="L277" s="390"/>
      <c r="M277" s="390"/>
      <c r="N277" s="390"/>
      <c r="O277" s="390"/>
      <c r="P277" s="382">
        <f>'Full Report'!F37</f>
        <v>1.74</v>
      </c>
      <c r="Q277" s="383">
        <f>'Full Report'!H37</f>
        <v>6.81</v>
      </c>
      <c r="R277" s="384">
        <f t="shared" si="4"/>
        <v>-0.74449339207048459</v>
      </c>
      <c r="S277" s="385"/>
      <c r="T277" s="385"/>
      <c r="U277" s="386"/>
      <c r="V277" s="379">
        <f t="shared" si="5"/>
        <v>0.25550660792951541</v>
      </c>
      <c r="W277" s="380"/>
      <c r="X277" s="142"/>
      <c r="Y277" s="142"/>
      <c r="Z277" s="142"/>
      <c r="AA277" s="142"/>
      <c r="AB277" s="142"/>
      <c r="AC277" s="142"/>
      <c r="AD277" s="142"/>
      <c r="AE277" s="142"/>
      <c r="AF277" s="142"/>
      <c r="AG277" s="142"/>
      <c r="AH277" s="142"/>
      <c r="AI277" s="142"/>
      <c r="AJ277" s="142"/>
      <c r="AK277" s="142"/>
      <c r="AL277" s="142"/>
      <c r="AM277" s="142"/>
      <c r="AN277" s="142"/>
      <c r="AO277" s="142"/>
    </row>
    <row r="278" spans="1:41" s="144" customFormat="1" ht="14.1" hidden="1" customHeight="1">
      <c r="A278" s="142"/>
      <c r="B278" s="143"/>
      <c r="C278" s="367"/>
      <c r="D278" s="368" t="str">
        <f>'Full Report'!C38</f>
        <v>Imported Beer (0.33 liter bottle)</v>
      </c>
      <c r="E278" s="391"/>
      <c r="F278" s="370"/>
      <c r="G278" s="370"/>
      <c r="H278" s="370"/>
      <c r="I278" s="373"/>
      <c r="J278" s="373"/>
      <c r="K278" s="373"/>
      <c r="L278" s="373"/>
      <c r="M278" s="373"/>
      <c r="N278" s="373"/>
      <c r="O278" s="373"/>
      <c r="P278" s="374">
        <f>'Full Report'!F38</f>
        <v>2.14</v>
      </c>
      <c r="Q278" s="375">
        <f>'Full Report'!H38</f>
        <v>6.81</v>
      </c>
      <c r="R278" s="376">
        <f t="shared" si="4"/>
        <v>-0.68575624082232012</v>
      </c>
      <c r="S278" s="377"/>
      <c r="T278" s="377"/>
      <c r="U278" s="378"/>
      <c r="V278" s="379">
        <f t="shared" si="5"/>
        <v>0.31424375917767994</v>
      </c>
      <c r="W278" s="380"/>
      <c r="X278" s="142"/>
      <c r="Y278" s="142"/>
      <c r="Z278" s="142"/>
      <c r="AA278" s="142"/>
      <c r="AB278" s="142"/>
      <c r="AC278" s="142"/>
      <c r="AD278" s="142"/>
      <c r="AE278" s="142"/>
      <c r="AF278" s="142"/>
      <c r="AG278" s="142"/>
      <c r="AH278" s="142"/>
      <c r="AI278" s="142"/>
      <c r="AJ278" s="142"/>
      <c r="AK278" s="142"/>
      <c r="AL278" s="142"/>
      <c r="AM278" s="142"/>
      <c r="AN278" s="142"/>
      <c r="AO278" s="142"/>
    </row>
    <row r="279" spans="1:41" s="144" customFormat="1" ht="14.1" hidden="1" customHeight="1" thickBot="1">
      <c r="A279" s="142"/>
      <c r="B279" s="143"/>
      <c r="C279" s="367"/>
      <c r="D279" s="381" t="str">
        <f>'Full Report'!C39</f>
        <v>Pack of Cigarettes (20's)</v>
      </c>
      <c r="E279" s="393"/>
      <c r="F279" s="394"/>
      <c r="G279" s="394"/>
      <c r="H279" s="394"/>
      <c r="I279" s="395"/>
      <c r="J279" s="395"/>
      <c r="K279" s="395"/>
      <c r="L279" s="395"/>
      <c r="M279" s="395"/>
      <c r="N279" s="395"/>
      <c r="O279" s="395"/>
      <c r="P279" s="382">
        <f>'Full Report'!F39</f>
        <v>6.99</v>
      </c>
      <c r="Q279" s="383">
        <f>'Full Report'!H39</f>
        <v>2.4</v>
      </c>
      <c r="R279" s="384">
        <f t="shared" si="4"/>
        <v>1.9125000000000001</v>
      </c>
      <c r="S279" s="396"/>
      <c r="T279" s="396"/>
      <c r="U279" s="397"/>
      <c r="V279" s="379">
        <f t="shared" si="5"/>
        <v>2.9125000000000001</v>
      </c>
      <c r="W279" s="380"/>
      <c r="X279" s="142"/>
      <c r="Y279" s="142"/>
      <c r="Z279" s="142"/>
      <c r="AA279" s="142"/>
      <c r="AB279" s="142"/>
      <c r="AC279" s="142"/>
      <c r="AD279" s="142"/>
      <c r="AE279" s="142"/>
      <c r="AF279" s="142"/>
      <c r="AG279" s="142"/>
      <c r="AH279" s="142"/>
      <c r="AI279" s="142"/>
      <c r="AJ279" s="142"/>
      <c r="AK279" s="142"/>
      <c r="AL279" s="142"/>
      <c r="AM279" s="142"/>
      <c r="AN279" s="142"/>
      <c r="AO279" s="142"/>
    </row>
    <row r="280" spans="1:41" ht="18" hidden="1" customHeight="1" thickBot="1">
      <c r="C280" s="178"/>
      <c r="D280" s="398" t="s">
        <v>1280</v>
      </c>
      <c r="E280" s="269"/>
      <c r="F280" s="177"/>
      <c r="G280" s="177"/>
      <c r="H280" s="266"/>
      <c r="I280" s="266"/>
      <c r="J280" s="266"/>
      <c r="K280" s="266"/>
      <c r="L280" s="266"/>
      <c r="M280" s="266"/>
      <c r="N280" s="266"/>
      <c r="O280" s="266"/>
      <c r="P280" s="399">
        <f>SUM(P264:P279)</f>
        <v>70.7</v>
      </c>
      <c r="Q280" s="400">
        <f>SUM(Q264:Q279)</f>
        <v>66.38000000000001</v>
      </c>
      <c r="R280" s="401">
        <f t="shared" si="4"/>
        <v>6.50798433263029E-2</v>
      </c>
      <c r="S280" s="402">
        <f>'Full Report'!H35</f>
        <v>0.54</v>
      </c>
      <c r="T280" s="403"/>
      <c r="U280" s="404"/>
      <c r="V280" s="362">
        <f t="shared" si="5"/>
        <v>1.0650798433263029</v>
      </c>
      <c r="W280" s="186"/>
    </row>
    <row r="281" spans="1:41" ht="20.100000000000001" hidden="1" customHeight="1" thickTop="1">
      <c r="C281" s="178"/>
      <c r="D281" s="405"/>
      <c r="E281" s="269"/>
      <c r="F281" s="177"/>
      <c r="G281" s="177"/>
      <c r="H281" s="266"/>
      <c r="I281" s="266"/>
      <c r="J281" s="266"/>
      <c r="K281" s="266"/>
      <c r="L281" s="266"/>
      <c r="M281" s="266"/>
      <c r="N281" s="266"/>
      <c r="O281" s="266"/>
      <c r="P281" s="266"/>
      <c r="Q281" s="270"/>
      <c r="R281" s="281"/>
      <c r="S281" s="177"/>
      <c r="T281" s="177"/>
      <c r="U281" s="177"/>
      <c r="V281" s="178"/>
      <c r="W281" s="186"/>
    </row>
    <row r="282" spans="1:41" ht="43.5" hidden="1" customHeight="1">
      <c r="C282" s="178"/>
      <c r="D282" s="1011" t="str">
        <f>IF(T605=1568,D614,D616)</f>
        <v xml:space="preserve">Overall, based on 16 items in the groceries category, the cost of groceries in Tucson, AZ, United States is 6.51% higher than in Dubai, United Arab Emirates. Intuitively it seems that, on average it is more expensive to spend money for groceries in Tucson. </v>
      </c>
      <c r="E282" s="1011"/>
      <c r="F282" s="1011"/>
      <c r="G282" s="1011"/>
      <c r="H282" s="1011"/>
      <c r="I282" s="1011"/>
      <c r="J282" s="1011"/>
      <c r="K282" s="1011"/>
      <c r="L282" s="1011"/>
      <c r="M282" s="1011"/>
      <c r="N282" s="1011"/>
      <c r="O282" s="1011"/>
      <c r="P282" s="1011"/>
      <c r="Q282" s="1011"/>
      <c r="R282" s="1011"/>
      <c r="S282" s="1011"/>
      <c r="T282" s="1011"/>
      <c r="U282" s="1011"/>
      <c r="V282" s="1011"/>
      <c r="W282" s="186"/>
    </row>
    <row r="283" spans="1:41" ht="44.25" hidden="1" customHeight="1">
      <c r="C283" s="178"/>
      <c r="D283" s="1011" t="str">
        <f>IF(T605=1568,D614,D617)</f>
        <v xml:space="preserve"> As shown in the graph below, 12 out of 16 items under this category are higher than in Dubai. Potato (1kg) in Tucson is the most expensive item in comparison to Dubai, United Arab Emirates. Its cost is 209.00 % more expensive in Tucson.</v>
      </c>
      <c r="E283" s="1011"/>
      <c r="F283" s="1011"/>
      <c r="G283" s="1011"/>
      <c r="H283" s="1011"/>
      <c r="I283" s="1011"/>
      <c r="J283" s="1011"/>
      <c r="K283" s="1011"/>
      <c r="L283" s="1011"/>
      <c r="M283" s="1011"/>
      <c r="N283" s="1011"/>
      <c r="O283" s="1011"/>
      <c r="P283" s="1011"/>
      <c r="Q283" s="1011"/>
      <c r="R283" s="1011"/>
      <c r="S283" s="1011"/>
      <c r="T283" s="1011"/>
      <c r="U283" s="1011"/>
      <c r="V283" s="1015"/>
      <c r="W283" s="186"/>
    </row>
    <row r="284" spans="1:41" ht="20.100000000000001" hidden="1" customHeight="1">
      <c r="C284" s="178"/>
      <c r="D284" s="269"/>
      <c r="E284" s="269"/>
      <c r="F284" s="177"/>
      <c r="G284" s="177"/>
      <c r="H284" s="266"/>
      <c r="I284" s="266"/>
      <c r="J284" s="266"/>
      <c r="K284" s="266"/>
      <c r="L284" s="266"/>
      <c r="M284" s="266"/>
      <c r="N284" s="266"/>
      <c r="O284" s="266"/>
      <c r="P284" s="266"/>
      <c r="Q284" s="270"/>
      <c r="R284" s="406"/>
      <c r="S284" s="271"/>
      <c r="T284" s="177"/>
      <c r="U284" s="177"/>
      <c r="V284" s="177"/>
      <c r="W284" s="186"/>
    </row>
    <row r="285" spans="1:41" ht="20.100000000000001" hidden="1" customHeight="1">
      <c r="C285" s="178"/>
      <c r="D285" s="269"/>
      <c r="E285" s="269"/>
      <c r="F285" s="177"/>
      <c r="G285" s="177"/>
      <c r="H285" s="266"/>
      <c r="I285" s="266"/>
      <c r="J285" s="266"/>
      <c r="K285" s="266"/>
      <c r="L285" s="266"/>
      <c r="M285" s="266"/>
      <c r="N285" s="266"/>
      <c r="O285" s="266"/>
      <c r="P285" s="266"/>
      <c r="Q285" s="270"/>
      <c r="R285" s="406"/>
      <c r="S285" s="271"/>
      <c r="T285" s="177"/>
      <c r="U285" s="177"/>
      <c r="V285" s="177"/>
      <c r="W285" s="186"/>
    </row>
    <row r="286" spans="1:41" ht="20.100000000000001" hidden="1" customHeight="1">
      <c r="C286" s="178"/>
      <c r="D286" s="269"/>
      <c r="E286" s="269"/>
      <c r="F286" s="177"/>
      <c r="G286" s="177"/>
      <c r="H286" s="266"/>
      <c r="I286" s="266"/>
      <c r="J286" s="266"/>
      <c r="K286" s="266"/>
      <c r="L286" s="266"/>
      <c r="M286" s="266"/>
      <c r="N286" s="266"/>
      <c r="O286" s="266"/>
      <c r="P286" s="266"/>
      <c r="Q286" s="270"/>
      <c r="R286" s="406"/>
      <c r="S286" s="271"/>
      <c r="T286" s="177"/>
      <c r="U286" s="177"/>
      <c r="V286" s="177"/>
      <c r="W286" s="186"/>
    </row>
    <row r="287" spans="1:41" ht="20.100000000000001" hidden="1" customHeight="1">
      <c r="C287" s="178"/>
      <c r="D287" s="269"/>
      <c r="E287" s="269"/>
      <c r="F287" s="177"/>
      <c r="G287" s="177"/>
      <c r="H287" s="266"/>
      <c r="I287" s="266"/>
      <c r="J287" s="266"/>
      <c r="K287" s="266"/>
      <c r="L287" s="266"/>
      <c r="M287" s="266"/>
      <c r="N287" s="266"/>
      <c r="O287" s="266"/>
      <c r="P287" s="266"/>
      <c r="Q287" s="270"/>
      <c r="R287" s="406"/>
      <c r="S287" s="271"/>
      <c r="T287" s="177"/>
      <c r="U287" s="177"/>
      <c r="V287" s="177"/>
      <c r="W287" s="186"/>
    </row>
    <row r="288" spans="1:41" ht="20.100000000000001" hidden="1" customHeight="1">
      <c r="C288" s="178"/>
      <c r="D288" s="269"/>
      <c r="E288" s="269"/>
      <c r="F288" s="177"/>
      <c r="G288" s="177"/>
      <c r="H288" s="266"/>
      <c r="I288" s="266"/>
      <c r="J288" s="266"/>
      <c r="K288" s="266"/>
      <c r="L288" s="266"/>
      <c r="M288" s="266"/>
      <c r="N288" s="266"/>
      <c r="O288" s="266"/>
      <c r="P288" s="266"/>
      <c r="Q288" s="270"/>
      <c r="R288" s="406"/>
      <c r="S288" s="271"/>
      <c r="T288" s="177"/>
      <c r="U288" s="177"/>
      <c r="V288" s="177"/>
      <c r="W288" s="186"/>
    </row>
    <row r="289" spans="2:23" ht="20.100000000000001" hidden="1" customHeight="1">
      <c r="C289" s="178"/>
      <c r="D289" s="269"/>
      <c r="E289" s="269"/>
      <c r="F289" s="177"/>
      <c r="G289" s="177"/>
      <c r="H289" s="266"/>
      <c r="I289" s="266"/>
      <c r="J289" s="266"/>
      <c r="K289" s="266"/>
      <c r="L289" s="266"/>
      <c r="M289" s="266"/>
      <c r="N289" s="266"/>
      <c r="O289" s="266"/>
      <c r="P289" s="266"/>
      <c r="Q289" s="270"/>
      <c r="R289" s="406"/>
      <c r="S289" s="271"/>
      <c r="T289" s="177"/>
      <c r="U289" s="177"/>
      <c r="V289" s="177"/>
      <c r="W289" s="186"/>
    </row>
    <row r="290" spans="2:23" ht="20.100000000000001" hidden="1" customHeight="1">
      <c r="C290" s="178"/>
      <c r="D290" s="269"/>
      <c r="E290" s="269"/>
      <c r="F290" s="177"/>
      <c r="G290" s="177"/>
      <c r="H290" s="266"/>
      <c r="I290" s="266"/>
      <c r="J290" s="266"/>
      <c r="K290" s="266"/>
      <c r="L290" s="266"/>
      <c r="M290" s="266"/>
      <c r="N290" s="266"/>
      <c r="O290" s="266"/>
      <c r="P290" s="266"/>
      <c r="Q290" s="270"/>
      <c r="R290" s="325"/>
      <c r="S290" s="271"/>
      <c r="T290" s="177"/>
      <c r="U290" s="177"/>
      <c r="V290" s="177"/>
      <c r="W290" s="186"/>
    </row>
    <row r="291" spans="2:23" ht="20.100000000000001" hidden="1" customHeight="1">
      <c r="C291" s="178"/>
      <c r="D291" s="269"/>
      <c r="E291" s="269"/>
      <c r="F291" s="177"/>
      <c r="G291" s="177"/>
      <c r="H291" s="266"/>
      <c r="I291" s="266"/>
      <c r="J291" s="266"/>
      <c r="K291" s="266"/>
      <c r="L291" s="266"/>
      <c r="M291" s="266"/>
      <c r="N291" s="266"/>
      <c r="O291" s="266"/>
      <c r="P291" s="266"/>
      <c r="Q291" s="270"/>
      <c r="R291" s="406"/>
      <c r="S291" s="271"/>
      <c r="T291" s="177"/>
      <c r="U291" s="177"/>
      <c r="V291" s="177"/>
      <c r="W291" s="186"/>
    </row>
    <row r="292" spans="2:23" ht="20.100000000000001" hidden="1" customHeight="1">
      <c r="C292" s="178"/>
      <c r="D292" s="269"/>
      <c r="E292" s="269"/>
      <c r="F292" s="177"/>
      <c r="G292" s="177"/>
      <c r="H292" s="266"/>
      <c r="I292" s="266"/>
      <c r="J292" s="266"/>
      <c r="K292" s="266"/>
      <c r="L292" s="266"/>
      <c r="M292" s="266"/>
      <c r="N292" s="266"/>
      <c r="O292" s="266"/>
      <c r="P292" s="266"/>
      <c r="Q292" s="270"/>
      <c r="R292" s="266"/>
      <c r="S292" s="271"/>
      <c r="T292" s="177"/>
      <c r="U292" s="177"/>
      <c r="V292" s="177"/>
      <c r="W292" s="186"/>
    </row>
    <row r="293" spans="2:23" ht="20.100000000000001" hidden="1" customHeight="1">
      <c r="C293" s="178"/>
      <c r="D293" s="326"/>
      <c r="E293" s="326"/>
      <c r="F293" s="326"/>
      <c r="G293" s="326"/>
      <c r="H293" s="326"/>
      <c r="I293" s="326"/>
      <c r="J293" s="326"/>
      <c r="K293" s="326"/>
      <c r="L293" s="326"/>
      <c r="M293" s="326"/>
      <c r="N293" s="326"/>
      <c r="O293" s="326"/>
      <c r="P293" s="326"/>
      <c r="Q293" s="326"/>
      <c r="R293" s="326"/>
      <c r="S293" s="326"/>
      <c r="T293" s="326"/>
      <c r="U293" s="326"/>
      <c r="V293" s="326"/>
      <c r="W293" s="186"/>
    </row>
    <row r="294" spans="2:23" ht="20.100000000000001" hidden="1" customHeight="1">
      <c r="C294" s="178"/>
      <c r="D294" s="326"/>
      <c r="E294" s="326"/>
      <c r="F294" s="326"/>
      <c r="G294" s="326"/>
      <c r="H294" s="326"/>
      <c r="I294" s="326"/>
      <c r="J294" s="326"/>
      <c r="K294" s="326"/>
      <c r="L294" s="326"/>
      <c r="M294" s="326"/>
      <c r="N294" s="326"/>
      <c r="O294" s="326"/>
      <c r="P294" s="326"/>
      <c r="Q294" s="326"/>
      <c r="R294" s="326"/>
      <c r="S294" s="326"/>
      <c r="T294" s="326"/>
      <c r="U294" s="326"/>
      <c r="V294" s="326"/>
      <c r="W294" s="186"/>
    </row>
    <row r="295" spans="2:23" ht="32.25" hidden="1" customHeight="1">
      <c r="C295" s="178"/>
      <c r="D295" s="269"/>
      <c r="E295" s="269"/>
      <c r="F295" s="177"/>
      <c r="G295" s="177"/>
      <c r="H295" s="266"/>
      <c r="I295" s="266"/>
      <c r="J295" s="266"/>
      <c r="K295" s="266"/>
      <c r="L295" s="266"/>
      <c r="M295" s="266"/>
      <c r="N295" s="266"/>
      <c r="O295" s="266"/>
      <c r="P295" s="266"/>
      <c r="Q295" s="270"/>
      <c r="R295" s="281"/>
      <c r="S295" s="177"/>
      <c r="T295" s="177"/>
      <c r="U295" s="177"/>
      <c r="V295" s="177"/>
      <c r="W295" s="186"/>
    </row>
    <row r="296" spans="2:23" ht="31.5" hidden="1" customHeight="1">
      <c r="C296" s="178"/>
      <c r="D296" s="269"/>
      <c r="E296" s="269"/>
      <c r="F296" s="177"/>
      <c r="G296" s="177"/>
      <c r="H296" s="266"/>
      <c r="I296" s="266"/>
      <c r="J296" s="266"/>
      <c r="K296" s="266"/>
      <c r="L296" s="266"/>
      <c r="M296" s="266"/>
      <c r="N296" s="266"/>
      <c r="O296" s="266"/>
      <c r="P296" s="266"/>
      <c r="Q296" s="270"/>
      <c r="R296" s="281"/>
      <c r="S296" s="177"/>
      <c r="T296" s="177"/>
      <c r="U296" s="177"/>
      <c r="V296" s="177"/>
      <c r="W296" s="186"/>
    </row>
    <row r="297" spans="2:23" ht="26.25" hidden="1" customHeight="1">
      <c r="C297" s="178"/>
      <c r="D297" s="269"/>
      <c r="E297" s="269"/>
      <c r="F297" s="177"/>
      <c r="G297" s="177"/>
      <c r="H297" s="266"/>
      <c r="I297" s="266"/>
      <c r="J297" s="266"/>
      <c r="K297" s="266"/>
      <c r="L297" s="266"/>
      <c r="M297" s="266"/>
      <c r="N297" s="266"/>
      <c r="O297" s="266"/>
      <c r="P297" s="266"/>
      <c r="Q297" s="270"/>
      <c r="R297" s="281"/>
      <c r="S297" s="271"/>
      <c r="T297" s="177"/>
      <c r="U297" s="177"/>
      <c r="V297" s="177"/>
      <c r="W297" s="186"/>
    </row>
    <row r="298" spans="2:23" ht="29.25" hidden="1" customHeight="1">
      <c r="C298" s="178"/>
      <c r="D298" s="971" t="str">
        <f>$D$328</f>
        <v>On the graph above, Dubai is set at 0%. As a result, items greater than 0% are higher than Dubai , items less than 0% are below Dubai and items equal to 0% shared a same price.</v>
      </c>
      <c r="E298" s="971"/>
      <c r="F298" s="971"/>
      <c r="G298" s="971"/>
      <c r="H298" s="971"/>
      <c r="I298" s="971"/>
      <c r="J298" s="971"/>
      <c r="K298" s="971"/>
      <c r="L298" s="971"/>
      <c r="M298" s="971"/>
      <c r="N298" s="971"/>
      <c r="O298" s="971"/>
      <c r="P298" s="971"/>
      <c r="Q298" s="971"/>
      <c r="R298" s="971"/>
      <c r="S298" s="971"/>
      <c r="T298" s="971"/>
      <c r="U298" s="971"/>
      <c r="V298" s="971"/>
      <c r="W298" s="186"/>
    </row>
    <row r="299" spans="2:23" s="10" customFormat="1" ht="20.100000000000001" hidden="1" customHeight="1">
      <c r="B299" s="87"/>
      <c r="C299" s="178"/>
      <c r="D299" s="326"/>
      <c r="E299" s="326"/>
      <c r="F299" s="326"/>
      <c r="G299" s="326"/>
      <c r="H299" s="326"/>
      <c r="I299" s="326"/>
      <c r="J299" s="326"/>
      <c r="K299" s="326"/>
      <c r="L299" s="326"/>
      <c r="M299" s="326"/>
      <c r="N299" s="326"/>
      <c r="O299" s="326"/>
      <c r="P299" s="326"/>
      <c r="Q299" s="326"/>
      <c r="R299" s="326"/>
      <c r="S299" s="326"/>
      <c r="T299" s="326"/>
      <c r="U299" s="326"/>
      <c r="V299" s="326"/>
      <c r="W299" s="186"/>
    </row>
    <row r="300" spans="2:23" s="10" customFormat="1" ht="20.100000000000001" hidden="1" customHeight="1">
      <c r="B300" s="87"/>
      <c r="C300" s="193"/>
      <c r="D300" s="407"/>
      <c r="E300" s="407"/>
      <c r="F300" s="407"/>
      <c r="G300" s="407"/>
      <c r="H300" s="407"/>
      <c r="I300" s="407"/>
      <c r="J300" s="407"/>
      <c r="K300" s="407"/>
      <c r="L300" s="407"/>
      <c r="M300" s="407"/>
      <c r="N300" s="407"/>
      <c r="O300" s="407"/>
      <c r="P300" s="407"/>
      <c r="Q300" s="407"/>
      <c r="R300" s="407"/>
      <c r="S300" s="407"/>
      <c r="T300" s="407"/>
      <c r="U300" s="407"/>
      <c r="V300" s="407"/>
      <c r="W300" s="195"/>
    </row>
    <row r="301" spans="2:23" s="10" customFormat="1" ht="20.100000000000001" hidden="1" customHeight="1">
      <c r="B301" s="87"/>
      <c r="C301" s="178"/>
      <c r="D301" s="326"/>
      <c r="E301" s="326"/>
      <c r="F301" s="326"/>
      <c r="G301" s="326"/>
      <c r="H301" s="326"/>
      <c r="I301" s="326"/>
      <c r="J301" s="326"/>
      <c r="K301" s="326"/>
      <c r="L301" s="326"/>
      <c r="M301" s="326"/>
      <c r="N301" s="326"/>
      <c r="O301" s="326"/>
      <c r="P301" s="326"/>
      <c r="Q301" s="326"/>
      <c r="R301" s="326"/>
      <c r="S301" s="326"/>
      <c r="T301" s="326"/>
      <c r="U301" s="326"/>
      <c r="V301" s="326"/>
      <c r="W301" s="186"/>
    </row>
    <row r="302" spans="2:23" s="10" customFormat="1" ht="20.100000000000001" hidden="1" customHeight="1">
      <c r="B302" s="87"/>
      <c r="C302" s="178"/>
      <c r="D302" s="326"/>
      <c r="E302" s="326"/>
      <c r="F302" s="326"/>
      <c r="G302" s="326"/>
      <c r="H302" s="326"/>
      <c r="I302" s="326"/>
      <c r="J302" s="326"/>
      <c r="K302" s="326"/>
      <c r="L302" s="326"/>
      <c r="M302" s="326"/>
      <c r="N302" s="326"/>
      <c r="O302" s="326"/>
      <c r="P302" s="326"/>
      <c r="Q302" s="326"/>
      <c r="R302" s="326"/>
      <c r="S302" s="326"/>
      <c r="T302" s="326"/>
      <c r="U302" s="326"/>
      <c r="V302" s="326"/>
      <c r="W302" s="186"/>
    </row>
    <row r="303" spans="2:23" s="10" customFormat="1" ht="20.100000000000001" hidden="1" customHeight="1">
      <c r="B303" s="87"/>
      <c r="C303" s="178"/>
      <c r="D303" s="332" t="s">
        <v>1318</v>
      </c>
      <c r="E303" s="326"/>
      <c r="F303" s="326"/>
      <c r="G303" s="326"/>
      <c r="H303" s="326"/>
      <c r="I303" s="326"/>
      <c r="J303" s="326"/>
      <c r="K303" s="326"/>
      <c r="L303" s="326"/>
      <c r="M303" s="326"/>
      <c r="N303" s="326"/>
      <c r="O303" s="326"/>
      <c r="P303" s="326"/>
      <c r="Q303" s="326"/>
      <c r="R303" s="333"/>
      <c r="S303" s="289"/>
      <c r="T303" s="289"/>
      <c r="U303" s="289"/>
      <c r="V303" s="334"/>
      <c r="W303" s="186"/>
    </row>
    <row r="304" spans="2:23" ht="20.100000000000001" hidden="1" customHeight="1" thickBot="1">
      <c r="C304" s="178"/>
      <c r="D304" s="177"/>
      <c r="E304" s="177"/>
      <c r="F304" s="177"/>
      <c r="G304" s="177"/>
      <c r="H304" s="177"/>
      <c r="I304" s="177"/>
      <c r="J304" s="177"/>
      <c r="K304" s="177"/>
      <c r="L304" s="177"/>
      <c r="M304" s="177"/>
      <c r="N304" s="177"/>
      <c r="O304" s="177"/>
      <c r="P304" s="177"/>
      <c r="Q304" s="177"/>
      <c r="R304" s="282"/>
      <c r="S304" s="263"/>
      <c r="T304" s="180"/>
      <c r="U304" s="180"/>
      <c r="V304" s="282"/>
      <c r="W304" s="186"/>
    </row>
    <row r="305" spans="3:23" ht="25.5" hidden="1" customHeight="1">
      <c r="C305" s="178"/>
      <c r="D305" s="408" t="str">
        <f>'Full Report'!C41</f>
        <v>Transportation</v>
      </c>
      <c r="E305" s="338"/>
      <c r="F305" s="338"/>
      <c r="G305" s="338"/>
      <c r="H305" s="338"/>
      <c r="I305" s="338"/>
      <c r="J305" s="338"/>
      <c r="K305" s="338"/>
      <c r="L305" s="338"/>
      <c r="M305" s="338"/>
      <c r="N305" s="338"/>
      <c r="O305" s="338"/>
      <c r="P305" s="293" t="str">
        <f>P263</f>
        <v>Tucson (USD)</v>
      </c>
      <c r="Q305" s="293" t="str">
        <f>Q263</f>
        <v>Dubai (USD)</v>
      </c>
      <c r="R305" s="339" t="str">
        <f>R263</f>
        <v>Difference</v>
      </c>
      <c r="S305" s="338"/>
      <c r="T305" s="409"/>
      <c r="U305" s="409"/>
      <c r="V305" s="364"/>
      <c r="W305" s="186"/>
    </row>
    <row r="306" spans="3:23" ht="20.100000000000001" hidden="1" customHeight="1">
      <c r="C306" s="178"/>
      <c r="D306" s="342" t="str">
        <f>'Full Report'!C42</f>
        <v>One-way Ticket (Public Transport)</v>
      </c>
      <c r="E306" s="410"/>
      <c r="F306" s="411"/>
      <c r="G306" s="412"/>
      <c r="H306" s="413"/>
      <c r="I306" s="182"/>
      <c r="J306" s="182"/>
      <c r="K306" s="182"/>
      <c r="L306" s="182"/>
      <c r="M306" s="182"/>
      <c r="N306" s="182"/>
      <c r="O306" s="182"/>
      <c r="P306" s="414">
        <f>'Full Report'!F42</f>
        <v>1.5</v>
      </c>
      <c r="Q306" s="415">
        <f>'Full Report'!H42</f>
        <v>1.33</v>
      </c>
      <c r="R306" s="416">
        <f t="shared" ref="R306:R312" si="6">V306-1</f>
        <v>0.1278195488721805</v>
      </c>
      <c r="S306" s="417" t="s">
        <v>0</v>
      </c>
      <c r="T306" s="418"/>
      <c r="U306" s="418"/>
      <c r="V306" s="364">
        <f t="shared" ref="V306:V312" si="7">P306/Q306</f>
        <v>1.1278195488721805</v>
      </c>
      <c r="W306" s="186"/>
    </row>
    <row r="307" spans="3:23" ht="20.100000000000001" hidden="1" customHeight="1">
      <c r="C307" s="178"/>
      <c r="D307" s="340" t="str">
        <f>'Full Report'!C43</f>
        <v>Monthly Pass (Regular Price)</v>
      </c>
      <c r="E307" s="410"/>
      <c r="F307" s="411"/>
      <c r="G307" s="412"/>
      <c r="H307" s="413"/>
      <c r="I307" s="182"/>
      <c r="J307" s="182"/>
      <c r="K307" s="182"/>
      <c r="L307" s="182"/>
      <c r="M307" s="182"/>
      <c r="N307" s="182"/>
      <c r="O307" s="182"/>
      <c r="P307" s="419">
        <f>'Full Report'!F43</f>
        <v>30</v>
      </c>
      <c r="Q307" s="353">
        <f>'Full Report'!H43</f>
        <v>54.45</v>
      </c>
      <c r="R307" s="420">
        <f t="shared" si="6"/>
        <v>-0.44903581267217629</v>
      </c>
      <c r="S307" s="421"/>
      <c r="T307" s="422"/>
      <c r="U307" s="422"/>
      <c r="V307" s="423">
        <f t="shared" si="7"/>
        <v>0.55096418732782371</v>
      </c>
      <c r="W307" s="186"/>
    </row>
    <row r="308" spans="3:23" ht="20.100000000000001" hidden="1" customHeight="1">
      <c r="C308" s="178"/>
      <c r="D308" s="342" t="str">
        <f>'Full Report'!C44</f>
        <v>Taxi Start (Normal Tariff)</v>
      </c>
      <c r="E308" s="410"/>
      <c r="F308" s="424"/>
      <c r="G308" s="411"/>
      <c r="H308" s="413"/>
      <c r="I308" s="182"/>
      <c r="J308" s="182"/>
      <c r="K308" s="182"/>
      <c r="L308" s="182"/>
      <c r="M308" s="182"/>
      <c r="N308" s="182"/>
      <c r="O308" s="182"/>
      <c r="P308" s="414">
        <f>'Full Report'!F44</f>
        <v>3.35</v>
      </c>
      <c r="Q308" s="415">
        <f>'Full Report'!H44</f>
        <v>0.95</v>
      </c>
      <c r="R308" s="416">
        <f t="shared" si="6"/>
        <v>2.5263157894736845</v>
      </c>
      <c r="S308" s="417"/>
      <c r="T308" s="418"/>
      <c r="U308" s="418"/>
      <c r="V308" s="423">
        <f t="shared" si="7"/>
        <v>3.5263157894736845</v>
      </c>
      <c r="W308" s="186"/>
    </row>
    <row r="309" spans="3:23" ht="20.100000000000001" hidden="1" customHeight="1">
      <c r="C309" s="178"/>
      <c r="D309" s="340" t="str">
        <f>'Full Report'!C45</f>
        <v>Taxi 1km (Normal Tariff)</v>
      </c>
      <c r="E309" s="425"/>
      <c r="F309" s="426"/>
      <c r="G309" s="427"/>
      <c r="H309" s="428"/>
      <c r="I309" s="429"/>
      <c r="J309" s="429"/>
      <c r="K309" s="429"/>
      <c r="L309" s="429"/>
      <c r="M309" s="429"/>
      <c r="N309" s="429"/>
      <c r="O309" s="429"/>
      <c r="P309" s="419">
        <f>'Full Report'!F45</f>
        <v>2.17</v>
      </c>
      <c r="Q309" s="353">
        <f>'Full Report'!H45</f>
        <v>0.45</v>
      </c>
      <c r="R309" s="420">
        <f t="shared" si="6"/>
        <v>3.822222222222222</v>
      </c>
      <c r="S309" s="421"/>
      <c r="T309" s="422"/>
      <c r="U309" s="422"/>
      <c r="V309" s="423">
        <f t="shared" si="7"/>
        <v>4.822222222222222</v>
      </c>
      <c r="W309" s="186"/>
    </row>
    <row r="310" spans="3:23" ht="20.100000000000001" hidden="1" customHeight="1">
      <c r="C310" s="178"/>
      <c r="D310" s="342" t="str">
        <f>'Full Report'!C46</f>
        <v>Taxi 1hour Waiting (Normal Tariff)</v>
      </c>
      <c r="E310" s="430"/>
      <c r="F310" s="424"/>
      <c r="G310" s="411"/>
      <c r="H310" s="411"/>
      <c r="I310" s="182"/>
      <c r="J310" s="182"/>
      <c r="K310" s="182"/>
      <c r="L310" s="182"/>
      <c r="M310" s="182"/>
      <c r="N310" s="182"/>
      <c r="O310" s="182"/>
      <c r="P310" s="414">
        <f>'Full Report'!F46</f>
        <v>40</v>
      </c>
      <c r="Q310" s="415">
        <f>'Full Report'!H46</f>
        <v>8.17</v>
      </c>
      <c r="R310" s="416">
        <f t="shared" si="6"/>
        <v>3.8959608323133414</v>
      </c>
      <c r="S310" s="417"/>
      <c r="T310" s="418"/>
      <c r="U310" s="418"/>
      <c r="V310" s="423">
        <f t="shared" si="7"/>
        <v>4.8959608323133414</v>
      </c>
      <c r="W310" s="186"/>
    </row>
    <row r="311" spans="3:23" ht="20.100000000000001" hidden="1" customHeight="1">
      <c r="C311" s="178"/>
      <c r="D311" s="340" t="str">
        <f>'Full Report'!C47</f>
        <v>Petrol fuel (1 liter)</v>
      </c>
      <c r="E311" s="431"/>
      <c r="F311" s="426"/>
      <c r="G311" s="427"/>
      <c r="H311" s="427"/>
      <c r="I311" s="429"/>
      <c r="J311" s="429"/>
      <c r="K311" s="429"/>
      <c r="L311" s="429"/>
      <c r="M311" s="429"/>
      <c r="N311" s="429"/>
      <c r="O311" s="429"/>
      <c r="P311" s="419">
        <f>'Full Report'!F47</f>
        <v>0.85</v>
      </c>
      <c r="Q311" s="353">
        <f>'Full Report'!H47</f>
        <v>0.48</v>
      </c>
      <c r="R311" s="420">
        <f t="shared" si="6"/>
        <v>0.77083333333333326</v>
      </c>
      <c r="S311" s="421"/>
      <c r="T311" s="422"/>
      <c r="U311" s="422"/>
      <c r="V311" s="423">
        <f t="shared" si="7"/>
        <v>1.7708333333333333</v>
      </c>
      <c r="W311" s="186"/>
    </row>
    <row r="312" spans="3:23" ht="20.100000000000001" hidden="1" customHeight="1" thickBot="1">
      <c r="C312" s="178"/>
      <c r="D312" s="398" t="s">
        <v>1280</v>
      </c>
      <c r="E312" s="269"/>
      <c r="F312" s="269"/>
      <c r="G312" s="269"/>
      <c r="H312" s="269"/>
      <c r="I312" s="269"/>
      <c r="J312" s="269"/>
      <c r="K312" s="269"/>
      <c r="L312" s="269"/>
      <c r="M312" s="269"/>
      <c r="N312" s="269"/>
      <c r="O312" s="269"/>
      <c r="P312" s="432">
        <f>SUM(P306:P311)</f>
        <v>77.87</v>
      </c>
      <c r="Q312" s="433">
        <f>SUM(Q306:Q311)</f>
        <v>65.830000000000013</v>
      </c>
      <c r="R312" s="359">
        <f t="shared" si="6"/>
        <v>0.18289533647273259</v>
      </c>
      <c r="S312" s="263"/>
      <c r="T312" s="180"/>
      <c r="U312" s="180"/>
      <c r="V312" s="423">
        <f t="shared" si="7"/>
        <v>1.1828953364727326</v>
      </c>
      <c r="W312" s="186"/>
    </row>
    <row r="313" spans="3:23" ht="20.100000000000001" hidden="1" customHeight="1" thickTop="1">
      <c r="C313" s="178"/>
      <c r="D313" s="269"/>
      <c r="E313" s="269"/>
      <c r="F313" s="269"/>
      <c r="G313" s="269"/>
      <c r="H313" s="269"/>
      <c r="I313" s="269"/>
      <c r="J313" s="269"/>
      <c r="K313" s="269"/>
      <c r="L313" s="269"/>
      <c r="M313" s="269"/>
      <c r="N313" s="269"/>
      <c r="O313" s="269"/>
      <c r="P313" s="300"/>
      <c r="Q313" s="300"/>
      <c r="R313" s="282"/>
      <c r="S313" s="263"/>
      <c r="T313" s="180"/>
      <c r="U313" s="180"/>
      <c r="V313" s="423"/>
      <c r="W313" s="186"/>
    </row>
    <row r="314" spans="3:23" ht="56.25" hidden="1" customHeight="1">
      <c r="C314" s="178"/>
      <c r="D314" s="967" t="str">
        <f>IF(T647=588,D656,D658)</f>
        <v xml:space="preserve">Overall, based on 6 items in the transportation category, the cost of transportation in Tucson, AZ, United States is 18.29% higher than in Dubai, United Arab Emirates. It appears that at first glance, on average it is more expensive to spend money on transportation in Tucson. </v>
      </c>
      <c r="E314" s="967"/>
      <c r="F314" s="967"/>
      <c r="G314" s="967"/>
      <c r="H314" s="967"/>
      <c r="I314" s="967"/>
      <c r="J314" s="967"/>
      <c r="K314" s="967"/>
      <c r="L314" s="967"/>
      <c r="M314" s="967"/>
      <c r="N314" s="967"/>
      <c r="O314" s="967"/>
      <c r="P314" s="967"/>
      <c r="Q314" s="967"/>
      <c r="R314" s="967"/>
      <c r="S314" s="967"/>
      <c r="T314" s="967"/>
      <c r="U314" s="967"/>
      <c r="V314" s="967"/>
      <c r="W314" s="186"/>
    </row>
    <row r="315" spans="3:23" ht="57" hidden="1" customHeight="1">
      <c r="C315" s="178"/>
      <c r="D315" s="969" t="str">
        <f>IF(T647=588,D656,D659)</f>
        <v xml:space="preserve"> As shown in the graph below, 5 out of 6 items under this category are higher than in Dubai, United Arab Emirates. Taxi 1hour Waiting (Normal Tariff) in Tucson is the most expensive item in comparison to Dubai, United Arab Emirates. Its cost is 389.60 % more expensive in Tucson.</v>
      </c>
      <c r="E315" s="969"/>
      <c r="F315" s="969"/>
      <c r="G315" s="969"/>
      <c r="H315" s="969"/>
      <c r="I315" s="969"/>
      <c r="J315" s="969"/>
      <c r="K315" s="969"/>
      <c r="L315" s="969"/>
      <c r="M315" s="969"/>
      <c r="N315" s="969"/>
      <c r="O315" s="969"/>
      <c r="P315" s="969"/>
      <c r="Q315" s="969"/>
      <c r="R315" s="969"/>
      <c r="S315" s="969"/>
      <c r="T315" s="969"/>
      <c r="U315" s="969"/>
      <c r="V315" s="969"/>
      <c r="W315" s="186"/>
    </row>
    <row r="316" spans="3:23" ht="19.5" hidden="1" customHeight="1">
      <c r="C316" s="178"/>
      <c r="D316" s="434"/>
      <c r="E316" s="434"/>
      <c r="F316" s="434"/>
      <c r="G316" s="434"/>
      <c r="H316" s="434"/>
      <c r="I316" s="434"/>
      <c r="J316" s="434"/>
      <c r="K316" s="434"/>
      <c r="L316" s="434"/>
      <c r="M316" s="434"/>
      <c r="N316" s="434"/>
      <c r="O316" s="434"/>
      <c r="P316" s="434"/>
      <c r="Q316" s="434"/>
      <c r="R316" s="434"/>
      <c r="S316" s="434"/>
      <c r="T316" s="434"/>
      <c r="U316" s="434"/>
      <c r="V316" s="434"/>
      <c r="W316" s="186"/>
    </row>
    <row r="317" spans="3:23" ht="39.950000000000003" hidden="1" customHeight="1">
      <c r="C317" s="178"/>
      <c r="D317" s="435"/>
      <c r="E317" s="435"/>
      <c r="F317" s="435"/>
      <c r="G317" s="435"/>
      <c r="H317" s="435"/>
      <c r="I317" s="435"/>
      <c r="J317" s="435"/>
      <c r="K317" s="435"/>
      <c r="L317" s="435"/>
      <c r="M317" s="435"/>
      <c r="N317" s="435"/>
      <c r="O317" s="435"/>
      <c r="P317" s="435"/>
      <c r="Q317" s="435"/>
      <c r="R317" s="435"/>
      <c r="S317" s="435"/>
      <c r="T317" s="435"/>
      <c r="U317" s="435"/>
      <c r="V317" s="435"/>
      <c r="W317" s="186"/>
    </row>
    <row r="318" spans="3:23" ht="20.100000000000001" hidden="1" customHeight="1">
      <c r="C318" s="178"/>
      <c r="D318" s="214"/>
      <c r="E318" s="214"/>
      <c r="F318" s="319"/>
      <c r="G318" s="320"/>
      <c r="H318" s="319"/>
      <c r="I318" s="214"/>
      <c r="J318" s="262"/>
      <c r="K318" s="262"/>
      <c r="L318" s="262"/>
      <c r="M318" s="262"/>
      <c r="N318" s="262"/>
      <c r="O318" s="262"/>
      <c r="P318" s="321"/>
      <c r="Q318" s="322"/>
      <c r="R318" s="184"/>
      <c r="S318" s="180"/>
      <c r="T318" s="185"/>
      <c r="U318" s="177"/>
      <c r="V318" s="177"/>
      <c r="W318" s="186"/>
    </row>
    <row r="319" spans="3:23" ht="20.100000000000001" hidden="1" customHeight="1">
      <c r="C319" s="178"/>
      <c r="D319" s="214"/>
      <c r="E319" s="214"/>
      <c r="F319" s="319"/>
      <c r="G319" s="320"/>
      <c r="H319" s="319"/>
      <c r="I319" s="214"/>
      <c r="J319" s="262"/>
      <c r="K319" s="262"/>
      <c r="L319" s="262"/>
      <c r="M319" s="262"/>
      <c r="N319" s="262"/>
      <c r="O319" s="262"/>
      <c r="P319" s="321"/>
      <c r="Q319" s="322"/>
      <c r="R319" s="184"/>
      <c r="S319" s="180"/>
      <c r="T319" s="185"/>
      <c r="U319" s="177"/>
      <c r="V319" s="177"/>
      <c r="W319" s="186"/>
    </row>
    <row r="320" spans="3:23" ht="20.100000000000001" hidden="1" customHeight="1">
      <c r="C320" s="178"/>
      <c r="D320" s="214"/>
      <c r="E320" s="214"/>
      <c r="F320" s="319"/>
      <c r="G320" s="320"/>
      <c r="H320" s="319"/>
      <c r="I320" s="214"/>
      <c r="J320" s="262"/>
      <c r="K320" s="262"/>
      <c r="L320" s="262"/>
      <c r="M320" s="262"/>
      <c r="N320" s="262"/>
      <c r="O320" s="262"/>
      <c r="P320" s="321"/>
      <c r="Q320" s="322"/>
      <c r="R320" s="184"/>
      <c r="S320" s="180"/>
      <c r="T320" s="185"/>
      <c r="U320" s="177"/>
      <c r="V320" s="177"/>
      <c r="W320" s="186"/>
    </row>
    <row r="321" spans="2:23" ht="20.100000000000001" hidden="1" customHeight="1">
      <c r="C321" s="178"/>
      <c r="D321" s="214"/>
      <c r="E321" s="214"/>
      <c r="F321" s="319"/>
      <c r="G321" s="320"/>
      <c r="H321" s="319"/>
      <c r="I321" s="214"/>
      <c r="J321" s="262"/>
      <c r="K321" s="262"/>
      <c r="L321" s="262"/>
      <c r="M321" s="262"/>
      <c r="N321" s="262"/>
      <c r="O321" s="262"/>
      <c r="P321" s="321"/>
      <c r="Q321" s="322"/>
      <c r="R321" s="184"/>
      <c r="S321" s="180"/>
      <c r="T321" s="185"/>
      <c r="U321" s="177"/>
      <c r="V321" s="177"/>
      <c r="W321" s="186"/>
    </row>
    <row r="322" spans="2:23" ht="20.100000000000001" hidden="1" customHeight="1">
      <c r="C322" s="178"/>
      <c r="D322" s="214"/>
      <c r="E322" s="214"/>
      <c r="F322" s="319"/>
      <c r="G322" s="320"/>
      <c r="H322" s="319"/>
      <c r="I322" s="214"/>
      <c r="J322" s="262"/>
      <c r="K322" s="262"/>
      <c r="L322" s="262"/>
      <c r="M322" s="262"/>
      <c r="N322" s="262"/>
      <c r="O322" s="262"/>
      <c r="P322" s="321"/>
      <c r="Q322" s="322"/>
      <c r="R322" s="184"/>
      <c r="S322" s="180"/>
      <c r="T322" s="185"/>
      <c r="U322" s="177"/>
      <c r="V322" s="177"/>
      <c r="W322" s="186"/>
    </row>
    <row r="323" spans="2:23" ht="20.100000000000001" hidden="1" customHeight="1">
      <c r="C323" s="178"/>
      <c r="D323" s="214"/>
      <c r="E323" s="214"/>
      <c r="F323" s="319"/>
      <c r="G323" s="320"/>
      <c r="H323" s="319"/>
      <c r="I323" s="214"/>
      <c r="J323" s="262"/>
      <c r="K323" s="262"/>
      <c r="L323" s="262"/>
      <c r="M323" s="262"/>
      <c r="N323" s="262"/>
      <c r="O323" s="262"/>
      <c r="P323" s="321"/>
      <c r="Q323" s="322"/>
      <c r="R323" s="184"/>
      <c r="S323" s="180"/>
      <c r="T323" s="185"/>
      <c r="U323" s="177"/>
      <c r="V323" s="177"/>
      <c r="W323" s="186"/>
    </row>
    <row r="324" spans="2:23" ht="20.100000000000001" hidden="1" customHeight="1">
      <c r="C324" s="178"/>
      <c r="D324" s="214"/>
      <c r="E324" s="214"/>
      <c r="F324" s="319"/>
      <c r="G324" s="320"/>
      <c r="H324" s="319"/>
      <c r="I324" s="214"/>
      <c r="J324" s="262"/>
      <c r="K324" s="262"/>
      <c r="L324" s="262"/>
      <c r="M324" s="262"/>
      <c r="N324" s="262"/>
      <c r="O324" s="262"/>
      <c r="P324" s="321"/>
      <c r="Q324" s="322"/>
      <c r="R324" s="184"/>
      <c r="S324" s="180"/>
      <c r="T324" s="185"/>
      <c r="U324" s="177"/>
      <c r="V324" s="177"/>
      <c r="W324" s="186"/>
    </row>
    <row r="325" spans="2:23" ht="20.100000000000001" hidden="1" customHeight="1">
      <c r="C325" s="178"/>
      <c r="D325" s="214"/>
      <c r="E325" s="214"/>
      <c r="F325" s="319"/>
      <c r="G325" s="320"/>
      <c r="H325" s="319"/>
      <c r="I325" s="214"/>
      <c r="J325" s="262"/>
      <c r="K325" s="262"/>
      <c r="L325" s="262"/>
      <c r="M325" s="262"/>
      <c r="N325" s="262"/>
      <c r="O325" s="262"/>
      <c r="P325" s="321"/>
      <c r="Q325" s="322"/>
      <c r="R325" s="184"/>
      <c r="S325" s="180"/>
      <c r="T325" s="180"/>
      <c r="U325" s="177"/>
      <c r="V325" s="177"/>
      <c r="W325" s="186"/>
    </row>
    <row r="326" spans="2:23" ht="20.100000000000001" hidden="1" customHeight="1">
      <c r="C326" s="178"/>
      <c r="D326" s="214"/>
      <c r="E326" s="214"/>
      <c r="F326" s="319"/>
      <c r="G326" s="320"/>
      <c r="H326" s="319"/>
      <c r="I326" s="214"/>
      <c r="J326" s="262"/>
      <c r="K326" s="262"/>
      <c r="L326" s="262"/>
      <c r="M326" s="262"/>
      <c r="N326" s="262"/>
      <c r="O326" s="262"/>
      <c r="P326" s="321"/>
      <c r="Q326" s="322"/>
      <c r="R326" s="184"/>
      <c r="S326" s="180"/>
      <c r="T326" s="180"/>
      <c r="U326" s="177"/>
      <c r="V326" s="177"/>
      <c r="W326" s="186"/>
    </row>
    <row r="327" spans="2:23" ht="36" hidden="1" customHeight="1">
      <c r="C327" s="178"/>
      <c r="D327" s="269"/>
      <c r="E327" s="269"/>
      <c r="F327" s="177"/>
      <c r="G327" s="177"/>
      <c r="H327" s="266"/>
      <c r="I327" s="266"/>
      <c r="J327" s="266"/>
      <c r="K327" s="266"/>
      <c r="L327" s="266"/>
      <c r="M327" s="266"/>
      <c r="N327" s="266"/>
      <c r="O327" s="266"/>
      <c r="P327" s="266"/>
      <c r="Q327" s="270"/>
      <c r="R327" s="281"/>
      <c r="S327" s="271"/>
      <c r="T327" s="177"/>
      <c r="U327" s="177"/>
      <c r="V327" s="177"/>
      <c r="W327" s="186"/>
    </row>
    <row r="328" spans="2:23" ht="38.25" hidden="1" customHeight="1">
      <c r="C328" s="178"/>
      <c r="D328" s="971" t="str">
        <f>"On the graph above, "&amp;V635&amp;" is set at 0%. As a result, items greater than 0% are higher than "&amp;V635&amp;" , items less than 0% are below "&amp;V635&amp;" and items equal to 0% shared a same price"&amp;"."</f>
        <v>On the graph above, Dubai is set at 0%. As a result, items greater than 0% are higher than Dubai , items less than 0% are below Dubai and items equal to 0% shared a same price.</v>
      </c>
      <c r="E328" s="971"/>
      <c r="F328" s="971"/>
      <c r="G328" s="971"/>
      <c r="H328" s="971"/>
      <c r="I328" s="971"/>
      <c r="J328" s="971"/>
      <c r="K328" s="971"/>
      <c r="L328" s="971"/>
      <c r="M328" s="971"/>
      <c r="N328" s="971"/>
      <c r="O328" s="971"/>
      <c r="P328" s="971"/>
      <c r="Q328" s="971"/>
      <c r="R328" s="971"/>
      <c r="S328" s="971"/>
      <c r="T328" s="971"/>
      <c r="U328" s="971"/>
      <c r="V328" s="971"/>
      <c r="W328" s="186"/>
    </row>
    <row r="329" spans="2:23" ht="18" hidden="1" customHeight="1">
      <c r="C329" s="178"/>
      <c r="D329" s="285"/>
      <c r="E329" s="285"/>
      <c r="F329" s="285"/>
      <c r="G329" s="285"/>
      <c r="H329" s="285"/>
      <c r="I329" s="285"/>
      <c r="J329" s="285"/>
      <c r="K329" s="285"/>
      <c r="L329" s="285"/>
      <c r="M329" s="285"/>
      <c r="N329" s="285"/>
      <c r="O329" s="285"/>
      <c r="P329" s="285"/>
      <c r="Q329" s="285"/>
      <c r="R329" s="285"/>
      <c r="S329" s="285"/>
      <c r="T329" s="285"/>
      <c r="U329" s="285"/>
      <c r="V329" s="285"/>
      <c r="W329" s="186"/>
    </row>
    <row r="330" spans="2:23" ht="18" hidden="1" customHeight="1">
      <c r="C330" s="178"/>
      <c r="D330" s="285"/>
      <c r="E330" s="285"/>
      <c r="F330" s="285"/>
      <c r="G330" s="285"/>
      <c r="H330" s="285"/>
      <c r="I330" s="285"/>
      <c r="J330" s="285"/>
      <c r="K330" s="285"/>
      <c r="L330" s="285"/>
      <c r="M330" s="285"/>
      <c r="N330" s="285"/>
      <c r="O330" s="285"/>
      <c r="P330" s="285"/>
      <c r="Q330" s="285"/>
      <c r="R330" s="285"/>
      <c r="S330" s="285"/>
      <c r="T330" s="285"/>
      <c r="U330" s="285"/>
      <c r="V330" s="285"/>
      <c r="W330" s="186"/>
    </row>
    <row r="331" spans="2:23" ht="18" hidden="1" customHeight="1">
      <c r="C331" s="178"/>
      <c r="D331" s="285"/>
      <c r="E331" s="285"/>
      <c r="F331" s="285"/>
      <c r="G331" s="285"/>
      <c r="H331" s="285"/>
      <c r="I331" s="285"/>
      <c r="J331" s="285"/>
      <c r="K331" s="285"/>
      <c r="L331" s="285"/>
      <c r="M331" s="285"/>
      <c r="N331" s="285"/>
      <c r="O331" s="285"/>
      <c r="P331" s="285"/>
      <c r="Q331" s="285"/>
      <c r="R331" s="285"/>
      <c r="S331" s="285"/>
      <c r="T331" s="285"/>
      <c r="U331" s="285"/>
      <c r="V331" s="285"/>
      <c r="W331" s="186"/>
    </row>
    <row r="332" spans="2:23" ht="18" hidden="1" customHeight="1">
      <c r="C332" s="193"/>
      <c r="D332" s="283"/>
      <c r="E332" s="283"/>
      <c r="F332" s="283"/>
      <c r="G332" s="283"/>
      <c r="H332" s="283"/>
      <c r="I332" s="283"/>
      <c r="J332" s="283"/>
      <c r="K332" s="283"/>
      <c r="L332" s="283"/>
      <c r="M332" s="283"/>
      <c r="N332" s="283"/>
      <c r="O332" s="283"/>
      <c r="P332" s="283"/>
      <c r="Q332" s="283"/>
      <c r="R332" s="283"/>
      <c r="S332" s="283"/>
      <c r="T332" s="283"/>
      <c r="U332" s="283"/>
      <c r="V332" s="283"/>
      <c r="W332" s="195"/>
    </row>
    <row r="333" spans="2:23" ht="18" hidden="1" customHeight="1">
      <c r="C333" s="178"/>
      <c r="D333" s="285"/>
      <c r="E333" s="285"/>
      <c r="F333" s="285"/>
      <c r="G333" s="285"/>
      <c r="H333" s="285"/>
      <c r="I333" s="285"/>
      <c r="J333" s="285"/>
      <c r="K333" s="285"/>
      <c r="L333" s="285"/>
      <c r="M333" s="285"/>
      <c r="N333" s="285"/>
      <c r="O333" s="285"/>
      <c r="P333" s="285"/>
      <c r="Q333" s="285"/>
      <c r="R333" s="285"/>
      <c r="S333" s="285"/>
      <c r="T333" s="285"/>
      <c r="U333" s="285"/>
      <c r="V333" s="285"/>
      <c r="W333" s="186"/>
    </row>
    <row r="334" spans="2:23" s="10" customFormat="1" ht="18" hidden="1" customHeight="1">
      <c r="B334" s="87"/>
      <c r="C334" s="186"/>
      <c r="D334" s="177"/>
      <c r="E334" s="177"/>
      <c r="F334" s="177"/>
      <c r="G334" s="177"/>
      <c r="H334" s="177"/>
      <c r="I334" s="177"/>
      <c r="J334" s="177"/>
      <c r="K334" s="177"/>
      <c r="L334" s="177"/>
      <c r="M334" s="177"/>
      <c r="N334" s="177"/>
      <c r="O334" s="177"/>
      <c r="P334" s="177"/>
      <c r="Q334" s="177"/>
      <c r="R334" s="177"/>
      <c r="S334" s="177"/>
      <c r="T334" s="177"/>
      <c r="U334" s="177"/>
      <c r="V334" s="177"/>
      <c r="W334" s="186"/>
    </row>
    <row r="335" spans="2:23" ht="18" hidden="1" customHeight="1">
      <c r="C335" s="178"/>
      <c r="D335" s="285"/>
      <c r="E335" s="285"/>
      <c r="F335" s="285"/>
      <c r="G335" s="285"/>
      <c r="H335" s="285"/>
      <c r="I335" s="285"/>
      <c r="J335" s="285"/>
      <c r="K335" s="285"/>
      <c r="L335" s="285"/>
      <c r="M335" s="285"/>
      <c r="N335" s="285"/>
      <c r="O335" s="285"/>
      <c r="P335" s="285"/>
      <c r="Q335" s="285"/>
      <c r="R335" s="285"/>
      <c r="S335" s="285"/>
      <c r="T335" s="285"/>
      <c r="U335" s="285"/>
      <c r="V335" s="285"/>
      <c r="W335" s="186"/>
    </row>
    <row r="336" spans="2:23" ht="18" hidden="1" customHeight="1">
      <c r="C336" s="178"/>
      <c r="D336" s="332" t="s">
        <v>1319</v>
      </c>
      <c r="E336" s="285"/>
      <c r="F336" s="285"/>
      <c r="G336" s="285"/>
      <c r="H336" s="285"/>
      <c r="I336" s="285"/>
      <c r="J336" s="285"/>
      <c r="K336" s="285"/>
      <c r="L336" s="285"/>
      <c r="M336" s="285"/>
      <c r="N336" s="285"/>
      <c r="O336" s="285"/>
      <c r="P336" s="285"/>
      <c r="Q336" s="285"/>
      <c r="R336" s="333"/>
      <c r="S336" s="289"/>
      <c r="T336" s="289"/>
      <c r="U336" s="289"/>
      <c r="V336" s="334"/>
      <c r="W336" s="186"/>
    </row>
    <row r="337" spans="1:23" ht="18" hidden="1" customHeight="1" thickBot="1">
      <c r="C337" s="178"/>
      <c r="D337" s="285"/>
      <c r="E337" s="285"/>
      <c r="F337" s="285"/>
      <c r="G337" s="285"/>
      <c r="H337" s="285"/>
      <c r="I337" s="285"/>
      <c r="J337" s="285"/>
      <c r="K337" s="285"/>
      <c r="L337" s="285"/>
      <c r="M337" s="285"/>
      <c r="N337" s="285"/>
      <c r="O337" s="285"/>
      <c r="P337" s="285"/>
      <c r="Q337" s="285"/>
      <c r="R337" s="285"/>
      <c r="S337" s="285"/>
      <c r="T337" s="285"/>
      <c r="U337" s="285"/>
      <c r="V337" s="286"/>
      <c r="W337" s="186"/>
    </row>
    <row r="338" spans="1:23" ht="35.1" hidden="1" customHeight="1" thickBot="1">
      <c r="C338" s="367"/>
      <c r="D338" s="408" t="str">
        <f>'Full Report'!$C$50</f>
        <v>Utilities</v>
      </c>
      <c r="E338" s="436"/>
      <c r="F338" s="437"/>
      <c r="G338" s="438"/>
      <c r="H338" s="437"/>
      <c r="I338" s="439"/>
      <c r="J338" s="439"/>
      <c r="K338" s="439"/>
      <c r="L338" s="439"/>
      <c r="M338" s="439"/>
      <c r="N338" s="439"/>
      <c r="O338" s="439"/>
      <c r="P338" s="293" t="str">
        <f>P374</f>
        <v>Tucson (USD)</v>
      </c>
      <c r="Q338" s="293" t="str">
        <f>Q374</f>
        <v>Dubai (USD)</v>
      </c>
      <c r="R338" s="440" t="str">
        <f>R374</f>
        <v>Difference</v>
      </c>
      <c r="S338" s="441"/>
      <c r="T338" s="338"/>
      <c r="U338" s="338"/>
      <c r="V338" s="286" t="s">
        <v>1233</v>
      </c>
      <c r="W338" s="442"/>
    </row>
    <row r="339" spans="1:23" ht="35.1" hidden="1" customHeight="1" thickBot="1">
      <c r="C339" s="367"/>
      <c r="D339" s="443" t="str">
        <f>'Full Report'!C51</f>
        <v>Basic (Electricity, Heating, Water, Garbage) for 85m² Apartment</v>
      </c>
      <c r="E339" s="436"/>
      <c r="F339" s="437"/>
      <c r="G339" s="438"/>
      <c r="H339" s="444"/>
      <c r="I339" s="439"/>
      <c r="J339" s="439"/>
      <c r="K339" s="439"/>
      <c r="L339" s="439"/>
      <c r="M339" s="439"/>
      <c r="N339" s="439"/>
      <c r="O339" s="439"/>
      <c r="P339" s="445">
        <f>'Full Report'!F51</f>
        <v>150</v>
      </c>
      <c r="Q339" s="670">
        <f>'Full Report'!H51</f>
        <v>135.87</v>
      </c>
      <c r="R339" s="446">
        <f>V339-1</f>
        <v>0.10399646721130495</v>
      </c>
      <c r="S339" s="377"/>
      <c r="T339" s="447"/>
      <c r="U339" s="447"/>
      <c r="V339" s="286">
        <f>P339/Q339</f>
        <v>1.103996467211305</v>
      </c>
      <c r="W339" s="442"/>
    </row>
    <row r="340" spans="1:23" ht="35.1" hidden="1" customHeight="1" thickBot="1">
      <c r="C340" s="367"/>
      <c r="D340" s="448" t="str">
        <f>'Full Report'!C52</f>
        <v>1 min. of Prepaid Mobile Local Rate (No Plans)</v>
      </c>
      <c r="E340" s="436"/>
      <c r="F340" s="437"/>
      <c r="G340" s="438"/>
      <c r="H340" s="444"/>
      <c r="I340" s="439"/>
      <c r="J340" s="439"/>
      <c r="K340" s="439"/>
      <c r="L340" s="439"/>
      <c r="M340" s="439"/>
      <c r="N340" s="439"/>
      <c r="O340" s="439"/>
      <c r="P340" s="449">
        <f>'Full Report'!F52</f>
        <v>0.1</v>
      </c>
      <c r="Q340" s="449">
        <f>'Full Report'!H52</f>
        <v>0.09</v>
      </c>
      <c r="R340" s="450">
        <f>V340-1</f>
        <v>0.11111111111111116</v>
      </c>
      <c r="S340" s="451"/>
      <c r="T340" s="452"/>
      <c r="U340" s="453"/>
      <c r="V340" s="286">
        <f>P340/Q340</f>
        <v>1.1111111111111112</v>
      </c>
      <c r="W340" s="442"/>
    </row>
    <row r="341" spans="1:23" ht="35.1" hidden="1" customHeight="1" thickBot="1">
      <c r="C341" s="367"/>
      <c r="D341" s="443" t="str">
        <f>'Full Report'!C53</f>
        <v>Internet (6 Mbps, Unlimited Data, Wired)</v>
      </c>
      <c r="E341" s="436"/>
      <c r="F341" s="370"/>
      <c r="G341" s="437"/>
      <c r="H341" s="444"/>
      <c r="I341" s="439"/>
      <c r="J341" s="439"/>
      <c r="K341" s="439"/>
      <c r="L341" s="439"/>
      <c r="M341" s="439"/>
      <c r="N341" s="439"/>
      <c r="O341" s="439"/>
      <c r="P341" s="671">
        <f>'Full Report'!F53</f>
        <v>50</v>
      </c>
      <c r="Q341" s="670">
        <f>'Full Report'!H53</f>
        <v>68.06</v>
      </c>
      <c r="R341" s="446">
        <f>V341-1</f>
        <v>-0.26535409932412579</v>
      </c>
      <c r="S341" s="377"/>
      <c r="T341" s="447"/>
      <c r="U341" s="447"/>
      <c r="V341" s="286">
        <f>P341/Q341</f>
        <v>0.73464590067587421</v>
      </c>
      <c r="W341" s="442"/>
    </row>
    <row r="342" spans="1:23" ht="18" hidden="1" customHeight="1" thickBot="1">
      <c r="C342" s="367"/>
      <c r="D342" s="454" t="s">
        <v>1280</v>
      </c>
      <c r="E342" s="455"/>
      <c r="F342" s="456"/>
      <c r="G342" s="456"/>
      <c r="H342" s="457"/>
      <c r="I342" s="457"/>
      <c r="J342" s="457"/>
      <c r="K342" s="456"/>
      <c r="L342" s="456"/>
      <c r="M342" s="456"/>
      <c r="N342" s="456"/>
      <c r="O342" s="456"/>
      <c r="P342" s="458">
        <f>SUM(P339:P341)</f>
        <v>200.1</v>
      </c>
      <c r="Q342" s="458">
        <f>SUM(Q339:Q341)</f>
        <v>204.02</v>
      </c>
      <c r="R342" s="459">
        <f>V342-1</f>
        <v>-1.9213802568375682E-2</v>
      </c>
      <c r="S342" s="385"/>
      <c r="T342" s="453"/>
      <c r="U342" s="453"/>
      <c r="V342" s="286">
        <f>P342/Q342</f>
        <v>0.98078619743162432</v>
      </c>
      <c r="W342" s="442"/>
    </row>
    <row r="343" spans="1:23" ht="18" hidden="1" customHeight="1" thickTop="1">
      <c r="A343" s="10" t="s">
        <v>0</v>
      </c>
      <c r="C343" s="178"/>
      <c r="D343" s="405" t="s">
        <v>0</v>
      </c>
      <c r="E343" s="460"/>
      <c r="F343" s="460"/>
      <c r="G343" s="460"/>
      <c r="H343" s="460"/>
      <c r="I343" s="460"/>
      <c r="J343" s="460"/>
      <c r="K343" s="460"/>
      <c r="L343" s="460"/>
      <c r="M343" s="460"/>
      <c r="N343" s="460"/>
      <c r="O343" s="460"/>
      <c r="P343" s="460"/>
      <c r="Q343" s="460"/>
      <c r="R343" s="461"/>
      <c r="S343" s="462"/>
      <c r="T343" s="463"/>
      <c r="U343" s="464"/>
      <c r="V343" s="286"/>
      <c r="W343" s="186"/>
    </row>
    <row r="344" spans="1:23" ht="53.25" hidden="1" customHeight="1">
      <c r="C344" s="178"/>
      <c r="D344" s="969" t="str">
        <f>IF(T679=294,D688,D690)</f>
        <v xml:space="preserve">Overall, based on 3 items in the Utilities category, the cost of utilities in Tucson, AZ, United States is 1.92% lower than in Dubai, United Arab Emirates. It seems that, on average it is more cheaper to spend money on utilities in Tucson. </v>
      </c>
      <c r="E344" s="969"/>
      <c r="F344" s="969"/>
      <c r="G344" s="969"/>
      <c r="H344" s="969"/>
      <c r="I344" s="969"/>
      <c r="J344" s="969"/>
      <c r="K344" s="969"/>
      <c r="L344" s="969"/>
      <c r="M344" s="969"/>
      <c r="N344" s="969"/>
      <c r="O344" s="969"/>
      <c r="P344" s="969"/>
      <c r="Q344" s="969"/>
      <c r="R344" s="969"/>
      <c r="S344" s="969"/>
      <c r="T344" s="969"/>
      <c r="U344" s="969"/>
      <c r="V344" s="969"/>
      <c r="W344" s="186"/>
    </row>
    <row r="345" spans="1:23" ht="64.5" hidden="1" customHeight="1">
      <c r="C345" s="178"/>
      <c r="D345" s="1020" t="str">
        <f>IF(T679=294,D688,D691)</f>
        <v>However, as shown in the graph below, 2 out of 3 items under this category are higher than in Dubai. 1 min. of Prepaid Mobile Local Rate (No Plans) in Tucson is the most expensive item in comparison to Dubai, United Arab Emirates. Its cost is 11.11 % more expensive in Tucson.</v>
      </c>
      <c r="E345" s="1020"/>
      <c r="F345" s="1020"/>
      <c r="G345" s="1020"/>
      <c r="H345" s="1020"/>
      <c r="I345" s="1020"/>
      <c r="J345" s="1020"/>
      <c r="K345" s="1020"/>
      <c r="L345" s="1020"/>
      <c r="M345" s="1020"/>
      <c r="N345" s="1020"/>
      <c r="O345" s="1020"/>
      <c r="P345" s="1020"/>
      <c r="Q345" s="1020"/>
      <c r="R345" s="1020"/>
      <c r="S345" s="1020"/>
      <c r="T345" s="1020"/>
      <c r="U345" s="1020"/>
      <c r="V345" s="1020"/>
      <c r="W345" s="186"/>
    </row>
    <row r="346" spans="1:23" ht="18.75" hidden="1" customHeight="1">
      <c r="C346" s="178"/>
      <c r="D346" s="460"/>
      <c r="E346" s="460"/>
      <c r="F346" s="460"/>
      <c r="G346" s="460"/>
      <c r="H346" s="460"/>
      <c r="I346" s="460"/>
      <c r="J346" s="460"/>
      <c r="K346" s="460"/>
      <c r="L346" s="460"/>
      <c r="M346" s="460"/>
      <c r="N346" s="460"/>
      <c r="O346" s="460"/>
      <c r="P346" s="460"/>
      <c r="Q346" s="460"/>
      <c r="R346" s="461"/>
      <c r="S346" s="462"/>
      <c r="T346" s="463"/>
      <c r="U346" s="464"/>
      <c r="V346" s="464"/>
      <c r="W346" s="186"/>
    </row>
    <row r="347" spans="1:23" ht="18" hidden="1" customHeight="1">
      <c r="C347" s="178"/>
      <c r="D347" s="460"/>
      <c r="E347" s="460"/>
      <c r="F347" s="460"/>
      <c r="G347" s="460"/>
      <c r="H347" s="460"/>
      <c r="I347" s="460"/>
      <c r="J347" s="460"/>
      <c r="K347" s="460"/>
      <c r="L347" s="460"/>
      <c r="M347" s="460"/>
      <c r="N347" s="460"/>
      <c r="O347" s="460"/>
      <c r="P347" s="460"/>
      <c r="Q347" s="460"/>
      <c r="R347" s="461"/>
      <c r="S347" s="462"/>
      <c r="T347" s="463"/>
      <c r="U347" s="464"/>
      <c r="V347" s="464"/>
      <c r="W347" s="186"/>
    </row>
    <row r="348" spans="1:23" ht="18" hidden="1" customHeight="1">
      <c r="C348" s="178"/>
      <c r="D348" s="460"/>
      <c r="E348" s="460"/>
      <c r="F348" s="460"/>
      <c r="G348" s="460"/>
      <c r="H348" s="460"/>
      <c r="I348" s="460"/>
      <c r="J348" s="460"/>
      <c r="K348" s="460"/>
      <c r="L348" s="460"/>
      <c r="M348" s="460"/>
      <c r="N348" s="460"/>
      <c r="O348" s="460"/>
      <c r="P348" s="460"/>
      <c r="Q348" s="460"/>
      <c r="R348" s="461"/>
      <c r="S348" s="462"/>
      <c r="T348" s="463"/>
      <c r="U348" s="464"/>
      <c r="V348" s="464"/>
      <c r="W348" s="186"/>
    </row>
    <row r="349" spans="1:23" ht="18" hidden="1" customHeight="1">
      <c r="C349" s="178"/>
      <c r="D349" s="460"/>
      <c r="E349" s="460"/>
      <c r="F349" s="460"/>
      <c r="G349" s="460"/>
      <c r="H349" s="460"/>
      <c r="I349" s="460"/>
      <c r="J349" s="460"/>
      <c r="K349" s="460"/>
      <c r="L349" s="460"/>
      <c r="M349" s="460"/>
      <c r="N349" s="460"/>
      <c r="O349" s="460"/>
      <c r="P349" s="460"/>
      <c r="Q349" s="460"/>
      <c r="R349" s="461"/>
      <c r="S349" s="462"/>
      <c r="T349" s="463"/>
      <c r="U349" s="464"/>
      <c r="V349" s="464"/>
      <c r="W349" s="186"/>
    </row>
    <row r="350" spans="1:23" ht="18" hidden="1" customHeight="1">
      <c r="C350" s="178"/>
      <c r="D350" s="460"/>
      <c r="E350" s="460"/>
      <c r="F350" s="460"/>
      <c r="G350" s="460"/>
      <c r="H350" s="460"/>
      <c r="I350" s="460"/>
      <c r="J350" s="460"/>
      <c r="K350" s="460"/>
      <c r="L350" s="460"/>
      <c r="M350" s="460"/>
      <c r="N350" s="460"/>
      <c r="O350" s="460"/>
      <c r="P350" s="460"/>
      <c r="Q350" s="460"/>
      <c r="R350" s="461"/>
      <c r="S350" s="462"/>
      <c r="T350" s="463"/>
      <c r="U350" s="464"/>
      <c r="V350" s="464"/>
      <c r="W350" s="186"/>
    </row>
    <row r="351" spans="1:23" ht="18" hidden="1" customHeight="1">
      <c r="C351" s="178"/>
      <c r="D351" s="460"/>
      <c r="E351" s="460"/>
      <c r="F351" s="460"/>
      <c r="G351" s="460"/>
      <c r="H351" s="460"/>
      <c r="I351" s="460"/>
      <c r="J351" s="460"/>
      <c r="K351" s="460"/>
      <c r="L351" s="460"/>
      <c r="M351" s="460"/>
      <c r="N351" s="460"/>
      <c r="O351" s="460"/>
      <c r="P351" s="460"/>
      <c r="Q351" s="460"/>
      <c r="R351" s="461"/>
      <c r="S351" s="462"/>
      <c r="T351" s="463"/>
      <c r="U351" s="464"/>
      <c r="V351" s="464"/>
      <c r="W351" s="186"/>
    </row>
    <row r="352" spans="1:23" ht="18" hidden="1" customHeight="1">
      <c r="C352" s="178"/>
      <c r="D352" s="460"/>
      <c r="E352" s="460"/>
      <c r="F352" s="460"/>
      <c r="G352" s="460"/>
      <c r="H352" s="460"/>
      <c r="I352" s="460"/>
      <c r="J352" s="460"/>
      <c r="K352" s="460"/>
      <c r="L352" s="460"/>
      <c r="M352" s="460"/>
      <c r="N352" s="460"/>
      <c r="O352" s="460"/>
      <c r="P352" s="460"/>
      <c r="Q352" s="460"/>
      <c r="R352" s="461"/>
      <c r="S352" s="462"/>
      <c r="T352" s="463"/>
      <c r="U352" s="464"/>
      <c r="V352" s="464"/>
      <c r="W352" s="186"/>
    </row>
    <row r="353" spans="2:23" ht="18" hidden="1" customHeight="1">
      <c r="C353" s="178"/>
      <c r="D353" s="180"/>
      <c r="E353" s="180"/>
      <c r="F353" s="180"/>
      <c r="G353" s="180"/>
      <c r="H353" s="180"/>
      <c r="I353" s="180"/>
      <c r="J353" s="180"/>
      <c r="K353" s="180"/>
      <c r="L353" s="180"/>
      <c r="M353" s="180"/>
      <c r="N353" s="180"/>
      <c r="O353" s="180"/>
      <c r="P353" s="180"/>
      <c r="Q353" s="180"/>
      <c r="R353" s="180"/>
      <c r="S353" s="180"/>
      <c r="T353" s="180"/>
      <c r="U353" s="180"/>
      <c r="V353" s="180"/>
      <c r="W353" s="186"/>
    </row>
    <row r="354" spans="2:23" ht="38.25" hidden="1" customHeight="1">
      <c r="C354" s="178"/>
      <c r="D354" s="971" t="str">
        <f>"On the graph above, "&amp;V672&amp;" is set at 0%. As a result, items greater than 0% are higher than "&amp;V672&amp;" , items less than 0% are below "&amp;V672&amp;" and items equal to 0% shared a same price"&amp;"."</f>
        <v>On the graph above, Dubai is set at 0%. As a result, items greater than 0% are higher than Dubai , items less than 0% are below Dubai and items equal to 0% shared a same price.</v>
      </c>
      <c r="E354" s="971"/>
      <c r="F354" s="971"/>
      <c r="G354" s="971"/>
      <c r="H354" s="971"/>
      <c r="I354" s="971"/>
      <c r="J354" s="971"/>
      <c r="K354" s="971"/>
      <c r="L354" s="971"/>
      <c r="M354" s="971"/>
      <c r="N354" s="971"/>
      <c r="O354" s="971"/>
      <c r="P354" s="971"/>
      <c r="Q354" s="971"/>
      <c r="R354" s="971"/>
      <c r="S354" s="971"/>
      <c r="T354" s="971"/>
      <c r="U354" s="971"/>
      <c r="V354" s="971"/>
      <c r="W354" s="186"/>
    </row>
    <row r="355" spans="2:23" ht="18" hidden="1" customHeight="1">
      <c r="C355" s="178"/>
      <c r="D355" s="285"/>
      <c r="E355" s="285"/>
      <c r="F355" s="285"/>
      <c r="G355" s="285"/>
      <c r="H355" s="285"/>
      <c r="I355" s="285"/>
      <c r="J355" s="285"/>
      <c r="K355" s="285"/>
      <c r="L355" s="285"/>
      <c r="M355" s="285"/>
      <c r="N355" s="285"/>
      <c r="O355" s="285"/>
      <c r="P355" s="285"/>
      <c r="Q355" s="285"/>
      <c r="R355" s="285"/>
      <c r="S355" s="285"/>
      <c r="T355" s="285"/>
      <c r="U355" s="285"/>
      <c r="V355" s="285"/>
      <c r="W355" s="186"/>
    </row>
    <row r="356" spans="2:23" ht="18" hidden="1" customHeight="1">
      <c r="C356" s="178"/>
      <c r="D356" s="285"/>
      <c r="E356" s="285"/>
      <c r="F356" s="285"/>
      <c r="G356" s="285"/>
      <c r="H356" s="285"/>
      <c r="I356" s="285"/>
      <c r="J356" s="285"/>
      <c r="K356" s="285"/>
      <c r="L356" s="285"/>
      <c r="M356" s="285"/>
      <c r="N356" s="285"/>
      <c r="O356" s="285"/>
      <c r="P356" s="285"/>
      <c r="Q356" s="285"/>
      <c r="R356" s="285"/>
      <c r="S356" s="285"/>
      <c r="T356" s="285"/>
      <c r="U356" s="285"/>
      <c r="V356" s="285"/>
      <c r="W356" s="186"/>
    </row>
    <row r="357" spans="2:23" ht="18" hidden="1" customHeight="1">
      <c r="C357" s="178"/>
      <c r="D357" s="285"/>
      <c r="E357" s="285"/>
      <c r="F357" s="285"/>
      <c r="G357" s="285"/>
      <c r="H357" s="285"/>
      <c r="I357" s="285"/>
      <c r="J357" s="285"/>
      <c r="K357" s="285"/>
      <c r="L357" s="285"/>
      <c r="M357" s="285"/>
      <c r="N357" s="285"/>
      <c r="O357" s="285"/>
      <c r="P357" s="285"/>
      <c r="Q357" s="285"/>
      <c r="R357" s="285"/>
      <c r="S357" s="285"/>
      <c r="T357" s="285"/>
      <c r="U357" s="285"/>
      <c r="V357" s="285"/>
      <c r="W357" s="186"/>
    </row>
    <row r="358" spans="2:23" ht="18" hidden="1" customHeight="1">
      <c r="C358" s="178"/>
      <c r="D358" s="285"/>
      <c r="E358" s="285"/>
      <c r="F358" s="285"/>
      <c r="G358" s="285"/>
      <c r="H358" s="285"/>
      <c r="I358" s="285"/>
      <c r="J358" s="285"/>
      <c r="K358" s="285"/>
      <c r="L358" s="285"/>
      <c r="M358" s="285"/>
      <c r="N358" s="285"/>
      <c r="O358" s="285"/>
      <c r="P358" s="285"/>
      <c r="Q358" s="285"/>
      <c r="R358" s="285"/>
      <c r="S358" s="285"/>
      <c r="T358" s="285"/>
      <c r="U358" s="285"/>
      <c r="V358" s="285"/>
      <c r="W358" s="186"/>
    </row>
    <row r="359" spans="2:23" ht="18" hidden="1" customHeight="1">
      <c r="C359" s="178"/>
      <c r="D359" s="285"/>
      <c r="E359" s="285"/>
      <c r="F359" s="285"/>
      <c r="G359" s="285"/>
      <c r="H359" s="285"/>
      <c r="I359" s="285"/>
      <c r="J359" s="285"/>
      <c r="K359" s="285"/>
      <c r="L359" s="285"/>
      <c r="M359" s="285"/>
      <c r="N359" s="285"/>
      <c r="O359" s="285"/>
      <c r="P359" s="285"/>
      <c r="Q359" s="285"/>
      <c r="R359" s="285"/>
      <c r="S359" s="285"/>
      <c r="T359" s="285"/>
      <c r="U359" s="285"/>
      <c r="V359" s="285"/>
      <c r="W359" s="186"/>
    </row>
    <row r="360" spans="2:23" ht="18" hidden="1" customHeight="1">
      <c r="C360" s="178"/>
      <c r="D360" s="285"/>
      <c r="E360" s="285"/>
      <c r="F360" s="285"/>
      <c r="G360" s="285"/>
      <c r="H360" s="285"/>
      <c r="I360" s="285"/>
      <c r="J360" s="285"/>
      <c r="K360" s="285"/>
      <c r="L360" s="285"/>
      <c r="M360" s="285"/>
      <c r="N360" s="285"/>
      <c r="O360" s="285"/>
      <c r="P360" s="285"/>
      <c r="Q360" s="285"/>
      <c r="R360" s="285"/>
      <c r="S360" s="285"/>
      <c r="T360" s="285"/>
      <c r="U360" s="285"/>
      <c r="V360" s="285"/>
      <c r="W360" s="186"/>
    </row>
    <row r="361" spans="2:23" ht="18" hidden="1" customHeight="1">
      <c r="C361" s="178"/>
      <c r="D361" s="285"/>
      <c r="E361" s="285"/>
      <c r="F361" s="285"/>
      <c r="G361" s="285"/>
      <c r="H361" s="285"/>
      <c r="I361" s="285"/>
      <c r="J361" s="285"/>
      <c r="K361" s="285"/>
      <c r="L361" s="285"/>
      <c r="M361" s="285"/>
      <c r="N361" s="285"/>
      <c r="O361" s="285"/>
      <c r="P361" s="285"/>
      <c r="Q361" s="285"/>
      <c r="R361" s="285"/>
      <c r="S361" s="285"/>
      <c r="T361" s="285"/>
      <c r="U361" s="285"/>
      <c r="V361" s="285"/>
      <c r="W361" s="186"/>
    </row>
    <row r="362" spans="2:23" ht="18" hidden="1" customHeight="1">
      <c r="C362" s="178"/>
      <c r="D362" s="285"/>
      <c r="E362" s="285"/>
      <c r="F362" s="285"/>
      <c r="G362" s="285"/>
      <c r="H362" s="285"/>
      <c r="I362" s="285"/>
      <c r="J362" s="285"/>
      <c r="K362" s="285"/>
      <c r="L362" s="285"/>
      <c r="M362" s="285"/>
      <c r="N362" s="285"/>
      <c r="O362" s="285"/>
      <c r="P362" s="285"/>
      <c r="Q362" s="285"/>
      <c r="R362" s="285"/>
      <c r="S362" s="285"/>
      <c r="T362" s="285"/>
      <c r="U362" s="285"/>
      <c r="V362" s="285"/>
      <c r="W362" s="186"/>
    </row>
    <row r="363" spans="2:23" ht="18" hidden="1" customHeight="1">
      <c r="C363" s="178"/>
      <c r="D363" s="285"/>
      <c r="E363" s="285"/>
      <c r="F363" s="285"/>
      <c r="G363" s="285"/>
      <c r="H363" s="285"/>
      <c r="I363" s="285"/>
      <c r="J363" s="285"/>
      <c r="K363" s="285"/>
      <c r="L363" s="285"/>
      <c r="M363" s="285"/>
      <c r="N363" s="285"/>
      <c r="O363" s="285"/>
      <c r="P363" s="285"/>
      <c r="Q363" s="285"/>
      <c r="R363" s="285"/>
      <c r="S363" s="285"/>
      <c r="T363" s="285"/>
      <c r="U363" s="285"/>
      <c r="V363" s="285"/>
      <c r="W363" s="186"/>
    </row>
    <row r="364" spans="2:23" ht="18" hidden="1" customHeight="1">
      <c r="C364" s="178"/>
      <c r="D364" s="285"/>
      <c r="E364" s="285"/>
      <c r="F364" s="285"/>
      <c r="G364" s="285"/>
      <c r="H364" s="285"/>
      <c r="I364" s="285"/>
      <c r="J364" s="285"/>
      <c r="K364" s="285"/>
      <c r="L364" s="285"/>
      <c r="M364" s="285"/>
      <c r="N364" s="285"/>
      <c r="O364" s="285"/>
      <c r="P364" s="285"/>
      <c r="Q364" s="285"/>
      <c r="R364" s="285"/>
      <c r="S364" s="285"/>
      <c r="T364" s="285"/>
      <c r="U364" s="285"/>
      <c r="V364" s="285"/>
      <c r="W364" s="186"/>
    </row>
    <row r="365" spans="2:23" ht="18" hidden="1" customHeight="1">
      <c r="C365" s="193"/>
      <c r="D365" s="283"/>
      <c r="E365" s="283"/>
      <c r="F365" s="283"/>
      <c r="G365" s="283"/>
      <c r="H365" s="283"/>
      <c r="I365" s="283"/>
      <c r="J365" s="283"/>
      <c r="K365" s="283"/>
      <c r="L365" s="283"/>
      <c r="M365" s="283"/>
      <c r="N365" s="283"/>
      <c r="O365" s="283"/>
      <c r="P365" s="283"/>
      <c r="Q365" s="283"/>
      <c r="R365" s="283"/>
      <c r="S365" s="283"/>
      <c r="T365" s="283"/>
      <c r="U365" s="283"/>
      <c r="V365" s="283"/>
      <c r="W365" s="195"/>
    </row>
    <row r="366" spans="2:23" ht="18" hidden="1" customHeight="1">
      <c r="C366" s="178"/>
      <c r="D366" s="269"/>
      <c r="E366" s="269"/>
      <c r="F366" s="177"/>
      <c r="G366" s="177"/>
      <c r="H366" s="266"/>
      <c r="I366" s="266"/>
      <c r="J366" s="266"/>
      <c r="K366" s="266"/>
      <c r="L366" s="266"/>
      <c r="M366" s="266"/>
      <c r="N366" s="266"/>
      <c r="O366" s="266"/>
      <c r="P366" s="266"/>
      <c r="Q366" s="270"/>
      <c r="R366" s="281"/>
      <c r="S366" s="177"/>
      <c r="T366" s="177"/>
      <c r="U366" s="177"/>
      <c r="V366" s="177"/>
      <c r="W366" s="186"/>
    </row>
    <row r="367" spans="2:23" s="10" customFormat="1" ht="18" hidden="1" customHeight="1">
      <c r="B367" s="87"/>
      <c r="C367" s="178"/>
      <c r="D367" s="285"/>
      <c r="E367" s="285"/>
      <c r="F367" s="285"/>
      <c r="G367" s="285"/>
      <c r="H367" s="285"/>
      <c r="I367" s="285"/>
      <c r="J367" s="285"/>
      <c r="K367" s="285"/>
      <c r="L367" s="285"/>
      <c r="M367" s="285"/>
      <c r="N367" s="285"/>
      <c r="O367" s="285"/>
      <c r="P367" s="285"/>
      <c r="Q367" s="285"/>
      <c r="R367" s="285"/>
      <c r="S367" s="285"/>
      <c r="T367" s="285"/>
      <c r="U367" s="285"/>
      <c r="V367" s="285"/>
      <c r="W367" s="186"/>
    </row>
    <row r="368" spans="2:23" ht="18" hidden="1" customHeight="1">
      <c r="C368" s="178"/>
      <c r="D368" s="285"/>
      <c r="E368" s="285"/>
      <c r="F368" s="285"/>
      <c r="G368" s="285"/>
      <c r="H368" s="285"/>
      <c r="I368" s="285"/>
      <c r="J368" s="285"/>
      <c r="K368" s="285"/>
      <c r="L368" s="285"/>
      <c r="M368" s="285"/>
      <c r="N368" s="285"/>
      <c r="O368" s="285"/>
      <c r="P368" s="285"/>
      <c r="Q368" s="285"/>
      <c r="R368" s="285"/>
      <c r="S368" s="285"/>
      <c r="T368" s="285"/>
      <c r="U368" s="285"/>
      <c r="V368" s="285"/>
      <c r="W368" s="186"/>
    </row>
    <row r="369" spans="2:23" ht="18" hidden="1" customHeight="1">
      <c r="C369" s="178"/>
      <c r="D369" s="285"/>
      <c r="E369" s="285"/>
      <c r="F369" s="285"/>
      <c r="G369" s="285"/>
      <c r="H369" s="285"/>
      <c r="I369" s="285"/>
      <c r="J369" s="285"/>
      <c r="K369" s="285"/>
      <c r="L369" s="285"/>
      <c r="M369" s="285"/>
      <c r="N369" s="285"/>
      <c r="O369" s="285"/>
      <c r="P369" s="285"/>
      <c r="Q369" s="285"/>
      <c r="R369" s="285"/>
      <c r="S369" s="285"/>
      <c r="T369" s="285"/>
      <c r="U369" s="285"/>
      <c r="V369" s="285"/>
      <c r="W369" s="186"/>
    </row>
    <row r="370" spans="2:23" s="10" customFormat="1" ht="18" hidden="1" customHeight="1">
      <c r="B370" s="87"/>
      <c r="C370" s="178"/>
      <c r="D370" s="285"/>
      <c r="E370" s="285"/>
      <c r="F370" s="285"/>
      <c r="G370" s="285"/>
      <c r="H370" s="285"/>
      <c r="I370" s="285"/>
      <c r="J370" s="285"/>
      <c r="K370" s="285"/>
      <c r="L370" s="285"/>
      <c r="M370" s="285"/>
      <c r="N370" s="285"/>
      <c r="O370" s="285"/>
      <c r="P370" s="285"/>
      <c r="Q370" s="285"/>
      <c r="R370" s="285"/>
      <c r="S370" s="285"/>
      <c r="T370" s="285"/>
      <c r="U370" s="285"/>
      <c r="V370" s="285"/>
      <c r="W370" s="186"/>
    </row>
    <row r="371" spans="2:23" s="10" customFormat="1" ht="18" hidden="1" customHeight="1">
      <c r="B371" s="87"/>
      <c r="C371" s="465"/>
      <c r="D371" s="466" t="s">
        <v>1309</v>
      </c>
      <c r="E371" s="289"/>
      <c r="F371" s="289"/>
      <c r="G371" s="289"/>
      <c r="H371" s="289"/>
      <c r="I371" s="289"/>
      <c r="J371" s="289"/>
      <c r="K371" s="289"/>
      <c r="L371" s="289"/>
      <c r="M371" s="289"/>
      <c r="N371" s="289"/>
      <c r="O371" s="289"/>
      <c r="P371" s="289"/>
      <c r="Q371" s="289"/>
      <c r="R371" s="333"/>
      <c r="S371" s="289"/>
      <c r="T371" s="289"/>
      <c r="U371" s="289"/>
      <c r="V371" s="334"/>
      <c r="W371" s="186"/>
    </row>
    <row r="372" spans="2:23" ht="18" hidden="1" customHeight="1">
      <c r="C372" s="178"/>
      <c r="D372" s="285"/>
      <c r="E372" s="285"/>
      <c r="F372" s="285"/>
      <c r="G372" s="285"/>
      <c r="H372" s="285"/>
      <c r="I372" s="285"/>
      <c r="J372" s="285"/>
      <c r="K372" s="285"/>
      <c r="L372" s="285"/>
      <c r="M372" s="285"/>
      <c r="N372" s="285"/>
      <c r="O372" s="285"/>
      <c r="P372" s="285"/>
      <c r="Q372" s="285"/>
      <c r="R372" s="285"/>
      <c r="S372" s="285"/>
      <c r="T372" s="285"/>
      <c r="U372" s="285"/>
      <c r="V372" s="285"/>
      <c r="W372" s="186"/>
    </row>
    <row r="373" spans="2:23" ht="18" hidden="1" customHeight="1" thickBot="1">
      <c r="C373" s="178"/>
      <c r="D373" s="285"/>
      <c r="E373" s="285"/>
      <c r="F373" s="285"/>
      <c r="G373" s="285"/>
      <c r="H373" s="285"/>
      <c r="I373" s="285"/>
      <c r="J373" s="285"/>
      <c r="K373" s="285"/>
      <c r="L373" s="285"/>
      <c r="M373" s="285"/>
      <c r="N373" s="285"/>
      <c r="O373" s="285"/>
      <c r="P373" s="285"/>
      <c r="Q373" s="285"/>
      <c r="R373" s="285"/>
      <c r="S373" s="285"/>
      <c r="T373" s="285"/>
      <c r="U373" s="285"/>
      <c r="V373" s="282"/>
      <c r="W373" s="186"/>
    </row>
    <row r="374" spans="2:23" ht="24.75" hidden="1" customHeight="1">
      <c r="C374" s="178"/>
      <c r="D374" s="467" t="str">
        <f>'Full Report'!C55</f>
        <v>Recreation And Leisure</v>
      </c>
      <c r="E374" s="468"/>
      <c r="F374" s="468"/>
      <c r="G374" s="468"/>
      <c r="H374" s="468"/>
      <c r="I374" s="468"/>
      <c r="J374" s="468"/>
      <c r="K374" s="468"/>
      <c r="L374" s="468"/>
      <c r="M374" s="468"/>
      <c r="N374" s="468"/>
      <c r="O374" s="468"/>
      <c r="P374" s="469" t="str">
        <f>P236</f>
        <v>Tucson (USD)</v>
      </c>
      <c r="Q374" s="469" t="str">
        <f>Q236</f>
        <v>Dubai (USD)</v>
      </c>
      <c r="R374" s="470" t="str">
        <f>R236</f>
        <v>Difference</v>
      </c>
      <c r="S374" s="471"/>
      <c r="T374" s="292"/>
      <c r="U374" s="292"/>
      <c r="V374" s="472"/>
      <c r="W374" s="186"/>
    </row>
    <row r="375" spans="2:23" ht="18" hidden="1" customHeight="1">
      <c r="C375" s="178"/>
      <c r="D375" s="473" t="str">
        <f>'Full Report'!C56</f>
        <v>Fitness Club, Monthly Fee for 1 Adult</v>
      </c>
      <c r="E375" s="474"/>
      <c r="F375" s="474"/>
      <c r="G375" s="474"/>
      <c r="H375" s="474"/>
      <c r="I375" s="474"/>
      <c r="J375" s="474"/>
      <c r="K375" s="474"/>
      <c r="L375" s="474"/>
      <c r="M375" s="474"/>
      <c r="N375" s="474"/>
      <c r="O375" s="474"/>
      <c r="P375" s="475">
        <f>'Full Report'!F56</f>
        <v>40</v>
      </c>
      <c r="Q375" s="475">
        <f>'Full Report'!H56</f>
        <v>100</v>
      </c>
      <c r="R375" s="476">
        <f>V375-1</f>
        <v>-0.6</v>
      </c>
      <c r="S375" s="299"/>
      <c r="T375" s="269"/>
      <c r="U375" s="269"/>
      <c r="V375" s="472">
        <f>P375/Q375</f>
        <v>0.4</v>
      </c>
      <c r="W375" s="186"/>
    </row>
    <row r="376" spans="2:23" ht="18" hidden="1" customHeight="1">
      <c r="C376" s="178"/>
      <c r="D376" s="477" t="str">
        <f>'Full Report'!C57</f>
        <v>Tennis Court Rent (1 Hour on Weekend)</v>
      </c>
      <c r="E376" s="478"/>
      <c r="F376" s="479"/>
      <c r="G376" s="479"/>
      <c r="H376" s="480"/>
      <c r="I376" s="480"/>
      <c r="J376" s="481"/>
      <c r="K376" s="479"/>
      <c r="L376" s="479"/>
      <c r="M376" s="479"/>
      <c r="N376" s="479"/>
      <c r="O376" s="479"/>
      <c r="P376" s="482">
        <f>'Full Report'!F57</f>
        <v>50</v>
      </c>
      <c r="Q376" s="482">
        <f>'Full Report'!H57</f>
        <v>20.21</v>
      </c>
      <c r="R376" s="483">
        <f>V376-1</f>
        <v>1.474022761009401</v>
      </c>
      <c r="S376" s="307"/>
      <c r="T376" s="303"/>
      <c r="U376" s="304"/>
      <c r="V376" s="484">
        <f>P376/Q376</f>
        <v>2.474022761009401</v>
      </c>
      <c r="W376" s="186"/>
    </row>
    <row r="377" spans="2:23" ht="18" hidden="1" customHeight="1">
      <c r="C377" s="178"/>
      <c r="D377" s="473" t="str">
        <f>'Full Report'!C58</f>
        <v>Movie Theatre, International Release, 1 Seat</v>
      </c>
      <c r="E377" s="485"/>
      <c r="F377" s="486"/>
      <c r="G377" s="486"/>
      <c r="H377" s="487"/>
      <c r="I377" s="487"/>
      <c r="J377" s="487"/>
      <c r="K377" s="487"/>
      <c r="L377" s="487"/>
      <c r="M377" s="487"/>
      <c r="N377" s="487"/>
      <c r="O377" s="487"/>
      <c r="P377" s="488">
        <f>'Full Report'!F58</f>
        <v>8</v>
      </c>
      <c r="Q377" s="488">
        <f>'Full Report'!H58</f>
        <v>9.5299999999999994</v>
      </c>
      <c r="R377" s="489">
        <f>V377-1</f>
        <v>-0.16054564533053506</v>
      </c>
      <c r="S377" s="299"/>
      <c r="T377" s="310"/>
      <c r="U377" s="214"/>
      <c r="V377" s="484">
        <f>P377/Q377</f>
        <v>0.83945435466946494</v>
      </c>
      <c r="W377" s="186"/>
    </row>
    <row r="378" spans="2:23" ht="18" hidden="1" customHeight="1" thickBot="1">
      <c r="C378" s="178"/>
      <c r="D378" s="454" t="s">
        <v>768</v>
      </c>
      <c r="E378" s="455"/>
      <c r="F378" s="456"/>
      <c r="G378" s="456"/>
      <c r="H378" s="457"/>
      <c r="I378" s="457"/>
      <c r="J378" s="457"/>
      <c r="K378" s="456"/>
      <c r="L378" s="456"/>
      <c r="M378" s="456"/>
      <c r="N378" s="456"/>
      <c r="O378" s="456"/>
      <c r="P378" s="490">
        <f>SUM(P375:P377)</f>
        <v>98</v>
      </c>
      <c r="Q378" s="490">
        <f>SUM(Q375:Q377)</f>
        <v>129.74</v>
      </c>
      <c r="R378" s="491">
        <f>V378-1</f>
        <v>-0.24464313241868363</v>
      </c>
      <c r="S378" s="302"/>
      <c r="T378" s="303"/>
      <c r="U378" s="304"/>
      <c r="V378" s="484">
        <f>P378/Q378</f>
        <v>0.75535686758131637</v>
      </c>
      <c r="W378" s="186"/>
    </row>
    <row r="379" spans="2:23" ht="18" hidden="1" customHeight="1" thickTop="1">
      <c r="C379" s="178"/>
      <c r="D379" s="269"/>
      <c r="E379" s="269"/>
      <c r="F379" s="269"/>
      <c r="G379" s="269"/>
      <c r="H379" s="269"/>
      <c r="I379" s="269"/>
      <c r="J379" s="269"/>
      <c r="K379" s="269"/>
      <c r="L379" s="269"/>
      <c r="M379" s="269"/>
      <c r="N379" s="269"/>
      <c r="O379" s="269"/>
      <c r="P379" s="300"/>
      <c r="Q379" s="300"/>
      <c r="R379" s="282"/>
      <c r="S379" s="263"/>
      <c r="T379" s="185"/>
      <c r="U379" s="177"/>
      <c r="V379" s="492"/>
      <c r="W379" s="186"/>
    </row>
    <row r="380" spans="2:23" ht="44.25" hidden="1" customHeight="1">
      <c r="C380" s="178"/>
      <c r="D380" s="969" t="str">
        <f>IF(T714=294,D723,D725)</f>
        <v xml:space="preserve">Overall, based on 3 items in the Recreation category, the cost of recreation in Tucson, AZ, United States is 24.46% lower than in Dubai, United Arab Emirates. It seems that, on average it is more cheaper to spend money for recreation in Tucson. </v>
      </c>
      <c r="E380" s="969"/>
      <c r="F380" s="969"/>
      <c r="G380" s="969"/>
      <c r="H380" s="969"/>
      <c r="I380" s="969"/>
      <c r="J380" s="969"/>
      <c r="K380" s="969"/>
      <c r="L380" s="969"/>
      <c r="M380" s="969"/>
      <c r="N380" s="969"/>
      <c r="O380" s="969"/>
      <c r="P380" s="969"/>
      <c r="Q380" s="969"/>
      <c r="R380" s="969"/>
      <c r="S380" s="969"/>
      <c r="T380" s="969"/>
      <c r="U380" s="969"/>
      <c r="V380" s="969"/>
      <c r="W380" s="186"/>
    </row>
    <row r="381" spans="2:23" ht="56.25" hidden="1" customHeight="1">
      <c r="C381" s="178"/>
      <c r="D381" s="969" t="str">
        <f>IF(T714=294,D723,D726)</f>
        <v>However, as shown in the graph below, 1 out of 3 items under this category are higher than in Dubai. Tennis Court Rent (1 Hour on Weekend) in Tucson is the most expensive item in comparison to Dubai, United Arab Emirates. Its cost is 147.40 % more expensive in Tucson.</v>
      </c>
      <c r="E381" s="969"/>
      <c r="F381" s="969"/>
      <c r="G381" s="969"/>
      <c r="H381" s="969"/>
      <c r="I381" s="969"/>
      <c r="J381" s="969"/>
      <c r="K381" s="969"/>
      <c r="L381" s="969"/>
      <c r="M381" s="969"/>
      <c r="N381" s="969"/>
      <c r="O381" s="969"/>
      <c r="P381" s="969"/>
      <c r="Q381" s="969"/>
      <c r="R381" s="969"/>
      <c r="S381" s="969"/>
      <c r="T381" s="969"/>
      <c r="U381" s="969"/>
      <c r="V381" s="969"/>
      <c r="W381" s="186"/>
    </row>
    <row r="382" spans="2:23" ht="18" hidden="1" customHeight="1">
      <c r="C382" s="178"/>
      <c r="D382" s="214"/>
      <c r="E382" s="214"/>
      <c r="F382" s="319"/>
      <c r="G382" s="320"/>
      <c r="H382" s="319"/>
      <c r="I382" s="214"/>
      <c r="J382" s="262"/>
      <c r="K382" s="262"/>
      <c r="L382" s="262"/>
      <c r="M382" s="262"/>
      <c r="N382" s="262"/>
      <c r="O382" s="262"/>
      <c r="P382" s="321"/>
      <c r="Q382" s="322"/>
      <c r="R382" s="184"/>
      <c r="S382" s="180"/>
      <c r="T382" s="185"/>
      <c r="U382" s="180"/>
      <c r="V382" s="177"/>
      <c r="W382" s="186"/>
    </row>
    <row r="383" spans="2:23" ht="18" hidden="1" customHeight="1">
      <c r="C383" s="178"/>
      <c r="D383" s="214"/>
      <c r="E383" s="214"/>
      <c r="F383" s="319"/>
      <c r="G383" s="320"/>
      <c r="H383" s="319"/>
      <c r="I383" s="214"/>
      <c r="J383" s="262"/>
      <c r="K383" s="262"/>
      <c r="L383" s="262"/>
      <c r="M383" s="262"/>
      <c r="N383" s="262"/>
      <c r="O383" s="262"/>
      <c r="P383" s="321"/>
      <c r="Q383" s="322"/>
      <c r="R383" s="184"/>
      <c r="S383" s="180"/>
      <c r="T383" s="185"/>
      <c r="U383" s="180"/>
      <c r="V383" s="177"/>
      <c r="W383" s="186"/>
    </row>
    <row r="384" spans="2:23" ht="18" hidden="1" customHeight="1">
      <c r="C384" s="178"/>
      <c r="D384" s="214"/>
      <c r="E384" s="214"/>
      <c r="F384" s="319"/>
      <c r="G384" s="320"/>
      <c r="H384" s="319"/>
      <c r="I384" s="214"/>
      <c r="J384" s="262"/>
      <c r="K384" s="262"/>
      <c r="L384" s="262"/>
      <c r="M384" s="262"/>
      <c r="N384" s="262"/>
      <c r="O384" s="262"/>
      <c r="P384" s="321"/>
      <c r="Q384" s="322"/>
      <c r="R384" s="184"/>
      <c r="S384" s="180"/>
      <c r="T384" s="185"/>
      <c r="U384" s="180"/>
      <c r="V384" s="177"/>
      <c r="W384" s="186"/>
    </row>
    <row r="385" spans="2:23" ht="18" hidden="1" customHeight="1">
      <c r="C385" s="178"/>
      <c r="D385" s="214"/>
      <c r="E385" s="214"/>
      <c r="F385" s="319"/>
      <c r="G385" s="320"/>
      <c r="H385" s="319"/>
      <c r="I385" s="214"/>
      <c r="J385" s="262"/>
      <c r="K385" s="262"/>
      <c r="L385" s="262"/>
      <c r="M385" s="262"/>
      <c r="N385" s="262"/>
      <c r="O385" s="262"/>
      <c r="P385" s="321"/>
      <c r="Q385" s="322"/>
      <c r="R385" s="184"/>
      <c r="S385" s="180"/>
      <c r="T385" s="185"/>
      <c r="U385" s="180"/>
      <c r="V385" s="177"/>
      <c r="W385" s="186"/>
    </row>
    <row r="386" spans="2:23" ht="18" hidden="1" customHeight="1">
      <c r="C386" s="178"/>
      <c r="D386" s="214"/>
      <c r="E386" s="214"/>
      <c r="F386" s="319"/>
      <c r="G386" s="320"/>
      <c r="H386" s="319"/>
      <c r="I386" s="214"/>
      <c r="J386" s="262"/>
      <c r="K386" s="262"/>
      <c r="L386" s="262"/>
      <c r="M386" s="262"/>
      <c r="N386" s="262"/>
      <c r="O386" s="262"/>
      <c r="P386" s="321"/>
      <c r="Q386" s="322"/>
      <c r="R386" s="184"/>
      <c r="S386" s="180"/>
      <c r="T386" s="185"/>
      <c r="U386" s="180"/>
      <c r="V386" s="177"/>
      <c r="W386" s="186"/>
    </row>
    <row r="387" spans="2:23" ht="18" hidden="1" customHeight="1">
      <c r="C387" s="178"/>
      <c r="D387" s="214"/>
      <c r="E387" s="214"/>
      <c r="F387" s="319"/>
      <c r="G387" s="320"/>
      <c r="H387" s="319"/>
      <c r="I387" s="214"/>
      <c r="J387" s="262"/>
      <c r="K387" s="262"/>
      <c r="L387" s="262"/>
      <c r="M387" s="262"/>
      <c r="N387" s="262"/>
      <c r="O387" s="262"/>
      <c r="P387" s="321"/>
      <c r="Q387" s="322"/>
      <c r="R387" s="184"/>
      <c r="S387" s="180"/>
      <c r="T387" s="185"/>
      <c r="U387" s="180"/>
      <c r="V387" s="177"/>
      <c r="W387" s="186"/>
    </row>
    <row r="388" spans="2:23" ht="18" hidden="1" customHeight="1">
      <c r="C388" s="178"/>
      <c r="D388" s="214"/>
      <c r="E388" s="214"/>
      <c r="F388" s="319"/>
      <c r="G388" s="320"/>
      <c r="H388" s="319"/>
      <c r="I388" s="214"/>
      <c r="J388" s="262"/>
      <c r="K388" s="262"/>
      <c r="L388" s="262"/>
      <c r="M388" s="262"/>
      <c r="N388" s="262"/>
      <c r="O388" s="262"/>
      <c r="P388" s="321"/>
      <c r="Q388" s="322"/>
      <c r="R388" s="184"/>
      <c r="S388" s="180"/>
      <c r="T388" s="185"/>
      <c r="U388" s="180"/>
      <c r="V388" s="177"/>
      <c r="W388" s="186"/>
    </row>
    <row r="389" spans="2:23" ht="18" hidden="1" customHeight="1">
      <c r="C389" s="178"/>
      <c r="D389" s="987"/>
      <c r="E389" s="987"/>
      <c r="F389" s="988"/>
      <c r="G389" s="989"/>
      <c r="H389" s="988"/>
      <c r="I389" s="987"/>
      <c r="J389" s="991"/>
      <c r="K389" s="991"/>
      <c r="L389" s="991"/>
      <c r="M389" s="991"/>
      <c r="N389" s="991"/>
      <c r="O389" s="991"/>
      <c r="P389" s="992"/>
      <c r="Q389" s="993"/>
      <c r="R389" s="994"/>
      <c r="S389" s="995"/>
      <c r="T389" s="1021"/>
      <c r="U389" s="995"/>
      <c r="V389" s="996"/>
      <c r="W389" s="186"/>
    </row>
    <row r="390" spans="2:23" ht="18" hidden="1" customHeight="1">
      <c r="C390" s="178"/>
      <c r="D390" s="180"/>
      <c r="E390" s="180"/>
      <c r="F390" s="180"/>
      <c r="G390" s="180"/>
      <c r="H390" s="180"/>
      <c r="I390" s="180"/>
      <c r="J390" s="180"/>
      <c r="K390" s="180"/>
      <c r="L390" s="180"/>
      <c r="M390" s="180"/>
      <c r="N390" s="180"/>
      <c r="O390" s="180"/>
      <c r="P390" s="180"/>
      <c r="Q390" s="180"/>
      <c r="R390" s="180"/>
      <c r="S390" s="180"/>
      <c r="T390" s="180"/>
      <c r="U390" s="180"/>
      <c r="V390" s="180"/>
      <c r="W390" s="186"/>
    </row>
    <row r="391" spans="2:23" ht="18" hidden="1" customHeight="1">
      <c r="C391" s="178"/>
      <c r="D391" s="180"/>
      <c r="E391" s="180"/>
      <c r="F391" s="180"/>
      <c r="G391" s="180"/>
      <c r="H391" s="180"/>
      <c r="I391" s="180"/>
      <c r="J391" s="180"/>
      <c r="K391" s="180"/>
      <c r="L391" s="180"/>
      <c r="M391" s="180"/>
      <c r="N391" s="180"/>
      <c r="O391" s="180"/>
      <c r="P391" s="180"/>
      <c r="Q391" s="180"/>
      <c r="R391" s="180"/>
      <c r="S391" s="180"/>
      <c r="T391" s="180"/>
      <c r="U391" s="180"/>
      <c r="V391" s="180"/>
      <c r="W391" s="186"/>
    </row>
    <row r="392" spans="2:23" ht="44.25" hidden="1" customHeight="1">
      <c r="C392" s="178"/>
      <c r="D392" s="269"/>
      <c r="E392" s="269"/>
      <c r="F392" s="177"/>
      <c r="G392" s="177"/>
      <c r="H392" s="266"/>
      <c r="I392" s="266"/>
      <c r="J392" s="266"/>
      <c r="K392" s="266"/>
      <c r="L392" s="266"/>
      <c r="M392" s="266"/>
      <c r="N392" s="266"/>
      <c r="O392" s="266"/>
      <c r="P392" s="266"/>
      <c r="Q392" s="270"/>
      <c r="R392" s="325"/>
      <c r="S392" s="271"/>
      <c r="T392" s="177"/>
      <c r="U392" s="177"/>
      <c r="V392" s="177"/>
      <c r="W392" s="186"/>
    </row>
    <row r="393" spans="2:23" ht="18" hidden="1" customHeight="1">
      <c r="C393" s="178"/>
      <c r="D393" s="285"/>
      <c r="E393" s="285"/>
      <c r="F393" s="285"/>
      <c r="G393" s="285"/>
      <c r="H393" s="285"/>
      <c r="I393" s="285"/>
      <c r="J393" s="285"/>
      <c r="K393" s="285"/>
      <c r="L393" s="285"/>
      <c r="M393" s="285"/>
      <c r="N393" s="285"/>
      <c r="O393" s="285"/>
      <c r="P393" s="285"/>
      <c r="Q393" s="285"/>
      <c r="R393" s="285"/>
      <c r="S393" s="285"/>
      <c r="T393" s="285"/>
      <c r="U393" s="285"/>
      <c r="V393" s="285"/>
      <c r="W393" s="186"/>
    </row>
    <row r="394" spans="2:23" ht="30" hidden="1" customHeight="1">
      <c r="C394" s="178"/>
      <c r="D394" s="971" t="str">
        <f>$D$354</f>
        <v>On the graph above, Dubai is set at 0%. As a result, items greater than 0% are higher than Dubai , items less than 0% are below Dubai and items equal to 0% shared a same price.</v>
      </c>
      <c r="E394" s="971"/>
      <c r="F394" s="971"/>
      <c r="G394" s="971"/>
      <c r="H394" s="971"/>
      <c r="I394" s="971"/>
      <c r="J394" s="971"/>
      <c r="K394" s="971"/>
      <c r="L394" s="971"/>
      <c r="M394" s="971"/>
      <c r="N394" s="971"/>
      <c r="O394" s="971"/>
      <c r="P394" s="971"/>
      <c r="Q394" s="971"/>
      <c r="R394" s="971"/>
      <c r="S394" s="971"/>
      <c r="T394" s="971"/>
      <c r="U394" s="971"/>
      <c r="V394" s="971"/>
      <c r="W394" s="186"/>
    </row>
    <row r="395" spans="2:23" ht="18" hidden="1" customHeight="1">
      <c r="C395" s="178"/>
      <c r="D395" s="269"/>
      <c r="E395" s="269"/>
      <c r="F395" s="269"/>
      <c r="G395" s="269"/>
      <c r="H395" s="269"/>
      <c r="I395" s="269"/>
      <c r="J395" s="269"/>
      <c r="K395" s="269"/>
      <c r="L395" s="269"/>
      <c r="M395" s="269"/>
      <c r="N395" s="269"/>
      <c r="O395" s="269"/>
      <c r="P395" s="300"/>
      <c r="Q395" s="300"/>
      <c r="R395" s="282"/>
      <c r="S395" s="263"/>
      <c r="T395" s="185"/>
      <c r="U395" s="177"/>
      <c r="V395" s="282"/>
      <c r="W395" s="186"/>
    </row>
    <row r="396" spans="2:23" ht="18" hidden="1" customHeight="1">
      <c r="C396" s="178"/>
      <c r="D396" s="269"/>
      <c r="E396" s="269"/>
      <c r="F396" s="269"/>
      <c r="G396" s="269"/>
      <c r="H396" s="269"/>
      <c r="I396" s="269"/>
      <c r="J396" s="269"/>
      <c r="K396" s="269"/>
      <c r="L396" s="269"/>
      <c r="M396" s="269"/>
      <c r="N396" s="269"/>
      <c r="O396" s="269"/>
      <c r="P396" s="300"/>
      <c r="Q396" s="300"/>
      <c r="R396" s="282"/>
      <c r="S396" s="263"/>
      <c r="T396" s="185"/>
      <c r="U396" s="177"/>
      <c r="V396" s="282"/>
      <c r="W396" s="186"/>
    </row>
    <row r="397" spans="2:23" ht="18" hidden="1" customHeight="1">
      <c r="C397" s="178"/>
      <c r="D397" s="269"/>
      <c r="E397" s="269"/>
      <c r="F397" s="269"/>
      <c r="G397" s="269"/>
      <c r="H397" s="269"/>
      <c r="I397" s="269"/>
      <c r="J397" s="269"/>
      <c r="K397" s="269"/>
      <c r="L397" s="269"/>
      <c r="M397" s="269"/>
      <c r="N397" s="269"/>
      <c r="O397" s="269"/>
      <c r="P397" s="300"/>
      <c r="Q397" s="300"/>
      <c r="R397" s="282"/>
      <c r="S397" s="263"/>
      <c r="T397" s="185"/>
      <c r="U397" s="177"/>
      <c r="V397" s="282"/>
      <c r="W397" s="186"/>
    </row>
    <row r="398" spans="2:23" s="10" customFormat="1" ht="18" hidden="1" customHeight="1">
      <c r="B398" s="87"/>
      <c r="C398" s="282"/>
      <c r="D398" s="282"/>
      <c r="E398" s="282"/>
      <c r="F398" s="282"/>
      <c r="G398" s="282"/>
      <c r="H398" s="282"/>
      <c r="I398" s="282"/>
      <c r="J398" s="282"/>
      <c r="K398" s="282"/>
      <c r="L398" s="282"/>
      <c r="M398" s="282"/>
      <c r="N398" s="282"/>
      <c r="O398" s="282"/>
      <c r="P398" s="282"/>
      <c r="Q398" s="282"/>
      <c r="R398" s="282"/>
      <c r="S398" s="282"/>
      <c r="T398" s="282"/>
      <c r="U398" s="282"/>
      <c r="V398" s="282"/>
      <c r="W398" s="282"/>
    </row>
    <row r="399" spans="2:23" ht="18" hidden="1" customHeight="1">
      <c r="C399" s="178"/>
      <c r="D399" s="269"/>
      <c r="E399" s="269"/>
      <c r="F399" s="269"/>
      <c r="G399" s="269"/>
      <c r="H399" s="269"/>
      <c r="I399" s="269"/>
      <c r="J399" s="269"/>
      <c r="K399" s="269"/>
      <c r="L399" s="269"/>
      <c r="M399" s="269"/>
      <c r="N399" s="269"/>
      <c r="O399" s="269"/>
      <c r="P399" s="300"/>
      <c r="Q399" s="300"/>
      <c r="R399" s="282"/>
      <c r="S399" s="263"/>
      <c r="T399" s="185"/>
      <c r="U399" s="177"/>
      <c r="V399" s="282"/>
      <c r="W399" s="186"/>
    </row>
    <row r="400" spans="2:23" ht="18" hidden="1" customHeight="1">
      <c r="C400" s="178"/>
      <c r="D400" s="269"/>
      <c r="E400" s="269"/>
      <c r="F400" s="269"/>
      <c r="G400" s="269"/>
      <c r="H400" s="269"/>
      <c r="I400" s="269"/>
      <c r="J400" s="269"/>
      <c r="K400" s="269"/>
      <c r="L400" s="269"/>
      <c r="M400" s="269"/>
      <c r="N400" s="269"/>
      <c r="O400" s="269"/>
      <c r="P400" s="300"/>
      <c r="Q400" s="300"/>
      <c r="R400" s="282"/>
      <c r="S400" s="263"/>
      <c r="T400" s="185"/>
      <c r="U400" s="177"/>
      <c r="V400" s="282"/>
      <c r="W400" s="186"/>
    </row>
    <row r="401" spans="2:23" ht="18" hidden="1" customHeight="1">
      <c r="C401" s="178"/>
      <c r="D401" s="269"/>
      <c r="E401" s="269"/>
      <c r="F401" s="269"/>
      <c r="G401" s="269"/>
      <c r="H401" s="269"/>
      <c r="I401" s="269"/>
      <c r="J401" s="269"/>
      <c r="K401" s="269"/>
      <c r="L401" s="269"/>
      <c r="M401" s="269"/>
      <c r="N401" s="269"/>
      <c r="O401" s="269"/>
      <c r="P401" s="300"/>
      <c r="Q401" s="300"/>
      <c r="R401" s="282"/>
      <c r="S401" s="263"/>
      <c r="T401" s="185"/>
      <c r="U401" s="177"/>
      <c r="V401" s="282"/>
      <c r="W401" s="186"/>
    </row>
    <row r="402" spans="2:23" ht="18" hidden="1" customHeight="1">
      <c r="C402" s="137"/>
      <c r="D402" s="30"/>
      <c r="E402" s="30"/>
      <c r="F402" s="10"/>
      <c r="G402" s="10"/>
      <c r="H402" s="15"/>
      <c r="I402" s="15"/>
      <c r="J402" s="15"/>
      <c r="K402" s="15"/>
      <c r="L402" s="15"/>
      <c r="M402" s="15"/>
      <c r="N402" s="15"/>
      <c r="O402" s="15"/>
      <c r="P402" s="15"/>
      <c r="Q402" s="71"/>
      <c r="R402" s="84"/>
      <c r="S402" s="10"/>
      <c r="T402" s="10"/>
      <c r="U402" s="10"/>
      <c r="V402" s="10"/>
      <c r="W402" s="138"/>
    </row>
    <row r="403" spans="2:23" s="10" customFormat="1" ht="18" hidden="1" customHeight="1">
      <c r="B403" s="87"/>
      <c r="C403" s="178"/>
      <c r="D403" s="269"/>
      <c r="E403" s="269"/>
      <c r="F403" s="269"/>
      <c r="G403" s="269"/>
      <c r="H403" s="269"/>
      <c r="I403" s="269"/>
      <c r="J403" s="269"/>
      <c r="K403" s="269"/>
      <c r="L403" s="269"/>
      <c r="M403" s="269"/>
      <c r="N403" s="269"/>
      <c r="O403" s="269"/>
      <c r="P403" s="300"/>
      <c r="Q403" s="300"/>
      <c r="R403" s="282"/>
      <c r="S403" s="263"/>
      <c r="T403" s="185"/>
      <c r="U403" s="177"/>
      <c r="V403" s="282"/>
      <c r="W403" s="186"/>
    </row>
    <row r="404" spans="2:23" s="10" customFormat="1" ht="18" hidden="1" customHeight="1">
      <c r="B404" s="87"/>
      <c r="C404" s="178"/>
      <c r="D404" s="269"/>
      <c r="E404" s="269"/>
      <c r="F404" s="269"/>
      <c r="G404" s="269"/>
      <c r="H404" s="269"/>
      <c r="I404" s="269"/>
      <c r="J404" s="269"/>
      <c r="K404" s="269"/>
      <c r="L404" s="269"/>
      <c r="M404" s="269"/>
      <c r="N404" s="269"/>
      <c r="O404" s="269"/>
      <c r="P404" s="300"/>
      <c r="Q404" s="300"/>
      <c r="R404" s="282"/>
      <c r="S404" s="263"/>
      <c r="T404" s="185"/>
      <c r="U404" s="177"/>
      <c r="V404" s="282"/>
      <c r="W404" s="186"/>
    </row>
    <row r="405" spans="2:23" ht="18" hidden="1" customHeight="1">
      <c r="C405" s="178"/>
      <c r="D405" s="269"/>
      <c r="E405" s="269"/>
      <c r="F405" s="269"/>
      <c r="G405" s="269"/>
      <c r="H405" s="269"/>
      <c r="I405" s="269"/>
      <c r="J405" s="269"/>
      <c r="K405" s="269"/>
      <c r="L405" s="269"/>
      <c r="M405" s="269"/>
      <c r="N405" s="269"/>
      <c r="O405" s="269"/>
      <c r="P405" s="300"/>
      <c r="Q405" s="300"/>
      <c r="R405" s="282"/>
      <c r="S405" s="263"/>
      <c r="T405" s="185"/>
      <c r="U405" s="177"/>
      <c r="V405" s="282"/>
      <c r="W405" s="186"/>
    </row>
    <row r="406" spans="2:23" ht="18" hidden="1" customHeight="1">
      <c r="C406" s="178"/>
      <c r="D406" s="269"/>
      <c r="E406" s="269"/>
      <c r="F406" s="269"/>
      <c r="G406" s="269"/>
      <c r="H406" s="269"/>
      <c r="I406" s="269"/>
      <c r="J406" s="269"/>
      <c r="K406" s="269"/>
      <c r="L406" s="269"/>
      <c r="M406" s="269"/>
      <c r="N406" s="269"/>
      <c r="O406" s="269"/>
      <c r="P406" s="300"/>
      <c r="Q406" s="300"/>
      <c r="R406" s="282"/>
      <c r="S406" s="263"/>
      <c r="T406" s="185"/>
      <c r="U406" s="177"/>
      <c r="V406" s="282"/>
      <c r="W406" s="186"/>
    </row>
    <row r="407" spans="2:23" s="10" customFormat="1" ht="18" hidden="1" customHeight="1">
      <c r="B407" s="87"/>
      <c r="C407" s="178"/>
      <c r="D407" s="269"/>
      <c r="E407" s="269"/>
      <c r="F407" s="269"/>
      <c r="G407" s="269"/>
      <c r="H407" s="269"/>
      <c r="I407" s="269"/>
      <c r="J407" s="269"/>
      <c r="K407" s="269"/>
      <c r="L407" s="269"/>
      <c r="M407" s="269"/>
      <c r="N407" s="269"/>
      <c r="O407" s="269"/>
      <c r="P407" s="300"/>
      <c r="Q407" s="300"/>
      <c r="R407" s="282"/>
      <c r="S407" s="263"/>
      <c r="T407" s="185"/>
      <c r="U407" s="177"/>
      <c r="V407" s="282"/>
      <c r="W407" s="186"/>
    </row>
    <row r="408" spans="2:23" ht="18" hidden="1" customHeight="1">
      <c r="C408" s="178"/>
      <c r="D408" s="332" t="s">
        <v>1310</v>
      </c>
      <c r="E408" s="269"/>
      <c r="F408" s="269"/>
      <c r="G408" s="269"/>
      <c r="H408" s="269"/>
      <c r="I408" s="269"/>
      <c r="J408" s="269"/>
      <c r="K408" s="269"/>
      <c r="L408" s="269"/>
      <c r="M408" s="269"/>
      <c r="N408" s="269"/>
      <c r="O408" s="269"/>
      <c r="P408" s="300"/>
      <c r="Q408" s="300"/>
      <c r="R408" s="333"/>
      <c r="S408" s="289"/>
      <c r="T408" s="289"/>
      <c r="U408" s="289"/>
      <c r="V408" s="334"/>
      <c r="W408" s="186"/>
    </row>
    <row r="409" spans="2:23" ht="18" hidden="1" customHeight="1">
      <c r="C409" s="178"/>
      <c r="D409" s="269"/>
      <c r="E409" s="269"/>
      <c r="F409" s="269"/>
      <c r="G409" s="269"/>
      <c r="H409" s="269"/>
      <c r="I409" s="269"/>
      <c r="J409" s="269"/>
      <c r="K409" s="269"/>
      <c r="L409" s="269"/>
      <c r="M409" s="269"/>
      <c r="N409" s="269"/>
      <c r="O409" s="269"/>
      <c r="P409" s="300"/>
      <c r="Q409" s="300"/>
      <c r="R409" s="282"/>
      <c r="S409" s="263"/>
      <c r="T409" s="185"/>
      <c r="U409" s="177"/>
      <c r="V409" s="364"/>
      <c r="W409" s="186"/>
    </row>
    <row r="410" spans="2:23" ht="18" hidden="1" customHeight="1" thickBot="1">
      <c r="C410" s="178"/>
      <c r="D410" s="177" t="str">
        <f>'Full Report'!C59</f>
        <v xml:space="preserve"> </v>
      </c>
      <c r="E410" s="177"/>
      <c r="F410" s="177"/>
      <c r="G410" s="177"/>
      <c r="H410" s="177"/>
      <c r="I410" s="177"/>
      <c r="J410" s="177"/>
      <c r="K410" s="177"/>
      <c r="L410" s="177"/>
      <c r="M410" s="177"/>
      <c r="N410" s="177"/>
      <c r="O410" s="177"/>
      <c r="P410" s="177"/>
      <c r="Q410" s="177"/>
      <c r="R410" s="282"/>
      <c r="S410" s="263"/>
      <c r="T410" s="185"/>
      <c r="U410" s="177"/>
      <c r="V410" s="364"/>
      <c r="W410" s="186"/>
    </row>
    <row r="411" spans="2:23" ht="26.25" hidden="1" customHeight="1">
      <c r="C411" s="178"/>
      <c r="D411" s="493" t="str">
        <f>'Full Report'!C60</f>
        <v>Apparel And Footwear</v>
      </c>
      <c r="E411" s="292"/>
      <c r="F411" s="292"/>
      <c r="G411" s="292"/>
      <c r="H411" s="292"/>
      <c r="I411" s="292"/>
      <c r="J411" s="292"/>
      <c r="K411" s="292"/>
      <c r="L411" s="292"/>
      <c r="M411" s="292"/>
      <c r="N411" s="292"/>
      <c r="O411" s="292"/>
      <c r="P411" s="293" t="str">
        <f>P374</f>
        <v>Tucson (USD)</v>
      </c>
      <c r="Q411" s="294" t="str">
        <f>Q374</f>
        <v>Dubai (USD)</v>
      </c>
      <c r="R411" s="294" t="str">
        <f>R374</f>
        <v>Difference</v>
      </c>
      <c r="S411" s="471"/>
      <c r="T411" s="292"/>
      <c r="U411" s="292"/>
      <c r="V411" s="423"/>
      <c r="W411" s="186"/>
    </row>
    <row r="412" spans="2:23" ht="18" hidden="1" customHeight="1">
      <c r="C412" s="178"/>
      <c r="D412" s="298" t="str">
        <f>'Full Report'!C61</f>
        <v>1 Pair of Jeans (Levis 501 etc.)</v>
      </c>
      <c r="E412" s="269"/>
      <c r="F412" s="269"/>
      <c r="G412" s="269"/>
      <c r="H412" s="269"/>
      <c r="I412" s="269"/>
      <c r="J412" s="269"/>
      <c r="K412" s="269"/>
      <c r="L412" s="269"/>
      <c r="M412" s="269"/>
      <c r="N412" s="269"/>
      <c r="O412" s="269"/>
      <c r="P412" s="299">
        <f>'Full Report'!F61</f>
        <v>30</v>
      </c>
      <c r="Q412" s="300">
        <f>'Full Report'!H61</f>
        <v>81.680000000000007</v>
      </c>
      <c r="R412" s="494">
        <f>V412-1</f>
        <v>-0.6327130264446621</v>
      </c>
      <c r="S412" s="302"/>
      <c r="T412" s="177"/>
      <c r="U412" s="269"/>
      <c r="V412" s="423">
        <f>P412/Q412</f>
        <v>0.36728697355533785</v>
      </c>
      <c r="W412" s="186"/>
    </row>
    <row r="413" spans="2:23" ht="18" hidden="1" customHeight="1">
      <c r="C413" s="178"/>
      <c r="D413" s="302" t="str">
        <f>'Full Report'!C62</f>
        <v>1 Summer Dress in a Chain Store (Zara, H&amp;M, ...)</v>
      </c>
      <c r="E413" s="303"/>
      <c r="F413" s="304"/>
      <c r="G413" s="304"/>
      <c r="H413" s="305"/>
      <c r="I413" s="305"/>
      <c r="J413" s="306"/>
      <c r="K413" s="304"/>
      <c r="L413" s="304"/>
      <c r="M413" s="304"/>
      <c r="N413" s="304"/>
      <c r="O413" s="304"/>
      <c r="P413" s="307">
        <f>'Full Report'!F62</f>
        <v>25</v>
      </c>
      <c r="Q413" s="308">
        <f>'Full Report'!H62</f>
        <v>49.5</v>
      </c>
      <c r="R413" s="422">
        <f>V413-1</f>
        <v>-0.49494949494949492</v>
      </c>
      <c r="S413" s="298"/>
      <c r="T413" s="303"/>
      <c r="U413" s="304"/>
      <c r="V413" s="423">
        <f>P413/Q413</f>
        <v>0.50505050505050508</v>
      </c>
      <c r="W413" s="186"/>
    </row>
    <row r="414" spans="2:23" ht="18" hidden="1" customHeight="1">
      <c r="C414" s="178"/>
      <c r="D414" s="298" t="str">
        <f>'Full Report'!C63</f>
        <v>1 Pair of Sport Shoes (Nike etc.)</v>
      </c>
      <c r="E414" s="310"/>
      <c r="F414" s="214"/>
      <c r="G414" s="214"/>
      <c r="H414" s="311"/>
      <c r="I414" s="311"/>
      <c r="J414" s="311"/>
      <c r="K414" s="311"/>
      <c r="L414" s="311"/>
      <c r="M414" s="311"/>
      <c r="N414" s="311"/>
      <c r="O414" s="311"/>
      <c r="P414" s="312">
        <f>'Full Report'!F63</f>
        <v>72.5</v>
      </c>
      <c r="Q414" s="313">
        <f>'Full Report'!H63</f>
        <v>81.680000000000007</v>
      </c>
      <c r="R414" s="418">
        <f>V414-1</f>
        <v>-0.11238981390793346</v>
      </c>
      <c r="S414" s="302"/>
      <c r="T414" s="310"/>
      <c r="U414" s="214"/>
      <c r="V414" s="364">
        <f>P414/Q414</f>
        <v>0.88761018609206654</v>
      </c>
      <c r="W414" s="186"/>
    </row>
    <row r="415" spans="2:23" ht="18" hidden="1" customHeight="1">
      <c r="C415" s="178"/>
      <c r="D415" s="302" t="str">
        <f>'Full Report'!C64</f>
        <v>1 Pair of Men Leather Shoes</v>
      </c>
      <c r="E415" s="303"/>
      <c r="F415" s="304"/>
      <c r="G415" s="304"/>
      <c r="H415" s="305"/>
      <c r="I415" s="305"/>
      <c r="J415" s="306"/>
      <c r="K415" s="304"/>
      <c r="L415" s="304"/>
      <c r="M415" s="304"/>
      <c r="N415" s="304"/>
      <c r="O415" s="304"/>
      <c r="P415" s="307">
        <f>'Full Report'!F64</f>
        <v>75</v>
      </c>
      <c r="Q415" s="308">
        <f>'Full Report'!H64</f>
        <v>108.9</v>
      </c>
      <c r="R415" s="422">
        <f>V415-1</f>
        <v>-0.31129476584022042</v>
      </c>
      <c r="S415" s="302"/>
      <c r="T415" s="303"/>
      <c r="U415" s="304"/>
      <c r="V415" s="364">
        <f>P415/Q415</f>
        <v>0.68870523415977958</v>
      </c>
      <c r="W415" s="186"/>
    </row>
    <row r="416" spans="2:23" ht="18" hidden="1" customHeight="1" thickBot="1">
      <c r="C416" s="178"/>
      <c r="D416" s="398" t="s">
        <v>1280</v>
      </c>
      <c r="E416" s="495"/>
      <c r="F416" s="496"/>
      <c r="G416" s="496"/>
      <c r="H416" s="497"/>
      <c r="I416" s="497"/>
      <c r="J416" s="497"/>
      <c r="K416" s="497"/>
      <c r="L416" s="497"/>
      <c r="M416" s="497"/>
      <c r="N416" s="497"/>
      <c r="O416" s="497"/>
      <c r="P416" s="498">
        <f>SUM(P412:P415)</f>
        <v>202.5</v>
      </c>
      <c r="Q416" s="499">
        <f>SUM(Q412:Q415)</f>
        <v>321.76</v>
      </c>
      <c r="R416" s="500">
        <f>V416-1</f>
        <v>-0.37064893088015916</v>
      </c>
      <c r="S416" s="298"/>
      <c r="T416" s="310"/>
      <c r="U416" s="214"/>
      <c r="V416" s="423">
        <f>P416/Q416</f>
        <v>0.62935106911984084</v>
      </c>
      <c r="W416" s="186"/>
    </row>
    <row r="417" spans="3:24" ht="18" hidden="1" customHeight="1" thickTop="1">
      <c r="C417" s="178"/>
      <c r="D417" s="177"/>
      <c r="E417" s="177"/>
      <c r="F417" s="177"/>
      <c r="G417" s="177"/>
      <c r="H417" s="177"/>
      <c r="I417" s="177"/>
      <c r="J417" s="177"/>
      <c r="K417" s="177"/>
      <c r="L417" s="177"/>
      <c r="M417" s="177"/>
      <c r="N417" s="177"/>
      <c r="O417" s="177"/>
      <c r="P417" s="177"/>
      <c r="Q417" s="177"/>
      <c r="R417" s="177"/>
      <c r="S417" s="177"/>
      <c r="T417" s="177"/>
      <c r="U417" s="177"/>
      <c r="V417" s="423"/>
      <c r="W417" s="186"/>
    </row>
    <row r="418" spans="3:24" ht="51" hidden="1" customHeight="1">
      <c r="C418" s="178"/>
      <c r="D418" s="969" t="str">
        <f>IF(T747=392,D756,D758)</f>
        <v xml:space="preserve">Overall, based on 3 items in the Apparel and Footwear category, the cost of these items in Tucson, AZ, United States is 37.06% lower than in Dubai, United Arab Emirates. Clearly, on average it is more cheaper to spend money for clothing and shoes in Tucson. </v>
      </c>
      <c r="E418" s="969"/>
      <c r="F418" s="969"/>
      <c r="G418" s="969"/>
      <c r="H418" s="969"/>
      <c r="I418" s="969"/>
      <c r="J418" s="969"/>
      <c r="K418" s="969"/>
      <c r="L418" s="969"/>
      <c r="M418" s="969"/>
      <c r="N418" s="969"/>
      <c r="O418" s="969"/>
      <c r="P418" s="969"/>
      <c r="Q418" s="969"/>
      <c r="R418" s="969"/>
      <c r="S418" s="969"/>
      <c r="T418" s="969"/>
      <c r="U418" s="969"/>
      <c r="V418" s="969"/>
      <c r="W418" s="186"/>
    </row>
    <row r="419" spans="3:24" ht="59.25" hidden="1" customHeight="1">
      <c r="C419" s="178"/>
      <c r="D419" s="969" t="str">
        <f>IF(T747=392,D756,D759)</f>
        <v xml:space="preserve"> All items under this category have lower price than in Dubai. 1 Pair of Jeans (Levis 501 etc.) is the cheapest item in comparison to Dubai. Its cost is 63.27% higher than in Dubai, United Arab Emirates.</v>
      </c>
      <c r="E419" s="969"/>
      <c r="F419" s="969"/>
      <c r="G419" s="969"/>
      <c r="H419" s="969"/>
      <c r="I419" s="969"/>
      <c r="J419" s="969"/>
      <c r="K419" s="969"/>
      <c r="L419" s="969"/>
      <c r="M419" s="969"/>
      <c r="N419" s="969"/>
      <c r="O419" s="969"/>
      <c r="P419" s="969"/>
      <c r="Q419" s="969"/>
      <c r="R419" s="969"/>
      <c r="S419" s="969"/>
      <c r="T419" s="969"/>
      <c r="U419" s="969"/>
      <c r="V419" s="969"/>
      <c r="W419" s="186"/>
      <c r="X419" s="10">
        <f>X65</f>
        <v>0</v>
      </c>
    </row>
    <row r="420" spans="3:24" ht="10.5" hidden="1" customHeight="1">
      <c r="C420" s="178"/>
      <c r="D420" s="214"/>
      <c r="E420" s="214"/>
      <c r="F420" s="319"/>
      <c r="G420" s="320"/>
      <c r="H420" s="319"/>
      <c r="I420" s="214"/>
      <c r="J420" s="262"/>
      <c r="K420" s="262"/>
      <c r="L420" s="262"/>
      <c r="M420" s="262"/>
      <c r="N420" s="262"/>
      <c r="O420" s="262"/>
      <c r="P420" s="321"/>
      <c r="Q420" s="322"/>
      <c r="R420" s="184"/>
      <c r="S420" s="180"/>
      <c r="T420" s="185"/>
      <c r="U420" s="180"/>
      <c r="V420" s="177"/>
      <c r="W420" s="186"/>
    </row>
    <row r="421" spans="3:24" ht="18" hidden="1" customHeight="1">
      <c r="C421" s="178"/>
      <c r="D421" s="214"/>
      <c r="E421" s="214"/>
      <c r="F421" s="319"/>
      <c r="G421" s="320"/>
      <c r="H421" s="319"/>
      <c r="I421" s="214"/>
      <c r="J421" s="262"/>
      <c r="K421" s="262"/>
      <c r="L421" s="262"/>
      <c r="M421" s="262"/>
      <c r="N421" s="262"/>
      <c r="O421" s="262"/>
      <c r="P421" s="321"/>
      <c r="Q421" s="322"/>
      <c r="R421" s="184"/>
      <c r="S421" s="180"/>
      <c r="T421" s="185"/>
      <c r="U421" s="180"/>
      <c r="V421" s="177"/>
      <c r="W421" s="186"/>
    </row>
    <row r="422" spans="3:24" ht="18" hidden="1" customHeight="1">
      <c r="C422" s="178"/>
      <c r="D422" s="214"/>
      <c r="E422" s="214"/>
      <c r="F422" s="319"/>
      <c r="G422" s="320"/>
      <c r="H422" s="319"/>
      <c r="I422" s="214"/>
      <c r="J422" s="262"/>
      <c r="K422" s="262"/>
      <c r="L422" s="262"/>
      <c r="M422" s="262"/>
      <c r="N422" s="262"/>
      <c r="O422" s="262"/>
      <c r="P422" s="321"/>
      <c r="Q422" s="322"/>
      <c r="R422" s="184"/>
      <c r="S422" s="180"/>
      <c r="T422" s="185"/>
      <c r="U422" s="180"/>
      <c r="V422" s="177"/>
      <c r="W422" s="186"/>
    </row>
    <row r="423" spans="3:24" ht="18" hidden="1" customHeight="1">
      <c r="C423" s="178"/>
      <c r="D423" s="214"/>
      <c r="E423" s="214"/>
      <c r="F423" s="319"/>
      <c r="G423" s="320"/>
      <c r="H423" s="319"/>
      <c r="I423" s="214"/>
      <c r="J423" s="262"/>
      <c r="K423" s="262"/>
      <c r="L423" s="262"/>
      <c r="M423" s="262"/>
      <c r="N423" s="262"/>
      <c r="O423" s="262"/>
      <c r="P423" s="321"/>
      <c r="Q423" s="322"/>
      <c r="R423" s="184"/>
      <c r="S423" s="180"/>
      <c r="T423" s="185"/>
      <c r="U423" s="180"/>
      <c r="V423" s="177"/>
      <c r="W423" s="186"/>
    </row>
    <row r="424" spans="3:24" ht="18" hidden="1" customHeight="1">
      <c r="C424" s="178"/>
      <c r="D424" s="214"/>
      <c r="E424" s="214"/>
      <c r="F424" s="319"/>
      <c r="G424" s="320"/>
      <c r="H424" s="319"/>
      <c r="I424" s="182"/>
      <c r="J424" s="262"/>
      <c r="K424" s="262"/>
      <c r="L424" s="262"/>
      <c r="M424" s="262"/>
      <c r="N424" s="262"/>
      <c r="O424" s="262"/>
      <c r="P424" s="321"/>
      <c r="Q424" s="322"/>
      <c r="R424" s="184"/>
      <c r="S424" s="180"/>
      <c r="T424" s="180"/>
      <c r="U424" s="180"/>
      <c r="V424" s="177"/>
      <c r="W424" s="186"/>
    </row>
    <row r="425" spans="3:24" ht="18" hidden="1" customHeight="1">
      <c r="C425" s="178"/>
      <c r="D425" s="214"/>
      <c r="E425" s="214"/>
      <c r="F425" s="319"/>
      <c r="G425" s="320"/>
      <c r="H425" s="319"/>
      <c r="I425" s="182"/>
      <c r="J425" s="262"/>
      <c r="K425" s="262"/>
      <c r="L425" s="262"/>
      <c r="M425" s="262"/>
      <c r="N425" s="262"/>
      <c r="O425" s="262"/>
      <c r="P425" s="321"/>
      <c r="Q425" s="322"/>
      <c r="R425" s="184"/>
      <c r="S425" s="180"/>
      <c r="T425" s="180"/>
      <c r="U425" s="180"/>
      <c r="V425" s="177"/>
      <c r="W425" s="186"/>
    </row>
    <row r="426" spans="3:24" ht="18" hidden="1" customHeight="1">
      <c r="C426" s="178"/>
      <c r="D426" s="332"/>
      <c r="E426" s="332"/>
      <c r="F426" s="332"/>
      <c r="G426" s="332"/>
      <c r="H426" s="332"/>
      <c r="I426" s="332"/>
      <c r="J426" s="332"/>
      <c r="K426" s="332"/>
      <c r="L426" s="332"/>
      <c r="M426" s="332"/>
      <c r="N426" s="332"/>
      <c r="O426" s="332"/>
      <c r="P426" s="332"/>
      <c r="Q426" s="332"/>
      <c r="R426" s="332"/>
      <c r="S426" s="332"/>
      <c r="T426" s="332"/>
      <c r="U426" s="332"/>
      <c r="V426" s="332"/>
      <c r="W426" s="186"/>
    </row>
    <row r="427" spans="3:24" ht="18" hidden="1" customHeight="1">
      <c r="C427" s="178"/>
      <c r="D427" s="269"/>
      <c r="E427" s="269"/>
      <c r="F427" s="177"/>
      <c r="G427" s="177"/>
      <c r="H427" s="266"/>
      <c r="I427" s="266"/>
      <c r="J427" s="266"/>
      <c r="K427" s="266"/>
      <c r="L427" s="266"/>
      <c r="M427" s="266"/>
      <c r="N427" s="266"/>
      <c r="O427" s="266"/>
      <c r="P427" s="266"/>
      <c r="Q427" s="270"/>
      <c r="R427" s="325"/>
      <c r="S427" s="271"/>
      <c r="T427" s="177"/>
      <c r="U427" s="177"/>
      <c r="V427" s="177"/>
      <c r="W427" s="186"/>
    </row>
    <row r="428" spans="3:24" ht="18" hidden="1" customHeight="1">
      <c r="C428" s="178"/>
      <c r="D428" s="269"/>
      <c r="E428" s="269"/>
      <c r="F428" s="269"/>
      <c r="G428" s="269"/>
      <c r="H428" s="269"/>
      <c r="I428" s="269"/>
      <c r="J428" s="269"/>
      <c r="K428" s="269"/>
      <c r="L428" s="269"/>
      <c r="M428" s="269"/>
      <c r="N428" s="269"/>
      <c r="O428" s="269"/>
      <c r="P428" s="300"/>
      <c r="Q428" s="300"/>
      <c r="R428" s="282"/>
      <c r="S428" s="263"/>
      <c r="T428" s="185"/>
      <c r="U428" s="177"/>
      <c r="V428" s="282"/>
      <c r="W428" s="186"/>
    </row>
    <row r="429" spans="3:24" ht="18" hidden="1" customHeight="1">
      <c r="C429" s="178"/>
      <c r="D429" s="269"/>
      <c r="E429" s="269"/>
      <c r="F429" s="269"/>
      <c r="G429" s="269"/>
      <c r="H429" s="269"/>
      <c r="I429" s="269"/>
      <c r="J429" s="269"/>
      <c r="K429" s="269"/>
      <c r="L429" s="269"/>
      <c r="M429" s="269"/>
      <c r="N429" s="269"/>
      <c r="O429" s="269"/>
      <c r="P429" s="300"/>
      <c r="Q429" s="300"/>
      <c r="R429" s="282"/>
      <c r="S429" s="263"/>
      <c r="T429" s="185"/>
      <c r="U429" s="177"/>
      <c r="V429" s="282"/>
      <c r="W429" s="186"/>
    </row>
    <row r="430" spans="3:24" ht="18" hidden="1" customHeight="1">
      <c r="C430" s="178"/>
      <c r="D430" s="269"/>
      <c r="E430" s="269"/>
      <c r="F430" s="269"/>
      <c r="G430" s="269"/>
      <c r="H430" s="269"/>
      <c r="I430" s="269"/>
      <c r="J430" s="269"/>
      <c r="K430" s="269"/>
      <c r="L430" s="269"/>
      <c r="M430" s="269"/>
      <c r="N430" s="269"/>
      <c r="O430" s="269"/>
      <c r="P430" s="300"/>
      <c r="Q430" s="300"/>
      <c r="R430" s="282"/>
      <c r="S430" s="263"/>
      <c r="T430" s="185"/>
      <c r="U430" s="177"/>
      <c r="V430" s="282"/>
      <c r="W430" s="186"/>
    </row>
    <row r="431" spans="3:24" ht="18" hidden="1" customHeight="1">
      <c r="C431" s="178"/>
      <c r="D431" s="269"/>
      <c r="E431" s="269"/>
      <c r="F431" s="269"/>
      <c r="G431" s="269"/>
      <c r="H431" s="269"/>
      <c r="I431" s="269"/>
      <c r="J431" s="269"/>
      <c r="K431" s="269"/>
      <c r="L431" s="269"/>
      <c r="M431" s="269"/>
      <c r="N431" s="269"/>
      <c r="O431" s="269"/>
      <c r="P431" s="300"/>
      <c r="Q431" s="300"/>
      <c r="R431" s="282"/>
      <c r="S431" s="263"/>
      <c r="T431" s="185"/>
      <c r="U431" s="177"/>
      <c r="V431" s="282"/>
      <c r="W431" s="186"/>
    </row>
    <row r="432" spans="3:24" ht="33" hidden="1" customHeight="1">
      <c r="C432" s="178"/>
      <c r="D432" s="269"/>
      <c r="E432" s="269"/>
      <c r="F432" s="177"/>
      <c r="G432" s="177"/>
      <c r="H432" s="266"/>
      <c r="I432" s="266"/>
      <c r="J432" s="266"/>
      <c r="K432" s="266"/>
      <c r="L432" s="266"/>
      <c r="M432" s="266"/>
      <c r="N432" s="266"/>
      <c r="O432" s="266"/>
      <c r="P432" s="266"/>
      <c r="Q432" s="270"/>
      <c r="R432" s="501"/>
      <c r="S432" s="177"/>
      <c r="T432" s="177"/>
      <c r="U432" s="177"/>
      <c r="V432" s="177"/>
      <c r="W432" s="186"/>
    </row>
    <row r="433" spans="2:24" ht="33" hidden="1" customHeight="1">
      <c r="C433" s="178"/>
      <c r="D433" s="984" t="str">
        <f>$D$354</f>
        <v>On the graph above, Dubai is set at 0%. As a result, items greater than 0% are higher than Dubai , items less than 0% are below Dubai and items equal to 0% shared a same price.</v>
      </c>
      <c r="E433" s="984"/>
      <c r="F433" s="984"/>
      <c r="G433" s="984"/>
      <c r="H433" s="984"/>
      <c r="I433" s="984"/>
      <c r="J433" s="984"/>
      <c r="K433" s="984"/>
      <c r="L433" s="984"/>
      <c r="M433" s="984"/>
      <c r="N433" s="984"/>
      <c r="O433" s="984"/>
      <c r="P433" s="984"/>
      <c r="Q433" s="984"/>
      <c r="R433" s="984"/>
      <c r="S433" s="984"/>
      <c r="T433" s="984"/>
      <c r="U433" s="984"/>
      <c r="V433" s="984"/>
      <c r="W433" s="186"/>
    </row>
    <row r="434" spans="2:24" ht="33" hidden="1" customHeight="1">
      <c r="C434" s="178"/>
      <c r="D434" s="501"/>
      <c r="E434" s="501"/>
      <c r="F434" s="501"/>
      <c r="G434" s="501"/>
      <c r="H434" s="501"/>
      <c r="I434" s="501"/>
      <c r="J434" s="501"/>
      <c r="K434" s="501"/>
      <c r="L434" s="501"/>
      <c r="M434" s="501"/>
      <c r="N434" s="501"/>
      <c r="O434" s="501"/>
      <c r="P434" s="501"/>
      <c r="Q434" s="501"/>
      <c r="R434" s="501"/>
      <c r="S434" s="501"/>
      <c r="T434" s="501"/>
      <c r="U434" s="501"/>
      <c r="V434" s="501"/>
      <c r="W434" s="186"/>
    </row>
    <row r="435" spans="2:24" ht="24.95" hidden="1" customHeight="1">
      <c r="C435" s="178"/>
      <c r="D435" s="501"/>
      <c r="E435" s="501"/>
      <c r="F435" s="501"/>
      <c r="G435" s="501"/>
      <c r="H435" s="501"/>
      <c r="I435" s="501"/>
      <c r="J435" s="501"/>
      <c r="K435" s="501"/>
      <c r="L435" s="501"/>
      <c r="M435" s="501"/>
      <c r="N435" s="501"/>
      <c r="O435" s="501"/>
      <c r="P435" s="501"/>
      <c r="Q435" s="501"/>
      <c r="R435" s="501"/>
      <c r="S435" s="501"/>
      <c r="T435" s="501"/>
      <c r="U435" s="501"/>
      <c r="V435" s="501"/>
      <c r="W435" s="186"/>
    </row>
    <row r="436" spans="2:24" ht="24.95" hidden="1" customHeight="1">
      <c r="C436" s="178"/>
      <c r="D436" s="501"/>
      <c r="E436" s="501"/>
      <c r="F436" s="501"/>
      <c r="G436" s="501"/>
      <c r="H436" s="501"/>
      <c r="I436" s="501"/>
      <c r="J436" s="501"/>
      <c r="K436" s="501"/>
      <c r="L436" s="501"/>
      <c r="M436" s="501"/>
      <c r="N436" s="501"/>
      <c r="O436" s="501"/>
      <c r="P436" s="501"/>
      <c r="Q436" s="501"/>
      <c r="R436" s="501"/>
      <c r="S436" s="501"/>
      <c r="T436" s="501"/>
      <c r="U436" s="501"/>
      <c r="V436" s="501"/>
      <c r="W436" s="186"/>
    </row>
    <row r="437" spans="2:24" ht="24.95" hidden="1" customHeight="1">
      <c r="C437" s="137"/>
      <c r="D437" s="30"/>
      <c r="E437" s="30"/>
      <c r="F437" s="10"/>
      <c r="G437" s="10"/>
      <c r="H437" s="15"/>
      <c r="I437" s="15"/>
      <c r="J437" s="15"/>
      <c r="K437" s="15"/>
      <c r="L437" s="15"/>
      <c r="M437" s="15"/>
      <c r="N437" s="15"/>
      <c r="O437" s="15"/>
      <c r="P437" s="15"/>
      <c r="Q437" s="71"/>
      <c r="R437" s="84"/>
      <c r="S437" s="10"/>
      <c r="T437" s="10"/>
      <c r="U437" s="10"/>
      <c r="V437" s="10"/>
      <c r="W437" s="138"/>
    </row>
    <row r="438" spans="2:24" s="10" customFormat="1" ht="24.95" hidden="1" customHeight="1">
      <c r="B438" s="87"/>
      <c r="C438" s="178"/>
      <c r="D438" s="970"/>
      <c r="E438" s="970"/>
      <c r="F438" s="970"/>
      <c r="G438" s="970"/>
      <c r="H438" s="970"/>
      <c r="I438" s="970"/>
      <c r="J438" s="970"/>
      <c r="K438" s="970"/>
      <c r="L438" s="970"/>
      <c r="M438" s="970"/>
      <c r="N438" s="970"/>
      <c r="O438" s="970"/>
      <c r="P438" s="970"/>
      <c r="Q438" s="970"/>
      <c r="R438" s="970"/>
      <c r="S438" s="501"/>
      <c r="T438" s="501"/>
      <c r="U438" s="501"/>
      <c r="V438" s="501"/>
      <c r="W438" s="186"/>
    </row>
    <row r="439" spans="2:24" ht="15" hidden="1" customHeight="1">
      <c r="B439" s="83"/>
      <c r="C439" s="178"/>
      <c r="D439" s="269"/>
      <c r="E439" s="269"/>
      <c r="F439" s="177"/>
      <c r="G439" s="177"/>
      <c r="H439" s="266"/>
      <c r="I439" s="266"/>
      <c r="J439" s="266"/>
      <c r="K439" s="266"/>
      <c r="L439" s="266"/>
      <c r="M439" s="266"/>
      <c r="N439" s="266"/>
      <c r="O439" s="266"/>
      <c r="P439" s="266"/>
      <c r="Q439" s="270"/>
      <c r="R439" s="501"/>
      <c r="S439" s="501"/>
      <c r="T439" s="501"/>
      <c r="U439" s="501"/>
      <c r="V439" s="501"/>
      <c r="W439" s="501"/>
      <c r="X439" s="83"/>
    </row>
    <row r="440" spans="2:24" ht="15" hidden="1" customHeight="1">
      <c r="C440" s="178"/>
      <c r="D440" s="501"/>
      <c r="E440" s="501"/>
      <c r="F440" s="501"/>
      <c r="G440" s="501"/>
      <c r="H440" s="501"/>
      <c r="I440" s="501"/>
      <c r="J440" s="501"/>
      <c r="K440" s="501"/>
      <c r="L440" s="501"/>
      <c r="M440" s="501"/>
      <c r="N440" s="501"/>
      <c r="O440" s="501"/>
      <c r="P440" s="501"/>
      <c r="Q440" s="501"/>
      <c r="R440" s="501"/>
      <c r="S440" s="501"/>
      <c r="T440" s="501"/>
      <c r="U440" s="501"/>
      <c r="V440" s="501"/>
      <c r="W440" s="186"/>
    </row>
    <row r="441" spans="2:24" ht="15" hidden="1" customHeight="1">
      <c r="C441" s="178"/>
      <c r="D441" s="501"/>
      <c r="E441" s="501"/>
      <c r="F441" s="501"/>
      <c r="G441" s="501"/>
      <c r="H441" s="501"/>
      <c r="I441" s="501"/>
      <c r="J441" s="501"/>
      <c r="K441" s="501"/>
      <c r="L441" s="501"/>
      <c r="M441" s="501"/>
      <c r="N441" s="501"/>
      <c r="O441" s="501"/>
      <c r="P441" s="501"/>
      <c r="Q441" s="501"/>
      <c r="R441" s="501"/>
      <c r="S441" s="501"/>
      <c r="T441" s="501"/>
      <c r="U441" s="501"/>
      <c r="V441" s="501"/>
      <c r="W441" s="186"/>
    </row>
    <row r="442" spans="2:24" ht="54.75" hidden="1" customHeight="1">
      <c r="C442" s="178"/>
      <c r="D442" s="665" t="s">
        <v>1340</v>
      </c>
      <c r="E442" s="501"/>
      <c r="F442" s="501"/>
      <c r="G442" s="501"/>
      <c r="H442" s="501"/>
      <c r="I442" s="501"/>
      <c r="J442" s="501"/>
      <c r="K442" s="501"/>
      <c r="L442" s="501"/>
      <c r="M442" s="501"/>
      <c r="N442" s="501"/>
      <c r="O442" s="501"/>
      <c r="P442" s="266"/>
      <c r="Q442" s="501"/>
      <c r="R442" s="501"/>
      <c r="S442" s="501"/>
      <c r="T442" s="501"/>
      <c r="U442" s="501"/>
      <c r="V442" s="501"/>
      <c r="W442" s="186"/>
    </row>
    <row r="443" spans="2:24" ht="36.75" hidden="1" customHeight="1">
      <c r="C443" s="178"/>
      <c r="D443" s="666" t="s">
        <v>1341</v>
      </c>
      <c r="E443" s="501"/>
      <c r="F443" s="501"/>
      <c r="G443" s="501"/>
      <c r="H443" s="501"/>
      <c r="I443" s="501"/>
      <c r="J443" s="501"/>
      <c r="K443" s="501"/>
      <c r="L443" s="501"/>
      <c r="M443" s="501"/>
      <c r="N443" s="501"/>
      <c r="O443" s="501"/>
      <c r="P443" s="501"/>
      <c r="Q443" s="501"/>
      <c r="R443" s="501"/>
      <c r="S443" s="501"/>
      <c r="T443" s="501"/>
      <c r="U443" s="501"/>
      <c r="V443" s="501"/>
      <c r="W443" s="186"/>
    </row>
    <row r="444" spans="2:24" ht="24.95" hidden="1" customHeight="1">
      <c r="C444" s="178"/>
      <c r="D444" s="501"/>
      <c r="E444" s="501"/>
      <c r="F444" s="501"/>
      <c r="G444" s="501"/>
      <c r="H444" s="501"/>
      <c r="I444" s="501"/>
      <c r="J444" s="501"/>
      <c r="K444" s="501"/>
      <c r="L444" s="501"/>
      <c r="M444" s="501"/>
      <c r="N444" s="501"/>
      <c r="O444" s="501"/>
      <c r="P444" s="501"/>
      <c r="Q444" s="501"/>
      <c r="R444" s="501"/>
      <c r="S444" s="501"/>
      <c r="T444" s="501"/>
      <c r="U444" s="501"/>
      <c r="V444" s="501"/>
      <c r="W444" s="186"/>
    </row>
    <row r="445" spans="2:24" ht="24.95" hidden="1" customHeight="1">
      <c r="C445" s="178"/>
      <c r="D445" s="952" t="s">
        <v>1343</v>
      </c>
      <c r="E445" s="952"/>
      <c r="F445" s="952"/>
      <c r="G445" s="952"/>
      <c r="H445" s="952"/>
      <c r="I445" s="952"/>
      <c r="J445" s="952"/>
      <c r="K445" s="952"/>
      <c r="L445" s="952"/>
      <c r="M445" s="952"/>
      <c r="N445" s="952"/>
      <c r="O445" s="952"/>
      <c r="P445" s="952"/>
      <c r="Q445" s="952"/>
      <c r="R445" s="952"/>
      <c r="S445" s="952"/>
      <c r="T445" s="952"/>
      <c r="U445" s="952"/>
      <c r="V445" s="952"/>
      <c r="W445" s="186"/>
    </row>
    <row r="446" spans="2:24" ht="24.95" hidden="1" customHeight="1">
      <c r="C446" s="178"/>
      <c r="D446" s="502"/>
      <c r="E446" s="502"/>
      <c r="F446" s="502"/>
      <c r="G446" s="502"/>
      <c r="H446" s="502"/>
      <c r="I446" s="502"/>
      <c r="J446" s="502"/>
      <c r="K446" s="502"/>
      <c r="L446" s="502"/>
      <c r="M446" s="502"/>
      <c r="N446" s="502"/>
      <c r="O446" s="502"/>
      <c r="P446" s="502"/>
      <c r="Q446" s="502"/>
      <c r="R446" s="502"/>
      <c r="S446" s="502"/>
      <c r="T446" s="502"/>
      <c r="U446" s="502"/>
      <c r="V446" s="502"/>
      <c r="W446" s="186"/>
    </row>
    <row r="447" spans="2:24" ht="45" hidden="1" customHeight="1">
      <c r="C447" s="178"/>
      <c r="D447" s="970" t="s">
        <v>1306</v>
      </c>
      <c r="E447" s="970"/>
      <c r="F447" s="970"/>
      <c r="G447" s="970"/>
      <c r="H447" s="970"/>
      <c r="I447" s="970"/>
      <c r="J447" s="970"/>
      <c r="K447" s="970"/>
      <c r="L447" s="970"/>
      <c r="M447" s="970"/>
      <c r="N447" s="970"/>
      <c r="O447" s="970"/>
      <c r="P447" s="970"/>
      <c r="Q447" s="970"/>
      <c r="R447" s="970"/>
      <c r="S447" s="502"/>
      <c r="T447" s="502"/>
      <c r="U447" s="502"/>
      <c r="V447" s="502"/>
      <c r="W447" s="186"/>
    </row>
    <row r="448" spans="2:24" ht="13.5" hidden="1" customHeight="1">
      <c r="C448" s="178"/>
      <c r="D448" s="269"/>
      <c r="E448" s="269"/>
      <c r="F448" s="177"/>
      <c r="G448" s="177"/>
      <c r="H448" s="266"/>
      <c r="I448" s="266"/>
      <c r="J448" s="266"/>
      <c r="K448" s="266"/>
      <c r="L448" s="266"/>
      <c r="M448" s="266"/>
      <c r="N448" s="266"/>
      <c r="O448" s="266"/>
      <c r="P448" s="266"/>
      <c r="Q448" s="270"/>
      <c r="R448" s="501"/>
      <c r="S448" s="271"/>
      <c r="T448" s="177"/>
      <c r="U448" s="177"/>
      <c r="V448" s="177"/>
      <c r="W448" s="186"/>
    </row>
    <row r="449" spans="1:23" ht="98.25" hidden="1" customHeight="1">
      <c r="C449" s="178"/>
      <c r="D449" s="970" t="s">
        <v>1281</v>
      </c>
      <c r="E449" s="970"/>
      <c r="F449" s="970"/>
      <c r="G449" s="970"/>
      <c r="H449" s="970"/>
      <c r="I449" s="970"/>
      <c r="J449" s="970"/>
      <c r="K449" s="970"/>
      <c r="L449" s="970"/>
      <c r="M449" s="970"/>
      <c r="N449" s="970"/>
      <c r="O449" s="970"/>
      <c r="P449" s="970"/>
      <c r="Q449" s="970"/>
      <c r="R449" s="970"/>
      <c r="S449" s="503"/>
      <c r="T449" s="503"/>
      <c r="U449" s="503"/>
      <c r="V449" s="503"/>
      <c r="W449" s="186"/>
    </row>
    <row r="450" spans="1:23" ht="16.5" hidden="1" customHeight="1">
      <c r="C450" s="178"/>
      <c r="D450" s="504"/>
      <c r="E450" s="504"/>
      <c r="F450" s="504"/>
      <c r="G450" s="504"/>
      <c r="H450" s="504"/>
      <c r="I450" s="504"/>
      <c r="J450" s="504"/>
      <c r="K450" s="504"/>
      <c r="L450" s="504"/>
      <c r="M450" s="504"/>
      <c r="N450" s="504"/>
      <c r="O450" s="504"/>
      <c r="P450" s="504"/>
      <c r="Q450" s="504"/>
      <c r="R450" s="504"/>
      <c r="S450" s="504"/>
      <c r="T450" s="504"/>
      <c r="U450" s="504"/>
      <c r="V450" s="504"/>
      <c r="W450" s="186"/>
    </row>
    <row r="451" spans="1:23" ht="154.5" hidden="1" customHeight="1">
      <c r="C451" s="178"/>
      <c r="D451" s="970" t="s">
        <v>1308</v>
      </c>
      <c r="E451" s="970"/>
      <c r="F451" s="970"/>
      <c r="G451" s="970"/>
      <c r="H451" s="970"/>
      <c r="I451" s="970"/>
      <c r="J451" s="970"/>
      <c r="K451" s="970"/>
      <c r="L451" s="970"/>
      <c r="M451" s="970"/>
      <c r="N451" s="970"/>
      <c r="O451" s="970"/>
      <c r="P451" s="970"/>
      <c r="Q451" s="970"/>
      <c r="R451" s="970"/>
      <c r="S451" s="970"/>
      <c r="T451" s="970"/>
      <c r="U451" s="970"/>
      <c r="V451" s="970"/>
      <c r="W451" s="186"/>
    </row>
    <row r="452" spans="1:23" ht="19.5" hidden="1" customHeight="1">
      <c r="C452" s="178"/>
      <c r="D452" s="954"/>
      <c r="E452" s="954"/>
      <c r="F452" s="954"/>
      <c r="G452" s="954"/>
      <c r="H452" s="954"/>
      <c r="I452" s="954"/>
      <c r="J452" s="954"/>
      <c r="K452" s="954"/>
      <c r="L452" s="954"/>
      <c r="M452" s="954"/>
      <c r="N452" s="954"/>
      <c r="O452" s="954"/>
      <c r="P452" s="954"/>
      <c r="Q452" s="954"/>
      <c r="R452" s="954"/>
      <c r="S452" s="954"/>
      <c r="T452" s="954"/>
      <c r="U452" s="954"/>
      <c r="V452" s="954"/>
      <c r="W452" s="186"/>
    </row>
    <row r="453" spans="1:23" ht="96" hidden="1" customHeight="1">
      <c r="C453" s="178"/>
      <c r="D453" s="970" t="s">
        <v>1344</v>
      </c>
      <c r="E453" s="970"/>
      <c r="F453" s="970"/>
      <c r="G453" s="970"/>
      <c r="H453" s="970"/>
      <c r="I453" s="970"/>
      <c r="J453" s="970"/>
      <c r="K453" s="970"/>
      <c r="L453" s="970"/>
      <c r="M453" s="970"/>
      <c r="N453" s="970"/>
      <c r="O453" s="970"/>
      <c r="P453" s="970"/>
      <c r="Q453" s="970"/>
      <c r="R453" s="970"/>
      <c r="S453" s="970"/>
      <c r="T453" s="970"/>
      <c r="U453" s="970"/>
      <c r="V453" s="970"/>
      <c r="W453" s="186"/>
    </row>
    <row r="454" spans="1:23" ht="24.95" hidden="1" customHeight="1">
      <c r="C454" s="178"/>
      <c r="D454" s="501"/>
      <c r="E454" s="501"/>
      <c r="F454" s="501"/>
      <c r="G454" s="501"/>
      <c r="H454" s="501"/>
      <c r="I454" s="501"/>
      <c r="J454" s="501"/>
      <c r="K454" s="501"/>
      <c r="L454" s="501"/>
      <c r="M454" s="501"/>
      <c r="N454" s="501"/>
      <c r="O454" s="501"/>
      <c r="P454" s="501"/>
      <c r="Q454" s="501"/>
      <c r="R454" s="501"/>
      <c r="S454" s="501"/>
      <c r="T454" s="501"/>
      <c r="U454" s="501"/>
      <c r="V454" s="501"/>
      <c r="W454" s="186"/>
    </row>
    <row r="455" spans="1:23" ht="24.95" hidden="1" customHeight="1">
      <c r="A455" s="136"/>
      <c r="C455" s="178"/>
      <c r="D455" s="501"/>
      <c r="E455" s="501"/>
      <c r="F455" s="501"/>
      <c r="G455" s="501"/>
      <c r="H455" s="501"/>
      <c r="I455" s="501"/>
      <c r="J455" s="501"/>
      <c r="K455" s="501"/>
      <c r="L455" s="501"/>
      <c r="M455" s="501"/>
      <c r="N455" s="501"/>
      <c r="O455" s="501"/>
      <c r="P455" s="501"/>
      <c r="Q455" s="501"/>
      <c r="R455" s="501"/>
      <c r="S455" s="501"/>
      <c r="T455" s="501"/>
      <c r="U455" s="501"/>
      <c r="V455" s="501"/>
      <c r="W455" s="186"/>
    </row>
    <row r="456" spans="1:23" s="10" customFormat="1" ht="24.95" customHeight="1">
      <c r="A456" s="136"/>
      <c r="B456" s="87"/>
      <c r="C456" s="171"/>
      <c r="D456" s="171"/>
      <c r="E456" s="171"/>
      <c r="F456" s="171"/>
      <c r="G456" s="171"/>
      <c r="H456" s="171"/>
      <c r="I456" s="171"/>
      <c r="J456" s="171"/>
      <c r="K456" s="171"/>
      <c r="L456" s="171"/>
      <c r="M456" s="171"/>
      <c r="N456" s="171"/>
      <c r="O456" s="171"/>
      <c r="P456" s="171"/>
      <c r="Q456" s="171"/>
      <c r="R456" s="171"/>
      <c r="S456" s="171"/>
      <c r="T456" s="171"/>
      <c r="U456" s="171"/>
      <c r="V456" s="171"/>
      <c r="W456" s="171"/>
    </row>
    <row r="457" spans="1:23" ht="18" customHeight="1">
      <c r="A457" s="135"/>
      <c r="C457" s="178"/>
      <c r="D457" s="501"/>
      <c r="E457" s="501"/>
      <c r="F457" s="501"/>
      <c r="G457" s="501"/>
      <c r="H457" s="501"/>
      <c r="I457" s="501"/>
      <c r="J457" s="501"/>
      <c r="K457" s="501"/>
      <c r="L457" s="501"/>
      <c r="M457" s="501"/>
      <c r="N457" s="501"/>
      <c r="O457" s="501"/>
      <c r="P457" s="501"/>
      <c r="Q457" s="501"/>
      <c r="R457" s="501"/>
      <c r="S457" s="501"/>
      <c r="T457" s="501"/>
      <c r="U457" s="501"/>
      <c r="V457" s="501"/>
      <c r="W457" s="186"/>
    </row>
    <row r="458" spans="1:23" ht="31.5" customHeight="1">
      <c r="A458" s="136"/>
      <c r="C458" s="178"/>
      <c r="D458" s="828" t="s">
        <v>1363</v>
      </c>
      <c r="E458" s="501"/>
      <c r="F458" s="501"/>
      <c r="G458" s="501"/>
      <c r="H458" s="501"/>
      <c r="I458" s="501"/>
      <c r="J458" s="501"/>
      <c r="K458" s="501"/>
      <c r="L458" s="501"/>
      <c r="M458" s="501"/>
      <c r="N458" s="501"/>
      <c r="O458" s="501"/>
      <c r="P458" s="501"/>
      <c r="Q458" s="501"/>
      <c r="R458" s="501"/>
      <c r="S458" s="501"/>
      <c r="T458" s="501"/>
      <c r="U458" s="501"/>
      <c r="V458" s="501"/>
      <c r="W458" s="186"/>
    </row>
    <row r="459" spans="1:23" s="10" customFormat="1" ht="33.75" customHeight="1">
      <c r="B459" s="87"/>
      <c r="C459" s="186"/>
      <c r="D459" s="998" t="str">
        <f>"Living in "&amp;C587&amp;" "&amp;V776&amp;" than in "&amp;T514</f>
        <v>Living in Tucson is cheaper than in Dubai</v>
      </c>
      <c r="E459" s="998"/>
      <c r="F459" s="998"/>
      <c r="G459" s="998"/>
      <c r="H459" s="998"/>
      <c r="I459" s="998"/>
      <c r="J459" s="998"/>
      <c r="K459" s="998"/>
      <c r="L459" s="998"/>
      <c r="M459" s="998"/>
      <c r="N459" s="998"/>
      <c r="O459" s="998"/>
      <c r="P459" s="998"/>
      <c r="Q459" s="998"/>
      <c r="R459" s="998"/>
      <c r="S459" s="998"/>
      <c r="T459" s="998"/>
      <c r="U459" s="998"/>
      <c r="V459" s="998"/>
      <c r="W459" s="186"/>
    </row>
    <row r="460" spans="1:23" ht="50.25" customHeight="1">
      <c r="C460" s="178"/>
      <c r="D460" s="973" t="str">
        <f>"Overall, "&amp;D155</f>
        <v xml:space="preserve">Overall, the cost of living in Tucson, AZ, United States is 33.62% lower than in Dubai, United Arab Emirates. In other words, on average it is cheaper to live in Tucson than in Dubai. </v>
      </c>
      <c r="E460" s="973"/>
      <c r="F460" s="973"/>
      <c r="G460" s="973"/>
      <c r="H460" s="973"/>
      <c r="I460" s="973"/>
      <c r="J460" s="973"/>
      <c r="K460" s="973"/>
      <c r="L460" s="973"/>
      <c r="M460" s="973"/>
      <c r="N460" s="973"/>
      <c r="O460" s="973"/>
      <c r="P460" s="973"/>
      <c r="Q460" s="973"/>
      <c r="R460" s="973"/>
      <c r="S460" s="973"/>
      <c r="T460" s="973"/>
      <c r="U460" s="973"/>
      <c r="V460" s="973"/>
      <c r="W460" s="186"/>
    </row>
    <row r="461" spans="1:23" ht="23.25" customHeight="1">
      <c r="C461" s="178"/>
      <c r="D461" s="1026" t="s">
        <v>1299</v>
      </c>
      <c r="E461" s="1026"/>
      <c r="F461" s="1026"/>
      <c r="G461" s="1026"/>
      <c r="H461" s="1026"/>
      <c r="I461" s="1026"/>
      <c r="J461" s="1026"/>
      <c r="K461" s="1026"/>
      <c r="L461" s="1026"/>
      <c r="M461" s="1026"/>
      <c r="N461" s="1026"/>
      <c r="O461" s="1026"/>
      <c r="P461" s="1026"/>
      <c r="Q461" s="1026"/>
      <c r="R461" s="504"/>
      <c r="S461" s="504"/>
      <c r="T461" s="504"/>
      <c r="U461" s="504"/>
      <c r="V461" s="504"/>
      <c r="W461" s="186"/>
    </row>
    <row r="462" spans="1:23" ht="65.25" customHeight="1">
      <c r="C462" s="178"/>
      <c r="D462" s="973" t="str">
        <f>D160&amp;IF(P463&gt;0,D463,D469)&amp;" is the most significant different amongst the category."&amp;IF(P463&lt;0," It is the cheapest factor in your personal monthly spending."," It is the most expensive factor in your personal monthly spending.")</f>
        <v>Not all categories in Tucson, AZ, United States are lower than in Dubai, United Arab Emirates . Only 4 out of 7 categories are lower than in Dubai, United Arab Emirates. Transportation is the most significant different amongst the category. It is the most expensive factor in your personal monthly spending.</v>
      </c>
      <c r="E462" s="973"/>
      <c r="F462" s="973"/>
      <c r="G462" s="973"/>
      <c r="H462" s="973"/>
      <c r="I462" s="973"/>
      <c r="J462" s="973"/>
      <c r="K462" s="973"/>
      <c r="L462" s="973"/>
      <c r="M462" s="973"/>
      <c r="N462" s="973"/>
      <c r="O462" s="973"/>
      <c r="P462" s="973"/>
      <c r="Q462" s="973"/>
      <c r="R462" s="973"/>
      <c r="S462" s="973"/>
      <c r="T462" s="973"/>
      <c r="U462" s="973"/>
      <c r="V462" s="973"/>
      <c r="W462" s="186"/>
    </row>
    <row r="463" spans="1:23" ht="20.100000000000001" customHeight="1">
      <c r="C463" s="505">
        <v>1</v>
      </c>
      <c r="D463" s="770" t="str">
        <f>VLOOKUP(C463,H$463:N$469,3,FALSE)</f>
        <v>Transportation</v>
      </c>
      <c r="E463" s="727">
        <f>VLOOKUP(C463,H$463:N$469,5,FALSE)</f>
        <v>0.82845595490397006</v>
      </c>
      <c r="F463" s="728">
        <f>VLOOKUP(C463,H$463:N$469,6,FALSE)</f>
        <v>244.30000021699999</v>
      </c>
      <c r="G463" s="728">
        <f>RANK(K463,K$463:K$469,0)</f>
        <v>1</v>
      </c>
      <c r="H463" s="729">
        <f>RANK(L463,L$463:L$469,0)</f>
        <v>7</v>
      </c>
      <c r="I463" s="730">
        <v>1</v>
      </c>
      <c r="J463" s="731" t="s">
        <v>1261</v>
      </c>
      <c r="K463" s="732">
        <f t="shared" ref="K463:K469" si="8">V139</f>
        <v>3062.0000000950581</v>
      </c>
      <c r="L463" s="733">
        <f t="shared" ref="L463:L469" si="9">P139</f>
        <v>-0.60809928150710424</v>
      </c>
      <c r="M463" s="734">
        <f>'Full Report'!$I$71</f>
        <v>1200.0000000625</v>
      </c>
      <c r="N463" s="735">
        <f t="shared" ref="N463:N469" si="10">K463/P$777</f>
        <v>1.2248000000380233</v>
      </c>
      <c r="O463" s="736" t="str">
        <f>VLOOKUP(C463,G$463:N$469,4,FALSE)</f>
        <v>Accomodation</v>
      </c>
      <c r="P463" s="733">
        <f t="shared" ref="P463:P469" si="11">E463</f>
        <v>0.82845595490397006</v>
      </c>
      <c r="Q463" s="746" t="str">
        <f>IF(P463&gt;0,"higher than in ","lower than in")</f>
        <v xml:space="preserve">higher than in </v>
      </c>
      <c r="R463" s="737" t="str">
        <f>T$514</f>
        <v>Dubai</v>
      </c>
      <c r="S463" s="738"/>
      <c r="T463" s="739"/>
      <c r="U463" s="739"/>
      <c r="V463" s="737"/>
      <c r="W463" s="244"/>
    </row>
    <row r="464" spans="1:23" ht="20.100000000000001" customHeight="1">
      <c r="C464" s="506">
        <v>2</v>
      </c>
      <c r="D464" s="771" t="str">
        <f t="shared" ref="D464:D469" si="12">VLOOKUP(C464,H$463:N$469,3,FALSE)</f>
        <v>Eating Out</v>
      </c>
      <c r="E464" s="727">
        <f t="shared" ref="E464:E469" si="13">VLOOKUP(C464,H$463:N$469,5,FALSE)</f>
        <v>0.25363536720531799</v>
      </c>
      <c r="F464" s="728">
        <f t="shared" ref="F464:F469" si="14">VLOOKUP(C464,H$463:N$469,6,FALSE)</f>
        <v>857.80000001399992</v>
      </c>
      <c r="G464" s="728">
        <f t="shared" ref="G464:G469" si="15">RANK(K464,K$463:K$469,0)</f>
        <v>2</v>
      </c>
      <c r="H464" s="729">
        <f t="shared" ref="H464:H469" si="16">RANK(L464,L$463:L$469,0)</f>
        <v>2</v>
      </c>
      <c r="I464" s="740">
        <v>2</v>
      </c>
      <c r="J464" s="741" t="s">
        <v>751</v>
      </c>
      <c r="K464" s="742">
        <f t="shared" si="8"/>
        <v>684.2500000030002</v>
      </c>
      <c r="L464" s="743">
        <f t="shared" si="9"/>
        <v>0.25363536720531799</v>
      </c>
      <c r="M464" s="744">
        <f>'Full Report'!$I$19</f>
        <v>857.80000001399992</v>
      </c>
      <c r="N464" s="735">
        <f t="shared" si="10"/>
        <v>0.27370000000120009</v>
      </c>
      <c r="O464" s="736" t="str">
        <f t="shared" ref="O464:O469" si="17">VLOOKUP(C464,G$463:N$469,4,FALSE)</f>
        <v>Eating Out</v>
      </c>
      <c r="P464" s="743">
        <f t="shared" si="11"/>
        <v>0.25363536720531799</v>
      </c>
      <c r="Q464" s="857" t="str">
        <f>IF(P464&gt;0,"higher than in ","lower than in")</f>
        <v xml:space="preserve">higher than in </v>
      </c>
      <c r="R464" s="745" t="str">
        <f t="shared" ref="R464:R469" si="18">T$514</f>
        <v>Dubai</v>
      </c>
      <c r="S464" s="738"/>
      <c r="T464" s="739"/>
      <c r="U464" s="739"/>
      <c r="V464" s="739"/>
      <c r="W464" s="244"/>
    </row>
    <row r="465" spans="3:23" ht="20.100000000000001" customHeight="1">
      <c r="C465" s="506">
        <v>3</v>
      </c>
      <c r="D465" s="770" t="str">
        <f t="shared" si="12"/>
        <v>Groceries</v>
      </c>
      <c r="E465" s="727">
        <f t="shared" si="13"/>
        <v>0.21389008554398559</v>
      </c>
      <c r="F465" s="728">
        <f t="shared" si="14"/>
        <v>394.49000000015002</v>
      </c>
      <c r="G465" s="728">
        <f t="shared" si="15"/>
        <v>4</v>
      </c>
      <c r="H465" s="729">
        <f t="shared" si="16"/>
        <v>3</v>
      </c>
      <c r="I465" s="730">
        <v>3</v>
      </c>
      <c r="J465" s="731" t="s">
        <v>400</v>
      </c>
      <c r="K465" s="732">
        <f t="shared" si="8"/>
        <v>324.98000000005402</v>
      </c>
      <c r="L465" s="733">
        <f t="shared" si="9"/>
        <v>0.21389008554398559</v>
      </c>
      <c r="M465" s="734">
        <f>'Full Report'!$I$40</f>
        <v>394.49000000015002</v>
      </c>
      <c r="N465" s="735">
        <f t="shared" si="10"/>
        <v>0.12999200000002162</v>
      </c>
      <c r="O465" s="736" t="str">
        <f t="shared" si="17"/>
        <v>Apparel And Footwear</v>
      </c>
      <c r="P465" s="733">
        <f t="shared" si="11"/>
        <v>0.21389008554398559</v>
      </c>
      <c r="Q465" s="746" t="str">
        <f t="shared" ref="Q465:Q469" si="19">IF(P465&gt;0,"higher than in ","lower than in")</f>
        <v xml:space="preserve">higher than in </v>
      </c>
      <c r="R465" s="737" t="str">
        <f t="shared" si="18"/>
        <v>Dubai</v>
      </c>
      <c r="S465" s="738"/>
      <c r="T465" s="739"/>
      <c r="U465" s="739"/>
      <c r="V465" s="737"/>
      <c r="W465" s="244"/>
    </row>
    <row r="466" spans="3:23" ht="20.100000000000001" customHeight="1">
      <c r="C466" s="506">
        <v>4</v>
      </c>
      <c r="D466" s="771" t="str">
        <f t="shared" si="12"/>
        <v>Utilities</v>
      </c>
      <c r="E466" s="727">
        <f t="shared" si="13"/>
        <v>-7.7325347469289207E-3</v>
      </c>
      <c r="F466" s="728">
        <f t="shared" si="14"/>
        <v>222.00000001000001</v>
      </c>
      <c r="G466" s="728">
        <f t="shared" si="15"/>
        <v>7</v>
      </c>
      <c r="H466" s="729">
        <f t="shared" si="16"/>
        <v>1</v>
      </c>
      <c r="I466" s="740">
        <v>4</v>
      </c>
      <c r="J466" s="741" t="s">
        <v>547</v>
      </c>
      <c r="K466" s="742">
        <f t="shared" si="8"/>
        <v>133.61000004500002</v>
      </c>
      <c r="L466" s="743">
        <f t="shared" si="9"/>
        <v>0.82845595490397006</v>
      </c>
      <c r="M466" s="744">
        <f>'Full Report'!$I$48</f>
        <v>244.30000021699999</v>
      </c>
      <c r="N466" s="735">
        <f t="shared" si="10"/>
        <v>5.344400001800001E-2</v>
      </c>
      <c r="O466" s="736" t="str">
        <f t="shared" si="17"/>
        <v>Groceries</v>
      </c>
      <c r="P466" s="743">
        <f t="shared" si="11"/>
        <v>-7.7325347469289207E-3</v>
      </c>
      <c r="Q466" s="857" t="str">
        <f t="shared" si="19"/>
        <v>lower than in</v>
      </c>
      <c r="R466" s="745" t="str">
        <f t="shared" si="18"/>
        <v>Dubai</v>
      </c>
      <c r="S466" s="738"/>
      <c r="T466" s="739"/>
      <c r="U466" s="739"/>
      <c r="V466" s="739"/>
      <c r="W466" s="244"/>
    </row>
    <row r="467" spans="3:23" ht="20.100000000000001" customHeight="1">
      <c r="C467" s="506">
        <v>5</v>
      </c>
      <c r="D467" s="770" t="str">
        <f t="shared" si="12"/>
        <v>Recreation And Leisure</v>
      </c>
      <c r="E467" s="727">
        <f t="shared" si="13"/>
        <v>-0.21608551794322761</v>
      </c>
      <c r="F467" s="728">
        <f t="shared" si="14"/>
        <v>154.00000000080001</v>
      </c>
      <c r="G467" s="728">
        <f t="shared" si="15"/>
        <v>5</v>
      </c>
      <c r="H467" s="729">
        <f t="shared" si="16"/>
        <v>4</v>
      </c>
      <c r="I467" s="730">
        <v>5</v>
      </c>
      <c r="J467" s="731" t="s">
        <v>1268</v>
      </c>
      <c r="K467" s="732">
        <f t="shared" si="8"/>
        <v>223.73000000900001</v>
      </c>
      <c r="L467" s="733">
        <f t="shared" si="9"/>
        <v>-7.7325347469289207E-3</v>
      </c>
      <c r="M467" s="734">
        <f>'Full Report'!$I$54</f>
        <v>222.00000001000001</v>
      </c>
      <c r="N467" s="735">
        <f t="shared" si="10"/>
        <v>8.9492000003599997E-2</v>
      </c>
      <c r="O467" s="736" t="str">
        <f t="shared" si="17"/>
        <v>Utilities</v>
      </c>
      <c r="P467" s="733">
        <f t="shared" si="11"/>
        <v>-0.21608551794322761</v>
      </c>
      <c r="Q467" s="746" t="str">
        <f t="shared" si="19"/>
        <v>lower than in</v>
      </c>
      <c r="R467" s="737" t="str">
        <f t="shared" si="18"/>
        <v>Dubai</v>
      </c>
      <c r="S467" s="738"/>
      <c r="T467" s="739"/>
      <c r="U467" s="739"/>
      <c r="V467" s="737"/>
      <c r="W467" s="244"/>
    </row>
    <row r="468" spans="3:23" ht="20.100000000000001" customHeight="1">
      <c r="C468" s="506">
        <v>6</v>
      </c>
      <c r="D468" s="771" t="str">
        <f t="shared" si="12"/>
        <v>Apparel And Footwear</v>
      </c>
      <c r="E468" s="727">
        <f t="shared" si="13"/>
        <v>-0.34381266957870749</v>
      </c>
      <c r="F468" s="728">
        <f t="shared" si="14"/>
        <v>222.5000000025</v>
      </c>
      <c r="G468" s="728">
        <f t="shared" si="15"/>
        <v>6</v>
      </c>
      <c r="H468" s="729">
        <f t="shared" si="16"/>
        <v>5</v>
      </c>
      <c r="I468" s="740">
        <v>6</v>
      </c>
      <c r="J468" s="741" t="s">
        <v>1259</v>
      </c>
      <c r="K468" s="742">
        <f t="shared" si="8"/>
        <v>196.450000000953</v>
      </c>
      <c r="L468" s="743">
        <f t="shared" si="9"/>
        <v>-0.21608551794322761</v>
      </c>
      <c r="M468" s="744">
        <f>'Full Report'!$I$59</f>
        <v>154.00000000080001</v>
      </c>
      <c r="N468" s="735">
        <f t="shared" si="10"/>
        <v>7.8580000000381192E-2</v>
      </c>
      <c r="O468" s="736" t="str">
        <f t="shared" si="17"/>
        <v>Recreation And Leisure</v>
      </c>
      <c r="P468" s="743">
        <f t="shared" si="11"/>
        <v>-0.34381266957870749</v>
      </c>
      <c r="Q468" s="857" t="str">
        <f t="shared" si="19"/>
        <v>lower than in</v>
      </c>
      <c r="R468" s="745" t="str">
        <f t="shared" si="18"/>
        <v>Dubai</v>
      </c>
      <c r="S468" s="738"/>
      <c r="T468" s="739"/>
      <c r="U468" s="739"/>
      <c r="V468" s="739"/>
      <c r="W468" s="244"/>
    </row>
    <row r="469" spans="3:23" ht="20.100000000000001" customHeight="1">
      <c r="C469" s="506">
        <v>7</v>
      </c>
      <c r="D469" s="770" t="str">
        <f t="shared" si="12"/>
        <v>Accomodation</v>
      </c>
      <c r="E469" s="727">
        <f t="shared" si="13"/>
        <v>-0.60809928150710424</v>
      </c>
      <c r="F469" s="728">
        <f t="shared" si="14"/>
        <v>1200.0000000625</v>
      </c>
      <c r="G469" s="728">
        <f t="shared" si="15"/>
        <v>3</v>
      </c>
      <c r="H469" s="729">
        <f t="shared" si="16"/>
        <v>6</v>
      </c>
      <c r="I469" s="730">
        <v>7</v>
      </c>
      <c r="J469" s="731" t="s">
        <v>1260</v>
      </c>
      <c r="K469" s="732">
        <f t="shared" si="8"/>
        <v>339.08000000495002</v>
      </c>
      <c r="L469" s="733">
        <f t="shared" si="9"/>
        <v>-0.34381266957870749</v>
      </c>
      <c r="M469" s="734">
        <f>'Full Report'!$I$65</f>
        <v>222.5000000025</v>
      </c>
      <c r="N469" s="735">
        <f t="shared" si="10"/>
        <v>0.13563200000198</v>
      </c>
      <c r="O469" s="736" t="str">
        <f t="shared" si="17"/>
        <v>Transportation</v>
      </c>
      <c r="P469" s="733">
        <f t="shared" si="11"/>
        <v>-0.60809928150710424</v>
      </c>
      <c r="Q469" s="746" t="str">
        <f t="shared" si="19"/>
        <v>lower than in</v>
      </c>
      <c r="R469" s="737" t="str">
        <f t="shared" si="18"/>
        <v>Dubai</v>
      </c>
      <c r="S469" s="738"/>
      <c r="T469" s="739"/>
      <c r="U469" s="739"/>
      <c r="V469" s="737"/>
      <c r="W469" s="244"/>
    </row>
    <row r="470" spans="3:23" ht="20.100000000000001" customHeight="1">
      <c r="C470" s="506"/>
      <c r="D470" s="506"/>
      <c r="E470" s="506"/>
      <c r="F470" s="506"/>
      <c r="G470" s="506"/>
      <c r="H470" s="506"/>
      <c r="I470" s="506"/>
      <c r="J470" s="506"/>
      <c r="K470" s="506"/>
      <c r="L470" s="506"/>
      <c r="M470" s="506"/>
      <c r="N470" s="506"/>
      <c r="O470" s="506"/>
      <c r="P470" s="506"/>
      <c r="Q470" s="506"/>
      <c r="R470" s="506"/>
      <c r="S470" s="506"/>
      <c r="T470" s="506"/>
      <c r="U470" s="506"/>
      <c r="V470" s="506"/>
      <c r="W470" s="244"/>
    </row>
    <row r="471" spans="3:23" ht="20.100000000000001" customHeight="1">
      <c r="C471" s="506"/>
      <c r="D471" s="506"/>
      <c r="E471" s="506"/>
      <c r="F471" s="506"/>
      <c r="G471" s="506"/>
      <c r="H471" s="506"/>
      <c r="I471" s="506"/>
      <c r="J471" s="506"/>
      <c r="K471" s="506"/>
      <c r="L471" s="506"/>
      <c r="M471" s="506"/>
      <c r="N471" s="506"/>
      <c r="O471" s="506"/>
      <c r="P471" s="506"/>
      <c r="Q471" s="506"/>
      <c r="R471" s="506"/>
      <c r="S471" s="506"/>
      <c r="T471" s="506"/>
      <c r="U471" s="506"/>
      <c r="V471" s="506"/>
      <c r="W471" s="244"/>
    </row>
    <row r="472" spans="3:23" ht="20.100000000000001" customHeight="1">
      <c r="C472" s="506"/>
      <c r="D472" s="506"/>
      <c r="E472" s="506"/>
      <c r="F472" s="506"/>
      <c r="G472" s="506"/>
      <c r="H472" s="506"/>
      <c r="I472" s="506"/>
      <c r="J472" s="506"/>
      <c r="K472" s="506"/>
      <c r="L472" s="506"/>
      <c r="M472" s="506"/>
      <c r="N472" s="506"/>
      <c r="O472" s="506"/>
      <c r="P472" s="506"/>
      <c r="Q472" s="506"/>
      <c r="R472" s="506"/>
      <c r="S472" s="506"/>
      <c r="T472" s="506"/>
      <c r="U472" s="506"/>
      <c r="V472" s="506"/>
      <c r="W472" s="244"/>
    </row>
    <row r="473" spans="3:23" ht="20.100000000000001" customHeight="1">
      <c r="C473" s="506"/>
      <c r="D473" s="506"/>
      <c r="E473" s="506"/>
      <c r="F473" s="506"/>
      <c r="G473" s="506"/>
      <c r="H473" s="506"/>
      <c r="I473" s="506"/>
      <c r="J473" s="506"/>
      <c r="K473" s="506"/>
      <c r="L473" s="506"/>
      <c r="M473" s="506"/>
      <c r="N473" s="506"/>
      <c r="O473" s="506"/>
      <c r="P473" s="506"/>
      <c r="Q473" s="506"/>
      <c r="R473" s="506"/>
      <c r="S473" s="506"/>
      <c r="T473" s="506"/>
      <c r="U473" s="506"/>
      <c r="V473" s="506"/>
      <c r="W473" s="244"/>
    </row>
    <row r="474" spans="3:23" ht="20.100000000000001" customHeight="1">
      <c r="C474" s="506"/>
      <c r="D474" s="506"/>
      <c r="E474" s="506"/>
      <c r="F474" s="506"/>
      <c r="G474" s="506"/>
      <c r="H474" s="506"/>
      <c r="I474" s="506"/>
      <c r="J474" s="506"/>
      <c r="K474" s="506"/>
      <c r="L474" s="506"/>
      <c r="M474" s="506"/>
      <c r="N474" s="506"/>
      <c r="O474" s="506"/>
      <c r="P474" s="506"/>
      <c r="Q474" s="506"/>
      <c r="R474" s="506"/>
      <c r="S474" s="506"/>
      <c r="T474" s="506"/>
      <c r="U474" s="506"/>
      <c r="V474" s="506"/>
      <c r="W474" s="244"/>
    </row>
    <row r="475" spans="3:23" ht="20.100000000000001" customHeight="1">
      <c r="C475" s="506"/>
      <c r="D475" s="506"/>
      <c r="E475" s="506"/>
      <c r="F475" s="506"/>
      <c r="G475" s="506"/>
      <c r="H475" s="506"/>
      <c r="I475" s="506"/>
      <c r="J475" s="506"/>
      <c r="K475" s="506"/>
      <c r="L475" s="506"/>
      <c r="M475" s="506"/>
      <c r="N475" s="506"/>
      <c r="O475" s="506"/>
      <c r="P475" s="506"/>
      <c r="Q475" s="506"/>
      <c r="R475" s="506"/>
      <c r="S475" s="506"/>
      <c r="T475" s="506"/>
      <c r="U475" s="506"/>
      <c r="V475" s="506"/>
      <c r="W475" s="244"/>
    </row>
    <row r="476" spans="3:23" ht="20.100000000000001" customHeight="1">
      <c r="C476" s="506"/>
      <c r="D476" s="506"/>
      <c r="E476" s="506"/>
      <c r="F476" s="506"/>
      <c r="G476" s="506"/>
      <c r="H476" s="506"/>
      <c r="I476" s="506"/>
      <c r="J476" s="506"/>
      <c r="K476" s="506"/>
      <c r="L476" s="506"/>
      <c r="M476" s="506"/>
      <c r="N476" s="506"/>
      <c r="O476" s="506"/>
      <c r="P476" s="506"/>
      <c r="Q476" s="506"/>
      <c r="R476" s="506"/>
      <c r="S476" s="506"/>
      <c r="T476" s="506"/>
      <c r="U476" s="506"/>
      <c r="V476" s="506"/>
      <c r="W476" s="244"/>
    </row>
    <row r="477" spans="3:23" ht="20.100000000000001" customHeight="1">
      <c r="C477" s="506"/>
      <c r="D477" s="506"/>
      <c r="E477" s="506"/>
      <c r="F477" s="506"/>
      <c r="G477" s="506"/>
      <c r="H477" s="506"/>
      <c r="I477" s="506"/>
      <c r="J477" s="506"/>
      <c r="K477" s="506"/>
      <c r="L477" s="506"/>
      <c r="M477" s="506"/>
      <c r="N477" s="506"/>
      <c r="O477" s="506"/>
      <c r="P477" s="506"/>
      <c r="Q477" s="506"/>
      <c r="R477" s="506"/>
      <c r="S477" s="506"/>
      <c r="T477" s="506"/>
      <c r="U477" s="506"/>
      <c r="V477" s="506"/>
      <c r="W477" s="244"/>
    </row>
    <row r="478" spans="3:23" ht="20.100000000000001" customHeight="1">
      <c r="C478" s="506"/>
      <c r="D478" s="506"/>
      <c r="E478" s="506"/>
      <c r="F478" s="506"/>
      <c r="G478" s="506"/>
      <c r="H478" s="506"/>
      <c r="I478" s="506"/>
      <c r="J478" s="506"/>
      <c r="K478" s="506"/>
      <c r="L478" s="506"/>
      <c r="M478" s="506"/>
      <c r="N478" s="506"/>
      <c r="O478" s="506"/>
      <c r="P478" s="506"/>
      <c r="Q478" s="506"/>
      <c r="R478" s="506"/>
      <c r="S478" s="506"/>
      <c r="T478" s="506"/>
      <c r="U478" s="506"/>
      <c r="V478" s="506"/>
      <c r="W478" s="244"/>
    </row>
    <row r="479" spans="3:23" ht="20.100000000000001" customHeight="1">
      <c r="C479" s="506"/>
      <c r="D479" s="506"/>
      <c r="E479" s="506"/>
      <c r="F479" s="506"/>
      <c r="G479" s="506"/>
      <c r="H479" s="506"/>
      <c r="I479" s="506"/>
      <c r="J479" s="506"/>
      <c r="K479" s="506"/>
      <c r="L479" s="506"/>
      <c r="M479" s="506"/>
      <c r="N479" s="506"/>
      <c r="O479" s="506"/>
      <c r="P479" s="506"/>
      <c r="Q479" s="506"/>
      <c r="R479" s="506"/>
      <c r="S479" s="506"/>
      <c r="T479" s="506"/>
      <c r="U479" s="506"/>
      <c r="V479" s="506"/>
      <c r="W479" s="244"/>
    </row>
    <row r="480" spans="3:23" ht="20.100000000000001" customHeight="1">
      <c r="C480" s="506"/>
      <c r="D480" s="506"/>
      <c r="E480" s="506"/>
      <c r="F480" s="506"/>
      <c r="G480" s="506"/>
      <c r="H480" s="506"/>
      <c r="I480" s="506"/>
      <c r="J480" s="506"/>
      <c r="K480" s="506"/>
      <c r="L480" s="506"/>
      <c r="M480" s="506"/>
      <c r="N480" s="506"/>
      <c r="O480" s="506"/>
      <c r="P480" s="506"/>
      <c r="Q480" s="506"/>
      <c r="R480" s="506"/>
      <c r="S480" s="506"/>
      <c r="T480" s="506"/>
      <c r="U480" s="506"/>
      <c r="V480" s="506"/>
      <c r="W480" s="244"/>
    </row>
    <row r="481" spans="3:24" ht="20.100000000000001" customHeight="1">
      <c r="C481" s="506"/>
      <c r="D481" s="506"/>
      <c r="E481" s="506"/>
      <c r="F481" s="506"/>
      <c r="G481" s="506"/>
      <c r="H481" s="506"/>
      <c r="I481" s="506"/>
      <c r="J481" s="506"/>
      <c r="K481" s="506"/>
      <c r="L481" s="506"/>
      <c r="M481" s="506"/>
      <c r="N481" s="506"/>
      <c r="O481" s="506"/>
      <c r="P481" s="506"/>
      <c r="Q481" s="506"/>
      <c r="R481" s="506"/>
      <c r="S481" s="506"/>
      <c r="T481" s="506"/>
      <c r="U481" s="506"/>
      <c r="V481" s="506"/>
      <c r="W481" s="244"/>
    </row>
    <row r="482" spans="3:24" ht="20.100000000000001" customHeight="1">
      <c r="C482" s="506"/>
      <c r="D482" s="506"/>
      <c r="E482" s="506"/>
      <c r="F482" s="506"/>
      <c r="G482" s="506"/>
      <c r="H482" s="506"/>
      <c r="I482" s="506"/>
      <c r="J482" s="506"/>
      <c r="K482" s="506"/>
      <c r="L482" s="506"/>
      <c r="M482" s="506"/>
      <c r="N482" s="506"/>
      <c r="O482" s="506"/>
      <c r="P482" s="506"/>
      <c r="Q482" s="506"/>
      <c r="R482" s="506"/>
      <c r="S482" s="506"/>
      <c r="T482" s="506"/>
      <c r="U482" s="506"/>
      <c r="V482" s="506"/>
      <c r="W482" s="244"/>
    </row>
    <row r="483" spans="3:24" ht="20.100000000000001" customHeight="1">
      <c r="C483" s="506"/>
      <c r="D483" s="506"/>
      <c r="E483" s="506"/>
      <c r="F483" s="506"/>
      <c r="G483" s="506"/>
      <c r="H483" s="506"/>
      <c r="I483" s="506"/>
      <c r="J483" s="506"/>
      <c r="K483" s="506"/>
      <c r="L483" s="506"/>
      <c r="M483" s="506"/>
      <c r="N483" s="506"/>
      <c r="O483" s="506"/>
      <c r="P483" s="506"/>
      <c r="Q483" s="506"/>
      <c r="R483" s="506"/>
      <c r="S483" s="506"/>
      <c r="T483" s="506"/>
      <c r="U483" s="506"/>
      <c r="V483" s="506"/>
      <c r="W483" s="244"/>
    </row>
    <row r="484" spans="3:24" ht="32.25" customHeight="1">
      <c r="C484" s="506"/>
      <c r="D484" s="1019" t="str">
        <f>$D$328</f>
        <v>On the graph above, Dubai is set at 0%. As a result, items greater than 0% are higher than Dubai , items less than 0% are below Dubai and items equal to 0% shared a same price.</v>
      </c>
      <c r="E484" s="1019"/>
      <c r="F484" s="1019"/>
      <c r="G484" s="1019"/>
      <c r="H484" s="1019"/>
      <c r="I484" s="1019"/>
      <c r="J484" s="1019"/>
      <c r="K484" s="1019"/>
      <c r="L484" s="1019"/>
      <c r="M484" s="1019"/>
      <c r="N484" s="1019"/>
      <c r="O484" s="1019"/>
      <c r="P484" s="1019"/>
      <c r="Q484" s="1019"/>
      <c r="R484" s="1019"/>
      <c r="S484" s="1019"/>
      <c r="T484" s="1019"/>
      <c r="U484" s="1019"/>
      <c r="V484" s="1019"/>
      <c r="W484" s="244"/>
    </row>
    <row r="485" spans="3:24" ht="35.25" customHeight="1">
      <c r="C485" s="506"/>
      <c r="D485" s="1000" t="str">
        <f>D160</f>
        <v xml:space="preserve">Not all categories in Tucson, AZ, United States are lower than in Dubai, United Arab Emirates . Only 4 out of 7 categories are lower than in Dubai, United Arab Emirates. </v>
      </c>
      <c r="E485" s="1000"/>
      <c r="F485" s="1000"/>
      <c r="G485" s="1000"/>
      <c r="H485" s="1000"/>
      <c r="I485" s="1000"/>
      <c r="J485" s="1000"/>
      <c r="K485" s="1000"/>
      <c r="L485" s="1000"/>
      <c r="M485" s="1000"/>
      <c r="N485" s="1000"/>
      <c r="O485" s="1000"/>
      <c r="P485" s="1000"/>
      <c r="Q485" s="1000"/>
      <c r="R485" s="1000"/>
      <c r="S485" s="1000"/>
      <c r="T485" s="1000"/>
      <c r="U485" s="1000"/>
      <c r="V485" s="1000"/>
      <c r="W485" s="244"/>
    </row>
    <row r="486" spans="3:24" ht="20.100000000000001" customHeight="1">
      <c r="C486" s="506"/>
      <c r="R486" s="70"/>
      <c r="W486" s="244"/>
    </row>
    <row r="487" spans="3:24" ht="20.100000000000001" customHeight="1">
      <c r="C487" s="768"/>
      <c r="D487" s="768"/>
      <c r="E487" s="768"/>
      <c r="F487" s="768"/>
      <c r="G487" s="768"/>
      <c r="H487" s="768"/>
      <c r="I487" s="768"/>
      <c r="J487" s="768"/>
      <c r="K487" s="768"/>
      <c r="L487" s="768"/>
      <c r="M487" s="768"/>
      <c r="N487" s="768"/>
      <c r="O487" s="768"/>
      <c r="P487" s="768"/>
      <c r="Q487" s="768"/>
      <c r="R487" s="768"/>
      <c r="S487" s="768"/>
      <c r="T487" s="768"/>
      <c r="U487" s="768"/>
      <c r="V487" s="768"/>
      <c r="W487" s="769"/>
    </row>
    <row r="488" spans="3:24" ht="20.100000000000001" customHeight="1">
      <c r="C488" s="506"/>
      <c r="D488" s="506"/>
      <c r="E488" s="506"/>
      <c r="F488" s="506"/>
      <c r="G488" s="506"/>
      <c r="H488" s="506"/>
      <c r="I488" s="506"/>
      <c r="J488" s="506"/>
      <c r="K488" s="506"/>
      <c r="L488" s="506"/>
      <c r="M488" s="506"/>
      <c r="N488" s="506"/>
      <c r="O488" s="506"/>
      <c r="P488" s="506"/>
      <c r="Q488" s="506"/>
      <c r="R488" s="506"/>
      <c r="S488" s="506"/>
      <c r="T488" s="506"/>
      <c r="U488" s="506"/>
      <c r="V488" s="506"/>
      <c r="W488" s="244"/>
    </row>
    <row r="489" spans="3:24" ht="20.100000000000001" customHeight="1">
      <c r="C489" s="506"/>
      <c r="D489" s="506"/>
      <c r="E489" s="506"/>
      <c r="F489" s="506"/>
      <c r="G489" s="506"/>
      <c r="H489" s="506"/>
      <c r="I489" s="506"/>
      <c r="J489" s="506"/>
      <c r="K489" s="506"/>
      <c r="L489" s="506"/>
      <c r="M489" s="506"/>
      <c r="N489" s="506"/>
      <c r="O489" s="506"/>
      <c r="P489" s="506"/>
      <c r="Q489" s="506"/>
      <c r="R489" s="506"/>
      <c r="S489" s="506"/>
      <c r="T489" s="506"/>
      <c r="U489" s="506"/>
      <c r="V489" s="506"/>
      <c r="W489" s="244"/>
    </row>
    <row r="490" spans="3:24" ht="20.100000000000001" customHeight="1">
      <c r="C490" s="506"/>
      <c r="D490" s="506"/>
      <c r="E490" s="506"/>
      <c r="F490" s="506"/>
      <c r="G490" s="506"/>
      <c r="H490" s="506"/>
      <c r="I490" s="506"/>
      <c r="J490" s="506"/>
      <c r="K490" s="506"/>
      <c r="L490" s="506"/>
      <c r="M490" s="506"/>
      <c r="N490" s="506"/>
      <c r="O490" s="506"/>
      <c r="P490" s="506"/>
      <c r="Q490" s="506"/>
      <c r="R490" s="506"/>
      <c r="S490" s="506"/>
      <c r="T490" s="506"/>
      <c r="U490" s="506"/>
      <c r="V490" s="506"/>
      <c r="W490" s="244"/>
    </row>
    <row r="491" spans="3:24" ht="20.100000000000001" customHeight="1">
      <c r="C491" s="506"/>
      <c r="D491" s="952" t="str">
        <f>R496&amp;" is the largest share in your monthly budget"</f>
        <v>Accomodation is the largest share in your monthly budget</v>
      </c>
      <c r="E491" s="952"/>
      <c r="F491" s="952"/>
      <c r="G491" s="952"/>
      <c r="H491" s="952"/>
      <c r="I491" s="952"/>
      <c r="J491" s="952"/>
      <c r="K491" s="952"/>
      <c r="L491" s="952"/>
      <c r="M491" s="952"/>
      <c r="N491" s="952"/>
      <c r="O491" s="952"/>
      <c r="P491" s="952"/>
      <c r="Q491" s="952"/>
      <c r="R491" s="952"/>
      <c r="S491" s="952"/>
      <c r="T491" s="952"/>
      <c r="U491" s="952"/>
      <c r="V491" s="952"/>
      <c r="W491" s="244"/>
    </row>
    <row r="492" spans="3:24" ht="24.95" customHeight="1">
      <c r="C492" s="178"/>
      <c r="D492" s="825"/>
      <c r="E492" s="269"/>
      <c r="F492" s="177"/>
      <c r="G492" s="501"/>
      <c r="H492" s="501"/>
      <c r="I492" s="501"/>
      <c r="J492" s="501" t="s">
        <v>1298</v>
      </c>
      <c r="K492" s="266">
        <f>P777-L492</f>
        <v>-2464.1000001580151</v>
      </c>
      <c r="L492" s="507">
        <f>SUM(K463:K469)</f>
        <v>4964.1000001580151</v>
      </c>
      <c r="M492" s="266">
        <f>SUM(M463:M469)</f>
        <v>3295.0900003069501</v>
      </c>
      <c r="N492" s="508">
        <f>1-O492</f>
        <v>-0.98564000006320596</v>
      </c>
      <c r="O492" s="509">
        <f>SUM(N463:N469)</f>
        <v>1.985640000063206</v>
      </c>
      <c r="P492" s="510"/>
      <c r="Q492" s="501"/>
      <c r="R492" s="281"/>
      <c r="S492" s="271"/>
      <c r="T492" s="177"/>
      <c r="U492" s="177"/>
      <c r="V492" s="177"/>
      <c r="W492" s="244"/>
    </row>
    <row r="493" spans="3:24" ht="56.25" customHeight="1">
      <c r="C493" s="178"/>
      <c r="D493" s="999" t="str">
        <f>IF(D463=R496,"Moreover, ","However, ")&amp;R496&amp;" is the largest share of all in your personal monthly budget in "&amp;D777&amp;". It accounts for about "&amp;FIXED(W496*100)&amp;"% of your monthly expenditure, whereas, "&amp;R503&amp;" is the smallest share of all in your personal monthly budget. It accounts for about "&amp;FIXED(W503*100)&amp;"% of your monthly expenditure."</f>
        <v>However, Accomodation is the largest share of all in your personal monthly budget in Dubai, United Arab Emirates. It accounts for about 61.68% of your monthly expenditure, whereas, Transportation is the smallest share of all in your personal monthly budget. It accounts for about 2.69% of your monthly expenditure.</v>
      </c>
      <c r="E493" s="999"/>
      <c r="F493" s="999"/>
      <c r="G493" s="999"/>
      <c r="H493" s="999"/>
      <c r="I493" s="999"/>
      <c r="J493" s="999"/>
      <c r="K493" s="999"/>
      <c r="L493" s="999"/>
      <c r="M493" s="999"/>
      <c r="N493" s="999"/>
      <c r="O493" s="999"/>
      <c r="P493" s="999"/>
      <c r="Q493" s="999"/>
      <c r="R493" s="999"/>
      <c r="S493" s="999"/>
      <c r="T493" s="999"/>
      <c r="U493" s="999"/>
      <c r="V493" s="999"/>
      <c r="W493" s="186"/>
    </row>
    <row r="494" spans="3:24" ht="57" customHeight="1">
      <c r="C494" s="178"/>
      <c r="D494" s="953"/>
      <c r="E494" s="953"/>
      <c r="F494" s="953"/>
      <c r="G494" s="953"/>
      <c r="H494" s="953"/>
      <c r="I494" s="953"/>
      <c r="J494" s="953"/>
      <c r="K494" s="953"/>
      <c r="L494" s="953"/>
      <c r="M494" s="953"/>
      <c r="N494" s="953"/>
      <c r="O494" s="953"/>
      <c r="P494" s="953"/>
      <c r="Q494" s="953"/>
      <c r="R494" s="953"/>
      <c r="S494" s="953"/>
      <c r="T494" s="953"/>
      <c r="U494" s="953"/>
      <c r="V494" s="953"/>
      <c r="W494" s="186"/>
      <c r="X494" s="138"/>
    </row>
    <row r="495" spans="3:24" ht="24.95" customHeight="1">
      <c r="C495" s="178"/>
      <c r="D495" s="852"/>
      <c r="E495" s="852"/>
      <c r="F495" s="251"/>
      <c r="G495" s="251"/>
      <c r="H495" s="853"/>
      <c r="I495" s="853"/>
      <c r="J495" s="853"/>
      <c r="K495" s="853"/>
      <c r="L495" s="853"/>
      <c r="M495" s="853"/>
      <c r="N495" s="853"/>
      <c r="O495" s="853"/>
      <c r="P495" s="853"/>
      <c r="Q495" s="270"/>
      <c r="R495" s="648" t="str">
        <f>IF(P463&gt;0,D463,D469)</f>
        <v>Transportation</v>
      </c>
      <c r="S495" s="649"/>
      <c r="T495" s="186"/>
      <c r="U495" s="186"/>
      <c r="V495" s="611">
        <f>SUM(V496:V502)</f>
        <v>4964.1000001580142</v>
      </c>
      <c r="W495" s="186"/>
      <c r="X495" s="138"/>
    </row>
    <row r="496" spans="3:24" ht="24.95" customHeight="1">
      <c r="C496" s="178"/>
      <c r="D496" s="854"/>
      <c r="E496" s="852"/>
      <c r="F496" s="251"/>
      <c r="G496" s="854"/>
      <c r="H496" s="854"/>
      <c r="I496" s="854"/>
      <c r="J496" s="854"/>
      <c r="K496" s="854"/>
      <c r="L496" s="854"/>
      <c r="M496" s="854"/>
      <c r="N496" s="854"/>
      <c r="O496" s="854"/>
      <c r="P496" s="855"/>
      <c r="Q496" s="650">
        <f t="shared" ref="Q496:Q501" si="20">VLOOKUP(C463,G$463:N$469,7,FALSE)</f>
        <v>1200.0000000625</v>
      </c>
      <c r="R496" s="651" t="str">
        <f t="shared" ref="R496:S501" si="21">O463</f>
        <v>Accomodation</v>
      </c>
      <c r="S496" s="513">
        <f t="shared" si="21"/>
        <v>0.82845595490397006</v>
      </c>
      <c r="T496" s="514"/>
      <c r="U496" s="514"/>
      <c r="V496" s="652">
        <f t="shared" ref="V496:V501" si="22">VLOOKUP(C463,G$463:N$469,5,FALSE)</f>
        <v>3062.0000000950581</v>
      </c>
      <c r="W496" s="653">
        <f t="shared" ref="W496:W504" si="23">V496/V$495</f>
        <v>0.61682883100614216</v>
      </c>
      <c r="X496" s="138"/>
    </row>
    <row r="497" spans="1:26" ht="24.95" customHeight="1">
      <c r="C497" s="178"/>
      <c r="D497" s="854"/>
      <c r="E497" s="854"/>
      <c r="F497" s="854"/>
      <c r="G497" s="854"/>
      <c r="H497" s="854"/>
      <c r="I497" s="854"/>
      <c r="J497" s="854"/>
      <c r="K497" s="854"/>
      <c r="L497" s="854"/>
      <c r="M497" s="854"/>
      <c r="N497" s="854"/>
      <c r="O497" s="854"/>
      <c r="P497" s="854"/>
      <c r="Q497" s="650">
        <f t="shared" si="20"/>
        <v>857.80000001399992</v>
      </c>
      <c r="R497" s="651" t="str">
        <f t="shared" si="21"/>
        <v>Eating Out</v>
      </c>
      <c r="S497" s="513">
        <f t="shared" si="21"/>
        <v>0.25363536720531799</v>
      </c>
      <c r="T497" s="514"/>
      <c r="U497" s="514"/>
      <c r="V497" s="652">
        <f t="shared" si="22"/>
        <v>684.2500000030002</v>
      </c>
      <c r="W497" s="653">
        <f t="shared" si="23"/>
        <v>0.13783968896299825</v>
      </c>
      <c r="X497" s="138"/>
    </row>
    <row r="498" spans="1:26" ht="24.95" customHeight="1">
      <c r="C498" s="178"/>
      <c r="D498" s="854"/>
      <c r="E498" s="854"/>
      <c r="F498" s="854"/>
      <c r="G498" s="854"/>
      <c r="H498" s="854"/>
      <c r="I498" s="854"/>
      <c r="J498" s="854"/>
      <c r="K498" s="854"/>
      <c r="L498" s="854"/>
      <c r="M498" s="854"/>
      <c r="N498" s="854"/>
      <c r="O498" s="854"/>
      <c r="P498" s="854"/>
      <c r="Q498" s="650">
        <f t="shared" si="20"/>
        <v>222.5000000025</v>
      </c>
      <c r="R498" s="651" t="str">
        <f t="shared" si="21"/>
        <v>Apparel And Footwear</v>
      </c>
      <c r="S498" s="513">
        <f t="shared" si="21"/>
        <v>0.21389008554398559</v>
      </c>
      <c r="T498" s="514"/>
      <c r="U498" s="514"/>
      <c r="V498" s="652">
        <f t="shared" si="22"/>
        <v>339.08000000495002</v>
      </c>
      <c r="W498" s="653">
        <f t="shared" si="23"/>
        <v>6.8306440239752755E-2</v>
      </c>
      <c r="X498" s="138"/>
    </row>
    <row r="499" spans="1:26" ht="24.95" customHeight="1">
      <c r="C499" s="178"/>
      <c r="D499" s="854"/>
      <c r="E499" s="854"/>
      <c r="F499" s="854"/>
      <c r="G499" s="854"/>
      <c r="H499" s="854"/>
      <c r="I499" s="854"/>
      <c r="J499" s="854"/>
      <c r="K499" s="854"/>
      <c r="L499" s="854"/>
      <c r="M499" s="854"/>
      <c r="N499" s="854"/>
      <c r="O499" s="854"/>
      <c r="P499" s="854"/>
      <c r="Q499" s="650">
        <f t="shared" si="20"/>
        <v>394.49000000015002</v>
      </c>
      <c r="R499" s="651" t="str">
        <f t="shared" si="21"/>
        <v>Groceries</v>
      </c>
      <c r="S499" s="513">
        <f t="shared" si="21"/>
        <v>-7.7325347469289207E-3</v>
      </c>
      <c r="T499" s="514"/>
      <c r="U499" s="514"/>
      <c r="V499" s="652">
        <f t="shared" si="22"/>
        <v>324.98000000005402</v>
      </c>
      <c r="W499" s="653">
        <f t="shared" si="23"/>
        <v>6.5466046209727735E-2</v>
      </c>
      <c r="X499" s="138"/>
    </row>
    <row r="500" spans="1:26" ht="24.95" customHeight="1">
      <c r="C500" s="178"/>
      <c r="D500" s="854"/>
      <c r="E500" s="854"/>
      <c r="F500" s="854"/>
      <c r="G500" s="854"/>
      <c r="H500" s="854"/>
      <c r="I500" s="854"/>
      <c r="J500" s="854"/>
      <c r="K500" s="854"/>
      <c r="L500" s="854"/>
      <c r="M500" s="854"/>
      <c r="N500" s="854"/>
      <c r="O500" s="854"/>
      <c r="P500" s="854"/>
      <c r="Q500" s="650">
        <f t="shared" si="20"/>
        <v>222.00000001000001</v>
      </c>
      <c r="R500" s="651" t="str">
        <f t="shared" si="21"/>
        <v>Utilities</v>
      </c>
      <c r="S500" s="513">
        <f t="shared" si="21"/>
        <v>-0.21608551794322761</v>
      </c>
      <c r="T500" s="514"/>
      <c r="U500" s="514"/>
      <c r="V500" s="652">
        <f t="shared" si="22"/>
        <v>223.73000000900001</v>
      </c>
      <c r="W500" s="653">
        <f t="shared" si="23"/>
        <v>4.5069599726411308E-2</v>
      </c>
      <c r="X500" s="138"/>
    </row>
    <row r="501" spans="1:26" ht="24.95" customHeight="1">
      <c r="C501" s="178"/>
      <c r="D501" s="854"/>
      <c r="E501" s="854"/>
      <c r="F501" s="854"/>
      <c r="G501" s="854"/>
      <c r="H501" s="854"/>
      <c r="I501" s="854"/>
      <c r="J501" s="854"/>
      <c r="K501" s="854"/>
      <c r="L501" s="854"/>
      <c r="M501" s="854"/>
      <c r="N501" s="854"/>
      <c r="O501" s="854"/>
      <c r="P501" s="854"/>
      <c r="Q501" s="650">
        <f t="shared" si="20"/>
        <v>154.00000000080001</v>
      </c>
      <c r="R501" s="651" t="str">
        <f t="shared" si="21"/>
        <v>Recreation And Leisure</v>
      </c>
      <c r="S501" s="513">
        <f t="shared" si="21"/>
        <v>-0.34381266957870749</v>
      </c>
      <c r="T501" s="514"/>
      <c r="U501" s="514"/>
      <c r="V501" s="652">
        <f t="shared" si="22"/>
        <v>196.450000000953</v>
      </c>
      <c r="W501" s="653">
        <f t="shared" si="23"/>
        <v>3.957414234094795E-2</v>
      </c>
      <c r="X501" s="138"/>
    </row>
    <row r="502" spans="1:26" ht="20.100000000000001" customHeight="1">
      <c r="C502" s="178"/>
      <c r="D502" s="852"/>
      <c r="E502" s="852"/>
      <c r="F502" s="251"/>
      <c r="G502" s="251"/>
      <c r="H502" s="853"/>
      <c r="I502" s="853"/>
      <c r="J502" s="853"/>
      <c r="K502" s="853"/>
      <c r="L502" s="853"/>
      <c r="M502" s="853"/>
      <c r="N502" s="853"/>
      <c r="O502" s="853"/>
      <c r="P502" s="853"/>
      <c r="Q502" s="650">
        <f>VLOOKUP(C469,G$463:N$469,7,FALSE)</f>
        <v>244.30000021699999</v>
      </c>
      <c r="R502" s="651" t="str">
        <f>O469</f>
        <v>Transportation</v>
      </c>
      <c r="S502" s="513">
        <f>P469</f>
        <v>-0.60809928150710424</v>
      </c>
      <c r="T502" s="514"/>
      <c r="U502" s="514"/>
      <c r="V502" s="652">
        <f>VLOOKUP(C469,G$463:N$469,5,FALSE)</f>
        <v>133.61000004500002</v>
      </c>
      <c r="W502" s="653">
        <f t="shared" si="23"/>
        <v>2.6915251514020071E-2</v>
      </c>
      <c r="X502" s="138"/>
    </row>
    <row r="503" spans="1:26" ht="20.100000000000001" customHeight="1">
      <c r="C503" s="178"/>
      <c r="D503" s="852"/>
      <c r="E503" s="852"/>
      <c r="F503" s="251"/>
      <c r="G503" s="251"/>
      <c r="H503" s="853"/>
      <c r="I503" s="853"/>
      <c r="J503" s="853"/>
      <c r="K503" s="853"/>
      <c r="L503" s="853"/>
      <c r="M503" s="853"/>
      <c r="N503" s="853"/>
      <c r="O503" s="853"/>
      <c r="P503" s="853"/>
      <c r="Q503" s="650"/>
      <c r="R503" s="651" t="str">
        <f>IF(V502&lt;0.03,IF(V501&lt;0.03,R500,R501),R502)</f>
        <v>Transportation</v>
      </c>
      <c r="S503" s="513"/>
      <c r="T503" s="514"/>
      <c r="U503" s="514"/>
      <c r="V503" s="652">
        <f>IF(V502&lt;0.03,V501,V502)</f>
        <v>133.61000004500002</v>
      </c>
      <c r="W503" s="653">
        <f>IF(V502&lt;0.03,IF(V501&lt;0.03,W500,W501),W502)</f>
        <v>2.6915251514020071E-2</v>
      </c>
      <c r="X503" s="138"/>
    </row>
    <row r="504" spans="1:26" ht="31.5" customHeight="1">
      <c r="C504" s="178"/>
      <c r="D504" s="852"/>
      <c r="E504" s="852"/>
      <c r="F504" s="251"/>
      <c r="G504" s="251"/>
      <c r="H504" s="853"/>
      <c r="I504" s="853"/>
      <c r="J504" s="853"/>
      <c r="K504" s="853"/>
      <c r="L504" s="853"/>
      <c r="M504" s="853"/>
      <c r="N504" s="853"/>
      <c r="O504" s="853"/>
      <c r="P504" s="853"/>
      <c r="Q504" s="654">
        <f>SUM(Q496:Q502)</f>
        <v>3295.0900003069501</v>
      </c>
      <c r="R504" s="655"/>
      <c r="S504" s="656"/>
      <c r="T504" s="656"/>
      <c r="U504" s="656"/>
      <c r="V504" s="657">
        <f>SUM(V496:V502)</f>
        <v>4964.1000001580142</v>
      </c>
      <c r="W504" s="658">
        <f t="shared" si="23"/>
        <v>1</v>
      </c>
      <c r="X504" s="138"/>
    </row>
    <row r="505" spans="1:26" ht="24.75" customHeight="1">
      <c r="C505" s="178"/>
      <c r="D505" s="1028"/>
      <c r="E505" s="1028"/>
      <c r="F505" s="1028"/>
      <c r="G505" s="1028"/>
      <c r="H505" s="1028"/>
      <c r="I505" s="1028"/>
      <c r="J505" s="1028"/>
      <c r="K505" s="1028"/>
      <c r="L505" s="1028"/>
      <c r="M505" s="1028"/>
      <c r="N505" s="1028"/>
      <c r="O505" s="1028"/>
      <c r="P505" s="1028"/>
      <c r="Q505" s="1028"/>
      <c r="R505" s="1028"/>
      <c r="S505" s="1028"/>
      <c r="T505" s="1028"/>
      <c r="U505" s="1028"/>
      <c r="V505" s="1028"/>
      <c r="W505" s="251"/>
    </row>
    <row r="506" spans="1:26" s="10" customFormat="1" ht="38.25" customHeight="1">
      <c r="B506" s="87"/>
      <c r="C506" s="178"/>
      <c r="D506" s="1018" t="str">
        <f>"As shown in the above pie chart, "&amp;R496&amp;" is the largest share of all in your personal monthly budget, whereas, "&amp;R503&amp;" is the smallest share of all in your personal monthly budget in "&amp;D777</f>
        <v>As shown in the above pie chart, Accomodation is the largest share of all in your personal monthly budget, whereas, Transportation is the smallest share of all in your personal monthly budget in Dubai, United Arab Emirates</v>
      </c>
      <c r="E506" s="1018"/>
      <c r="F506" s="1018"/>
      <c r="G506" s="1018"/>
      <c r="H506" s="1018"/>
      <c r="I506" s="1018"/>
      <c r="J506" s="1018"/>
      <c r="K506" s="1018"/>
      <c r="L506" s="1018"/>
      <c r="M506" s="1018"/>
      <c r="N506" s="1018"/>
      <c r="O506" s="1018"/>
      <c r="P506" s="1018"/>
      <c r="Q506" s="1018"/>
      <c r="R506" s="1018"/>
      <c r="S506" s="703"/>
      <c r="T506" s="703"/>
      <c r="U506" s="703"/>
      <c r="V506" s="703"/>
      <c r="W506" s="186"/>
    </row>
    <row r="507" spans="1:26" s="10" customFormat="1" ht="24.95" customHeight="1">
      <c r="B507" s="87"/>
      <c r="C507" s="178"/>
      <c r="D507" s="830" t="s">
        <v>1365</v>
      </c>
      <c r="E507" s="831"/>
      <c r="F507" s="831"/>
      <c r="G507" s="831"/>
      <c r="H507" s="831"/>
      <c r="I507" s="831"/>
      <c r="J507" s="831"/>
      <c r="K507" s="831"/>
      <c r="L507" s="831"/>
      <c r="M507" s="831"/>
      <c r="N507" s="831"/>
      <c r="O507" s="831"/>
      <c r="P507" s="832" t="str">
        <f>Q132</f>
        <v>USD</v>
      </c>
      <c r="Q507" s="832" t="s">
        <v>1366</v>
      </c>
      <c r="R507" s="689"/>
      <c r="S507" s="689"/>
      <c r="T507" s="689"/>
      <c r="U507" s="689"/>
      <c r="V507" s="689"/>
      <c r="W507" s="186"/>
    </row>
    <row r="508" spans="1:26" ht="24.95" hidden="1" customHeight="1">
      <c r="C508" s="178"/>
      <c r="D508" s="689"/>
      <c r="E508" s="689"/>
      <c r="F508" s="689"/>
      <c r="G508" s="689"/>
      <c r="H508" s="689"/>
      <c r="I508" s="689"/>
      <c r="J508" s="689"/>
      <c r="K508" s="689"/>
      <c r="L508" s="689"/>
      <c r="M508" s="689"/>
      <c r="N508" s="689"/>
      <c r="O508" s="689"/>
      <c r="P508" s="689"/>
      <c r="Q508" s="689"/>
      <c r="R508" s="689"/>
      <c r="S508" s="689"/>
      <c r="T508" s="689"/>
      <c r="U508" s="689"/>
      <c r="V508" s="689"/>
      <c r="W508" s="186"/>
    </row>
    <row r="509" spans="1:26" ht="33" hidden="1" customHeight="1">
      <c r="C509" s="178"/>
      <c r="D509" s="997" t="str">
        <f>"Personal Cost of Accomodation is "&amp;IF(P139&gt;0,"cheaper in ","more expensive in ")&amp;R515</f>
        <v>Personal Cost of Accomodation is more expensive in Dubai</v>
      </c>
      <c r="E509" s="997"/>
      <c r="F509" s="997"/>
      <c r="G509" s="997"/>
      <c r="H509" s="997"/>
      <c r="I509" s="997"/>
      <c r="J509" s="997"/>
      <c r="K509" s="997"/>
      <c r="L509" s="997"/>
      <c r="M509" s="997"/>
      <c r="N509" s="997"/>
      <c r="O509" s="997"/>
      <c r="P509" s="997"/>
      <c r="Q509" s="997"/>
      <c r="R509" s="997"/>
      <c r="S509" s="997"/>
      <c r="T509" s="997"/>
      <c r="U509" s="997"/>
      <c r="V509" s="997"/>
      <c r="W509" s="186"/>
    </row>
    <row r="510" spans="1:26" s="10" customFormat="1" ht="52.5" hidden="1" customHeight="1">
      <c r="B510" s="87"/>
      <c r="C510" s="178"/>
      <c r="D510" s="969" t="str">
        <f>IF(V519=0,"None of the items under this category is selected.",IF(T520=392,D529,D538))</f>
        <v>Your monthly rental is selected from 2 out of 4 items. Your cost of rental index (percentage ratio) is calculated based on this apartment and its rate. Therefore, based on this preferences, your personal spending on rental is 60.81 % lower in Tucson in comparison to Dubai.</v>
      </c>
      <c r="E510" s="969"/>
      <c r="F510" s="969"/>
      <c r="G510" s="969"/>
      <c r="H510" s="969"/>
      <c r="I510" s="969"/>
      <c r="J510" s="969"/>
      <c r="K510" s="969"/>
      <c r="L510" s="969"/>
      <c r="M510" s="969"/>
      <c r="N510" s="969"/>
      <c r="O510" s="969"/>
      <c r="P510" s="969"/>
      <c r="Q510" s="969"/>
      <c r="R510" s="969"/>
      <c r="S510" s="954"/>
      <c r="T510" s="954"/>
      <c r="U510" s="954"/>
      <c r="V510" s="954"/>
      <c r="W510" s="186"/>
    </row>
    <row r="511" spans="1:26" s="98" customFormat="1" ht="49.5" hidden="1" customHeight="1">
      <c r="A511" s="10"/>
      <c r="B511" s="87"/>
      <c r="C511" s="178"/>
      <c r="D511" s="969" t="str">
        <f>IF(V519=0,"None of the items under this category is selected.",IF(T520=392,D529,D539))</f>
        <v>In conclusion,  you need to spend more in Dubai in order to rent a similar apartment you paid in Tucson. Hence, renting the selected   apartment in this category, you need to pay an amount of  USD1,200.00 in Tucson  while in Dubai you need to pay USD3,062.00.</v>
      </c>
      <c r="E511" s="969"/>
      <c r="F511" s="969"/>
      <c r="G511" s="969"/>
      <c r="H511" s="969"/>
      <c r="I511" s="969"/>
      <c r="J511" s="969"/>
      <c r="K511" s="969"/>
      <c r="L511" s="969"/>
      <c r="M511" s="969"/>
      <c r="N511" s="969"/>
      <c r="O511" s="969"/>
      <c r="P511" s="969"/>
      <c r="Q511" s="969"/>
      <c r="R511" s="969"/>
      <c r="S511" s="954"/>
      <c r="T511" s="954"/>
      <c r="U511" s="954"/>
      <c r="V511" s="954"/>
      <c r="W511" s="186"/>
      <c r="X511" s="10"/>
      <c r="Y511" s="10"/>
      <c r="Z511" s="10"/>
    </row>
    <row r="512" spans="1:26" s="78" customFormat="1" ht="18" hidden="1" customHeight="1">
      <c r="A512" s="10"/>
      <c r="B512" s="87"/>
      <c r="C512" s="178"/>
      <c r="D512" s="699"/>
      <c r="E512" s="181"/>
      <c r="F512" s="698"/>
      <c r="G512" s="698"/>
      <c r="H512" s="693"/>
      <c r="I512" s="515" t="str">
        <f>$I$129</f>
        <v>Dubai, United Arab Emirates</v>
      </c>
      <c r="J512" s="698"/>
      <c r="K512" s="698"/>
      <c r="L512" s="215" t="str">
        <f>R513</f>
        <v>rates</v>
      </c>
      <c r="M512" s="215"/>
      <c r="N512" s="215"/>
      <c r="O512" s="215"/>
      <c r="P512" s="699"/>
      <c r="Q512" s="516" t="s">
        <v>0</v>
      </c>
      <c r="R512" s="697"/>
      <c r="S512" s="698"/>
      <c r="T512" s="700"/>
      <c r="U512" s="698"/>
      <c r="V512" s="699"/>
      <c r="W512" s="186"/>
      <c r="X512" s="10"/>
      <c r="Y512" s="10"/>
      <c r="Z512" s="10"/>
    </row>
    <row r="513" spans="1:26" s="78" customFormat="1" ht="18" hidden="1" customHeight="1" thickBot="1">
      <c r="A513" s="10"/>
      <c r="B513" s="87"/>
      <c r="C513" s="517" t="str">
        <f>W591</f>
        <v>USD</v>
      </c>
      <c r="D513" s="518" t="str">
        <f>$Q$127</f>
        <v>Tucson, AZ, United States</v>
      </c>
      <c r="E513" s="181"/>
      <c r="F513" s="698"/>
      <c r="G513" s="698"/>
      <c r="H513" s="693"/>
      <c r="I513" s="693" t="s">
        <v>0</v>
      </c>
      <c r="J513" s="693" t="str">
        <f>VLOOKUP(Q513,C515:D518,2,FALSE)</f>
        <v>1 bed Apartment Outside of Centre</v>
      </c>
      <c r="K513" s="693"/>
      <c r="L513" s="693"/>
      <c r="M513" s="693"/>
      <c r="N513" s="693"/>
      <c r="O513" s="693"/>
      <c r="P513" s="519">
        <f>MIN(P515:P518)</f>
        <v>-0.60809928151534942</v>
      </c>
      <c r="Q513" s="519">
        <f>MAX(P515:P518)</f>
        <v>-0.34250668013212993</v>
      </c>
      <c r="R513" s="698" t="str">
        <f>RIGHT(I512,5)</f>
        <v>rates</v>
      </c>
      <c r="S513" s="698"/>
      <c r="T513" s="700"/>
      <c r="U513" s="698"/>
      <c r="V513" s="520" t="str">
        <f>$T$741</f>
        <v>Dubai</v>
      </c>
      <c r="W513" s="521" t="str">
        <f>IF(Q513&lt;0,"negatif","positif")</f>
        <v>negatif</v>
      </c>
      <c r="X513" s="10"/>
      <c r="Y513" s="10"/>
      <c r="Z513" s="10"/>
    </row>
    <row r="514" spans="1:26" s="78" customFormat="1" ht="30.75" hidden="1" customHeight="1" thickBot="1">
      <c r="A514" s="10"/>
      <c r="B514" s="87"/>
      <c r="C514" s="362" t="str">
        <f>VLOOKUP(D513,Data!L$3:N$398,2,FALSE)</f>
        <v>Tucson</v>
      </c>
      <c r="D514" s="747" t="str">
        <f>'Full Report'!$C$66</f>
        <v>Accomodation Rental</v>
      </c>
      <c r="E514" s="522" t="s">
        <v>1175</v>
      </c>
      <c r="F514" s="523" t="s">
        <v>540</v>
      </c>
      <c r="G514" s="524" t="str">
        <f>C514</f>
        <v>Tucson</v>
      </c>
      <c r="H514" s="523" t="str">
        <f>I512&amp;" in US dollar"</f>
        <v>Dubai, United Arab Emirates in US dollar</v>
      </c>
      <c r="I514" s="525" t="str">
        <f>$I$587</f>
        <v>Dubai</v>
      </c>
      <c r="J514" s="526"/>
      <c r="K514" s="526"/>
      <c r="L514" s="527" t="s">
        <v>1176</v>
      </c>
      <c r="M514" s="527"/>
      <c r="N514" s="528"/>
      <c r="O514" s="529"/>
      <c r="P514" s="748" t="str">
        <f>"        Cost difference"&amp;" in "&amp;C514</f>
        <v xml:space="preserve">        Cost difference in Tucson</v>
      </c>
      <c r="Q514" s="539"/>
      <c r="R514" s="540"/>
      <c r="S514" s="530"/>
      <c r="T514" s="531" t="str">
        <f>I514</f>
        <v>Dubai</v>
      </c>
      <c r="U514" s="532"/>
      <c r="V514" s="749" t="s">
        <v>1222</v>
      </c>
      <c r="W514" s="186"/>
      <c r="X514" s="10"/>
      <c r="Y514" s="10"/>
      <c r="Z514" s="10"/>
    </row>
    <row r="515" spans="1:26" s="78" customFormat="1" ht="18" hidden="1" customHeight="1">
      <c r="A515" s="10"/>
      <c r="B515" s="87"/>
      <c r="C515" s="533">
        <f>P515</f>
        <v>-0.57148279197326057</v>
      </c>
      <c r="D515" s="298" t="str">
        <f>D203</f>
        <v>1 bed Apartment in City Centre</v>
      </c>
      <c r="E515" s="534">
        <f>Accomodation!J6</f>
        <v>0</v>
      </c>
      <c r="F515" s="535">
        <f>VLOOKUP(Q$127,CPI!C$4:AZ$394,23,FALSE)</f>
        <v>700</v>
      </c>
      <c r="G515" s="311">
        <f>F515*E$204</f>
        <v>700</v>
      </c>
      <c r="H515" s="535">
        <f>VLOOKUP(I$129,CPI!C$4:AZ$394,23,FALSE)</f>
        <v>1633.54</v>
      </c>
      <c r="I515" s="536">
        <f>H515*E$204</f>
        <v>1633.54</v>
      </c>
      <c r="J515" s="418">
        <f>F515/H515</f>
        <v>0.42851720802673948</v>
      </c>
      <c r="K515" s="418" t="s">
        <v>430</v>
      </c>
      <c r="L515" s="693">
        <f>G515*E515</f>
        <v>0</v>
      </c>
      <c r="M515" s="693"/>
      <c r="N515" s="537"/>
      <c r="O515" s="698"/>
      <c r="P515" s="538">
        <f>J515-1</f>
        <v>-0.57148279197326057</v>
      </c>
      <c r="Q515" s="539" t="str">
        <f>IF(P515=0,"% or equal in ",IF(F515&lt;H515,"lower than in ","higher than in "))</f>
        <v xml:space="preserve">lower than in </v>
      </c>
      <c r="R515" s="540" t="str">
        <f>$T$514</f>
        <v>Dubai</v>
      </c>
      <c r="S515" s="541"/>
      <c r="T515" s="700">
        <f>IF(P515=0,98,IF(P515&lt;0,0,1))</f>
        <v>0</v>
      </c>
      <c r="U515" s="542"/>
      <c r="V515" s="543" t="str">
        <f>IF(E515=0,"X",I515*E515)</f>
        <v>X</v>
      </c>
      <c r="W515" s="186"/>
      <c r="X515" s="10"/>
      <c r="Y515" s="10"/>
      <c r="Z515" s="10"/>
    </row>
    <row r="516" spans="1:26" s="78" customFormat="1" ht="18" hidden="1" customHeight="1">
      <c r="A516" s="10"/>
      <c r="B516" s="87"/>
      <c r="C516" s="533">
        <f>P516</f>
        <v>-0.34250668013212993</v>
      </c>
      <c r="D516" s="298" t="str">
        <f>D204</f>
        <v>1 bed Apartment Outside of Centre</v>
      </c>
      <c r="E516" s="544">
        <f>Accomodation!J7</f>
        <v>1E-10</v>
      </c>
      <c r="F516" s="535">
        <f>VLOOKUP(Q$127,CPI!C$4:AZ$394,24,FALSE)</f>
        <v>625</v>
      </c>
      <c r="G516" s="311">
        <f>F516*E$204</f>
        <v>625</v>
      </c>
      <c r="H516" s="535">
        <f>VLOOKUP(I$129,CPI!C$4:AZ$394,24,FALSE)</f>
        <v>950.58</v>
      </c>
      <c r="I516" s="536">
        <f>H516*E$204</f>
        <v>950.58</v>
      </c>
      <c r="J516" s="418">
        <f>F516/H516</f>
        <v>0.65749331986787007</v>
      </c>
      <c r="K516" s="418" t="s">
        <v>431</v>
      </c>
      <c r="L516" s="693">
        <f>G516*E516</f>
        <v>6.2499999999999997E-8</v>
      </c>
      <c r="M516" s="693"/>
      <c r="N516" s="537"/>
      <c r="O516" s="698"/>
      <c r="P516" s="538">
        <f>J516-1</f>
        <v>-0.34250668013212993</v>
      </c>
      <c r="Q516" s="539" t="str">
        <f>IF(P516=0,"% or equal in ",IF(F516&lt;H516,"lower than in ","higher than in "))</f>
        <v xml:space="preserve">lower than in </v>
      </c>
      <c r="R516" s="540" t="str">
        <f>$T$514</f>
        <v>Dubai</v>
      </c>
      <c r="S516" s="541"/>
      <c r="T516" s="700">
        <f>IF(P516=0,98,IF(P516&lt;0,0,1))</f>
        <v>0</v>
      </c>
      <c r="U516" s="542"/>
      <c r="V516" s="543">
        <f>IF(E516=0,"X",I516*E516)</f>
        <v>9.5058000000000003E-8</v>
      </c>
      <c r="W516" s="186"/>
      <c r="X516" s="10"/>
      <c r="Y516" s="10"/>
      <c r="Z516" s="10"/>
    </row>
    <row r="517" spans="1:26" s="78" customFormat="1" ht="18" hidden="1" customHeight="1">
      <c r="A517" s="10"/>
      <c r="B517" s="87"/>
      <c r="C517" s="533">
        <f>P517</f>
        <v>-0.60809928151534942</v>
      </c>
      <c r="D517" s="298" t="str">
        <f>D205</f>
        <v>3 bed Apartment in City Centre</v>
      </c>
      <c r="E517" s="544">
        <f>Accomodation!J8</f>
        <v>1</v>
      </c>
      <c r="F517" s="535">
        <f>VLOOKUP(Q$127,CPI!C$4:AZ$394,25,FALSE)</f>
        <v>1200</v>
      </c>
      <c r="G517" s="311">
        <f>F517*E$204</f>
        <v>1200</v>
      </c>
      <c r="H517" s="535">
        <f>VLOOKUP(I$129,CPI!C$4:AZ$394,25,FALSE)</f>
        <v>3062</v>
      </c>
      <c r="I517" s="536">
        <f>H517*E$204</f>
        <v>3062</v>
      </c>
      <c r="J517" s="418">
        <f>F517/H517</f>
        <v>0.39190071848465058</v>
      </c>
      <c r="K517" s="418" t="s">
        <v>432</v>
      </c>
      <c r="L517" s="693">
        <f>G517*E517</f>
        <v>1200</v>
      </c>
      <c r="M517" s="693"/>
      <c r="N517" s="537"/>
      <c r="O517" s="698"/>
      <c r="P517" s="538">
        <f>J517-1</f>
        <v>-0.60809928151534942</v>
      </c>
      <c r="Q517" s="539" t="str">
        <f>IF(P517=0,"% or equal in ",IF(F517&lt;H517,"lower than in ","higher than in "))</f>
        <v xml:space="preserve">lower than in </v>
      </c>
      <c r="R517" s="540" t="str">
        <f>$T$514</f>
        <v>Dubai</v>
      </c>
      <c r="S517" s="541"/>
      <c r="T517" s="700">
        <f>IF(P517=0,98,IF(P517&lt;0,0,1))</f>
        <v>0</v>
      </c>
      <c r="U517" s="542"/>
      <c r="V517" s="543">
        <f>IF(E517=0,"X",I517*E517)</f>
        <v>3062</v>
      </c>
      <c r="W517" s="186"/>
      <c r="X517" s="10"/>
      <c r="Y517" s="10"/>
      <c r="Z517" s="10"/>
    </row>
    <row r="518" spans="1:26" s="78" customFormat="1" ht="18" hidden="1" customHeight="1" thickBot="1">
      <c r="A518" s="10"/>
      <c r="B518" s="87"/>
      <c r="C518" s="533">
        <f>P518</f>
        <v>-0.5533780253056011</v>
      </c>
      <c r="D518" s="750" t="str">
        <f>D206</f>
        <v>3 bed Apartment Outside of Centre</v>
      </c>
      <c r="E518" s="545">
        <f>Accomodation!J9</f>
        <v>0</v>
      </c>
      <c r="F518" s="546">
        <f>VLOOKUP(Q$127,CPI!C$4:AZ$394,26,FALSE)</f>
        <v>1000</v>
      </c>
      <c r="G518" s="547">
        <f>F518*E$204</f>
        <v>1000</v>
      </c>
      <c r="H518" s="546">
        <f>VLOOKUP(I$129,CPI!C$4:AZ$394,26,FALSE)</f>
        <v>2239.0300000000002</v>
      </c>
      <c r="I518" s="548">
        <f>H518*E$204</f>
        <v>2239.0300000000002</v>
      </c>
      <c r="J518" s="549">
        <f>F518/H518</f>
        <v>0.44662197469439885</v>
      </c>
      <c r="K518" s="549" t="s">
        <v>433</v>
      </c>
      <c r="L518" s="550">
        <f>G518*E518</f>
        <v>0</v>
      </c>
      <c r="M518" s="550"/>
      <c r="N518" s="551"/>
      <c r="O518" s="552"/>
      <c r="P518" s="538">
        <f>J518-1</f>
        <v>-0.5533780253056011</v>
      </c>
      <c r="Q518" s="539" t="str">
        <f>IF(P518=0,"% or equal in ",IF(F518&lt;H518,"lower than in ","higher than in "))</f>
        <v xml:space="preserve">lower than in </v>
      </c>
      <c r="R518" s="540" t="str">
        <f>$T$514</f>
        <v>Dubai</v>
      </c>
      <c r="S518" s="553"/>
      <c r="T518" s="554">
        <f>IF(P518=0,98,IF(P518&lt;0,0,1))</f>
        <v>0</v>
      </c>
      <c r="U518" s="555"/>
      <c r="V518" s="543" t="str">
        <f>IF(E518=0,"X",I518*E518)</f>
        <v>X</v>
      </c>
      <c r="W518" s="186"/>
      <c r="X518" s="10"/>
      <c r="Y518" s="10"/>
      <c r="Z518" s="10"/>
    </row>
    <row r="519" spans="1:26" s="78" customFormat="1" ht="18" hidden="1" customHeight="1" thickBot="1">
      <c r="A519" s="10"/>
      <c r="B519" s="87"/>
      <c r="C519" s="178" t="s">
        <v>0</v>
      </c>
      <c r="D519" s="690"/>
      <c r="E519" s="690" t="s">
        <v>0</v>
      </c>
      <c r="F519" s="691">
        <f>SUM(F515:F518)</f>
        <v>3525</v>
      </c>
      <c r="G519" s="556">
        <f>SUM(G515:G518)</f>
        <v>3525</v>
      </c>
      <c r="H519" s="691">
        <f>SUM(H515:H518)</f>
        <v>7885.15</v>
      </c>
      <c r="I519" s="557">
        <f>SUM(I515:I518)</f>
        <v>7885.15</v>
      </c>
      <c r="J519" s="558">
        <f>F519/H519</f>
        <v>0.44704285904516722</v>
      </c>
      <c r="K519" s="694">
        <f>G519/I519</f>
        <v>0.44704285904516722</v>
      </c>
      <c r="L519" s="559">
        <f>SUM(L515:L518)</f>
        <v>1200.0000000625</v>
      </c>
      <c r="M519" s="694"/>
      <c r="N519" s="694"/>
      <c r="O519" s="694"/>
      <c r="P519" s="560">
        <f>J519-1</f>
        <v>-0.55295714095483284</v>
      </c>
      <c r="Q519" s="561" t="str">
        <f>IF(P519=0,"% or equal in ",IF(F519&lt;H519,"lower than in ","higher than in "))</f>
        <v xml:space="preserve">lower than in </v>
      </c>
      <c r="R519" s="697"/>
      <c r="S519" s="698"/>
      <c r="T519" s="700">
        <f>SUM(T515:T518)</f>
        <v>0</v>
      </c>
      <c r="U519" s="698"/>
      <c r="V519" s="562">
        <f>SUM(V515:V518)</f>
        <v>3062.0000000950581</v>
      </c>
      <c r="W519" s="265">
        <f>L519/V519</f>
        <v>0.39190071849289571</v>
      </c>
      <c r="X519" s="10"/>
      <c r="Y519" s="10"/>
      <c r="Z519" s="10"/>
    </row>
    <row r="520" spans="1:26" s="78" customFormat="1" ht="18" hidden="1" customHeight="1" thickTop="1">
      <c r="A520" s="10"/>
      <c r="B520" s="87"/>
      <c r="C520" s="178" t="s">
        <v>0</v>
      </c>
      <c r="D520" s="405" t="s">
        <v>1166</v>
      </c>
      <c r="E520" s="563" t="s">
        <v>0</v>
      </c>
      <c r="F520" s="691"/>
      <c r="G520" s="692"/>
      <c r="H520" s="691"/>
      <c r="I520" s="690"/>
      <c r="J520" s="694"/>
      <c r="K520" s="694"/>
      <c r="L520" s="694"/>
      <c r="M520" s="694"/>
      <c r="N520" s="694"/>
      <c r="O520" s="694"/>
      <c r="P520" s="695">
        <f>ABS(P519)</f>
        <v>0.55295714095483284</v>
      </c>
      <c r="Q520" s="696"/>
      <c r="R520" s="697"/>
      <c r="S520" s="698"/>
      <c r="T520" s="564">
        <f>T519</f>
        <v>0</v>
      </c>
      <c r="U520" s="698"/>
      <c r="V520" s="699"/>
      <c r="W520" s="186"/>
      <c r="X520" s="10"/>
      <c r="Y520" s="10"/>
      <c r="Z520" s="10"/>
    </row>
    <row r="521" spans="1:26" s="78" customFormat="1" ht="18" hidden="1" customHeight="1">
      <c r="A521" s="10"/>
      <c r="B521" s="87"/>
      <c r="C521" s="178">
        <v>1</v>
      </c>
      <c r="D521" s="690" t="s">
        <v>1213</v>
      </c>
      <c r="E521" s="690"/>
      <c r="F521" s="565"/>
      <c r="G521" s="511">
        <f>P520</f>
        <v>0.55295714095483284</v>
      </c>
      <c r="H521" s="566" t="str">
        <f>Q519</f>
        <v xml:space="preserve">lower than in </v>
      </c>
      <c r="I521" s="691" t="str">
        <f>I512</f>
        <v>Dubai, United Arab Emirates</v>
      </c>
      <c r="J521" s="266" t="str">
        <f>IF(P519&lt;0,"However, as shown in the graph below, "," As shown in the graph below, ")</f>
        <v xml:space="preserve">However, as shown in the graph below, </v>
      </c>
      <c r="K521" s="567" t="str">
        <f>IF(T519&gt;16,K523,IF(T519=0,K524,K522))</f>
        <v xml:space="preserve"> All apartments under this category have lower price than in </v>
      </c>
      <c r="L521" s="567"/>
      <c r="M521" s="567"/>
      <c r="N521" s="567"/>
      <c r="O521" s="567"/>
      <c r="P521" s="568"/>
      <c r="Q521" s="569"/>
      <c r="R521" s="697"/>
      <c r="S521" s="698"/>
      <c r="T521" s="700"/>
      <c r="U521" s="698"/>
      <c r="V521" s="699"/>
      <c r="W521" s="186"/>
      <c r="X521" s="10"/>
      <c r="Y521" s="10"/>
      <c r="Z521" s="10"/>
    </row>
    <row r="522" spans="1:26" s="78" customFormat="1" ht="18" hidden="1" customHeight="1">
      <c r="A522" s="10"/>
      <c r="B522" s="87"/>
      <c r="C522" s="178"/>
      <c r="D522" s="690" t="str">
        <f>IF(P519="However, as shown in the graph below, ","Apparently, on average it is more","In other words, on average it is more")</f>
        <v>In other words, on average it is more</v>
      </c>
      <c r="E522" s="690" t="str">
        <f>IF(P519&lt;0," cheaper to spend money on accomodation rental in "," expensive to spend money on accomodation rental in ")</f>
        <v xml:space="preserve"> cheaper to spend money on accomodation rental in </v>
      </c>
      <c r="F522" s="565"/>
      <c r="G522" s="699"/>
      <c r="H522" s="570" t="str">
        <f>G514</f>
        <v>Tucson</v>
      </c>
      <c r="I522" s="691"/>
      <c r="J522" s="266"/>
      <c r="K522" s="571" t="str">
        <f>T520&amp;" out of 4 apartments under this category are higher than in "</f>
        <v xml:space="preserve">0 out of 4 apartments under this category are higher than in </v>
      </c>
      <c r="L522" s="571"/>
      <c r="M522" s="571"/>
      <c r="N522" s="571"/>
      <c r="O522" s="571"/>
      <c r="P522" s="568"/>
      <c r="Q522" s="569"/>
      <c r="R522" s="697"/>
      <c r="S522" s="698"/>
      <c r="T522" s="700"/>
      <c r="U522" s="698"/>
      <c r="V522" s="699"/>
      <c r="W522" s="186"/>
      <c r="X522" s="10"/>
      <c r="Y522" s="10"/>
      <c r="Z522" s="10"/>
    </row>
    <row r="523" spans="1:26" s="78" customFormat="1" ht="18" hidden="1" customHeight="1">
      <c r="A523" s="10"/>
      <c r="B523" s="87"/>
      <c r="C523" s="178">
        <v>2</v>
      </c>
      <c r="D523" s="675" t="str">
        <f>VLOOKUP(Q513,C515:D518,2,FALSE)</f>
        <v>1 bed Apartment Outside of Centre</v>
      </c>
      <c r="E523" s="572"/>
      <c r="F523" s="675" t="s">
        <v>1169</v>
      </c>
      <c r="G523" s="678"/>
      <c r="H523" s="677"/>
      <c r="I523" s="573" t="str">
        <f>I521</f>
        <v>Dubai, United Arab Emirates</v>
      </c>
      <c r="J523" s="679"/>
      <c r="K523" s="571" t="str">
        <f>FIXED(T520/100,0)&amp;" out of 4 apartments under this category have equal price as in "</f>
        <v xml:space="preserve">0 out of 4 apartments under this category have equal price as in </v>
      </c>
      <c r="L523" s="571"/>
      <c r="M523" s="571"/>
      <c r="N523" s="571"/>
      <c r="O523" s="571"/>
      <c r="P523" s="574"/>
      <c r="Q523" s="575"/>
      <c r="R523" s="682"/>
      <c r="S523" s="683"/>
      <c r="T523" s="576"/>
      <c r="U523" s="698"/>
      <c r="V523" s="699"/>
      <c r="W523" s="186"/>
      <c r="X523" s="10"/>
      <c r="Y523" s="10"/>
      <c r="Z523" s="10"/>
    </row>
    <row r="524" spans="1:26" s="78" customFormat="1" ht="18" hidden="1" customHeight="1">
      <c r="A524" s="10"/>
      <c r="B524" s="87"/>
      <c r="C524" s="178"/>
      <c r="D524" s="675" t="s">
        <v>1174</v>
      </c>
      <c r="E524" s="679">
        <f>VLOOKUP(Q513,C515:D518,1,FALSE)</f>
        <v>-0.34250668013212993</v>
      </c>
      <c r="F524" s="675" t="s">
        <v>1171</v>
      </c>
      <c r="G524" s="678"/>
      <c r="H524" s="677" t="str">
        <f>C514</f>
        <v>Tucson</v>
      </c>
      <c r="I524" s="573"/>
      <c r="J524" s="679"/>
      <c r="K524" s="571" t="str">
        <f>" All apartments under this category have lower price than in "</f>
        <v xml:space="preserve"> All apartments under this category have lower price than in </v>
      </c>
      <c r="L524" s="571"/>
      <c r="M524" s="571"/>
      <c r="N524" s="571"/>
      <c r="O524" s="571"/>
      <c r="P524" s="680"/>
      <c r="Q524" s="577"/>
      <c r="R524" s="682"/>
      <c r="S524" s="683"/>
      <c r="T524" s="576"/>
      <c r="U524" s="698"/>
      <c r="V524" s="699"/>
      <c r="W524" s="186"/>
      <c r="X524" s="10"/>
      <c r="Y524" s="10"/>
      <c r="Z524" s="10"/>
    </row>
    <row r="525" spans="1:26" s="78" customFormat="1" ht="18" hidden="1" customHeight="1">
      <c r="A525" s="10"/>
      <c r="B525" s="87"/>
      <c r="C525" s="178">
        <v>3</v>
      </c>
      <c r="D525" s="675" t="str">
        <f>VLOOKUP(P513,C515:D518,2,FALSE)</f>
        <v>3 bed Apartment in City Centre</v>
      </c>
      <c r="E525" s="578"/>
      <c r="F525" s="675" t="s">
        <v>1170</v>
      </c>
      <c r="G525" s="678"/>
      <c r="H525" s="677"/>
      <c r="I525" s="579" t="str">
        <f>I512</f>
        <v>Dubai, United Arab Emirates</v>
      </c>
      <c r="J525" s="679"/>
      <c r="K525" s="578"/>
      <c r="L525" s="578"/>
      <c r="M525" s="578"/>
      <c r="N525" s="578"/>
      <c r="O525" s="578"/>
      <c r="P525" s="680"/>
      <c r="Q525" s="681"/>
      <c r="R525" s="682"/>
      <c r="S525" s="683"/>
      <c r="T525" s="576"/>
      <c r="U525" s="698"/>
      <c r="V525" s="699"/>
      <c r="W525" s="186"/>
      <c r="X525" s="10"/>
      <c r="Y525" s="10"/>
      <c r="Z525" s="10"/>
    </row>
    <row r="526" spans="1:26" s="78" customFormat="1" ht="18" hidden="1" customHeight="1">
      <c r="A526" s="10"/>
      <c r="B526" s="87"/>
      <c r="C526" s="178"/>
      <c r="D526" s="675" t="s">
        <v>1174</v>
      </c>
      <c r="E526" s="679">
        <f>VLOOKUP(P513,C515:D518,1,FALSE)</f>
        <v>-0.60809928151534942</v>
      </c>
      <c r="F526" s="675" t="str">
        <f>$F$653</f>
        <v xml:space="preserve">higher than in </v>
      </c>
      <c r="G526" s="678"/>
      <c r="H526" s="677" t="str">
        <f>I525</f>
        <v>Dubai, United Arab Emirates</v>
      </c>
      <c r="I526" s="675"/>
      <c r="J526" s="679">
        <f>ABS(E526)</f>
        <v>0.60809928151534942</v>
      </c>
      <c r="K526" s="679"/>
      <c r="L526" s="679"/>
      <c r="M526" s="679"/>
      <c r="N526" s="679"/>
      <c r="O526" s="679"/>
      <c r="P526" s="680"/>
      <c r="Q526" s="681"/>
      <c r="R526" s="682"/>
      <c r="S526" s="683"/>
      <c r="T526" s="576"/>
      <c r="U526" s="698"/>
      <c r="V526" s="699"/>
      <c r="W526" s="186"/>
      <c r="X526" s="10"/>
      <c r="Y526" s="10"/>
      <c r="Z526" s="10"/>
    </row>
    <row r="527" spans="1:26" s="78" customFormat="1" ht="18" hidden="1" customHeight="1">
      <c r="A527" s="10"/>
      <c r="B527" s="87"/>
      <c r="C527" s="178"/>
      <c r="D527" s="580" t="str">
        <f>J521&amp;K521&amp;R518&amp;". "&amp;D523&amp;" in "&amp;H524&amp;F523&amp;I523&amp;D524&amp;FIXED(E524*100)&amp;F524&amp;H524&amp;"."</f>
        <v>However, as shown in the graph below,  All apartments under this category have lower price than in Dubai. 1 bed Apartment Outside of Centre in Tucson is the most expensive item in comparison to Dubai, United Arab Emirates. Its cost is -34.25 % more expensive in Tucson.</v>
      </c>
      <c r="E527" s="675"/>
      <c r="F527" s="677"/>
      <c r="G527" s="678"/>
      <c r="H527" s="677"/>
      <c r="I527" s="675"/>
      <c r="J527" s="679"/>
      <c r="K527" s="679"/>
      <c r="L527" s="679"/>
      <c r="M527" s="679"/>
      <c r="N527" s="679"/>
      <c r="O527" s="679"/>
      <c r="P527" s="680"/>
      <c r="Q527" s="681"/>
      <c r="R527" s="682"/>
      <c r="S527" s="683"/>
      <c r="T527" s="576"/>
      <c r="U527" s="698"/>
      <c r="V527" s="699"/>
      <c r="W527" s="186"/>
      <c r="X527" s="10"/>
      <c r="Y527" s="10"/>
      <c r="Z527" s="10"/>
    </row>
    <row r="528" spans="1:26" s="78" customFormat="1" ht="18" hidden="1" customHeight="1">
      <c r="A528" s="10"/>
      <c r="B528" s="87"/>
      <c r="C528" s="178"/>
      <c r="D528" s="675" t="str">
        <f>K521&amp;V513&amp;". "&amp;D525&amp;F525&amp;R518&amp;D526&amp;FIXED(J526*100)&amp;"% "&amp;F526&amp;H526&amp;"."</f>
        <v xml:space="preserve"> All apartments under this category have lower price than in Dubai. 3 bed Apartment in City Centre is the cheapest item in comparison to Dubai. Its cost is 60.81% higher than in Dubai, United Arab Emirates.</v>
      </c>
      <c r="E528" s="676"/>
      <c r="F528" s="677"/>
      <c r="G528" s="678"/>
      <c r="H528" s="677"/>
      <c r="I528" s="675"/>
      <c r="J528" s="679"/>
      <c r="K528" s="679"/>
      <c r="L528" s="679"/>
      <c r="M528" s="679"/>
      <c r="N528" s="679"/>
      <c r="O528" s="679"/>
      <c r="P528" s="680"/>
      <c r="Q528" s="681"/>
      <c r="R528" s="682"/>
      <c r="S528" s="683"/>
      <c r="T528" s="576"/>
      <c r="U528" s="698"/>
      <c r="V528" s="699"/>
      <c r="W528" s="186"/>
      <c r="X528" s="10"/>
      <c r="Y528" s="10"/>
      <c r="Z528" s="10"/>
    </row>
    <row r="529" spans="1:26" s="78" customFormat="1" ht="18" hidden="1" customHeight="1">
      <c r="A529" s="10"/>
      <c r="B529" s="87"/>
      <c r="C529" s="178"/>
      <c r="D529" s="675" t="s">
        <v>1173</v>
      </c>
      <c r="E529" s="676"/>
      <c r="F529" s="677"/>
      <c r="G529" s="678"/>
      <c r="H529" s="677"/>
      <c r="I529" s="675"/>
      <c r="J529" s="679"/>
      <c r="K529" s="679"/>
      <c r="L529" s="679"/>
      <c r="M529" s="679"/>
      <c r="N529" s="679"/>
      <c r="O529" s="679"/>
      <c r="P529" s="680"/>
      <c r="Q529" s="681"/>
      <c r="R529" s="682"/>
      <c r="S529" s="683"/>
      <c r="T529" s="576"/>
      <c r="U529" s="698"/>
      <c r="V529" s="699"/>
      <c r="W529" s="186"/>
      <c r="X529" s="10"/>
      <c r="Y529" s="10"/>
      <c r="Z529" s="10"/>
    </row>
    <row r="530" spans="1:26" s="78" customFormat="1" ht="18" hidden="1" customHeight="1">
      <c r="A530" s="10"/>
      <c r="B530" s="87"/>
      <c r="C530" s="178"/>
      <c r="D530" s="958"/>
      <c r="E530" s="959"/>
      <c r="F530" s="960"/>
      <c r="G530" s="961"/>
      <c r="H530" s="960"/>
      <c r="I530" s="958"/>
      <c r="J530" s="962"/>
      <c r="K530" s="962"/>
      <c r="L530" s="962"/>
      <c r="M530" s="962"/>
      <c r="N530" s="962"/>
      <c r="O530" s="962"/>
      <c r="P530" s="963"/>
      <c r="Q530" s="964"/>
      <c r="R530" s="965"/>
      <c r="S530" s="966"/>
      <c r="T530" s="576"/>
      <c r="U530" s="698"/>
      <c r="V530" s="699"/>
      <c r="W530" s="186"/>
      <c r="X530" s="10"/>
      <c r="Y530" s="10"/>
      <c r="Z530" s="10"/>
    </row>
    <row r="531" spans="1:26" s="78" customFormat="1" ht="18" hidden="1" customHeight="1">
      <c r="A531" s="10"/>
      <c r="B531" s="87"/>
      <c r="C531" s="178"/>
      <c r="D531" s="979" t="str">
        <f>D521&amp;D513&amp;" is "&amp;FIXED(G521*100)&amp;"% "&amp;H521&amp;I521&amp;". "&amp;D522&amp;E522&amp;H522&amp;". "</f>
        <v xml:space="preserve">Overall, based on 4 apartments in the Rental category, the cost of rental in Tucson, AZ, United States is 55.30% lower than in Dubai, United Arab Emirates. In other words, on average it is more cheaper to spend money on accomodation rental in Tucson. </v>
      </c>
      <c r="E531" s="979"/>
      <c r="F531" s="979"/>
      <c r="G531" s="979"/>
      <c r="H531" s="979"/>
      <c r="I531" s="979"/>
      <c r="J531" s="979"/>
      <c r="K531" s="979"/>
      <c r="L531" s="979"/>
      <c r="M531" s="979"/>
      <c r="N531" s="979"/>
      <c r="O531" s="979"/>
      <c r="P531" s="979"/>
      <c r="Q531" s="979"/>
      <c r="R531" s="979"/>
      <c r="S531" s="979"/>
      <c r="T531" s="576"/>
      <c r="U531" s="698"/>
      <c r="V531" s="699"/>
      <c r="W531" s="186"/>
      <c r="X531" s="10"/>
      <c r="Y531" s="10"/>
      <c r="Z531" s="10"/>
    </row>
    <row r="532" spans="1:26" s="78" customFormat="1" ht="18" hidden="1" customHeight="1">
      <c r="A532" s="10"/>
      <c r="B532" s="87"/>
      <c r="C532" s="178"/>
      <c r="D532" s="684" t="str">
        <f>IF(Q513&lt;0,D528,IF(Q513=0,D528,D527))</f>
        <v xml:space="preserve"> All apartments under this category have lower price than in Dubai. 3 bed Apartment in City Centre is the cheapest item in comparison to Dubai. Its cost is 60.81% higher than in Dubai, United Arab Emirates.</v>
      </c>
      <c r="E532" s="684"/>
      <c r="F532" s="684"/>
      <c r="G532" s="684"/>
      <c r="H532" s="684"/>
      <c r="I532" s="684"/>
      <c r="J532" s="684"/>
      <c r="K532" s="684"/>
      <c r="L532" s="684"/>
      <c r="M532" s="684"/>
      <c r="N532" s="684"/>
      <c r="O532" s="684"/>
      <c r="P532" s="684"/>
      <c r="Q532" s="684"/>
      <c r="R532" s="684"/>
      <c r="S532" s="684"/>
      <c r="T532" s="576"/>
      <c r="U532" s="698"/>
      <c r="V532" s="699"/>
      <c r="W532" s="186"/>
      <c r="X532" s="10"/>
      <c r="Y532" s="10"/>
      <c r="Z532" s="10"/>
    </row>
    <row r="533" spans="1:26" s="78" customFormat="1" ht="18" hidden="1" customHeight="1">
      <c r="A533" s="10"/>
      <c r="B533" s="87"/>
      <c r="C533" s="178"/>
      <c r="D533" s="686" t="str">
        <f>"Your monthly rental is selected from "&amp;V533&amp;" out of 4 items. Your cost of rental index (percentage ratio) is calculated based on this apartment and its rate. "</f>
        <v xml:space="preserve">Your monthly rental is selected from 2 out of 4 items. Your cost of rental index (percentage ratio) is calculated based on this apartment and its rate. </v>
      </c>
      <c r="E533" s="674"/>
      <c r="F533" s="674"/>
      <c r="G533" s="674"/>
      <c r="H533" s="674"/>
      <c r="I533" s="674"/>
      <c r="J533" s="674"/>
      <c r="K533" s="674"/>
      <c r="L533" s="684"/>
      <c r="M533" s="684"/>
      <c r="N533" s="684"/>
      <c r="O533" s="684"/>
      <c r="P533" s="684"/>
      <c r="Q533" s="684"/>
      <c r="R533" s="687"/>
      <c r="S533" s="684"/>
      <c r="T533" s="576"/>
      <c r="U533" s="464"/>
      <c r="V533" s="464">
        <f>COUNT(V515:V518)</f>
        <v>2</v>
      </c>
      <c r="W533" s="318">
        <f>W519-1</f>
        <v>-0.60809928150710424</v>
      </c>
      <c r="X533" s="10"/>
      <c r="Y533" s="10"/>
      <c r="Z533" s="10"/>
    </row>
    <row r="534" spans="1:26" s="78" customFormat="1" ht="18" hidden="1" customHeight="1">
      <c r="A534" s="10"/>
      <c r="B534" s="87"/>
      <c r="C534" s="178"/>
      <c r="D534" s="686" t="s">
        <v>1248</v>
      </c>
      <c r="E534" s="674"/>
      <c r="F534" s="674"/>
      <c r="G534" s="674"/>
      <c r="H534" s="674"/>
      <c r="I534" s="674">
        <f>ABS(W533)*100</f>
        <v>60.809928150710427</v>
      </c>
      <c r="J534" s="674" t="str">
        <f>IF(W533&lt;0,"% lower in ","% higher in ")</f>
        <v xml:space="preserve">% lower in </v>
      </c>
      <c r="K534" s="582" t="str">
        <f>K535</f>
        <v>Tucson</v>
      </c>
      <c r="L534" s="684" t="s">
        <v>1203</v>
      </c>
      <c r="M534" s="583" t="str">
        <f>G535</f>
        <v>Dubai</v>
      </c>
      <c r="N534" s="684"/>
      <c r="O534" s="684"/>
      <c r="P534" s="684"/>
      <c r="Q534" s="684"/>
      <c r="R534" s="687"/>
      <c r="S534" s="684"/>
      <c r="T534" s="576"/>
      <c r="U534" s="464"/>
      <c r="V534" s="464"/>
      <c r="W534" s="318"/>
      <c r="X534" s="10"/>
      <c r="Y534" s="10"/>
      <c r="Z534" s="10"/>
    </row>
    <row r="535" spans="1:26" s="78" customFormat="1" ht="18" hidden="1" customHeight="1">
      <c r="A535" s="10"/>
      <c r="B535" s="87"/>
      <c r="C535" s="178"/>
      <c r="D535" s="686" t="str">
        <f>IF(P519&lt;0,"In conclusion, ","In other words, ")</f>
        <v xml:space="preserve">In conclusion, </v>
      </c>
      <c r="E535" s="674"/>
      <c r="F535" s="674" t="str">
        <f>IF(W533&lt;0," you need to spend more in "," you spend less in ")</f>
        <v xml:space="preserve"> you need to spend more in </v>
      </c>
      <c r="G535" s="584" t="str">
        <f>R516</f>
        <v>Dubai</v>
      </c>
      <c r="H535" s="674" t="s">
        <v>1216</v>
      </c>
      <c r="I535" s="674"/>
      <c r="J535" s="674"/>
      <c r="K535" s="582" t="str">
        <f>C514</f>
        <v>Tucson</v>
      </c>
      <c r="L535" s="684"/>
      <c r="M535" s="684"/>
      <c r="N535" s="684"/>
      <c r="O535" s="684"/>
      <c r="P535" s="684"/>
      <c r="Q535" s="684"/>
      <c r="R535" s="687"/>
      <c r="S535" s="684"/>
      <c r="T535" s="576"/>
      <c r="U535" s="464"/>
      <c r="V535" s="464"/>
      <c r="W535" s="318"/>
      <c r="X535" s="10"/>
      <c r="Y535" s="10"/>
      <c r="Z535" s="10"/>
    </row>
    <row r="536" spans="1:26" s="78" customFormat="1" ht="18" hidden="1" customHeight="1">
      <c r="A536" s="10"/>
      <c r="B536" s="87"/>
      <c r="C536" s="178"/>
      <c r="D536" s="686" t="s">
        <v>1214</v>
      </c>
      <c r="E536" s="674" t="s">
        <v>0</v>
      </c>
      <c r="F536" s="674"/>
      <c r="G536" s="674" t="s">
        <v>0</v>
      </c>
      <c r="H536" s="674" t="s">
        <v>1215</v>
      </c>
      <c r="I536" s="674"/>
      <c r="J536" s="674">
        <f>L519</f>
        <v>1200.0000000625</v>
      </c>
      <c r="K536" s="584" t="str">
        <f>G514</f>
        <v>Tucson</v>
      </c>
      <c r="L536" s="684" t="s">
        <v>1206</v>
      </c>
      <c r="M536" s="583" t="str">
        <f>V513</f>
        <v>Dubai</v>
      </c>
      <c r="N536" s="684" t="s">
        <v>1208</v>
      </c>
      <c r="O536" s="684">
        <f>V519</f>
        <v>3062.0000000950581</v>
      </c>
      <c r="P536" s="684"/>
      <c r="Q536" s="684"/>
      <c r="R536" s="687"/>
      <c r="S536" s="684"/>
      <c r="T536" s="576"/>
      <c r="U536" s="464"/>
      <c r="V536" s="464"/>
      <c r="W536" s="318"/>
      <c r="X536" s="10"/>
      <c r="Y536" s="10"/>
      <c r="Z536" s="10"/>
    </row>
    <row r="537" spans="1:26" s="78" customFormat="1" ht="18" hidden="1" customHeight="1">
      <c r="A537" s="10"/>
      <c r="B537" s="87"/>
      <c r="C537" s="178"/>
      <c r="D537" s="1016"/>
      <c r="E537" s="969"/>
      <c r="F537" s="969"/>
      <c r="G537" s="969"/>
      <c r="H537" s="969"/>
      <c r="I537" s="969"/>
      <c r="J537" s="969"/>
      <c r="K537" s="969"/>
      <c r="L537" s="979"/>
      <c r="M537" s="979"/>
      <c r="N537" s="979"/>
      <c r="O537" s="979"/>
      <c r="P537" s="979"/>
      <c r="Q537" s="979"/>
      <c r="R537" s="1017"/>
      <c r="S537" s="684"/>
      <c r="T537" s="576"/>
      <c r="U537" s="464"/>
      <c r="V537" s="464"/>
      <c r="W537" s="318"/>
      <c r="X537" s="10"/>
      <c r="Y537" s="10"/>
      <c r="Z537" s="10"/>
    </row>
    <row r="538" spans="1:26" s="78" customFormat="1" ht="18" hidden="1" customHeight="1">
      <c r="A538" s="10"/>
      <c r="B538" s="87"/>
      <c r="C538" s="178"/>
      <c r="D538" s="969" t="str">
        <f>D533&amp;D534&amp;" "&amp;FIXED(I534,2)&amp;" "&amp;J534&amp;K534&amp;L534&amp;M534&amp;"."</f>
        <v>Your monthly rental is selected from 2 out of 4 items. Your cost of rental index (percentage ratio) is calculated based on this apartment and its rate. Therefore, based on this preferences, your personal spending on rental is 60.81 % lower in Tucson in comparison to Dubai.</v>
      </c>
      <c r="E538" s="969"/>
      <c r="F538" s="969"/>
      <c r="G538" s="969"/>
      <c r="H538" s="969"/>
      <c r="I538" s="969"/>
      <c r="J538" s="969"/>
      <c r="K538" s="969"/>
      <c r="L538" s="969"/>
      <c r="M538" s="674"/>
      <c r="N538" s="674"/>
      <c r="O538" s="674"/>
      <c r="P538" s="674"/>
      <c r="Q538" s="674"/>
      <c r="R538" s="674"/>
      <c r="S538" s="684"/>
      <c r="T538" s="683"/>
      <c r="U538" s="464"/>
      <c r="V538" s="464"/>
      <c r="W538" s="186"/>
      <c r="X538" s="10"/>
      <c r="Y538" s="10"/>
      <c r="Z538" s="10"/>
    </row>
    <row r="539" spans="1:26" s="78" customFormat="1" ht="18" hidden="1" customHeight="1">
      <c r="A539" s="10"/>
      <c r="B539" s="87"/>
      <c r="C539" s="178"/>
      <c r="D539" s="688" t="str">
        <f>D535&amp;F535&amp;G535&amp;H535&amp;I535&amp;J535&amp;K535&amp;D536&amp;G536&amp;H536&amp;" "&amp;Info!J8&amp;FIXED(J536,2)&amp;" in "&amp;K536&amp;" "&amp;L536&amp;M536&amp;N536&amp;" "&amp;Info!J8&amp;FIXED(O536,2)&amp;"."</f>
        <v>In conclusion,  you need to spend more in Dubai in order to rent a similar apartment you paid in Tucson. Hence, renting the selected   apartment in this category, you need to pay an amount of  USD1,200.00 in Tucson  while in Dubai you need to pay USD3,062.00.</v>
      </c>
      <c r="E539" s="688"/>
      <c r="F539" s="688"/>
      <c r="G539" s="688"/>
      <c r="H539" s="688"/>
      <c r="I539" s="688"/>
      <c r="J539" s="688"/>
      <c r="K539" s="688"/>
      <c r="L539" s="688"/>
      <c r="M539" s="688"/>
      <c r="N539" s="688"/>
      <c r="O539" s="688"/>
      <c r="P539" s="688"/>
      <c r="Q539" s="688"/>
      <c r="R539" s="461"/>
      <c r="S539" s="684"/>
      <c r="T539" s="683"/>
      <c r="U539" s="464"/>
      <c r="V539" s="464"/>
      <c r="W539" s="186"/>
      <c r="X539" s="10"/>
      <c r="Y539" s="10"/>
      <c r="Z539" s="10"/>
    </row>
    <row r="540" spans="1:26" ht="18" hidden="1" customHeight="1">
      <c r="C540" s="178"/>
      <c r="D540" s="269"/>
      <c r="E540" s="269"/>
      <c r="F540" s="699"/>
      <c r="G540" s="699"/>
      <c r="H540" s="266"/>
      <c r="I540" s="266"/>
      <c r="J540" s="266"/>
      <c r="K540" s="266"/>
      <c r="L540" s="266"/>
      <c r="M540" s="266"/>
      <c r="N540" s="266"/>
      <c r="O540" s="266"/>
      <c r="P540" s="266"/>
      <c r="Q540" s="270"/>
      <c r="R540" s="281"/>
      <c r="S540" s="699"/>
      <c r="T540" s="699"/>
      <c r="U540" s="699"/>
      <c r="V540" s="699"/>
      <c r="W540" s="186"/>
    </row>
    <row r="541" spans="1:26" ht="22.5" hidden="1" customHeight="1">
      <c r="C541" s="178"/>
      <c r="D541" s="179" t="str">
        <f>"Personal Cost of Eating Out is "&amp;IF(P140&gt;0,"cheaper in ","more expensive in ")&amp;R515</f>
        <v>Personal Cost of Eating Out is cheaper in Dubai</v>
      </c>
      <c r="E541" s="179"/>
      <c r="F541" s="179"/>
      <c r="G541" s="179"/>
      <c r="H541" s="179"/>
      <c r="I541" s="179"/>
      <c r="J541" s="179"/>
      <c r="K541" s="179"/>
      <c r="L541" s="179"/>
      <c r="M541" s="179"/>
      <c r="N541" s="179"/>
      <c r="O541" s="179"/>
      <c r="P541" s="179"/>
      <c r="Q541" s="179"/>
      <c r="R541" s="179"/>
      <c r="S541" s="179"/>
      <c r="T541" s="685"/>
      <c r="U541" s="685"/>
      <c r="V541" s="585"/>
      <c r="W541" s="186"/>
    </row>
    <row r="542" spans="1:26" ht="78" hidden="1" customHeight="1">
      <c r="C542" s="178"/>
      <c r="D542" s="969" t="str">
        <f>IF(V569=0,"None of the items under this category is selected.",IF(T556=75.2,D565,D574))</f>
        <v>Your personal expenditure on Eating Out are selected from 8 out of 8 items. Your cost of eating out index (percentage ratio) is calculated based on these spending pattern over a month. Therefore, based on this item preferences, your personal spending on eating out is 25.36 % higher in Tucson in comparison to Dubai.</v>
      </c>
      <c r="E542" s="969"/>
      <c r="F542" s="969"/>
      <c r="G542" s="969"/>
      <c r="H542" s="969"/>
      <c r="I542" s="969"/>
      <c r="J542" s="969"/>
      <c r="K542" s="969"/>
      <c r="L542" s="969"/>
      <c r="M542" s="969"/>
      <c r="N542" s="969"/>
      <c r="O542" s="969"/>
      <c r="P542" s="969"/>
      <c r="Q542" s="969"/>
      <c r="R542" s="969"/>
      <c r="S542" s="954"/>
      <c r="T542" s="954"/>
      <c r="U542" s="954"/>
      <c r="V542" s="954"/>
      <c r="W542" s="186"/>
    </row>
    <row r="543" spans="1:26" ht="46.5" hidden="1" customHeight="1">
      <c r="C543" s="178"/>
      <c r="D543" s="969" t="str">
        <f>IF(V569=0,"None of the items under this category is selected.",IF(T556=75.2,D565,D575))</f>
        <v>In other words,  you spend less in Dubai in order to purchase these same items you paid in Tucson. Hence, purchasing the same 8 items in this category, you need to pay an amount of  USD684.25 in Dubai  while in Tucson you need to pay approximately around USD857.80</v>
      </c>
      <c r="E543" s="969"/>
      <c r="F543" s="969"/>
      <c r="G543" s="969"/>
      <c r="H543" s="969"/>
      <c r="I543" s="969"/>
      <c r="J543" s="969"/>
      <c r="K543" s="969"/>
      <c r="L543" s="969"/>
      <c r="M543" s="969"/>
      <c r="N543" s="969"/>
      <c r="O543" s="969"/>
      <c r="P543" s="969"/>
      <c r="Q543" s="969"/>
      <c r="R543" s="969"/>
      <c r="S543" s="954"/>
      <c r="T543" s="954"/>
      <c r="U543" s="954"/>
      <c r="V543" s="954"/>
      <c r="W543" s="186"/>
    </row>
    <row r="544" spans="1:26" ht="17.25" hidden="1" customHeight="1">
      <c r="C544" s="178"/>
      <c r="D544" s="702"/>
      <c r="E544" s="702"/>
      <c r="F544" s="702"/>
      <c r="G544" s="702"/>
      <c r="H544" s="702"/>
      <c r="I544" s="702"/>
      <c r="J544" s="702"/>
      <c r="K544" s="702"/>
      <c r="L544" s="702"/>
      <c r="M544" s="702"/>
      <c r="N544" s="702"/>
      <c r="O544" s="702"/>
      <c r="P544" s="702"/>
      <c r="Q544" s="702"/>
      <c r="R544" s="702"/>
      <c r="S544" s="702"/>
      <c r="T544" s="702"/>
      <c r="U544" s="702"/>
      <c r="V544" s="702"/>
      <c r="W544" s="186"/>
    </row>
    <row r="545" spans="1:41" ht="24" hidden="1" thickBot="1">
      <c r="C545" s="178"/>
      <c r="D545" s="335"/>
      <c r="E545" s="181"/>
      <c r="F545" s="698"/>
      <c r="G545" s="698"/>
      <c r="H545" s="693"/>
      <c r="I545" s="693"/>
      <c r="J545" s="693"/>
      <c r="K545" s="694">
        <f>IF(V545&lt;0,V545,Q545)</f>
        <v>-0.68520461699895074</v>
      </c>
      <c r="L545" s="694"/>
      <c r="M545" s="694"/>
      <c r="N545" s="694"/>
      <c r="O545" s="694"/>
      <c r="P545" s="693" t="s">
        <v>1168</v>
      </c>
      <c r="Q545" s="519">
        <f>MIN(P547:P554)</f>
        <v>-0.68520461699895074</v>
      </c>
      <c r="R545" s="586" t="str">
        <f>IF(V545&lt;0,"negatif","positif")</f>
        <v>positif</v>
      </c>
      <c r="S545" s="698"/>
      <c r="T545" s="700"/>
      <c r="U545" s="699"/>
      <c r="V545" s="519">
        <f>MAX(P547:P554)</f>
        <v>3.666666666666667</v>
      </c>
      <c r="W545" s="257" t="str">
        <f>$T$546</f>
        <v>Dubai</v>
      </c>
    </row>
    <row r="546" spans="1:41" ht="33.75" hidden="1" customHeight="1" thickBot="1">
      <c r="C546" s="362" t="str">
        <f>VLOOKUP(Q127,Data!L$3:N$398,2,FALSE)</f>
        <v>Tucson</v>
      </c>
      <c r="D546" s="747" t="str">
        <f>'Full Report'!$C$10</f>
        <v>Eating Out</v>
      </c>
      <c r="E546" s="522" t="s">
        <v>1175</v>
      </c>
      <c r="F546" s="523" t="s">
        <v>540</v>
      </c>
      <c r="G546" s="524" t="str">
        <f>"cost per unit in "&amp;C546</f>
        <v>cost per unit in Tucson</v>
      </c>
      <c r="H546" s="523" t="str">
        <f>I129&amp;" in US dollar"</f>
        <v>Dubai, United Arab Emirates in US dollar</v>
      </c>
      <c r="I546" s="525" t="str">
        <f>"cost per unit in "&amp;R547</f>
        <v>cost per unit in Dubai</v>
      </c>
      <c r="J546" s="526"/>
      <c r="K546" s="526"/>
      <c r="L546" s="527" t="str">
        <f>" monthly cost in "&amp;C546</f>
        <v xml:space="preserve"> monthly cost in Tucson</v>
      </c>
      <c r="M546" s="527"/>
      <c r="N546" s="528"/>
      <c r="O546" s="529"/>
      <c r="P546" s="751" t="str">
        <f>"        Cost difference"&amp;" in "&amp;C546</f>
        <v xml:space="preserve">        Cost difference in Tucson</v>
      </c>
      <c r="Q546" s="751"/>
      <c r="R546" s="752"/>
      <c r="S546" s="530"/>
      <c r="T546" s="531" t="str">
        <f>R547</f>
        <v>Dubai</v>
      </c>
      <c r="U546" s="532" t="s">
        <v>1202</v>
      </c>
      <c r="V546" s="749" t="s">
        <v>1222</v>
      </c>
      <c r="W546" s="186"/>
    </row>
    <row r="547" spans="1:41" ht="17.100000000000001" hidden="1" customHeight="1">
      <c r="C547" s="362">
        <f>P547</f>
        <v>0.10159118727050176</v>
      </c>
      <c r="D547" s="587" t="str">
        <f>'Full Report'!C11</f>
        <v>Meal, in a Budget Restaurant</v>
      </c>
      <c r="E547" s="534">
        <f>'Eating Out'!J6</f>
        <v>5</v>
      </c>
      <c r="F547" s="535">
        <f>VLOOKUP(Q$127,CPI!C$4:AZ$394,2,FALSE)</f>
        <v>9</v>
      </c>
      <c r="G547" s="311">
        <f t="shared" ref="G547:G554" si="24">F547*E$204</f>
        <v>9</v>
      </c>
      <c r="H547" s="535">
        <f>VLOOKUP(I$129,CPI!C$4:AZ$394,2,FALSE)</f>
        <v>8.17</v>
      </c>
      <c r="I547" s="536">
        <f t="shared" ref="I547:I554" si="25">H547*E$204</f>
        <v>8.17</v>
      </c>
      <c r="J547" s="418">
        <f t="shared" ref="J547:J555" si="26">F547/H547</f>
        <v>1.1015911872705018</v>
      </c>
      <c r="K547" s="418" t="s">
        <v>1224</v>
      </c>
      <c r="L547" s="693">
        <f>G547*E547</f>
        <v>45</v>
      </c>
      <c r="M547" s="693"/>
      <c r="N547" s="537">
        <f>IF(E547=0,0,J547-1)</f>
        <v>0.10159118727050176</v>
      </c>
      <c r="O547" s="698">
        <f>IF(N547=0,"not selected",IF(K547&lt;0,0,1))</f>
        <v>1</v>
      </c>
      <c r="P547" s="538">
        <f t="shared" ref="P547:P553" si="27">J547-1</f>
        <v>0.10159118727050176</v>
      </c>
      <c r="Q547" s="539" t="str">
        <f t="shared" ref="Q547:Q553" si="28">IF(P547=0,"% or equal in ",IF(F547&lt;H547,"lower than in ","higher than in "))</f>
        <v xml:space="preserve">higher than in </v>
      </c>
      <c r="R547" s="540" t="str">
        <f>VLOOKUP(I$129,Data!L$3:N$398,2,FALSE)</f>
        <v>Dubai</v>
      </c>
      <c r="S547" s="541"/>
      <c r="T547" s="700">
        <f>IF(P547=0,98,IF(P547&lt;0,0,1))</f>
        <v>1</v>
      </c>
      <c r="U547" s="542">
        <f t="shared" ref="U547:U554" si="29">G547*E547</f>
        <v>45</v>
      </c>
      <c r="V547" s="543">
        <f>IF(E547=0,"X",I547*E547)</f>
        <v>40.85</v>
      </c>
      <c r="W547" s="186"/>
    </row>
    <row r="548" spans="1:41" ht="17.100000000000001" hidden="1" customHeight="1">
      <c r="C548" s="362">
        <f t="shared" ref="C548:C553" si="30">P548</f>
        <v>0.46914789422135139</v>
      </c>
      <c r="D548" s="587" t="str">
        <f>'Full Report'!C12</f>
        <v>Meal for 2, Established Restaurant, 3-course</v>
      </c>
      <c r="E548" s="544">
        <f>'Eating Out'!J7</f>
        <v>10</v>
      </c>
      <c r="F548" s="535">
        <f>VLOOKUP(Q$127,CPI!C$4:AZ$394,3,FALSE)</f>
        <v>60</v>
      </c>
      <c r="G548" s="311">
        <f t="shared" si="24"/>
        <v>60</v>
      </c>
      <c r="H548" s="535">
        <f>VLOOKUP(I$129,CPI!C$4:AZ$394,3,FALSE)</f>
        <v>40.840000000000003</v>
      </c>
      <c r="I548" s="536">
        <f t="shared" si="25"/>
        <v>40.840000000000003</v>
      </c>
      <c r="J548" s="418">
        <f t="shared" si="26"/>
        <v>1.4691478942213514</v>
      </c>
      <c r="K548" s="418" t="s">
        <v>770</v>
      </c>
      <c r="L548" s="693">
        <f t="shared" ref="L548:L554" si="31">G548*E548</f>
        <v>600</v>
      </c>
      <c r="M548" s="693"/>
      <c r="N548" s="537">
        <f t="shared" ref="N548:N554" si="32">IF(E548=0,0,J548-1)</f>
        <v>0.46914789422135139</v>
      </c>
      <c r="O548" s="698">
        <f t="shared" ref="O548:O554" si="33">IF(N548=0,"not selected",IF(K548&lt;0,0,1))</f>
        <v>1</v>
      </c>
      <c r="P548" s="538">
        <f t="shared" si="27"/>
        <v>0.46914789422135139</v>
      </c>
      <c r="Q548" s="539" t="str">
        <f t="shared" si="28"/>
        <v xml:space="preserve">higher than in </v>
      </c>
      <c r="R548" s="540" t="str">
        <f>VLOOKUP(I$129,Data!L$3:N$398,2,FALSE)</f>
        <v>Dubai</v>
      </c>
      <c r="S548" s="541"/>
      <c r="T548" s="700">
        <f t="shared" ref="T548:T554" si="34">IF(P548=0,98,IF(P548&lt;0,0,1))</f>
        <v>1</v>
      </c>
      <c r="U548" s="542">
        <f t="shared" si="29"/>
        <v>600</v>
      </c>
      <c r="V548" s="543">
        <f t="shared" ref="V548:V554" si="35">IF(E548=0,"X",I548*E548)</f>
        <v>408.40000000000003</v>
      </c>
      <c r="W548" s="186"/>
    </row>
    <row r="549" spans="1:41" ht="17.100000000000001" hidden="1" customHeight="1">
      <c r="C549" s="362">
        <f t="shared" si="30"/>
        <v>0.10091743119266061</v>
      </c>
      <c r="D549" s="587" t="str">
        <f>'Full Report'!C13</f>
        <v>Combo Meal at McDonalds etc.</v>
      </c>
      <c r="E549" s="544">
        <f>'Eating Out'!J8</f>
        <v>5</v>
      </c>
      <c r="F549" s="535">
        <f>VLOOKUP(Q$127,CPI!C$4:AZ$394,4,FALSE)</f>
        <v>6</v>
      </c>
      <c r="G549" s="311">
        <f t="shared" si="24"/>
        <v>6</v>
      </c>
      <c r="H549" s="535">
        <f>VLOOKUP(I$129,CPI!C$4:AZ$394,4,FALSE)</f>
        <v>5.45</v>
      </c>
      <c r="I549" s="536">
        <f t="shared" si="25"/>
        <v>5.45</v>
      </c>
      <c r="J549" s="418">
        <f t="shared" si="26"/>
        <v>1.1009174311926606</v>
      </c>
      <c r="K549" s="418" t="s">
        <v>771</v>
      </c>
      <c r="L549" s="693">
        <f t="shared" si="31"/>
        <v>30</v>
      </c>
      <c r="M549" s="693"/>
      <c r="N549" s="537">
        <f t="shared" si="32"/>
        <v>0.10091743119266061</v>
      </c>
      <c r="O549" s="698">
        <f t="shared" si="33"/>
        <v>1</v>
      </c>
      <c r="P549" s="538">
        <f t="shared" si="27"/>
        <v>0.10091743119266061</v>
      </c>
      <c r="Q549" s="539" t="str">
        <f t="shared" si="28"/>
        <v xml:space="preserve">higher than in </v>
      </c>
      <c r="R549" s="540" t="str">
        <f>VLOOKUP(I$129,Data!L$3:N$398,2,FALSE)</f>
        <v>Dubai</v>
      </c>
      <c r="S549" s="541"/>
      <c r="T549" s="700">
        <f t="shared" si="34"/>
        <v>1</v>
      </c>
      <c r="U549" s="542">
        <f t="shared" si="29"/>
        <v>30</v>
      </c>
      <c r="V549" s="543">
        <f t="shared" si="35"/>
        <v>27.25</v>
      </c>
      <c r="W549" s="186"/>
    </row>
    <row r="550" spans="1:41" ht="17.100000000000001" hidden="1" customHeight="1">
      <c r="C550" s="362">
        <f t="shared" si="30"/>
        <v>-0.68520461699895074</v>
      </c>
      <c r="D550" s="587" t="str">
        <f>'Full Report'!C14</f>
        <v>Domestic Beer (0.5 liter draught)</v>
      </c>
      <c r="E550" s="545">
        <f>'Eating Out'!J9</f>
        <v>5</v>
      </c>
      <c r="F550" s="546">
        <f>VLOOKUP(Q$127,CPI!C$4:AZ$394,5,FALSE)</f>
        <v>3</v>
      </c>
      <c r="G550" s="547">
        <f t="shared" si="24"/>
        <v>3</v>
      </c>
      <c r="H550" s="546">
        <f>VLOOKUP(I$129,CPI!C$4:AZ$394,5,FALSE)</f>
        <v>9.5299999999999994</v>
      </c>
      <c r="I550" s="548">
        <f t="shared" si="25"/>
        <v>9.5299999999999994</v>
      </c>
      <c r="J550" s="549">
        <f t="shared" si="26"/>
        <v>0.31479538300104931</v>
      </c>
      <c r="K550" s="549" t="s">
        <v>772</v>
      </c>
      <c r="L550" s="550">
        <f t="shared" si="31"/>
        <v>15</v>
      </c>
      <c r="M550" s="550"/>
      <c r="N550" s="551">
        <f t="shared" si="32"/>
        <v>-0.68520461699895074</v>
      </c>
      <c r="O550" s="552">
        <f t="shared" si="33"/>
        <v>1</v>
      </c>
      <c r="P550" s="538">
        <f t="shared" si="27"/>
        <v>-0.68520461699895074</v>
      </c>
      <c r="Q550" s="539" t="str">
        <f t="shared" si="28"/>
        <v xml:space="preserve">lower than in </v>
      </c>
      <c r="R550" s="540" t="str">
        <f>VLOOKUP(I$129,Data!L$3:N$398,2,FALSE)</f>
        <v>Dubai</v>
      </c>
      <c r="S550" s="553"/>
      <c r="T550" s="554">
        <f t="shared" si="34"/>
        <v>0</v>
      </c>
      <c r="U550" s="555">
        <f t="shared" si="29"/>
        <v>15</v>
      </c>
      <c r="V550" s="543">
        <f t="shared" si="35"/>
        <v>47.65</v>
      </c>
      <c r="W550" s="186"/>
    </row>
    <row r="551" spans="1:41" ht="17.100000000000001" hidden="1" customHeight="1">
      <c r="C551" s="362">
        <f t="shared" si="30"/>
        <v>-0.47980416156670747</v>
      </c>
      <c r="D551" s="587" t="str">
        <f>'Full Report'!C15</f>
        <v>Imported Beer (0.33 liter bottle)</v>
      </c>
      <c r="E551" s="534">
        <f>'Eating Out'!J10</f>
        <v>10</v>
      </c>
      <c r="F551" s="535">
        <f>VLOOKUP(Q$127,CPI!C$4:AZ$394,6,FALSE)</f>
        <v>4.25</v>
      </c>
      <c r="G551" s="311">
        <f t="shared" si="24"/>
        <v>4.25</v>
      </c>
      <c r="H551" s="535">
        <f>VLOOKUP(I$129,CPI!C$4:AZ$394,6,FALSE)</f>
        <v>8.17</v>
      </c>
      <c r="I551" s="536">
        <f t="shared" si="25"/>
        <v>8.17</v>
      </c>
      <c r="J551" s="418">
        <f t="shared" si="26"/>
        <v>0.52019583843329253</v>
      </c>
      <c r="K551" s="418" t="s">
        <v>773</v>
      </c>
      <c r="L551" s="693">
        <f t="shared" si="31"/>
        <v>42.5</v>
      </c>
      <c r="M551" s="693"/>
      <c r="N551" s="537">
        <f t="shared" si="32"/>
        <v>-0.47980416156670747</v>
      </c>
      <c r="O551" s="698">
        <f t="shared" si="33"/>
        <v>1</v>
      </c>
      <c r="P551" s="538">
        <f t="shared" si="27"/>
        <v>-0.47980416156670747</v>
      </c>
      <c r="Q551" s="539" t="str">
        <f t="shared" si="28"/>
        <v xml:space="preserve">lower than in </v>
      </c>
      <c r="R551" s="540" t="str">
        <f>VLOOKUP(I$129,Data!L$3:N$398,2,FALSE)</f>
        <v>Dubai</v>
      </c>
      <c r="S551" s="541"/>
      <c r="T551" s="700">
        <f t="shared" si="34"/>
        <v>0</v>
      </c>
      <c r="U551" s="542">
        <f t="shared" si="29"/>
        <v>42.5</v>
      </c>
      <c r="V551" s="543">
        <f t="shared" si="35"/>
        <v>81.7</v>
      </c>
      <c r="W551" s="186"/>
    </row>
    <row r="552" spans="1:41" ht="17.100000000000001" hidden="1" customHeight="1">
      <c r="C552" s="362">
        <f t="shared" si="30"/>
        <v>-0.14215686274509809</v>
      </c>
      <c r="D552" s="587" t="str">
        <f>'Full Report'!C16</f>
        <v>Cappuccino (regular)</v>
      </c>
      <c r="E552" s="544">
        <f>'Eating Out'!J11</f>
        <v>15</v>
      </c>
      <c r="F552" s="535">
        <f>VLOOKUP(Q$127,CPI!C$4:AZ$394,48,FALSE)</f>
        <v>3.5</v>
      </c>
      <c r="G552" s="311">
        <f t="shared" si="24"/>
        <v>3.5</v>
      </c>
      <c r="H552" s="535">
        <f>VLOOKUP(I$129,CPI!C$4:AZ$394,48,FALSE)</f>
        <v>4.08</v>
      </c>
      <c r="I552" s="536">
        <f t="shared" si="25"/>
        <v>4.08</v>
      </c>
      <c r="J552" s="418">
        <f t="shared" si="26"/>
        <v>0.85784313725490191</v>
      </c>
      <c r="K552" s="418" t="s">
        <v>449</v>
      </c>
      <c r="L552" s="693">
        <f t="shared" si="31"/>
        <v>52.5</v>
      </c>
      <c r="M552" s="693"/>
      <c r="N552" s="537">
        <f t="shared" si="32"/>
        <v>-0.14215686274509809</v>
      </c>
      <c r="O552" s="698">
        <f t="shared" si="33"/>
        <v>1</v>
      </c>
      <c r="P552" s="538">
        <f t="shared" si="27"/>
        <v>-0.14215686274509809</v>
      </c>
      <c r="Q552" s="539" t="str">
        <f t="shared" si="28"/>
        <v xml:space="preserve">lower than in </v>
      </c>
      <c r="R552" s="540" t="str">
        <f>VLOOKUP(I$129,Data!L$3:N$398,2,FALSE)</f>
        <v>Dubai</v>
      </c>
      <c r="S552" s="541"/>
      <c r="T552" s="700">
        <f t="shared" si="34"/>
        <v>0</v>
      </c>
      <c r="U552" s="542">
        <f t="shared" si="29"/>
        <v>52.5</v>
      </c>
      <c r="V552" s="543">
        <f t="shared" si="35"/>
        <v>61.2</v>
      </c>
      <c r="W552" s="186"/>
    </row>
    <row r="553" spans="1:41" ht="17.100000000000001" hidden="1" customHeight="1">
      <c r="C553" s="362">
        <f t="shared" si="30"/>
        <v>2.75609756097561</v>
      </c>
      <c r="D553" s="587" t="str">
        <f>'Full Report'!C17</f>
        <v>Coke/Pepsi (0.33 liter bottle)</v>
      </c>
      <c r="E553" s="534">
        <f>'Eating Out'!J12</f>
        <v>20</v>
      </c>
      <c r="F553" s="535">
        <f>VLOOKUP(Q$127,CPI!C$4:AZ$394,7,FALSE)</f>
        <v>1.54</v>
      </c>
      <c r="G553" s="311">
        <f t="shared" si="24"/>
        <v>1.54</v>
      </c>
      <c r="H553" s="535">
        <f>VLOOKUP(I$129,CPI!C$4:AZ$394,7,FALSE)</f>
        <v>0.41</v>
      </c>
      <c r="I553" s="536">
        <f t="shared" si="25"/>
        <v>0.41</v>
      </c>
      <c r="J553" s="418">
        <f t="shared" si="26"/>
        <v>3.75609756097561</v>
      </c>
      <c r="K553" s="418" t="s">
        <v>774</v>
      </c>
      <c r="L553" s="693">
        <f t="shared" si="31"/>
        <v>30.8</v>
      </c>
      <c r="M553" s="693"/>
      <c r="N553" s="537">
        <f t="shared" si="32"/>
        <v>2.75609756097561</v>
      </c>
      <c r="O553" s="698">
        <f t="shared" si="33"/>
        <v>1</v>
      </c>
      <c r="P553" s="538">
        <f t="shared" si="27"/>
        <v>2.75609756097561</v>
      </c>
      <c r="Q553" s="539" t="str">
        <f t="shared" si="28"/>
        <v xml:space="preserve">higher than in </v>
      </c>
      <c r="R553" s="540" t="str">
        <f>VLOOKUP(I$129,Data!L$3:N$398,2,FALSE)</f>
        <v>Dubai</v>
      </c>
      <c r="S553" s="541"/>
      <c r="T553" s="700">
        <f t="shared" si="34"/>
        <v>1</v>
      </c>
      <c r="U553" s="542">
        <f t="shared" si="29"/>
        <v>30.8</v>
      </c>
      <c r="V553" s="543">
        <f t="shared" si="35"/>
        <v>8.1999999999999993</v>
      </c>
      <c r="W553" s="186"/>
    </row>
    <row r="554" spans="1:41" ht="17.100000000000001" hidden="1" customHeight="1">
      <c r="C554" s="362">
        <f>P554</f>
        <v>3.666666666666667</v>
      </c>
      <c r="D554" s="587" t="str">
        <f>'Full Report'!C18</f>
        <v>Water (0.33 liter bottle)</v>
      </c>
      <c r="E554" s="544">
        <f>'Eating Out'!J13</f>
        <v>30.000000010000001</v>
      </c>
      <c r="F554" s="535">
        <f>VLOOKUP(Q$127,CPI!C$4:AZ$394,8,FALSE)</f>
        <v>1.4</v>
      </c>
      <c r="G554" s="311">
        <f t="shared" si="24"/>
        <v>1.4</v>
      </c>
      <c r="H554" s="535">
        <f>VLOOKUP(I$129,CPI!C$4:AZ$394,8,FALSE)</f>
        <v>0.3</v>
      </c>
      <c r="I554" s="536">
        <f t="shared" si="25"/>
        <v>0.3</v>
      </c>
      <c r="J554" s="418">
        <f t="shared" si="26"/>
        <v>4.666666666666667</v>
      </c>
      <c r="K554" s="418" t="s">
        <v>775</v>
      </c>
      <c r="L554" s="693">
        <f t="shared" si="31"/>
        <v>42.000000014000001</v>
      </c>
      <c r="M554" s="693"/>
      <c r="N554" s="537">
        <f t="shared" si="32"/>
        <v>3.666666666666667</v>
      </c>
      <c r="O554" s="698">
        <f t="shared" si="33"/>
        <v>1</v>
      </c>
      <c r="P554" s="538">
        <f>J554-1</f>
        <v>3.666666666666667</v>
      </c>
      <c r="Q554" s="539" t="str">
        <f>IF(P554=0,"% or equal in ",IF(F554&lt;H554,"lower than in ","higher than in "))</f>
        <v xml:space="preserve">higher than in </v>
      </c>
      <c r="R554" s="540" t="str">
        <f>VLOOKUP(I$129,Data!L$3:N$398,2,FALSE)</f>
        <v>Dubai</v>
      </c>
      <c r="S554" s="541"/>
      <c r="T554" s="700">
        <f t="shared" si="34"/>
        <v>1</v>
      </c>
      <c r="U554" s="542">
        <f t="shared" si="29"/>
        <v>42.000000014000001</v>
      </c>
      <c r="V554" s="543">
        <f t="shared" si="35"/>
        <v>9.0000000030000002</v>
      </c>
      <c r="W554" s="186"/>
    </row>
    <row r="555" spans="1:41" ht="24" hidden="1" thickBot="1">
      <c r="C555" s="178"/>
      <c r="D555" s="587"/>
      <c r="E555" s="534">
        <f>SUM(E547:E554)</f>
        <v>100.00000001000001</v>
      </c>
      <c r="F555" s="535">
        <f>SUM(F547:F554)</f>
        <v>88.690000000000012</v>
      </c>
      <c r="G555" s="311">
        <f>SUM(G547:G554)</f>
        <v>88.690000000000012</v>
      </c>
      <c r="H555" s="535">
        <f>SUM(H547:H554)</f>
        <v>76.95</v>
      </c>
      <c r="I555" s="536">
        <f>SUM(I547:I554)</f>
        <v>76.95</v>
      </c>
      <c r="J555" s="418">
        <f t="shared" si="26"/>
        <v>1.1525666016894087</v>
      </c>
      <c r="K555" s="418">
        <f>G555/I555</f>
        <v>1.1525666016894087</v>
      </c>
      <c r="L555" s="693">
        <f>SUM(L547:L554)</f>
        <v>857.80000001399992</v>
      </c>
      <c r="M555" s="693"/>
      <c r="N555" s="537"/>
      <c r="O555" s="698"/>
      <c r="P555" s="588">
        <f>J555-1</f>
        <v>0.15256660168940872</v>
      </c>
      <c r="Q555" s="589" t="str">
        <f>IF(P555=0,"% or equal in ",IF(F555&lt;H555,"lower than in ","higher than in "))</f>
        <v xml:space="preserve">higher than in </v>
      </c>
      <c r="R555" s="540"/>
      <c r="S555" s="541"/>
      <c r="T555" s="700">
        <f>SUM(T547:T554)</f>
        <v>5</v>
      </c>
      <c r="U555" s="542">
        <f>SUM(U547:U554)</f>
        <v>857.80000001399992</v>
      </c>
      <c r="V555" s="590">
        <f>SUM(V546:V554)</f>
        <v>684.2500000030002</v>
      </c>
      <c r="W555" s="186">
        <f>L555/V555</f>
        <v>1.253635367205318</v>
      </c>
    </row>
    <row r="556" spans="1:41" ht="24" hidden="1" thickTop="1">
      <c r="C556" s="178"/>
      <c r="D556" s="405" t="s">
        <v>1166</v>
      </c>
      <c r="E556" s="563" t="s">
        <v>0</v>
      </c>
      <c r="F556" s="691"/>
      <c r="G556" s="692"/>
      <c r="H556" s="691"/>
      <c r="I556" s="690"/>
      <c r="J556" s="694"/>
      <c r="K556" s="694"/>
      <c r="L556" s="694"/>
      <c r="M556" s="694"/>
      <c r="N556" s="694"/>
      <c r="O556" s="694"/>
      <c r="P556" s="695">
        <f>ABS(P555)</f>
        <v>0.15256660168940872</v>
      </c>
      <c r="Q556" s="696"/>
      <c r="R556" s="697"/>
      <c r="S556" s="698"/>
      <c r="T556" s="564">
        <f>T555</f>
        <v>5</v>
      </c>
      <c r="U556" s="699"/>
      <c r="V556" s="699"/>
      <c r="W556" s="186"/>
    </row>
    <row r="557" spans="1:41" hidden="1">
      <c r="C557" s="178">
        <v>1</v>
      </c>
      <c r="D557" s="690" t="s">
        <v>1172</v>
      </c>
      <c r="E557" s="690"/>
      <c r="F557" s="565">
        <f>F203</f>
        <v>0</v>
      </c>
      <c r="G557" s="511">
        <f>P556</f>
        <v>0.15256660168940872</v>
      </c>
      <c r="H557" s="566" t="str">
        <f>Q555</f>
        <v xml:space="preserve">higher than in </v>
      </c>
      <c r="I557" s="691" t="str">
        <f>I129</f>
        <v>Dubai, United Arab Emirates</v>
      </c>
      <c r="J557" s="266" t="str">
        <f>IF(P555&lt;0,"However, as shown in the graph below, "," As shown in the graph below, ")</f>
        <v xml:space="preserve"> As shown in the graph below, </v>
      </c>
      <c r="K557" s="567" t="str">
        <f>IF(T555&gt;9,K559,IF(T555=0,K560,K558))</f>
        <v xml:space="preserve">5 out of 8 items under this category are higher than in </v>
      </c>
      <c r="L557" s="567"/>
      <c r="M557" s="567"/>
      <c r="N557" s="567"/>
      <c r="O557" s="567" t="str">
        <f>IF(O547=1,D547,0)</f>
        <v>Meal, in a Budget Restaurant</v>
      </c>
      <c r="P557" s="568"/>
      <c r="Q557" s="569"/>
      <c r="R557" s="697"/>
      <c r="S557" s="698"/>
      <c r="T557" s="700"/>
      <c r="U557" s="699"/>
      <c r="V557" s="699"/>
      <c r="W557" s="186"/>
    </row>
    <row r="558" spans="1:41" hidden="1">
      <c r="C558" s="178"/>
      <c r="D558" s="690" t="str">
        <f>IF(T556=8,"Definitely, on average it is more",IF(T556=0,"Obviously, on average it is more","Apparently, on average it is more"))</f>
        <v>Apparently, on average it is more</v>
      </c>
      <c r="E558" s="690" t="str">
        <f>IF(P555&lt;0," cheaper to spend money for eating out in "," expensive to spend money for eating out in ")</f>
        <v xml:space="preserve"> expensive to spend money for eating out in </v>
      </c>
      <c r="F558" s="565"/>
      <c r="G558" s="699"/>
      <c r="H558" s="570" t="str">
        <f>Q127</f>
        <v>Tucson, AZ, United States</v>
      </c>
      <c r="I558" s="691"/>
      <c r="J558" s="266"/>
      <c r="K558" s="571" t="str">
        <f>T556&amp;" out of 8 items under this category are higher than in "</f>
        <v xml:space="preserve">5 out of 8 items under this category are higher than in </v>
      </c>
      <c r="L558" s="571"/>
      <c r="M558" s="571"/>
      <c r="N558" s="571"/>
      <c r="O558" s="567" t="str">
        <f>IF(O548=1,D548,0)</f>
        <v>Meal for 2, Established Restaurant, 3-course</v>
      </c>
      <c r="P558" s="568"/>
      <c r="Q558" s="569"/>
      <c r="R558" s="697"/>
      <c r="S558" s="698"/>
      <c r="T558" s="700"/>
      <c r="U558" s="699"/>
      <c r="V558" s="699"/>
      <c r="W558" s="186"/>
    </row>
    <row r="559" spans="1:41" s="79" customFormat="1" hidden="1">
      <c r="A559" s="10"/>
      <c r="B559" s="89"/>
      <c r="C559" s="178">
        <v>2</v>
      </c>
      <c r="D559" s="675" t="str">
        <f>VLOOKUP(V545,C547:D554,2,FALSE)</f>
        <v>Water (0.33 liter bottle)</v>
      </c>
      <c r="E559" s="572">
        <f>F557</f>
        <v>0</v>
      </c>
      <c r="F559" s="675" t="s">
        <v>1169</v>
      </c>
      <c r="G559" s="678"/>
      <c r="H559" s="677"/>
      <c r="I559" s="573" t="str">
        <f>I557</f>
        <v>Dubai, United Arab Emirates</v>
      </c>
      <c r="J559" s="679"/>
      <c r="K559" s="571" t="str">
        <f>FIXED(T556/100,0)&amp;" out of 8 items under this category have equal price as in "</f>
        <v xml:space="preserve">0 out of 8 items under this category have equal price as in </v>
      </c>
      <c r="L559" s="571"/>
      <c r="M559" s="571"/>
      <c r="N559" s="571"/>
      <c r="O559" s="567" t="str">
        <f>IF(O549=1,D549,0)</f>
        <v>Combo Meal at McDonalds etc.</v>
      </c>
      <c r="P559" s="574"/>
      <c r="Q559" s="575"/>
      <c r="R559" s="682"/>
      <c r="S559" s="683"/>
      <c r="T559" s="576"/>
      <c r="U559" s="464"/>
      <c r="V559" s="464"/>
      <c r="W559" s="186"/>
      <c r="X559" s="86"/>
      <c r="Y559" s="86"/>
      <c r="Z559" s="86"/>
      <c r="AA559" s="86"/>
      <c r="AB559" s="86"/>
      <c r="AC559" s="86"/>
      <c r="AD559" s="86"/>
      <c r="AE559" s="86"/>
      <c r="AF559" s="86"/>
      <c r="AG559" s="86"/>
      <c r="AH559" s="86"/>
      <c r="AI559" s="86"/>
      <c r="AJ559" s="86"/>
      <c r="AK559" s="86"/>
      <c r="AL559" s="86"/>
      <c r="AM559" s="86"/>
      <c r="AN559" s="86"/>
      <c r="AO559" s="86"/>
    </row>
    <row r="560" spans="1:41" s="79" customFormat="1" hidden="1">
      <c r="A560" s="10"/>
      <c r="B560" s="89"/>
      <c r="C560" s="178"/>
      <c r="D560" s="675" t="s">
        <v>1174</v>
      </c>
      <c r="E560" s="679">
        <f>VLOOKUP(V545,C547:D554,1,FALSE)</f>
        <v>3.666666666666667</v>
      </c>
      <c r="F560" s="675" t="s">
        <v>1171</v>
      </c>
      <c r="G560" s="678"/>
      <c r="H560" s="677" t="str">
        <f>C546</f>
        <v>Tucson</v>
      </c>
      <c r="I560" s="573"/>
      <c r="J560" s="679"/>
      <c r="K560" s="571" t="str">
        <f>" All items under this category have lower price than in "</f>
        <v xml:space="preserve"> All items under this category have lower price than in </v>
      </c>
      <c r="L560" s="571"/>
      <c r="M560" s="571"/>
      <c r="N560" s="571"/>
      <c r="O560" s="567" t="str">
        <f>IF(O550=1,D550,0)</f>
        <v>Domestic Beer (0.5 liter draught)</v>
      </c>
      <c r="P560" s="680"/>
      <c r="Q560" s="577"/>
      <c r="R560" s="682"/>
      <c r="S560" s="683"/>
      <c r="T560" s="576"/>
      <c r="U560" s="464"/>
      <c r="V560" s="464"/>
      <c r="W560" s="186"/>
      <c r="X560" s="86"/>
      <c r="Y560" s="86"/>
      <c r="Z560" s="86"/>
      <c r="AA560" s="86"/>
      <c r="AB560" s="86"/>
      <c r="AC560" s="86"/>
      <c r="AD560" s="86"/>
      <c r="AE560" s="86"/>
      <c r="AF560" s="86"/>
      <c r="AG560" s="86"/>
      <c r="AH560" s="86"/>
      <c r="AI560" s="86"/>
      <c r="AJ560" s="86"/>
      <c r="AK560" s="86"/>
      <c r="AL560" s="86"/>
      <c r="AM560" s="86"/>
      <c r="AN560" s="86"/>
      <c r="AO560" s="86"/>
    </row>
    <row r="561" spans="1:41" s="79" customFormat="1" hidden="1">
      <c r="A561" s="10"/>
      <c r="B561" s="89"/>
      <c r="C561" s="178">
        <v>3</v>
      </c>
      <c r="D561" s="675" t="str">
        <f>VLOOKUP(Q545,C547:D554,2,FALSE)</f>
        <v>Domestic Beer (0.5 liter draught)</v>
      </c>
      <c r="E561" s="578">
        <f>F557</f>
        <v>0</v>
      </c>
      <c r="F561" s="675" t="s">
        <v>1170</v>
      </c>
      <c r="G561" s="678"/>
      <c r="H561" s="677"/>
      <c r="I561" s="579" t="str">
        <f>I129</f>
        <v>Dubai, United Arab Emirates</v>
      </c>
      <c r="J561" s="679"/>
      <c r="K561" s="578"/>
      <c r="L561" s="578"/>
      <c r="M561" s="578"/>
      <c r="N561" s="578"/>
      <c r="O561" s="578"/>
      <c r="P561" s="680"/>
      <c r="Q561" s="681"/>
      <c r="R561" s="682"/>
      <c r="S561" s="683"/>
      <c r="T561" s="576"/>
      <c r="U561" s="464"/>
      <c r="V561" s="464"/>
      <c r="W561" s="186"/>
      <c r="X561" s="86"/>
      <c r="Y561" s="86"/>
      <c r="Z561" s="86"/>
      <c r="AA561" s="86"/>
      <c r="AB561" s="86"/>
      <c r="AC561" s="86"/>
      <c r="AD561" s="86"/>
      <c r="AE561" s="86"/>
      <c r="AF561" s="86"/>
      <c r="AG561" s="86"/>
      <c r="AH561" s="86"/>
      <c r="AI561" s="86"/>
      <c r="AJ561" s="86"/>
      <c r="AK561" s="86"/>
      <c r="AL561" s="86"/>
      <c r="AM561" s="86"/>
      <c r="AN561" s="86"/>
      <c r="AO561" s="86"/>
    </row>
    <row r="562" spans="1:41" s="79" customFormat="1" hidden="1">
      <c r="A562" s="86"/>
      <c r="B562" s="89"/>
      <c r="C562" s="178"/>
      <c r="D562" s="675" t="s">
        <v>1174</v>
      </c>
      <c r="E562" s="679">
        <f>VLOOKUP(Q545,C547:D554,1,FALSE)</f>
        <v>-0.68520461699895074</v>
      </c>
      <c r="F562" s="675" t="str">
        <f>Q553</f>
        <v xml:space="preserve">higher than in </v>
      </c>
      <c r="G562" s="678"/>
      <c r="H562" s="677" t="str">
        <f>I561</f>
        <v>Dubai, United Arab Emirates</v>
      </c>
      <c r="I562" s="675"/>
      <c r="J562" s="679">
        <f>ABS(E562)</f>
        <v>0.68520461699895074</v>
      </c>
      <c r="K562" s="679"/>
      <c r="L562" s="679"/>
      <c r="M562" s="679"/>
      <c r="N562" s="679"/>
      <c r="O562" s="679"/>
      <c r="P562" s="680"/>
      <c r="Q562" s="681"/>
      <c r="R562" s="682"/>
      <c r="S562" s="683"/>
      <c r="T562" s="576"/>
      <c r="U562" s="464"/>
      <c r="V562" s="464"/>
      <c r="W562" s="186"/>
      <c r="X562" s="86"/>
      <c r="Y562" s="86"/>
      <c r="Z562" s="86"/>
      <c r="AA562" s="86"/>
      <c r="AB562" s="86"/>
      <c r="AC562" s="86"/>
      <c r="AD562" s="86"/>
      <c r="AE562" s="86"/>
      <c r="AF562" s="86"/>
      <c r="AG562" s="86"/>
      <c r="AH562" s="86"/>
      <c r="AI562" s="86"/>
      <c r="AJ562" s="86"/>
      <c r="AK562" s="86"/>
      <c r="AL562" s="86"/>
      <c r="AM562" s="86"/>
      <c r="AN562" s="86"/>
      <c r="AO562" s="86"/>
    </row>
    <row r="563" spans="1:41" s="79" customFormat="1" hidden="1">
      <c r="A563" s="86"/>
      <c r="B563" s="89"/>
      <c r="C563" s="178"/>
      <c r="D563" s="580" t="str">
        <f>J557&amp;K557&amp;R554&amp;". "&amp;D559&amp;" in "&amp;H560&amp;F559&amp;I559&amp;D560&amp;FIXED(E560*100)&amp;F560&amp;H560&amp;"."</f>
        <v xml:space="preserve"> As shown in the graph below, 5 out of 8 items under this category are higher than in Dubai. Water (0.33 liter bottle) in Tucson is the most expensive item in comparison to Dubai, United Arab Emirates. Its cost is 366.67 % more expensive in Tucson.</v>
      </c>
      <c r="E563" s="675"/>
      <c r="F563" s="677"/>
      <c r="G563" s="678"/>
      <c r="H563" s="677"/>
      <c r="I563" s="675"/>
      <c r="J563" s="679"/>
      <c r="K563" s="679"/>
      <c r="L563" s="679"/>
      <c r="M563" s="679"/>
      <c r="N563" s="679"/>
      <c r="O563" s="679"/>
      <c r="P563" s="680"/>
      <c r="Q563" s="681"/>
      <c r="R563" s="682"/>
      <c r="S563" s="683"/>
      <c r="T563" s="576"/>
      <c r="U563" s="464"/>
      <c r="V563" s="464"/>
      <c r="W563" s="186"/>
      <c r="X563" s="86"/>
      <c r="Y563" s="86"/>
      <c r="Z563" s="86"/>
      <c r="AA563" s="86"/>
      <c r="AB563" s="86"/>
      <c r="AC563" s="86"/>
      <c r="AD563" s="86"/>
      <c r="AE563" s="86"/>
      <c r="AF563" s="86"/>
      <c r="AG563" s="86"/>
      <c r="AH563" s="86"/>
      <c r="AI563" s="86"/>
      <c r="AJ563" s="86"/>
      <c r="AK563" s="86"/>
      <c r="AL563" s="86"/>
      <c r="AM563" s="86"/>
      <c r="AN563" s="86"/>
      <c r="AO563" s="86"/>
    </row>
    <row r="564" spans="1:41" s="79" customFormat="1" hidden="1">
      <c r="A564" s="86"/>
      <c r="B564" s="89"/>
      <c r="C564" s="178"/>
      <c r="D564" s="675" t="str">
        <f>K557&amp;R547&amp;". "&amp;D561&amp;" in "&amp;C546&amp;F561&amp;R554&amp;D562&amp;FIXED(J562*100)&amp;"% "&amp;F562&amp;H562</f>
        <v>5 out of 8 items under this category are higher than in Dubai. Domestic Beer (0.5 liter draught) in Tucson is the cheapest item in comparison to Dubai. Its cost is 68.52% higher than in Dubai, United Arab Emirates</v>
      </c>
      <c r="E564" s="676"/>
      <c r="F564" s="677"/>
      <c r="G564" s="678"/>
      <c r="H564" s="677"/>
      <c r="I564" s="675"/>
      <c r="J564" s="679"/>
      <c r="K564" s="679"/>
      <c r="L564" s="679"/>
      <c r="M564" s="679"/>
      <c r="N564" s="679"/>
      <c r="O564" s="679"/>
      <c r="P564" s="680"/>
      <c r="Q564" s="681"/>
      <c r="R564" s="682"/>
      <c r="S564" s="683"/>
      <c r="T564" s="576"/>
      <c r="U564" s="464"/>
      <c r="V564" s="464"/>
      <c r="W564" s="186"/>
      <c r="X564" s="86"/>
      <c r="Y564" s="86"/>
      <c r="Z564" s="86"/>
      <c r="AA564" s="86"/>
      <c r="AB564" s="86"/>
      <c r="AC564" s="86"/>
      <c r="AD564" s="86"/>
      <c r="AE564" s="86"/>
      <c r="AF564" s="86"/>
      <c r="AG564" s="86"/>
      <c r="AH564" s="86"/>
      <c r="AI564" s="86"/>
      <c r="AJ564" s="86"/>
      <c r="AK564" s="86"/>
      <c r="AL564" s="86"/>
      <c r="AM564" s="86"/>
      <c r="AN564" s="86"/>
      <c r="AO564" s="86"/>
    </row>
    <row r="565" spans="1:41" s="79" customFormat="1" hidden="1">
      <c r="A565" s="86"/>
      <c r="B565" s="89"/>
      <c r="C565" s="178"/>
      <c r="D565" s="675" t="s">
        <v>1173</v>
      </c>
      <c r="E565" s="676"/>
      <c r="F565" s="677"/>
      <c r="G565" s="678"/>
      <c r="H565" s="677"/>
      <c r="I565" s="675"/>
      <c r="J565" s="679"/>
      <c r="K565" s="679"/>
      <c r="L565" s="679"/>
      <c r="M565" s="679"/>
      <c r="N565" s="679"/>
      <c r="O565" s="679"/>
      <c r="P565" s="680"/>
      <c r="Q565" s="681"/>
      <c r="R565" s="682"/>
      <c r="S565" s="683"/>
      <c r="T565" s="576"/>
      <c r="U565" s="464"/>
      <c r="V565" s="464"/>
      <c r="W565" s="186"/>
      <c r="X565" s="86"/>
      <c r="Y565" s="86"/>
      <c r="Z565" s="86"/>
      <c r="AA565" s="86"/>
      <c r="AB565" s="86"/>
      <c r="AC565" s="86"/>
      <c r="AD565" s="86"/>
      <c r="AE565" s="86"/>
      <c r="AF565" s="86"/>
      <c r="AG565" s="86"/>
      <c r="AH565" s="86"/>
      <c r="AI565" s="86"/>
      <c r="AJ565" s="86"/>
      <c r="AK565" s="86"/>
      <c r="AL565" s="86"/>
      <c r="AM565" s="86"/>
      <c r="AN565" s="86"/>
      <c r="AO565" s="86"/>
    </row>
    <row r="566" spans="1:41" s="79" customFormat="1" hidden="1">
      <c r="A566" s="86"/>
      <c r="B566" s="89"/>
      <c r="C566" s="178"/>
      <c r="D566" s="675"/>
      <c r="E566" s="676"/>
      <c r="F566" s="677"/>
      <c r="G566" s="678"/>
      <c r="H566" s="677"/>
      <c r="I566" s="675"/>
      <c r="J566" s="679"/>
      <c r="K566" s="679"/>
      <c r="L566" s="679"/>
      <c r="M566" s="679"/>
      <c r="N566" s="679"/>
      <c r="O566" s="679"/>
      <c r="P566" s="680"/>
      <c r="Q566" s="681"/>
      <c r="R566" s="682"/>
      <c r="S566" s="683"/>
      <c r="T566" s="576"/>
      <c r="U566" s="464"/>
      <c r="V566" s="464"/>
      <c r="W566" s="186"/>
      <c r="X566" s="86"/>
      <c r="Y566" s="86"/>
      <c r="Z566" s="86"/>
      <c r="AA566" s="86"/>
      <c r="AB566" s="86"/>
      <c r="AC566" s="86"/>
      <c r="AD566" s="86"/>
      <c r="AE566" s="86"/>
      <c r="AF566" s="86"/>
      <c r="AG566" s="86"/>
      <c r="AH566" s="86"/>
      <c r="AI566" s="86"/>
      <c r="AJ566" s="86"/>
      <c r="AK566" s="86"/>
      <c r="AL566" s="86"/>
      <c r="AM566" s="86"/>
      <c r="AN566" s="86"/>
      <c r="AO566" s="86"/>
    </row>
    <row r="567" spans="1:41" s="79" customFormat="1" ht="51" hidden="1" customHeight="1">
      <c r="A567" s="86"/>
      <c r="B567" s="89"/>
      <c r="C567" s="178"/>
      <c r="D567" s="979" t="str">
        <f>D557&amp;Q127&amp;" is "&amp;FIXED(G557*100)&amp;"% "&amp;H557&amp;I557&amp;". "&amp;D558&amp;E558&amp;H558&amp;". "</f>
        <v xml:space="preserve">Overall, based on 8 items in the eating out category, the cost of eating out in Tucson, AZ, United States is 15.26% higher than in Dubai, United Arab Emirates. Apparently, on average it is more expensive to spend money for eating out in Tucson, AZ, United States. </v>
      </c>
      <c r="E567" s="979"/>
      <c r="F567" s="979"/>
      <c r="G567" s="979"/>
      <c r="H567" s="979"/>
      <c r="I567" s="979"/>
      <c r="J567" s="979"/>
      <c r="K567" s="979"/>
      <c r="L567" s="979"/>
      <c r="M567" s="979"/>
      <c r="N567" s="979"/>
      <c r="O567" s="979"/>
      <c r="P567" s="979"/>
      <c r="Q567" s="979"/>
      <c r="R567" s="979"/>
      <c r="S567" s="979"/>
      <c r="T567" s="576"/>
      <c r="U567" s="464"/>
      <c r="V567" s="464"/>
      <c r="W567" s="186"/>
      <c r="X567" s="86"/>
      <c r="Y567" s="86"/>
      <c r="Z567" s="86"/>
      <c r="AA567" s="86"/>
      <c r="AB567" s="86"/>
      <c r="AC567" s="86"/>
      <c r="AD567" s="86"/>
      <c r="AE567" s="86"/>
      <c r="AF567" s="86"/>
      <c r="AG567" s="86"/>
      <c r="AH567" s="86"/>
      <c r="AI567" s="86"/>
      <c r="AJ567" s="86"/>
      <c r="AK567" s="86"/>
      <c r="AL567" s="86"/>
      <c r="AM567" s="86"/>
      <c r="AN567" s="86"/>
      <c r="AO567" s="86"/>
    </row>
    <row r="568" spans="1:41" s="79" customFormat="1" ht="31.5" hidden="1" customHeight="1">
      <c r="A568" s="86"/>
      <c r="B568" s="89"/>
      <c r="C568" s="178"/>
      <c r="D568" s="979" t="str">
        <f>IF(V545&lt;0,D564,IF(V545=0,D564,D563))</f>
        <v xml:space="preserve"> As shown in the graph below, 5 out of 8 items under this category are higher than in Dubai. Water (0.33 liter bottle) in Tucson is the most expensive item in comparison to Dubai, United Arab Emirates. Its cost is 366.67 % more expensive in Tucson.</v>
      </c>
      <c r="E568" s="979"/>
      <c r="F568" s="979"/>
      <c r="G568" s="979"/>
      <c r="H568" s="979"/>
      <c r="I568" s="979"/>
      <c r="J568" s="979"/>
      <c r="K568" s="979"/>
      <c r="L568" s="979"/>
      <c r="M568" s="979"/>
      <c r="N568" s="979"/>
      <c r="O568" s="979"/>
      <c r="P568" s="979"/>
      <c r="Q568" s="979"/>
      <c r="R568" s="979"/>
      <c r="S568" s="979"/>
      <c r="T568" s="576"/>
      <c r="U568" s="464"/>
      <c r="V568" s="464"/>
      <c r="W568" s="186"/>
      <c r="X568" s="86"/>
      <c r="Y568" s="86"/>
      <c r="Z568" s="86"/>
      <c r="AA568" s="86"/>
      <c r="AB568" s="86"/>
      <c r="AC568" s="86"/>
      <c r="AD568" s="86"/>
      <c r="AE568" s="86"/>
      <c r="AF568" s="86"/>
      <c r="AG568" s="86"/>
      <c r="AH568" s="86"/>
      <c r="AI568" s="86"/>
      <c r="AJ568" s="86"/>
      <c r="AK568" s="86"/>
      <c r="AL568" s="86"/>
      <c r="AM568" s="86"/>
      <c r="AN568" s="86"/>
      <c r="AO568" s="86"/>
    </row>
    <row r="569" spans="1:41" s="79" customFormat="1" ht="31.5" hidden="1" customHeight="1">
      <c r="A569" s="86"/>
      <c r="B569" s="89"/>
      <c r="C569" s="178"/>
      <c r="D569" s="686" t="str">
        <f>"Your personal expenditure on Eating Out are selected from "&amp;V569&amp;" out of 8 items. Your cost of eating out index (percentage ratio) is calculated based on these spending pattern over a month. "</f>
        <v xml:space="preserve">Your personal expenditure on Eating Out are selected from 8 out of 8 items. Your cost of eating out index (percentage ratio) is calculated based on these spending pattern over a month. </v>
      </c>
      <c r="E569" s="674"/>
      <c r="F569" s="674"/>
      <c r="G569" s="674"/>
      <c r="H569" s="674"/>
      <c r="I569" s="674"/>
      <c r="J569" s="674"/>
      <c r="K569" s="674"/>
      <c r="L569" s="684"/>
      <c r="M569" s="684"/>
      <c r="N569" s="684"/>
      <c r="O569" s="684"/>
      <c r="P569" s="684"/>
      <c r="Q569" s="684"/>
      <c r="R569" s="687"/>
      <c r="S569" s="684"/>
      <c r="T569" s="576"/>
      <c r="U569" s="464"/>
      <c r="V569" s="464">
        <f>COUNT(V547:V554)</f>
        <v>8</v>
      </c>
      <c r="W569" s="318">
        <f>W555-1</f>
        <v>0.25363536720531799</v>
      </c>
      <c r="X569" s="86"/>
      <c r="Y569" s="86"/>
      <c r="Z569" s="86"/>
      <c r="AA569" s="86"/>
      <c r="AB569" s="86"/>
      <c r="AC569" s="86"/>
      <c r="AD569" s="86"/>
      <c r="AE569" s="86"/>
      <c r="AF569" s="86"/>
      <c r="AG569" s="86"/>
      <c r="AH569" s="86"/>
      <c r="AI569" s="86"/>
      <c r="AJ569" s="86"/>
      <c r="AK569" s="86"/>
      <c r="AL569" s="86"/>
      <c r="AM569" s="86"/>
      <c r="AN569" s="86"/>
      <c r="AO569" s="86"/>
    </row>
    <row r="570" spans="1:41" s="79" customFormat="1" ht="31.5" hidden="1" customHeight="1">
      <c r="A570" s="86"/>
      <c r="B570" s="89"/>
      <c r="C570" s="178"/>
      <c r="D570" s="591" t="s">
        <v>1246</v>
      </c>
      <c r="E570" s="592"/>
      <c r="F570" s="592"/>
      <c r="G570" s="592"/>
      <c r="H570" s="592"/>
      <c r="I570" s="593">
        <f>ABS(W569)*100</f>
        <v>25.363536720531798</v>
      </c>
      <c r="J570" s="594" t="str">
        <f>IF(W569&lt;0,"% lower in ","% higher in ")</f>
        <v xml:space="preserve">% higher in </v>
      </c>
      <c r="K570" s="595" t="str">
        <f>C546</f>
        <v>Tucson</v>
      </c>
      <c r="L570" s="464" t="s">
        <v>1203</v>
      </c>
      <c r="M570" s="596" t="str">
        <f>R547</f>
        <v>Dubai</v>
      </c>
      <c r="N570" s="684"/>
      <c r="O570" s="684"/>
      <c r="P570" s="684"/>
      <c r="Q570" s="684"/>
      <c r="R570" s="687"/>
      <c r="S570" s="684"/>
      <c r="T570" s="576"/>
      <c r="U570" s="464"/>
      <c r="V570" s="464"/>
      <c r="W570" s="186"/>
      <c r="X570" s="86"/>
      <c r="Y570" s="86"/>
      <c r="Z570" s="86"/>
      <c r="AA570" s="86"/>
      <c r="AB570" s="86"/>
      <c r="AC570" s="86"/>
      <c r="AD570" s="86"/>
      <c r="AE570" s="86"/>
      <c r="AF570" s="86"/>
      <c r="AG570" s="86"/>
      <c r="AH570" s="86"/>
      <c r="AI570" s="86"/>
      <c r="AJ570" s="86"/>
      <c r="AK570" s="86"/>
      <c r="AL570" s="86"/>
      <c r="AM570" s="86"/>
      <c r="AN570" s="86"/>
      <c r="AO570" s="86"/>
    </row>
    <row r="571" spans="1:41" s="79" customFormat="1" ht="19.5" hidden="1" customHeight="1">
      <c r="A571" s="86"/>
      <c r="B571" s="89"/>
      <c r="C571" s="178"/>
      <c r="D571" s="591" t="s">
        <v>1204</v>
      </c>
      <c r="E571" s="591"/>
      <c r="F571" s="591" t="str">
        <f>IF(W569&lt;0," you need to spend more in "," you spend less in ")</f>
        <v xml:space="preserve"> you spend less in </v>
      </c>
      <c r="G571" s="591" t="str">
        <f>M570</f>
        <v>Dubai</v>
      </c>
      <c r="H571" s="591" t="s">
        <v>1205</v>
      </c>
      <c r="I571" s="591"/>
      <c r="J571" s="591"/>
      <c r="K571" s="591" t="str">
        <f>K570</f>
        <v>Tucson</v>
      </c>
      <c r="L571" s="464"/>
      <c r="M571" s="596"/>
      <c r="N571" s="684"/>
      <c r="O571" s="684"/>
      <c r="P571" s="684"/>
      <c r="Q571" s="684"/>
      <c r="R571" s="687"/>
      <c r="S571" s="684"/>
      <c r="T571" s="576"/>
      <c r="U571" s="464"/>
      <c r="V571" s="464"/>
      <c r="W571" s="186"/>
      <c r="X571" s="86"/>
      <c r="Y571" s="86"/>
      <c r="Z571" s="86"/>
      <c r="AA571" s="86"/>
      <c r="AB571" s="86"/>
      <c r="AC571" s="86"/>
      <c r="AD571" s="86"/>
      <c r="AE571" s="86"/>
      <c r="AF571" s="86"/>
      <c r="AG571" s="86"/>
      <c r="AH571" s="86"/>
      <c r="AI571" s="86"/>
      <c r="AJ571" s="86"/>
      <c r="AK571" s="86"/>
      <c r="AL571" s="86"/>
      <c r="AM571" s="86"/>
      <c r="AN571" s="86"/>
      <c r="AO571" s="86"/>
    </row>
    <row r="572" spans="1:41" s="79" customFormat="1" ht="20.25" hidden="1" customHeight="1">
      <c r="A572" s="86"/>
      <c r="B572" s="89"/>
      <c r="C572" s="178"/>
      <c r="D572" s="591" t="s">
        <v>1207</v>
      </c>
      <c r="E572" s="597" t="s">
        <v>0</v>
      </c>
      <c r="F572" s="591"/>
      <c r="G572" s="591">
        <f>V569</f>
        <v>8</v>
      </c>
      <c r="H572" s="591" t="s">
        <v>1209</v>
      </c>
      <c r="I572" s="591"/>
      <c r="J572" s="597">
        <f>V555</f>
        <v>684.2500000030002</v>
      </c>
      <c r="K572" s="591" t="str">
        <f>M570</f>
        <v>Dubai</v>
      </c>
      <c r="L572" s="684" t="s">
        <v>1206</v>
      </c>
      <c r="M572" s="684" t="str">
        <f>K571</f>
        <v>Tucson</v>
      </c>
      <c r="N572" s="684" t="s">
        <v>1218</v>
      </c>
      <c r="O572" s="583">
        <f>L555</f>
        <v>857.80000001399992</v>
      </c>
      <c r="P572" s="684"/>
      <c r="Q572" s="684"/>
      <c r="R572" s="687"/>
      <c r="S572" s="684"/>
      <c r="T572" s="576"/>
      <c r="U572" s="464"/>
      <c r="V572" s="464"/>
      <c r="W572" s="186"/>
      <c r="X572" s="86"/>
      <c r="Y572" s="86"/>
      <c r="Z572" s="86"/>
      <c r="AA572" s="86"/>
      <c r="AB572" s="86"/>
      <c r="AC572" s="86"/>
      <c r="AD572" s="86"/>
      <c r="AE572" s="86"/>
      <c r="AF572" s="86"/>
      <c r="AG572" s="86"/>
      <c r="AH572" s="86"/>
      <c r="AI572" s="86"/>
      <c r="AJ572" s="86"/>
      <c r="AK572" s="86"/>
      <c r="AL572" s="86"/>
      <c r="AM572" s="86"/>
      <c r="AN572" s="86"/>
      <c r="AO572" s="86"/>
    </row>
    <row r="573" spans="1:41" s="79" customFormat="1" ht="20.25" hidden="1" customHeight="1">
      <c r="A573" s="86"/>
      <c r="B573" s="89"/>
      <c r="C573" s="178"/>
      <c r="D573" s="591"/>
      <c r="E573" s="597"/>
      <c r="F573" s="591"/>
      <c r="G573" s="591"/>
      <c r="H573" s="591"/>
      <c r="I573" s="591"/>
      <c r="J573" s="597"/>
      <c r="K573" s="591"/>
      <c r="L573" s="684"/>
      <c r="M573" s="684"/>
      <c r="N573" s="684"/>
      <c r="O573" s="583"/>
      <c r="P573" s="684"/>
      <c r="Q573" s="684"/>
      <c r="R573" s="687"/>
      <c r="S573" s="684"/>
      <c r="T573" s="683"/>
      <c r="U573" s="464"/>
      <c r="V573" s="464"/>
      <c r="W573" s="186"/>
      <c r="X573" s="86"/>
      <c r="Y573" s="86"/>
      <c r="Z573" s="86"/>
      <c r="AA573" s="86"/>
      <c r="AB573" s="86"/>
      <c r="AC573" s="86"/>
      <c r="AD573" s="86"/>
      <c r="AE573" s="86"/>
      <c r="AF573" s="86"/>
      <c r="AG573" s="86"/>
      <c r="AH573" s="86"/>
      <c r="AI573" s="86"/>
      <c r="AJ573" s="86"/>
      <c r="AK573" s="86"/>
      <c r="AL573" s="86"/>
      <c r="AM573" s="86"/>
      <c r="AN573" s="86"/>
      <c r="AO573" s="86"/>
    </row>
    <row r="574" spans="1:41" s="79" customFormat="1" ht="20.25" hidden="1" customHeight="1">
      <c r="A574" s="86"/>
      <c r="B574" s="89"/>
      <c r="C574" s="178"/>
      <c r="D574" s="969" t="str">
        <f>D569&amp;D570&amp;" "&amp;FIXED(I570,2)&amp;" "&amp;J570&amp;K570&amp;L570&amp;M570&amp;"."</f>
        <v>Your personal expenditure on Eating Out are selected from 8 out of 8 items. Your cost of eating out index (percentage ratio) is calculated based on these spending pattern over a month. Therefore, based on this item preferences, your personal spending on eating out is 25.36 % higher in Tucson in comparison to Dubai.</v>
      </c>
      <c r="E574" s="969"/>
      <c r="F574" s="969"/>
      <c r="G574" s="969"/>
      <c r="H574" s="969"/>
      <c r="I574" s="969"/>
      <c r="J574" s="969"/>
      <c r="K574" s="969"/>
      <c r="L574" s="969"/>
      <c r="M574" s="969"/>
      <c r="N574" s="969"/>
      <c r="O574" s="969"/>
      <c r="P574" s="969"/>
      <c r="Q574" s="969"/>
      <c r="R574" s="969"/>
      <c r="S574" s="684"/>
      <c r="T574" s="683"/>
      <c r="U574" s="464"/>
      <c r="V574" s="464"/>
      <c r="W574" s="186"/>
      <c r="X574" s="86"/>
      <c r="Y574" s="86"/>
      <c r="Z574" s="86"/>
      <c r="AA574" s="86"/>
      <c r="AB574" s="86"/>
      <c r="AC574" s="86"/>
      <c r="AD574" s="86"/>
      <c r="AE574" s="86"/>
      <c r="AF574" s="86"/>
      <c r="AG574" s="86"/>
      <c r="AH574" s="86"/>
      <c r="AI574" s="86"/>
      <c r="AJ574" s="86"/>
      <c r="AK574" s="86"/>
      <c r="AL574" s="86"/>
      <c r="AM574" s="86"/>
      <c r="AN574" s="86"/>
      <c r="AO574" s="86"/>
    </row>
    <row r="575" spans="1:41" s="79" customFormat="1" ht="53.25" hidden="1" customHeight="1">
      <c r="A575" s="86"/>
      <c r="B575" s="89"/>
      <c r="C575" s="178"/>
      <c r="D575" s="967" t="str">
        <f>D571&amp;F571&amp;G571&amp;H571&amp;I571&amp;J571&amp;K571&amp;D572&amp;G572&amp;H572&amp;" "&amp;Info!J8&amp;FIXED(J572,2)&amp;" in "&amp;K572&amp;" "&amp;L572&amp;M572&amp;N572&amp;" "&amp;Info!J8&amp;FIXED(O572,2)</f>
        <v>In other words,  you spend less in Dubai in order to purchase these same items you paid in Tucson. Hence, purchasing the same 8 items in this category, you need to pay an amount of  USD684.25 in Dubai  while in Tucson you need to pay approximately around USD857.80</v>
      </c>
      <c r="E575" s="967"/>
      <c r="F575" s="967"/>
      <c r="G575" s="967"/>
      <c r="H575" s="967"/>
      <c r="I575" s="967"/>
      <c r="J575" s="967"/>
      <c r="K575" s="967"/>
      <c r="L575" s="967"/>
      <c r="M575" s="688"/>
      <c r="N575" s="688"/>
      <c r="O575" s="688"/>
      <c r="P575" s="688"/>
      <c r="Q575" s="688"/>
      <c r="R575" s="461"/>
      <c r="S575" s="684"/>
      <c r="T575" s="683"/>
      <c r="U575" s="464"/>
      <c r="V575" s="464"/>
      <c r="W575" s="186"/>
      <c r="X575" s="86"/>
      <c r="Y575" s="86"/>
      <c r="Z575" s="86"/>
      <c r="AA575" s="86"/>
      <c r="AB575" s="86"/>
      <c r="AC575" s="86"/>
      <c r="AD575" s="86"/>
      <c r="AE575" s="86"/>
      <c r="AF575" s="86"/>
      <c r="AG575" s="86"/>
      <c r="AH575" s="86"/>
      <c r="AI575" s="86"/>
      <c r="AJ575" s="86"/>
      <c r="AK575" s="86"/>
      <c r="AL575" s="86"/>
      <c r="AM575" s="86"/>
      <c r="AN575" s="86"/>
      <c r="AO575" s="86"/>
    </row>
    <row r="576" spans="1:41" s="79" customFormat="1" ht="18.75" hidden="1" customHeight="1">
      <c r="A576" s="86"/>
      <c r="B576" s="89"/>
      <c r="C576" s="178"/>
      <c r="D576" s="688"/>
      <c r="E576" s="688"/>
      <c r="F576" s="688"/>
      <c r="G576" s="688"/>
      <c r="H576" s="688"/>
      <c r="I576" s="688"/>
      <c r="J576" s="688"/>
      <c r="K576" s="688"/>
      <c r="L576" s="688"/>
      <c r="M576" s="688"/>
      <c r="N576" s="688"/>
      <c r="O576" s="688"/>
      <c r="P576" s="688"/>
      <c r="Q576" s="688"/>
      <c r="R576" s="461"/>
      <c r="S576" s="684"/>
      <c r="T576" s="683"/>
      <c r="U576" s="464"/>
      <c r="V576" s="598">
        <f>SUM(V547:V554)</f>
        <v>684.2500000030002</v>
      </c>
      <c r="W576" s="186"/>
      <c r="X576" s="86"/>
      <c r="Y576" s="86"/>
      <c r="Z576" s="86"/>
      <c r="AA576" s="86"/>
      <c r="AB576" s="86"/>
      <c r="AC576" s="86"/>
      <c r="AD576" s="86"/>
      <c r="AE576" s="86"/>
      <c r="AF576" s="86"/>
      <c r="AG576" s="86"/>
      <c r="AH576" s="86"/>
      <c r="AI576" s="86"/>
      <c r="AJ576" s="86"/>
      <c r="AK576" s="86"/>
      <c r="AL576" s="86"/>
      <c r="AM576" s="86"/>
      <c r="AN576" s="86"/>
      <c r="AO576" s="86"/>
    </row>
    <row r="577" spans="1:41" s="79" customFormat="1" ht="21.75" hidden="1" customHeight="1">
      <c r="A577" s="86"/>
      <c r="B577" s="89"/>
      <c r="C577" s="178"/>
      <c r="D577" s="698"/>
      <c r="E577" s="698"/>
      <c r="F577" s="698"/>
      <c r="G577" s="698"/>
      <c r="H577" s="698"/>
      <c r="I577" s="698"/>
      <c r="J577" s="698"/>
      <c r="K577" s="698"/>
      <c r="L577" s="698"/>
      <c r="M577" s="698"/>
      <c r="N577" s="698"/>
      <c r="O577" s="698"/>
      <c r="P577" s="698"/>
      <c r="Q577" s="698"/>
      <c r="R577" s="698"/>
      <c r="S577" s="698"/>
      <c r="T577" s="698"/>
      <c r="U577" s="698"/>
      <c r="V577" s="698"/>
      <c r="W577" s="178"/>
      <c r="X577" s="86"/>
      <c r="Y577" s="86"/>
      <c r="Z577" s="86"/>
      <c r="AA577" s="86"/>
      <c r="AB577" s="86"/>
      <c r="AC577" s="86"/>
      <c r="AD577" s="86"/>
      <c r="AE577" s="86"/>
      <c r="AF577" s="86"/>
      <c r="AG577" s="86"/>
      <c r="AH577" s="86"/>
      <c r="AI577" s="86"/>
      <c r="AJ577" s="86"/>
      <c r="AK577" s="86"/>
      <c r="AL577" s="86"/>
      <c r="AM577" s="86"/>
      <c r="AN577" s="86"/>
      <c r="AO577" s="86"/>
    </row>
    <row r="578" spans="1:41" s="79" customFormat="1" ht="20.25" hidden="1" customHeight="1">
      <c r="A578" s="86"/>
      <c r="B578" s="89"/>
      <c r="C578" s="753"/>
      <c r="D578" s="753"/>
      <c r="E578" s="753"/>
      <c r="F578" s="753"/>
      <c r="G578" s="753"/>
      <c r="H578" s="753"/>
      <c r="I578" s="753"/>
      <c r="J578" s="753"/>
      <c r="K578" s="753"/>
      <c r="L578" s="753"/>
      <c r="M578" s="753"/>
      <c r="N578" s="753"/>
      <c r="O578" s="753"/>
      <c r="P578" s="753"/>
      <c r="Q578" s="753"/>
      <c r="R578" s="753"/>
      <c r="S578" s="753"/>
      <c r="T578" s="753"/>
      <c r="U578" s="753"/>
      <c r="V578" s="753"/>
      <c r="W578" s="753"/>
      <c r="X578" s="86"/>
      <c r="Y578" s="86"/>
      <c r="Z578" s="86"/>
      <c r="AA578" s="86"/>
      <c r="AB578" s="86"/>
      <c r="AC578" s="86"/>
      <c r="AD578" s="86"/>
      <c r="AE578" s="86"/>
      <c r="AF578" s="86"/>
      <c r="AG578" s="86"/>
      <c r="AH578" s="86"/>
      <c r="AI578" s="86"/>
      <c r="AJ578" s="86"/>
      <c r="AK578" s="86"/>
      <c r="AL578" s="86"/>
      <c r="AM578" s="86"/>
      <c r="AN578" s="86"/>
      <c r="AO578" s="86"/>
    </row>
    <row r="579" spans="1:41" s="86" customFormat="1" ht="21" hidden="1" customHeight="1">
      <c r="B579" s="89"/>
      <c r="C579" s="178"/>
      <c r="D579" s="688"/>
      <c r="E579" s="688"/>
      <c r="F579" s="688"/>
      <c r="G579" s="688"/>
      <c r="H579" s="688"/>
      <c r="I579" s="688"/>
      <c r="J579" s="688"/>
      <c r="K579" s="688"/>
      <c r="L579" s="688"/>
      <c r="M579" s="688"/>
      <c r="N579" s="688"/>
      <c r="O579" s="688"/>
      <c r="P579" s="688"/>
      <c r="Q579" s="688"/>
      <c r="R579" s="461"/>
      <c r="S579" s="684"/>
      <c r="T579" s="683"/>
      <c r="U579" s="464"/>
      <c r="V579" s="464"/>
      <c r="W579" s="186"/>
    </row>
    <row r="580" spans="1:41" ht="22.5" hidden="1" customHeight="1">
      <c r="A580" s="86"/>
      <c r="C580" s="178"/>
      <c r="D580" s="269"/>
      <c r="E580" s="269"/>
      <c r="F580" s="699"/>
      <c r="G580" s="699"/>
      <c r="H580" s="266"/>
      <c r="I580" s="266"/>
      <c r="J580" s="266"/>
      <c r="K580" s="266"/>
      <c r="L580" s="266"/>
      <c r="M580" s="266"/>
      <c r="N580" s="266"/>
      <c r="O580" s="266"/>
      <c r="P580" s="266"/>
      <c r="Q580" s="270"/>
      <c r="R580" s="281"/>
      <c r="S580" s="699"/>
      <c r="T580" s="699"/>
      <c r="U580" s="699"/>
      <c r="V580" s="699"/>
      <c r="W580" s="186"/>
    </row>
    <row r="581" spans="1:41" ht="22.5" hidden="1" customHeight="1">
      <c r="A581" s="86"/>
      <c r="C581" s="178"/>
      <c r="D581" s="269"/>
      <c r="E581" s="269"/>
      <c r="F581" s="699"/>
      <c r="G581" s="699"/>
      <c r="H581" s="266"/>
      <c r="I581" s="266"/>
      <c r="J581" s="266"/>
      <c r="K581" s="266"/>
      <c r="L581" s="266"/>
      <c r="M581" s="266"/>
      <c r="N581" s="266"/>
      <c r="O581" s="266"/>
      <c r="P581" s="266"/>
      <c r="Q581" s="270"/>
      <c r="R581" s="281"/>
      <c r="S581" s="699"/>
      <c r="T581" s="699"/>
      <c r="U581" s="699"/>
      <c r="V581" s="699"/>
      <c r="W581" s="186"/>
    </row>
    <row r="582" spans="1:41" ht="22.5" hidden="1" customHeight="1">
      <c r="A582" s="86"/>
      <c r="C582" s="178"/>
      <c r="D582" s="269"/>
      <c r="E582" s="269"/>
      <c r="F582" s="699"/>
      <c r="G582" s="699"/>
      <c r="H582" s="266"/>
      <c r="I582" s="266"/>
      <c r="J582" s="266"/>
      <c r="K582" s="266"/>
      <c r="L582" s="266"/>
      <c r="M582" s="266"/>
      <c r="N582" s="266"/>
      <c r="O582" s="266"/>
      <c r="P582" s="266"/>
      <c r="Q582" s="270"/>
      <c r="R582" s="281"/>
      <c r="S582" s="699"/>
      <c r="T582" s="699"/>
      <c r="U582" s="699"/>
      <c r="V582" s="699"/>
      <c r="W582" s="186"/>
    </row>
    <row r="583" spans="1:41" s="41" customFormat="1" ht="24.75" hidden="1" customHeight="1">
      <c r="A583" s="10"/>
      <c r="B583" s="77"/>
      <c r="C583" s="327"/>
      <c r="D583" s="179" t="str">
        <f>"Personal Cost of Groceries is "&amp;IF(P141&gt;0,"cheaper in ","more expensive in ")&amp;R515</f>
        <v>Personal Cost of Groceries is cheaper in Dubai</v>
      </c>
      <c r="E583" s="269"/>
      <c r="F583" s="269"/>
      <c r="G583" s="269"/>
      <c r="H583" s="599"/>
      <c r="I583" s="599"/>
      <c r="J583" s="599"/>
      <c r="K583" s="599"/>
      <c r="L583" s="599"/>
      <c r="M583" s="599"/>
      <c r="N583" s="599"/>
      <c r="O583" s="599"/>
      <c r="P583" s="599"/>
      <c r="Q583" s="406"/>
      <c r="R583" s="406"/>
      <c r="S583" s="269"/>
      <c r="T583" s="269"/>
      <c r="U583" s="269"/>
      <c r="V583" s="600"/>
      <c r="W583" s="328"/>
      <c r="X583" s="30"/>
      <c r="Y583" s="30"/>
      <c r="Z583" s="30"/>
      <c r="AA583" s="30"/>
      <c r="AB583" s="30"/>
      <c r="AC583" s="30"/>
      <c r="AD583" s="30"/>
      <c r="AE583" s="30"/>
      <c r="AF583" s="30"/>
      <c r="AG583" s="30"/>
      <c r="AH583" s="30"/>
      <c r="AI583" s="30"/>
      <c r="AJ583" s="30"/>
      <c r="AK583" s="30"/>
      <c r="AL583" s="30"/>
      <c r="AM583" s="30"/>
      <c r="AN583" s="30"/>
      <c r="AO583" s="30"/>
    </row>
    <row r="584" spans="1:41" ht="66" hidden="1" customHeight="1">
      <c r="C584" s="178"/>
      <c r="D584" s="954" t="str">
        <f>IF(V618=0,"None of the items under this category is selected.",IF(T605=1568,D614,D623))</f>
        <v>Your personal expenditure on groceries are selected from 14 out of 16 items. Your cost of groceries index (percentage ratio) is calculated based on these spending pattern over a month. Therefore, based on this item preferences, your personal spending on groceries is 21.39 % higher in Tucson in comparison to Dubai.</v>
      </c>
      <c r="E584" s="954"/>
      <c r="F584" s="954"/>
      <c r="G584" s="954"/>
      <c r="H584" s="954"/>
      <c r="I584" s="954"/>
      <c r="J584" s="954"/>
      <c r="K584" s="954"/>
      <c r="L584" s="954"/>
      <c r="M584" s="954"/>
      <c r="N584" s="954"/>
      <c r="O584" s="954"/>
      <c r="P584" s="954"/>
      <c r="Q584" s="954"/>
      <c r="R584" s="954"/>
      <c r="S584" s="954"/>
      <c r="T584" s="954"/>
      <c r="U584" s="954"/>
      <c r="V584" s="954"/>
      <c r="W584" s="186"/>
    </row>
    <row r="585" spans="1:41" ht="63" hidden="1" customHeight="1">
      <c r="C585" s="178"/>
      <c r="D585" s="968" t="str">
        <f>IF(V618=0,"None of the items under this category is selected.",IF(T605=1568,D614,D624))</f>
        <v>In other words,  you spend less in Dubai in order to purchase these same items you paid in Tucson. Hence, purchasing the same 14 items in this category, you need to pay an amount of  USD324.98 in Dubai  while in Tucson you need to pay approximately around USD394.49.</v>
      </c>
      <c r="E585" s="968"/>
      <c r="F585" s="968"/>
      <c r="G585" s="968"/>
      <c r="H585" s="968"/>
      <c r="I585" s="968"/>
      <c r="J585" s="968"/>
      <c r="K585" s="968"/>
      <c r="L585" s="968"/>
      <c r="M585" s="968"/>
      <c r="N585" s="968"/>
      <c r="O585" s="968"/>
      <c r="P585" s="968"/>
      <c r="Q585" s="968"/>
      <c r="R585" s="968"/>
      <c r="S585" s="968"/>
      <c r="T585" s="968"/>
      <c r="U585" s="968"/>
      <c r="V585" s="968"/>
      <c r="W585" s="186"/>
    </row>
    <row r="586" spans="1:41" s="10" customFormat="1" ht="24" hidden="1" thickBot="1">
      <c r="A586" s="30"/>
      <c r="B586" s="87"/>
      <c r="C586" s="178"/>
      <c r="D586" s="269"/>
      <c r="E586" s="181"/>
      <c r="F586" s="698"/>
      <c r="G586" s="698"/>
      <c r="H586" s="693"/>
      <c r="I586" s="515" t="str">
        <f>$I$129</f>
        <v>Dubai, United Arab Emirates</v>
      </c>
      <c r="J586" s="698"/>
      <c r="K586" s="698"/>
      <c r="L586" s="215" t="str">
        <f>W587</f>
        <v>rates</v>
      </c>
      <c r="M586" s="215"/>
      <c r="N586" s="215"/>
      <c r="O586" s="215"/>
      <c r="P586" s="266"/>
      <c r="Q586" s="516" t="s">
        <v>0</v>
      </c>
      <c r="R586" s="697"/>
      <c r="S586" s="698"/>
      <c r="T586" s="700"/>
      <c r="U586" s="699"/>
      <c r="V586" s="699"/>
      <c r="W586" s="186"/>
    </row>
    <row r="587" spans="1:41" ht="25.5" hidden="1" customHeight="1" thickBot="1">
      <c r="C587" s="362" t="str">
        <f>VLOOKUP(W592,Data!L$3:N$398,2,FALSE)</f>
        <v>Tucson</v>
      </c>
      <c r="D587" s="747" t="str">
        <f>'Full Report'!$C$23</f>
        <v>Groceries</v>
      </c>
      <c r="E587" s="522" t="s">
        <v>1175</v>
      </c>
      <c r="F587" s="523" t="s">
        <v>540</v>
      </c>
      <c r="G587" s="524" t="str">
        <f>C587</f>
        <v>Tucson</v>
      </c>
      <c r="H587" s="523" t="str">
        <f>I586&amp;" in US dollar"</f>
        <v>Dubai, United Arab Emirates in US dollar</v>
      </c>
      <c r="I587" s="525" t="str">
        <f>R596</f>
        <v>Dubai</v>
      </c>
      <c r="J587" s="526"/>
      <c r="K587" s="526"/>
      <c r="L587" s="527" t="s">
        <v>1176</v>
      </c>
      <c r="M587" s="527"/>
      <c r="N587" s="528"/>
      <c r="O587" s="529"/>
      <c r="P587" s="754" t="str">
        <f>"        Cost difference"&amp;" in "&amp;C587</f>
        <v xml:space="preserve">        Cost difference in Tucson</v>
      </c>
      <c r="Q587" s="755"/>
      <c r="R587" s="756"/>
      <c r="S587" s="530"/>
      <c r="T587" s="531" t="str">
        <f>R589</f>
        <v>Dubai</v>
      </c>
      <c r="U587" s="532"/>
      <c r="V587" s="749" t="s">
        <v>1222</v>
      </c>
      <c r="W587" s="178" t="str">
        <f>RIGHT(I586,5)</f>
        <v>rates</v>
      </c>
    </row>
    <row r="588" spans="1:41" hidden="1">
      <c r="C588" s="362">
        <f>P588</f>
        <v>0.24827586206896557</v>
      </c>
      <c r="D588" s="587" t="str">
        <f>'Full Report'!C24</f>
        <v>Milk (regular), 1 liter</v>
      </c>
      <c r="E588" s="534">
        <f>Groceries!J6</f>
        <v>20</v>
      </c>
      <c r="F588" s="535">
        <f>VLOOKUP(Q$127,CPI!C$4:AZ$394,9,FALSE)</f>
        <v>1.81</v>
      </c>
      <c r="G588" s="311">
        <f t="shared" ref="G588:G603" si="36">F588*E$204</f>
        <v>1.81</v>
      </c>
      <c r="H588" s="535">
        <f>VLOOKUP(I$129,CPI!C$4:AZ$394,9,FALSE)</f>
        <v>1.45</v>
      </c>
      <c r="I588" s="536">
        <f t="shared" ref="I588:I603" si="37">H588*E$204</f>
        <v>1.45</v>
      </c>
      <c r="J588" s="418">
        <f>F588/H588</f>
        <v>1.2482758620689656</v>
      </c>
      <c r="K588" s="418" t="s">
        <v>1178</v>
      </c>
      <c r="L588" s="693">
        <f>G588*E588</f>
        <v>36.200000000000003</v>
      </c>
      <c r="M588" s="693"/>
      <c r="N588" s="537"/>
      <c r="O588" s="698"/>
      <c r="P588" s="538">
        <f>J588-1</f>
        <v>0.24827586206896557</v>
      </c>
      <c r="Q588" s="539" t="str">
        <f>IF(P588=0,"% or equal in ",IF(F588&lt;H588,"lower than in ","higher than in "))</f>
        <v xml:space="preserve">higher than in </v>
      </c>
      <c r="R588" s="540" t="str">
        <f>$R$547</f>
        <v>Dubai</v>
      </c>
      <c r="S588" s="541"/>
      <c r="T588" s="700">
        <f>IF(P588=0,98,IF(P588&lt;0,0,1))</f>
        <v>1</v>
      </c>
      <c r="U588" s="542"/>
      <c r="V588" s="601">
        <f>IF(E588=0,"     X ",I588*E588)</f>
        <v>29</v>
      </c>
      <c r="W588" s="602">
        <f>MAX(P588:P603)</f>
        <v>2.09</v>
      </c>
    </row>
    <row r="589" spans="1:41" hidden="1">
      <c r="C589" s="362">
        <f t="shared" ref="C589:C595" si="38">P589</f>
        <v>1.6666666666666665</v>
      </c>
      <c r="D589" s="587" t="str">
        <f>'Full Report'!C25</f>
        <v>White Bread (500g)</v>
      </c>
      <c r="E589" s="544">
        <f>Groceries!J7</f>
        <v>15</v>
      </c>
      <c r="F589" s="535">
        <f>VLOOKUP(Q$127,CPI!C$4:AZ$394,10,FALSE)</f>
        <v>2.96</v>
      </c>
      <c r="G589" s="311">
        <f t="shared" si="36"/>
        <v>2.96</v>
      </c>
      <c r="H589" s="535">
        <f>VLOOKUP(I$129,CPI!C$4:AZ$394,10,FALSE)</f>
        <v>1.1100000000000001</v>
      </c>
      <c r="I589" s="536">
        <f t="shared" si="37"/>
        <v>1.1100000000000001</v>
      </c>
      <c r="J589" s="418">
        <f t="shared" ref="J589:J603" si="39">F589/H589</f>
        <v>2.6666666666666665</v>
      </c>
      <c r="K589" s="418" t="s">
        <v>1179</v>
      </c>
      <c r="L589" s="693">
        <f t="shared" ref="L589:L603" si="40">G589*E589</f>
        <v>44.4</v>
      </c>
      <c r="M589" s="693"/>
      <c r="N589" s="537"/>
      <c r="O589" s="698"/>
      <c r="P589" s="538">
        <f t="shared" ref="P589:P603" si="41">J589-1</f>
        <v>1.6666666666666665</v>
      </c>
      <c r="Q589" s="539" t="str">
        <f t="shared" ref="Q589:Q603" si="42">IF(P589=0,"% or equal in ",IF(F589&lt;H589,"lower than in ","higher than in "))</f>
        <v xml:space="preserve">higher than in </v>
      </c>
      <c r="R589" s="540" t="str">
        <f t="shared" ref="R589:R603" si="43">$R$547</f>
        <v>Dubai</v>
      </c>
      <c r="S589" s="541"/>
      <c r="T589" s="700">
        <f t="shared" ref="T589:T603" si="44">IF(P589=0,98,IF(P589&lt;0,0,1))</f>
        <v>1</v>
      </c>
      <c r="U589" s="542"/>
      <c r="V589" s="757">
        <f t="shared" ref="V589:V602" si="45">IF(E589=0,"     X ",I589*E589)</f>
        <v>16.650000000000002</v>
      </c>
      <c r="W589" s="602">
        <f>MIN(P588:P603)</f>
        <v>-0.74449339207048459</v>
      </c>
    </row>
    <row r="590" spans="1:41" hidden="1">
      <c r="C590" s="362">
        <f t="shared" si="38"/>
        <v>1.5735294117647056</v>
      </c>
      <c r="D590" s="587" t="str">
        <f>'Full Report'!C26</f>
        <v>Rice (1kg)</v>
      </c>
      <c r="E590" s="544">
        <f>Groceries!J8</f>
        <v>5</v>
      </c>
      <c r="F590" s="535">
        <f>VLOOKUP(Q$127,CPI!C$4:AZ$394,49,FALSE)</f>
        <v>3.5</v>
      </c>
      <c r="G590" s="311">
        <f t="shared" si="36"/>
        <v>3.5</v>
      </c>
      <c r="H590" s="535">
        <f>VLOOKUP(I$129,CPI!C$4:AZ$394,49,FALSE)</f>
        <v>1.36</v>
      </c>
      <c r="I590" s="536">
        <f t="shared" si="37"/>
        <v>1.36</v>
      </c>
      <c r="J590" s="418">
        <f t="shared" si="39"/>
        <v>2.5735294117647056</v>
      </c>
      <c r="K590" s="418" t="s">
        <v>1189</v>
      </c>
      <c r="L590" s="693">
        <f t="shared" si="40"/>
        <v>17.5</v>
      </c>
      <c r="M590" s="693"/>
      <c r="N590" s="537"/>
      <c r="O590" s="698"/>
      <c r="P590" s="538">
        <f t="shared" si="41"/>
        <v>1.5735294117647056</v>
      </c>
      <c r="Q590" s="539" t="str">
        <f t="shared" si="42"/>
        <v xml:space="preserve">higher than in </v>
      </c>
      <c r="R590" s="540" t="str">
        <f t="shared" si="43"/>
        <v>Dubai</v>
      </c>
      <c r="S590" s="541"/>
      <c r="T590" s="700">
        <f t="shared" si="44"/>
        <v>1</v>
      </c>
      <c r="U590" s="542"/>
      <c r="V590" s="601">
        <f t="shared" si="45"/>
        <v>6.8000000000000007</v>
      </c>
      <c r="W590" s="603" t="s">
        <v>1168</v>
      </c>
    </row>
    <row r="591" spans="1:41" hidden="1">
      <c r="C591" s="362">
        <f t="shared" si="38"/>
        <v>-4.8192771084337394E-2</v>
      </c>
      <c r="D591" s="587" t="str">
        <f>'Full Report'!C27</f>
        <v>Eggs (12)</v>
      </c>
      <c r="E591" s="545">
        <f>Groceries!J9</f>
        <v>5</v>
      </c>
      <c r="F591" s="546">
        <f>VLOOKUP(Q$127,CPI!C$4:AZ$394,11,FALSE)</f>
        <v>2.37</v>
      </c>
      <c r="G591" s="547">
        <f t="shared" si="36"/>
        <v>2.37</v>
      </c>
      <c r="H591" s="546">
        <f>VLOOKUP(I$129,CPI!C$4:AZ$394,11,FALSE)</f>
        <v>2.4900000000000002</v>
      </c>
      <c r="I591" s="548">
        <f t="shared" si="37"/>
        <v>2.4900000000000002</v>
      </c>
      <c r="J591" s="549">
        <f t="shared" si="39"/>
        <v>0.95180722891566261</v>
      </c>
      <c r="K591" s="549" t="s">
        <v>1190</v>
      </c>
      <c r="L591" s="550">
        <f t="shared" si="40"/>
        <v>11.850000000000001</v>
      </c>
      <c r="M591" s="550"/>
      <c r="N591" s="551"/>
      <c r="O591" s="552"/>
      <c r="P591" s="538">
        <f t="shared" si="41"/>
        <v>-4.8192771084337394E-2</v>
      </c>
      <c r="Q591" s="539" t="str">
        <f t="shared" si="42"/>
        <v xml:space="preserve">lower than in </v>
      </c>
      <c r="R591" s="540" t="str">
        <f t="shared" si="43"/>
        <v>Dubai</v>
      </c>
      <c r="S591" s="553"/>
      <c r="T591" s="554">
        <f t="shared" si="44"/>
        <v>0</v>
      </c>
      <c r="U591" s="555"/>
      <c r="V591" s="757">
        <f t="shared" si="45"/>
        <v>12.450000000000001</v>
      </c>
      <c r="W591" s="517" t="str">
        <f>E205</f>
        <v>USD</v>
      </c>
    </row>
    <row r="592" spans="1:41" hidden="1">
      <c r="C592" s="362">
        <f t="shared" si="38"/>
        <v>0.24293785310734473</v>
      </c>
      <c r="D592" s="587" t="str">
        <f>'Full Report'!C28</f>
        <v>Local Cheese (1kg)</v>
      </c>
      <c r="E592" s="534">
        <f>Groceries!J10</f>
        <v>5</v>
      </c>
      <c r="F592" s="535">
        <f>VLOOKUP(Q$127,CPI!C$4:AZ$394,12,FALSE)</f>
        <v>11</v>
      </c>
      <c r="G592" s="311">
        <f t="shared" si="36"/>
        <v>11</v>
      </c>
      <c r="H592" s="535">
        <f>VLOOKUP(I$129,CPI!C$4:AZ$394,12,FALSE)</f>
        <v>8.85</v>
      </c>
      <c r="I592" s="536">
        <f t="shared" si="37"/>
        <v>8.85</v>
      </c>
      <c r="J592" s="418">
        <f t="shared" si="39"/>
        <v>1.2429378531073447</v>
      </c>
      <c r="K592" s="418" t="s">
        <v>1183</v>
      </c>
      <c r="L592" s="693">
        <f t="shared" si="40"/>
        <v>55</v>
      </c>
      <c r="M592" s="693"/>
      <c r="N592" s="537"/>
      <c r="O592" s="698"/>
      <c r="P592" s="538">
        <f t="shared" si="41"/>
        <v>0.24293785310734473</v>
      </c>
      <c r="Q592" s="539" t="str">
        <f t="shared" si="42"/>
        <v xml:space="preserve">higher than in </v>
      </c>
      <c r="R592" s="540" t="str">
        <f t="shared" si="43"/>
        <v>Dubai</v>
      </c>
      <c r="S592" s="541"/>
      <c r="T592" s="700">
        <f t="shared" si="44"/>
        <v>1</v>
      </c>
      <c r="U592" s="542"/>
      <c r="V592" s="601">
        <f t="shared" si="45"/>
        <v>44.25</v>
      </c>
      <c r="W592" s="604" t="str">
        <f>$Q$127</f>
        <v>Tucson, AZ, United States</v>
      </c>
    </row>
    <row r="593" spans="3:23" hidden="1">
      <c r="C593" s="362">
        <f t="shared" si="38"/>
        <v>0.63111111111111118</v>
      </c>
      <c r="D593" s="587" t="str">
        <f>'Full Report'!C29</f>
        <v>Boneless Chicken Breasts (1kg)</v>
      </c>
      <c r="E593" s="544">
        <f>Groceries!J11</f>
        <v>7</v>
      </c>
      <c r="F593" s="535">
        <f>VLOOKUP(Q$127,CPI!C$4:AZ$394,19,FALSE)</f>
        <v>11.01</v>
      </c>
      <c r="G593" s="311">
        <f t="shared" si="36"/>
        <v>11.01</v>
      </c>
      <c r="H593" s="535">
        <f>VLOOKUP(I$129,CPI!C$4:AZ$394,19,FALSE)</f>
        <v>6.75</v>
      </c>
      <c r="I593" s="536">
        <f t="shared" si="37"/>
        <v>6.75</v>
      </c>
      <c r="J593" s="418">
        <f t="shared" si="39"/>
        <v>1.6311111111111112</v>
      </c>
      <c r="K593" s="418" t="s">
        <v>1180</v>
      </c>
      <c r="L593" s="693">
        <f t="shared" si="40"/>
        <v>77.069999999999993</v>
      </c>
      <c r="M593" s="693"/>
      <c r="N593" s="537"/>
      <c r="O593" s="698"/>
      <c r="P593" s="538">
        <f t="shared" si="41"/>
        <v>0.63111111111111118</v>
      </c>
      <c r="Q593" s="539" t="str">
        <f t="shared" si="42"/>
        <v xml:space="preserve">higher than in </v>
      </c>
      <c r="R593" s="540" t="str">
        <f t="shared" si="43"/>
        <v>Dubai</v>
      </c>
      <c r="S593" s="541"/>
      <c r="T593" s="700">
        <f t="shared" si="44"/>
        <v>1</v>
      </c>
      <c r="U593" s="542"/>
      <c r="V593" s="757">
        <f t="shared" si="45"/>
        <v>47.25</v>
      </c>
      <c r="W593" s="257" t="str">
        <f>$T$587</f>
        <v>Dubai</v>
      </c>
    </row>
    <row r="594" spans="3:23" hidden="1">
      <c r="C594" s="362">
        <f t="shared" si="38"/>
        <v>0.30275229357798139</v>
      </c>
      <c r="D594" s="587" t="str">
        <f>'Full Report'!C30</f>
        <v>Apples (1kg)</v>
      </c>
      <c r="E594" s="534">
        <f>Groceries!J12</f>
        <v>1</v>
      </c>
      <c r="F594" s="535">
        <f>VLOOKUP(Q$127,CPI!C$4:AZ$394,44,FALSE)</f>
        <v>2.84</v>
      </c>
      <c r="G594" s="311">
        <f t="shared" si="36"/>
        <v>2.84</v>
      </c>
      <c r="H594" s="535">
        <f>VLOOKUP(I$129,CPI!C$4:AZ$394,44,FALSE)</f>
        <v>2.1800000000000002</v>
      </c>
      <c r="I594" s="536">
        <f t="shared" si="37"/>
        <v>2.1800000000000002</v>
      </c>
      <c r="J594" s="418">
        <f t="shared" si="39"/>
        <v>1.3027522935779814</v>
      </c>
      <c r="K594" s="418" t="s">
        <v>1184</v>
      </c>
      <c r="L594" s="693">
        <f t="shared" si="40"/>
        <v>2.84</v>
      </c>
      <c r="M594" s="693"/>
      <c r="N594" s="537"/>
      <c r="O594" s="698"/>
      <c r="P594" s="538">
        <f t="shared" si="41"/>
        <v>0.30275229357798139</v>
      </c>
      <c r="Q594" s="539" t="str">
        <f t="shared" si="42"/>
        <v xml:space="preserve">higher than in </v>
      </c>
      <c r="R594" s="540" t="str">
        <f t="shared" si="43"/>
        <v>Dubai</v>
      </c>
      <c r="S594" s="541"/>
      <c r="T594" s="700">
        <f t="shared" si="44"/>
        <v>1</v>
      </c>
      <c r="U594" s="542"/>
      <c r="V594" s="601">
        <f t="shared" si="45"/>
        <v>2.1800000000000002</v>
      </c>
      <c r="W594" s="186"/>
    </row>
    <row r="595" spans="3:23" hidden="1">
      <c r="C595" s="362">
        <f t="shared" si="38"/>
        <v>1.0942408376963351</v>
      </c>
      <c r="D595" s="587" t="str">
        <f>'Full Report'!C31</f>
        <v>Oranges (1kg)</v>
      </c>
      <c r="E595" s="544">
        <f>Groceries!J13</f>
        <v>1</v>
      </c>
      <c r="F595" s="535">
        <f>VLOOKUP(Q$127,CPI!C$4:AZ$394,45,FALSE)</f>
        <v>4</v>
      </c>
      <c r="G595" s="311">
        <f t="shared" si="36"/>
        <v>4</v>
      </c>
      <c r="H595" s="535">
        <f>VLOOKUP(I$129,CPI!C$4:AZ$394,45,FALSE)</f>
        <v>1.91</v>
      </c>
      <c r="I595" s="536">
        <f t="shared" si="37"/>
        <v>1.91</v>
      </c>
      <c r="J595" s="418">
        <f t="shared" si="39"/>
        <v>2.0942408376963351</v>
      </c>
      <c r="K595" s="418" t="s">
        <v>1185</v>
      </c>
      <c r="L595" s="693">
        <f t="shared" si="40"/>
        <v>4</v>
      </c>
      <c r="M595" s="693"/>
      <c r="N595" s="537"/>
      <c r="O595" s="698"/>
      <c r="P595" s="538">
        <f t="shared" si="41"/>
        <v>1.0942408376963351</v>
      </c>
      <c r="Q595" s="539" t="str">
        <f t="shared" si="42"/>
        <v xml:space="preserve">higher than in </v>
      </c>
      <c r="R595" s="540" t="str">
        <f t="shared" si="43"/>
        <v>Dubai</v>
      </c>
      <c r="S595" s="541"/>
      <c r="T595" s="700">
        <f t="shared" si="44"/>
        <v>1</v>
      </c>
      <c r="U595" s="542"/>
      <c r="V595" s="757">
        <f t="shared" si="45"/>
        <v>1.91</v>
      </c>
      <c r="W595" s="186"/>
    </row>
    <row r="596" spans="3:23" hidden="1">
      <c r="C596" s="362">
        <f>P596</f>
        <v>1.9411764705882351</v>
      </c>
      <c r="D596" s="587" t="str">
        <f>'Full Report'!C32</f>
        <v>Tomato (1kg)</v>
      </c>
      <c r="E596" s="544">
        <f>Groceries!J14</f>
        <v>8</v>
      </c>
      <c r="F596" s="535">
        <f>VLOOKUP(Q$127,CPI!C$4:AZ$394,50,FALSE)</f>
        <v>4</v>
      </c>
      <c r="G596" s="311">
        <f t="shared" si="36"/>
        <v>4</v>
      </c>
      <c r="H596" s="535">
        <f>VLOOKUP(I$129,CPI!C$4:AZ$394,50,FALSE)</f>
        <v>1.36</v>
      </c>
      <c r="I596" s="536">
        <f t="shared" si="37"/>
        <v>1.36</v>
      </c>
      <c r="J596" s="418">
        <f t="shared" si="39"/>
        <v>2.9411764705882351</v>
      </c>
      <c r="K596" s="418" t="s">
        <v>1186</v>
      </c>
      <c r="L596" s="693">
        <f t="shared" si="40"/>
        <v>32</v>
      </c>
      <c r="M596" s="693"/>
      <c r="N596" s="537"/>
      <c r="O596" s="698"/>
      <c r="P596" s="538">
        <f t="shared" si="41"/>
        <v>1.9411764705882351</v>
      </c>
      <c r="Q596" s="539" t="str">
        <f t="shared" si="42"/>
        <v xml:space="preserve">higher than in </v>
      </c>
      <c r="R596" s="540" t="str">
        <f t="shared" si="43"/>
        <v>Dubai</v>
      </c>
      <c r="S596" s="541"/>
      <c r="T596" s="700">
        <f t="shared" si="44"/>
        <v>1</v>
      </c>
      <c r="U596" s="542"/>
      <c r="V596" s="601">
        <f t="shared" si="45"/>
        <v>10.88</v>
      </c>
      <c r="W596" s="186"/>
    </row>
    <row r="597" spans="3:23" hidden="1">
      <c r="C597" s="362">
        <f t="shared" ref="C597:C602" si="46">P597</f>
        <v>2.09</v>
      </c>
      <c r="D597" s="587" t="str">
        <f>'Full Report'!C33</f>
        <v>Potato (1kg)</v>
      </c>
      <c r="E597" s="545">
        <f>Groceries!J15</f>
        <v>2</v>
      </c>
      <c r="F597" s="546">
        <f>VLOOKUP(Q$127,CPI!C$4:AZ$394,46,FALSE)</f>
        <v>3.09</v>
      </c>
      <c r="G597" s="547">
        <f t="shared" si="36"/>
        <v>3.09</v>
      </c>
      <c r="H597" s="546">
        <f>VLOOKUP(I$129,CPI!C$4:AZ$394,46,FALSE)</f>
        <v>1</v>
      </c>
      <c r="I597" s="548">
        <f t="shared" si="37"/>
        <v>1</v>
      </c>
      <c r="J597" s="549">
        <f t="shared" si="39"/>
        <v>3.09</v>
      </c>
      <c r="K597" s="549" t="s">
        <v>1187</v>
      </c>
      <c r="L597" s="550">
        <f t="shared" si="40"/>
        <v>6.18</v>
      </c>
      <c r="M597" s="550"/>
      <c r="N597" s="551"/>
      <c r="O597" s="552"/>
      <c r="P597" s="538">
        <f t="shared" si="41"/>
        <v>2.09</v>
      </c>
      <c r="Q597" s="539" t="str">
        <f t="shared" si="42"/>
        <v xml:space="preserve">higher than in </v>
      </c>
      <c r="R597" s="540" t="str">
        <f t="shared" si="43"/>
        <v>Dubai</v>
      </c>
      <c r="S597" s="553"/>
      <c r="T597" s="554">
        <f t="shared" si="44"/>
        <v>1</v>
      </c>
      <c r="U597" s="555"/>
      <c r="V597" s="757">
        <f t="shared" si="45"/>
        <v>2</v>
      </c>
      <c r="W597" s="186"/>
    </row>
    <row r="598" spans="3:23" hidden="1">
      <c r="C598" s="362">
        <f t="shared" si="46"/>
        <v>0.28676470588235281</v>
      </c>
      <c r="D598" s="587" t="str">
        <f>'Full Report'!C34</f>
        <v>Lettuce (1 head)</v>
      </c>
      <c r="E598" s="534">
        <f>Groceries!J16</f>
        <v>1</v>
      </c>
      <c r="F598" s="535">
        <f>VLOOKUP(Q$127,CPI!C$4:AZ$394,47,FALSE)</f>
        <v>1.75</v>
      </c>
      <c r="G598" s="311">
        <f t="shared" si="36"/>
        <v>1.75</v>
      </c>
      <c r="H598" s="535">
        <f>VLOOKUP(I$129,CPI!C$4:AZ$394,47,FALSE)</f>
        <v>1.36</v>
      </c>
      <c r="I598" s="536">
        <f t="shared" si="37"/>
        <v>1.36</v>
      </c>
      <c r="J598" s="418">
        <f t="shared" si="39"/>
        <v>1.2867647058823528</v>
      </c>
      <c r="K598" s="418" t="s">
        <v>1188</v>
      </c>
      <c r="L598" s="693">
        <f t="shared" si="40"/>
        <v>1.75</v>
      </c>
      <c r="M598" s="693"/>
      <c r="N598" s="537"/>
      <c r="O598" s="698"/>
      <c r="P598" s="538">
        <f t="shared" si="41"/>
        <v>0.28676470588235281</v>
      </c>
      <c r="Q598" s="539" t="str">
        <f t="shared" si="42"/>
        <v xml:space="preserve">higher than in </v>
      </c>
      <c r="R598" s="540" t="str">
        <f t="shared" si="43"/>
        <v>Dubai</v>
      </c>
      <c r="S598" s="541"/>
      <c r="T598" s="700">
        <f t="shared" si="44"/>
        <v>1</v>
      </c>
      <c r="U598" s="542"/>
      <c r="V598" s="601">
        <f t="shared" si="45"/>
        <v>1.36</v>
      </c>
      <c r="W598" s="186"/>
    </row>
    <row r="599" spans="3:23" hidden="1">
      <c r="C599" s="362">
        <f t="shared" si="46"/>
        <v>1.7777777777777777</v>
      </c>
      <c r="D599" s="587" t="str">
        <f>'Full Report'!C35</f>
        <v>Water (1.5 liter bottle)</v>
      </c>
      <c r="E599" s="544">
        <f>Groceries!J17</f>
        <v>30.000000000099998</v>
      </c>
      <c r="F599" s="535">
        <f>VLOOKUP(Q$127,CPI!C$4:AZ$394,13,FALSE)</f>
        <v>1.5</v>
      </c>
      <c r="G599" s="311">
        <f t="shared" si="36"/>
        <v>1.5</v>
      </c>
      <c r="H599" s="535">
        <f>VLOOKUP(I$129,CPI!C$4:AZ$394,13,FALSE)</f>
        <v>0.54</v>
      </c>
      <c r="I599" s="536">
        <f t="shared" si="37"/>
        <v>0.54</v>
      </c>
      <c r="J599" s="418">
        <f t="shared" si="39"/>
        <v>2.7777777777777777</v>
      </c>
      <c r="K599" s="418" t="s">
        <v>775</v>
      </c>
      <c r="L599" s="693">
        <f t="shared" si="40"/>
        <v>45.000000000149996</v>
      </c>
      <c r="M599" s="693"/>
      <c r="N599" s="537"/>
      <c r="O599" s="698"/>
      <c r="P599" s="538">
        <f t="shared" si="41"/>
        <v>1.7777777777777777</v>
      </c>
      <c r="Q599" s="539" t="str">
        <f t="shared" si="42"/>
        <v xml:space="preserve">higher than in </v>
      </c>
      <c r="R599" s="540" t="str">
        <f t="shared" si="43"/>
        <v>Dubai</v>
      </c>
      <c r="S599" s="541"/>
      <c r="T599" s="700">
        <f t="shared" si="44"/>
        <v>1</v>
      </c>
      <c r="U599" s="542"/>
      <c r="V599" s="757">
        <f t="shared" si="45"/>
        <v>16.200000000054001</v>
      </c>
      <c r="W599" s="186"/>
    </row>
    <row r="600" spans="3:23" hidden="1">
      <c r="C600" s="362">
        <f t="shared" si="46"/>
        <v>-0.5</v>
      </c>
      <c r="D600" s="587" t="str">
        <f>'Full Report'!C36</f>
        <v>Bottle of Wine (Mid-Range)</v>
      </c>
      <c r="E600" s="534">
        <f>Groceries!J18</f>
        <v>5</v>
      </c>
      <c r="F600" s="535">
        <f>VLOOKUP(Q$127,CPI!C$4:AZ$394,14,FALSE)</f>
        <v>10</v>
      </c>
      <c r="G600" s="311">
        <f t="shared" si="36"/>
        <v>10</v>
      </c>
      <c r="H600" s="535">
        <f>VLOOKUP(I$129,CPI!C$4:AZ$394,14,FALSE)</f>
        <v>20</v>
      </c>
      <c r="I600" s="536">
        <f t="shared" si="37"/>
        <v>20</v>
      </c>
      <c r="J600" s="418">
        <f t="shared" si="39"/>
        <v>0.5</v>
      </c>
      <c r="K600" s="418" t="s">
        <v>1181</v>
      </c>
      <c r="L600" s="693">
        <f t="shared" si="40"/>
        <v>50</v>
      </c>
      <c r="M600" s="693"/>
      <c r="N600" s="537"/>
      <c r="O600" s="698"/>
      <c r="P600" s="538">
        <f t="shared" si="41"/>
        <v>-0.5</v>
      </c>
      <c r="Q600" s="539" t="str">
        <f t="shared" si="42"/>
        <v xml:space="preserve">lower than in </v>
      </c>
      <c r="R600" s="540" t="str">
        <f t="shared" si="43"/>
        <v>Dubai</v>
      </c>
      <c r="S600" s="541"/>
      <c r="T600" s="700">
        <f t="shared" si="44"/>
        <v>0</v>
      </c>
      <c r="U600" s="542"/>
      <c r="V600" s="601">
        <f t="shared" si="45"/>
        <v>100</v>
      </c>
      <c r="W600" s="186"/>
    </row>
    <row r="601" spans="3:23" hidden="1">
      <c r="C601" s="362">
        <f t="shared" si="46"/>
        <v>-0.74449339207048459</v>
      </c>
      <c r="D601" s="587" t="str">
        <f>'Full Report'!C37</f>
        <v>Domestic Beer (0.5 liter bottle)</v>
      </c>
      <c r="E601" s="544">
        <f>Groceries!J19</f>
        <v>0</v>
      </c>
      <c r="F601" s="535">
        <f>VLOOKUP(Q$127,CPI!C$4:AZ$394,15,FALSE)</f>
        <v>1.74</v>
      </c>
      <c r="G601" s="311">
        <f t="shared" si="36"/>
        <v>1.74</v>
      </c>
      <c r="H601" s="535">
        <f>VLOOKUP(I$129,CPI!C$4:AZ$394,15,FALSE)</f>
        <v>6.81</v>
      </c>
      <c r="I601" s="536">
        <f t="shared" si="37"/>
        <v>6.81</v>
      </c>
      <c r="J601" s="418">
        <f t="shared" si="39"/>
        <v>0.25550660792951541</v>
      </c>
      <c r="K601" s="418" t="s">
        <v>772</v>
      </c>
      <c r="L601" s="693">
        <f t="shared" si="40"/>
        <v>0</v>
      </c>
      <c r="M601" s="693"/>
      <c r="N601" s="537"/>
      <c r="O601" s="698"/>
      <c r="P601" s="538">
        <f t="shared" si="41"/>
        <v>-0.74449339207048459</v>
      </c>
      <c r="Q601" s="539" t="str">
        <f t="shared" si="42"/>
        <v xml:space="preserve">lower than in </v>
      </c>
      <c r="R601" s="540" t="str">
        <f t="shared" si="43"/>
        <v>Dubai</v>
      </c>
      <c r="S601" s="541"/>
      <c r="T601" s="700">
        <f t="shared" si="44"/>
        <v>0</v>
      </c>
      <c r="U601" s="542"/>
      <c r="V601" s="757" t="str">
        <f t="shared" si="45"/>
        <v xml:space="preserve">     X </v>
      </c>
      <c r="W601" s="186"/>
    </row>
    <row r="602" spans="3:23" hidden="1">
      <c r="C602" s="362">
        <f t="shared" si="46"/>
        <v>-0.68575624082232012</v>
      </c>
      <c r="D602" s="587" t="str">
        <f>'Full Report'!C38</f>
        <v>Imported Beer (0.33 liter bottle)</v>
      </c>
      <c r="E602" s="534">
        <f>Groceries!J20</f>
        <v>5</v>
      </c>
      <c r="F602" s="535">
        <f>VLOOKUP(Q$127,CPI!C$4:AZ$394,16,FALSE)</f>
        <v>2.14</v>
      </c>
      <c r="G602" s="311">
        <f t="shared" si="36"/>
        <v>2.14</v>
      </c>
      <c r="H602" s="535">
        <f>VLOOKUP(I$129,CPI!C$4:AZ$394,16,FALSE)</f>
        <v>6.81</v>
      </c>
      <c r="I602" s="536">
        <f t="shared" si="37"/>
        <v>6.81</v>
      </c>
      <c r="J602" s="418">
        <f t="shared" si="39"/>
        <v>0.31424375917767994</v>
      </c>
      <c r="K602" s="418" t="s">
        <v>773</v>
      </c>
      <c r="L602" s="693">
        <f t="shared" si="40"/>
        <v>10.700000000000001</v>
      </c>
      <c r="M602" s="693"/>
      <c r="N602" s="537"/>
      <c r="O602" s="698"/>
      <c r="P602" s="538">
        <f t="shared" si="41"/>
        <v>-0.68575624082232012</v>
      </c>
      <c r="Q602" s="539" t="str">
        <f t="shared" si="42"/>
        <v xml:space="preserve">lower than in </v>
      </c>
      <c r="R602" s="540" t="str">
        <f t="shared" si="43"/>
        <v>Dubai</v>
      </c>
      <c r="S602" s="541"/>
      <c r="T602" s="700">
        <f t="shared" si="44"/>
        <v>0</v>
      </c>
      <c r="U602" s="542"/>
      <c r="V602" s="601">
        <f t="shared" si="45"/>
        <v>34.049999999999997</v>
      </c>
      <c r="W602" s="186"/>
    </row>
    <row r="603" spans="3:23" hidden="1">
      <c r="C603" s="362">
        <f>P603</f>
        <v>1.9125000000000001</v>
      </c>
      <c r="D603" s="587" t="str">
        <f>'Full Report'!C39</f>
        <v>Pack of Cigarettes (20's)</v>
      </c>
      <c r="E603" s="544">
        <f>Groceries!J21</f>
        <v>0</v>
      </c>
      <c r="F603" s="535">
        <f>VLOOKUP(Q$127,CPI!C$4:AZ$394,17,FALSE)</f>
        <v>6.99</v>
      </c>
      <c r="G603" s="311">
        <f t="shared" si="36"/>
        <v>6.99</v>
      </c>
      <c r="H603" s="535">
        <f>VLOOKUP(I$129,CPI!C$4:AZ$394,17,FALSE)</f>
        <v>2.4</v>
      </c>
      <c r="I603" s="536">
        <f t="shared" si="37"/>
        <v>2.4</v>
      </c>
      <c r="J603" s="418">
        <f t="shared" si="39"/>
        <v>2.9125000000000001</v>
      </c>
      <c r="K603" s="418" t="s">
        <v>1182</v>
      </c>
      <c r="L603" s="693">
        <f t="shared" si="40"/>
        <v>0</v>
      </c>
      <c r="M603" s="693"/>
      <c r="N603" s="537"/>
      <c r="O603" s="698"/>
      <c r="P603" s="538">
        <f t="shared" si="41"/>
        <v>1.9125000000000001</v>
      </c>
      <c r="Q603" s="539" t="str">
        <f t="shared" si="42"/>
        <v xml:space="preserve">higher than in </v>
      </c>
      <c r="R603" s="540" t="str">
        <f t="shared" si="43"/>
        <v>Dubai</v>
      </c>
      <c r="S603" s="541"/>
      <c r="T603" s="700">
        <f t="shared" si="44"/>
        <v>1</v>
      </c>
      <c r="U603" s="542"/>
      <c r="V603" s="757" t="str">
        <f>IF(E603=0,"X ",I603*E603)</f>
        <v xml:space="preserve">X </v>
      </c>
      <c r="W603" s="186"/>
    </row>
    <row r="604" spans="3:23" ht="24" hidden="1" thickBot="1">
      <c r="C604" s="178" t="s">
        <v>0</v>
      </c>
      <c r="D604" s="266"/>
      <c r="E604" s="266"/>
      <c r="F604" s="266">
        <f>SUM(F588:F603)</f>
        <v>70.7</v>
      </c>
      <c r="G604" s="266">
        <f>SUM(G588:G603)</f>
        <v>70.7</v>
      </c>
      <c r="H604" s="266">
        <f>SUM(H588:H603)</f>
        <v>66.38000000000001</v>
      </c>
      <c r="I604" s="266">
        <f>SUM(I596:I603)</f>
        <v>40.28</v>
      </c>
      <c r="J604" s="266">
        <f>F604/H604</f>
        <v>1.0650798433263029</v>
      </c>
      <c r="K604" s="266">
        <f>G604/I604</f>
        <v>1.7552135054617677</v>
      </c>
      <c r="L604" s="266">
        <f>SUM(L588:L603)</f>
        <v>394.49000000015002</v>
      </c>
      <c r="M604" s="266"/>
      <c r="N604" s="266"/>
      <c r="O604" s="266"/>
      <c r="P604" s="560">
        <f>J604-1</f>
        <v>6.50798433263029E-2</v>
      </c>
      <c r="Q604" s="560" t="str">
        <f>IF(P604=0,"% or equal in ",IF(F604&lt;H604,"lower than in ","higher than in "))</f>
        <v xml:space="preserve">higher than in </v>
      </c>
      <c r="R604" s="266"/>
      <c r="S604" s="266"/>
      <c r="T604" s="564">
        <f>SUM(T588:T603)</f>
        <v>12</v>
      </c>
      <c r="U604" s="699"/>
      <c r="V604" s="562">
        <f>SUM(V588:V603)</f>
        <v>324.98000000005402</v>
      </c>
      <c r="W604" s="265">
        <f>L604/V604</f>
        <v>1.2138900855439856</v>
      </c>
    </row>
    <row r="605" spans="3:23" ht="23.25" hidden="1" customHeight="1" thickTop="1">
      <c r="C605" s="178" t="s">
        <v>0</v>
      </c>
      <c r="D605" s="266" t="s">
        <v>1166</v>
      </c>
      <c r="E605" s="266" t="s">
        <v>0</v>
      </c>
      <c r="F605" s="266"/>
      <c r="G605" s="266"/>
      <c r="H605" s="266"/>
      <c r="I605" s="266"/>
      <c r="J605" s="266"/>
      <c r="K605" s="266"/>
      <c r="L605" s="266"/>
      <c r="M605" s="266"/>
      <c r="N605" s="266"/>
      <c r="O605" s="266"/>
      <c r="P605" s="560">
        <f>ABS(P604)</f>
        <v>6.50798433263029E-2</v>
      </c>
      <c r="Q605" s="560"/>
      <c r="R605" s="266"/>
      <c r="S605" s="266"/>
      <c r="T605" s="564">
        <f>T604</f>
        <v>12</v>
      </c>
      <c r="U605" s="699"/>
      <c r="V605" s="699"/>
      <c r="W605" s="186"/>
    </row>
    <row r="606" spans="3:23" ht="23.25" hidden="1" customHeight="1">
      <c r="C606" s="178">
        <v>1</v>
      </c>
      <c r="D606" s="266" t="s">
        <v>1177</v>
      </c>
      <c r="E606" s="266"/>
      <c r="F606" s="266"/>
      <c r="G606" s="266">
        <f>P605</f>
        <v>6.50798433263029E-2</v>
      </c>
      <c r="H606" s="266" t="str">
        <f>Q604</f>
        <v xml:space="preserve">higher than in </v>
      </c>
      <c r="I606" s="266" t="str">
        <f>I586</f>
        <v>Dubai, United Arab Emirates</v>
      </c>
      <c r="J606" s="266" t="str">
        <f>IF(P604&lt;0,"However, as shown in the graph below, "," As shown in the graph below, ")</f>
        <v xml:space="preserve"> As shown in the graph below, </v>
      </c>
      <c r="K606" s="266" t="str">
        <f>IF(T604&gt;16,K608,IF(T604=0,K609,K607))</f>
        <v xml:space="preserve">12 out of 16 items under this category are higher than in </v>
      </c>
      <c r="L606" s="266"/>
      <c r="M606" s="266"/>
      <c r="N606" s="266"/>
      <c r="O606" s="266"/>
      <c r="P606" s="560"/>
      <c r="Q606" s="560"/>
      <c r="R606" s="266"/>
      <c r="S606" s="266"/>
      <c r="T606" s="700"/>
      <c r="U606" s="699"/>
      <c r="V606" s="699"/>
      <c r="W606" s="186"/>
    </row>
    <row r="607" spans="3:23" ht="23.25" hidden="1" customHeight="1">
      <c r="C607" s="178"/>
      <c r="D607" s="266" t="str">
        <f>IF(T604=16,"Obviously, on average it is more",IF(T604=0,"Definitely, on average it is more","Intuitively it seems that, on average it is more"))</f>
        <v>Intuitively it seems that, on average it is more</v>
      </c>
      <c r="E607" s="266" t="str">
        <f>IF(P604&lt;0," cheaper to spend money for groceries in "," expensive to spend money for groceries in ")</f>
        <v xml:space="preserve"> expensive to spend money for groceries in </v>
      </c>
      <c r="F607" s="266"/>
      <c r="G607" s="266"/>
      <c r="H607" s="266" t="str">
        <f>G587</f>
        <v>Tucson</v>
      </c>
      <c r="I607" s="266"/>
      <c r="J607" s="266"/>
      <c r="K607" s="266" t="str">
        <f>T605&amp;" out of 16 items under this category are higher than in "</f>
        <v xml:space="preserve">12 out of 16 items under this category are higher than in </v>
      </c>
      <c r="L607" s="266"/>
      <c r="M607" s="266"/>
      <c r="N607" s="266"/>
      <c r="O607" s="266"/>
      <c r="P607" s="560"/>
      <c r="Q607" s="560"/>
      <c r="R607" s="266"/>
      <c r="S607" s="266"/>
      <c r="T607" s="700"/>
      <c r="U607" s="699"/>
      <c r="V607" s="699"/>
      <c r="W607" s="186"/>
    </row>
    <row r="608" spans="3:23" ht="23.25" hidden="1" customHeight="1">
      <c r="C608" s="178">
        <v>2</v>
      </c>
      <c r="D608" s="266" t="str">
        <f>VLOOKUP(W588,C588:D603,2,FALSE)</f>
        <v>Potato (1kg)</v>
      </c>
      <c r="E608" s="266"/>
      <c r="F608" s="266" t="s">
        <v>1169</v>
      </c>
      <c r="G608" s="266"/>
      <c r="H608" s="266"/>
      <c r="I608" s="266" t="str">
        <f>I606</f>
        <v>Dubai, United Arab Emirates</v>
      </c>
      <c r="J608" s="266"/>
      <c r="K608" s="266" t="str">
        <f>FIXED(T605/100,0)&amp;" out of 16 items under this category have equal price as in "</f>
        <v xml:space="preserve">0 out of 16 items under this category have equal price as in </v>
      </c>
      <c r="L608" s="266"/>
      <c r="M608" s="266"/>
      <c r="N608" s="266"/>
      <c r="O608" s="266"/>
      <c r="P608" s="560"/>
      <c r="Q608" s="560"/>
      <c r="R608" s="266"/>
      <c r="S608" s="266"/>
      <c r="T608" s="576"/>
      <c r="U608" s="699"/>
      <c r="V608" s="699"/>
      <c r="W608" s="186"/>
    </row>
    <row r="609" spans="3:23" ht="23.25" hidden="1" customHeight="1">
      <c r="C609" s="178"/>
      <c r="D609" s="266" t="s">
        <v>1174</v>
      </c>
      <c r="E609" s="266">
        <f>VLOOKUP(W588,C588:D603,1,FALSE)</f>
        <v>2.09</v>
      </c>
      <c r="F609" s="266" t="s">
        <v>1171</v>
      </c>
      <c r="G609" s="266"/>
      <c r="H609" s="266" t="str">
        <f>C587</f>
        <v>Tucson</v>
      </c>
      <c r="I609" s="266"/>
      <c r="J609" s="266"/>
      <c r="K609" s="266" t="str">
        <f>" All items under this category have lower price than in "</f>
        <v xml:space="preserve"> All items under this category have lower price than in </v>
      </c>
      <c r="L609" s="266"/>
      <c r="M609" s="266"/>
      <c r="N609" s="266"/>
      <c r="O609" s="266"/>
      <c r="P609" s="560"/>
      <c r="Q609" s="560"/>
      <c r="R609" s="266"/>
      <c r="S609" s="266"/>
      <c r="T609" s="576"/>
      <c r="U609" s="699"/>
      <c r="V609" s="699"/>
      <c r="W609" s="186"/>
    </row>
    <row r="610" spans="3:23" ht="23.25" hidden="1" customHeight="1">
      <c r="C610" s="178">
        <v>3</v>
      </c>
      <c r="D610" s="266" t="str">
        <f>VLOOKUP(W589,C588:D603,2,FALSE)</f>
        <v>Domestic Beer (0.5 liter bottle)</v>
      </c>
      <c r="E610" s="266"/>
      <c r="F610" s="266" t="s">
        <v>1170</v>
      </c>
      <c r="G610" s="266"/>
      <c r="H610" s="266"/>
      <c r="I610" s="266" t="str">
        <f>I586</f>
        <v>Dubai, United Arab Emirates</v>
      </c>
      <c r="J610" s="266"/>
      <c r="K610" s="266"/>
      <c r="L610" s="266"/>
      <c r="M610" s="266"/>
      <c r="N610" s="266"/>
      <c r="O610" s="266"/>
      <c r="P610" s="560"/>
      <c r="Q610" s="560"/>
      <c r="R610" s="266"/>
      <c r="S610" s="266"/>
      <c r="T610" s="576"/>
      <c r="U610" s="699"/>
      <c r="V610" s="699"/>
      <c r="W610" s="186"/>
    </row>
    <row r="611" spans="3:23" ht="23.25" hidden="1" customHeight="1">
      <c r="C611" s="178"/>
      <c r="D611" s="266" t="s">
        <v>1174</v>
      </c>
      <c r="E611" s="266">
        <f>VLOOKUP(W589,C588:D603,1,FALSE)</f>
        <v>-0.74449339207048459</v>
      </c>
      <c r="F611" s="266" t="str">
        <f>Q602</f>
        <v xml:space="preserve">lower than in </v>
      </c>
      <c r="G611" s="266"/>
      <c r="H611" s="266" t="str">
        <f>I610</f>
        <v>Dubai, United Arab Emirates</v>
      </c>
      <c r="I611" s="266"/>
      <c r="J611" s="266">
        <f>ABS(E611)</f>
        <v>0.74449339207048459</v>
      </c>
      <c r="K611" s="266"/>
      <c r="L611" s="266"/>
      <c r="M611" s="266"/>
      <c r="N611" s="266"/>
      <c r="O611" s="266"/>
      <c r="P611" s="560"/>
      <c r="Q611" s="560"/>
      <c r="R611" s="266"/>
      <c r="S611" s="266"/>
      <c r="T611" s="576"/>
      <c r="U611" s="699"/>
      <c r="V611" s="699"/>
      <c r="W611" s="186"/>
    </row>
    <row r="612" spans="3:23" ht="23.25" hidden="1" customHeight="1">
      <c r="C612" s="178"/>
      <c r="D612" s="266" t="str">
        <f>J606&amp;K606&amp;R603&amp;". "&amp;D608&amp;" in "&amp;H609&amp;F608&amp;I608&amp;D609&amp;FIXED(E609*100)&amp;F609&amp;H609&amp;"."</f>
        <v xml:space="preserve"> As shown in the graph below, 12 out of 16 items under this category are higher than in Dubai. Potato (1kg) in Tucson is the most expensive item in comparison to Dubai, United Arab Emirates. Its cost is 209.00 % more expensive in Tucson.</v>
      </c>
      <c r="E612" s="266"/>
      <c r="F612" s="266"/>
      <c r="G612" s="266"/>
      <c r="H612" s="266"/>
      <c r="I612" s="266"/>
      <c r="J612" s="266"/>
      <c r="K612" s="266"/>
      <c r="L612" s="266"/>
      <c r="M612" s="266"/>
      <c r="N612" s="266"/>
      <c r="O612" s="266"/>
      <c r="P612" s="560"/>
      <c r="Q612" s="560"/>
      <c r="R612" s="266"/>
      <c r="S612" s="266"/>
      <c r="T612" s="576"/>
      <c r="U612" s="699"/>
      <c r="V612" s="699"/>
      <c r="W612" s="186"/>
    </row>
    <row r="613" spans="3:23" ht="23.25" hidden="1" customHeight="1">
      <c r="C613" s="178"/>
      <c r="D613" s="266" t="str">
        <f>K606&amp;R596&amp;". "&amp;D610&amp;" in "&amp;C587&amp;F610&amp;R603&amp;D611&amp;FIXED(J611*100)&amp;"% "&amp;F611&amp;H611</f>
        <v>12 out of 16 items under this category are higher than in Dubai. Domestic Beer (0.5 liter bottle) in Tucson is the cheapest item in comparison to Dubai. Its cost is 74.45% lower than in Dubai, United Arab Emirates</v>
      </c>
      <c r="E613" s="266"/>
      <c r="F613" s="266"/>
      <c r="G613" s="266"/>
      <c r="H613" s="266"/>
      <c r="I613" s="266"/>
      <c r="J613" s="266"/>
      <c r="K613" s="266"/>
      <c r="L613" s="266"/>
      <c r="M613" s="266"/>
      <c r="N613" s="266"/>
      <c r="O613" s="266"/>
      <c r="P613" s="560"/>
      <c r="Q613" s="560"/>
      <c r="R613" s="266"/>
      <c r="S613" s="266"/>
      <c r="T613" s="576"/>
      <c r="U613" s="699"/>
      <c r="V613" s="699"/>
      <c r="W613" s="186"/>
    </row>
    <row r="614" spans="3:23" ht="23.25" hidden="1" customHeight="1">
      <c r="C614" s="178"/>
      <c r="D614" s="266" t="s">
        <v>1173</v>
      </c>
      <c r="E614" s="266"/>
      <c r="F614" s="266"/>
      <c r="G614" s="266"/>
      <c r="H614" s="266"/>
      <c r="I614" s="266"/>
      <c r="J614" s="266"/>
      <c r="K614" s="266"/>
      <c r="L614" s="266"/>
      <c r="M614" s="266"/>
      <c r="N614" s="266"/>
      <c r="O614" s="266"/>
      <c r="P614" s="560"/>
      <c r="Q614" s="560"/>
      <c r="R614" s="266"/>
      <c r="S614" s="266"/>
      <c r="T614" s="576"/>
      <c r="U614" s="699"/>
      <c r="V614" s="699"/>
      <c r="W614" s="186"/>
    </row>
    <row r="615" spans="3:23" ht="23.25" hidden="1" customHeight="1">
      <c r="C615" s="178"/>
      <c r="D615" s="266"/>
      <c r="E615" s="266"/>
      <c r="F615" s="266"/>
      <c r="G615" s="266"/>
      <c r="H615" s="266"/>
      <c r="I615" s="266"/>
      <c r="J615" s="266"/>
      <c r="K615" s="266"/>
      <c r="L615" s="266"/>
      <c r="M615" s="266"/>
      <c r="N615" s="266"/>
      <c r="O615" s="266"/>
      <c r="P615" s="560"/>
      <c r="Q615" s="560"/>
      <c r="R615" s="266"/>
      <c r="S615" s="266"/>
      <c r="T615" s="576"/>
      <c r="U615" s="699"/>
      <c r="V615" s="699"/>
      <c r="W615" s="186"/>
    </row>
    <row r="616" spans="3:23" ht="46.5" hidden="1" customHeight="1">
      <c r="C616" s="178"/>
      <c r="D616" s="266" t="str">
        <f>D606&amp;W592&amp;" is "&amp;FIXED(G606*100)&amp;"% "&amp;H606&amp;I606&amp;". "&amp;D607&amp;E607&amp;H607&amp;". "</f>
        <v xml:space="preserve">Overall, based on 16 items in the groceries category, the cost of groceries in Tucson, AZ, United States is 6.51% higher than in Dubai, United Arab Emirates. Intuitively it seems that, on average it is more expensive to spend money for groceries in Tucson. </v>
      </c>
      <c r="E616" s="266"/>
      <c r="F616" s="266"/>
      <c r="G616" s="266"/>
      <c r="H616" s="266"/>
      <c r="I616" s="266"/>
      <c r="J616" s="266"/>
      <c r="K616" s="266"/>
      <c r="L616" s="266"/>
      <c r="M616" s="266"/>
      <c r="N616" s="266"/>
      <c r="O616" s="266"/>
      <c r="P616" s="560"/>
      <c r="Q616" s="560"/>
      <c r="R616" s="266"/>
      <c r="S616" s="266"/>
      <c r="T616" s="576"/>
      <c r="U616" s="699"/>
      <c r="V616" s="699"/>
      <c r="W616" s="186"/>
    </row>
    <row r="617" spans="3:23" ht="51" hidden="1" customHeight="1">
      <c r="C617" s="178"/>
      <c r="D617" s="266" t="str">
        <f>IF(W588&lt;0,D613,IF(W588=0,D613,D612))</f>
        <v xml:space="preserve"> As shown in the graph below, 12 out of 16 items under this category are higher than in Dubai. Potato (1kg) in Tucson is the most expensive item in comparison to Dubai, United Arab Emirates. Its cost is 209.00 % more expensive in Tucson.</v>
      </c>
      <c r="E617" s="266"/>
      <c r="F617" s="266"/>
      <c r="G617" s="266"/>
      <c r="H617" s="266"/>
      <c r="I617" s="266"/>
      <c r="J617" s="266"/>
      <c r="K617" s="266"/>
      <c r="L617" s="266"/>
      <c r="M617" s="266"/>
      <c r="N617" s="266"/>
      <c r="O617" s="266"/>
      <c r="P617" s="560"/>
      <c r="Q617" s="560"/>
      <c r="R617" s="266"/>
      <c r="S617" s="266"/>
      <c r="T617" s="576"/>
      <c r="U617" s="699"/>
      <c r="V617" s="699"/>
      <c r="W617" s="186"/>
    </row>
    <row r="618" spans="3:23" ht="15.75" hidden="1" customHeight="1">
      <c r="C618" s="178"/>
      <c r="D618" s="266" t="str">
        <f>"Your personal expenditure on groceries are selected from "&amp;V618&amp;" out of 16 items. Your cost of groceries index (percentage ratio) is calculated based on these spending pattern over a month. "</f>
        <v xml:space="preserve">Your personal expenditure on groceries are selected from 14 out of 16 items. Your cost of groceries index (percentage ratio) is calculated based on these spending pattern over a month. </v>
      </c>
      <c r="E618" s="266"/>
      <c r="F618" s="266"/>
      <c r="G618" s="266"/>
      <c r="H618" s="266"/>
      <c r="I618" s="266"/>
      <c r="J618" s="266"/>
      <c r="K618" s="266"/>
      <c r="L618" s="266"/>
      <c r="M618" s="266"/>
      <c r="N618" s="266"/>
      <c r="O618" s="266"/>
      <c r="P618" s="560"/>
      <c r="Q618" s="560"/>
      <c r="R618" s="266"/>
      <c r="S618" s="266"/>
      <c r="T618" s="576"/>
      <c r="U618" s="464"/>
      <c r="V618" s="464">
        <f>COUNT(V588:V603)</f>
        <v>14</v>
      </c>
      <c r="W618" s="318">
        <f>W604-1</f>
        <v>0.21389008554398559</v>
      </c>
    </row>
    <row r="619" spans="3:23" ht="15.75" hidden="1" customHeight="1">
      <c r="C619" s="178"/>
      <c r="D619" s="266" t="s">
        <v>1247</v>
      </c>
      <c r="E619" s="266"/>
      <c r="F619" s="266"/>
      <c r="G619" s="266"/>
      <c r="H619" s="266"/>
      <c r="I619" s="266">
        <f>ABS(W618)*100</f>
        <v>21.389008554398558</v>
      </c>
      <c r="J619" s="266" t="str">
        <f>IF(W618&lt;0,"% lower in ","% higher in ")</f>
        <v xml:space="preserve">% higher in </v>
      </c>
      <c r="K619" s="266" t="str">
        <f>G587</f>
        <v>Tucson</v>
      </c>
      <c r="L619" s="266" t="s">
        <v>1203</v>
      </c>
      <c r="M619" s="266" t="str">
        <f>R596</f>
        <v>Dubai</v>
      </c>
      <c r="N619" s="266"/>
      <c r="O619" s="266"/>
      <c r="P619" s="560"/>
      <c r="Q619" s="560"/>
      <c r="R619" s="266"/>
      <c r="S619" s="266"/>
      <c r="T619" s="576"/>
      <c r="U619" s="464"/>
      <c r="V619" s="464"/>
      <c r="W619" s="318"/>
    </row>
    <row r="620" spans="3:23" ht="15.75" hidden="1" customHeight="1">
      <c r="C620" s="178"/>
      <c r="D620" s="266" t="s">
        <v>1204</v>
      </c>
      <c r="E620" s="266"/>
      <c r="F620" s="266" t="str">
        <f>IF(W618&lt;0," you need to spend more in "," you spend less in ")</f>
        <v xml:space="preserve"> you spend less in </v>
      </c>
      <c r="G620" s="266" t="str">
        <f>M619</f>
        <v>Dubai</v>
      </c>
      <c r="H620" s="266" t="s">
        <v>1205</v>
      </c>
      <c r="I620" s="266"/>
      <c r="J620" s="266"/>
      <c r="K620" s="266" t="str">
        <f>K619</f>
        <v>Tucson</v>
      </c>
      <c r="L620" s="266"/>
      <c r="M620" s="266"/>
      <c r="N620" s="266"/>
      <c r="O620" s="266"/>
      <c r="P620" s="560"/>
      <c r="Q620" s="560"/>
      <c r="R620" s="266"/>
      <c r="S620" s="266"/>
      <c r="T620" s="576"/>
      <c r="U620" s="464"/>
      <c r="V620" s="464"/>
      <c r="W620" s="318"/>
    </row>
    <row r="621" spans="3:23" ht="15.75" hidden="1" customHeight="1">
      <c r="C621" s="178"/>
      <c r="D621" s="266" t="s">
        <v>1207</v>
      </c>
      <c r="E621" s="266" t="s">
        <v>0</v>
      </c>
      <c r="F621" s="266"/>
      <c r="G621" s="266">
        <f>V618</f>
        <v>14</v>
      </c>
      <c r="H621" s="266" t="s">
        <v>1209</v>
      </c>
      <c r="I621" s="266"/>
      <c r="J621" s="266">
        <f>V604</f>
        <v>324.98000000005402</v>
      </c>
      <c r="K621" s="266" t="str">
        <f>M619</f>
        <v>Dubai</v>
      </c>
      <c r="L621" s="266" t="s">
        <v>1206</v>
      </c>
      <c r="M621" s="266" t="str">
        <f>K620</f>
        <v>Tucson</v>
      </c>
      <c r="N621" s="266" t="s">
        <v>1218</v>
      </c>
      <c r="O621" s="266">
        <f>L604</f>
        <v>394.49000000015002</v>
      </c>
      <c r="P621" s="560"/>
      <c r="Q621" s="560"/>
      <c r="R621" s="266"/>
      <c r="S621" s="266"/>
      <c r="T621" s="576"/>
      <c r="U621" s="464"/>
      <c r="V621" s="464"/>
      <c r="W621" s="318"/>
    </row>
    <row r="622" spans="3:23" ht="15.75" hidden="1" customHeight="1">
      <c r="C622" s="178"/>
      <c r="D622" s="266"/>
      <c r="E622" s="266"/>
      <c r="F622" s="266"/>
      <c r="G622" s="266"/>
      <c r="H622" s="266"/>
      <c r="I622" s="266"/>
      <c r="J622" s="266"/>
      <c r="K622" s="266"/>
      <c r="L622" s="266"/>
      <c r="M622" s="266"/>
      <c r="N622" s="266"/>
      <c r="O622" s="266"/>
      <c r="P622" s="560"/>
      <c r="Q622" s="560"/>
      <c r="R622" s="266"/>
      <c r="S622" s="266"/>
      <c r="T622" s="576"/>
      <c r="U622" s="464"/>
      <c r="V622" s="464"/>
      <c r="W622" s="318"/>
    </row>
    <row r="623" spans="3:23" ht="52.5" hidden="1" customHeight="1">
      <c r="C623" s="178"/>
      <c r="D623" s="266" t="str">
        <f>D618&amp;D619&amp;" "&amp;FIXED(I619,2)&amp;" "&amp;J619&amp;K619&amp;L619&amp;M619&amp;"."</f>
        <v>Your personal expenditure on groceries are selected from 14 out of 16 items. Your cost of groceries index (percentage ratio) is calculated based on these spending pattern over a month. Therefore, based on this item preferences, your personal spending on groceries is 21.39 % higher in Tucson in comparison to Dubai.</v>
      </c>
      <c r="E623" s="266"/>
      <c r="F623" s="266"/>
      <c r="G623" s="266"/>
      <c r="H623" s="266"/>
      <c r="I623" s="266"/>
      <c r="J623" s="266"/>
      <c r="K623" s="266"/>
      <c r="L623" s="266"/>
      <c r="M623" s="266"/>
      <c r="N623" s="266"/>
      <c r="O623" s="266"/>
      <c r="P623" s="560"/>
      <c r="Q623" s="560"/>
      <c r="R623" s="266"/>
      <c r="S623" s="266"/>
      <c r="T623" s="683"/>
      <c r="U623" s="464"/>
      <c r="V623" s="464"/>
      <c r="W623" s="186"/>
    </row>
    <row r="624" spans="3:23" ht="43.5" hidden="1" customHeight="1">
      <c r="C624" s="178"/>
      <c r="D624" s="266" t="str">
        <f>D620&amp;F620&amp;G620&amp;H620&amp;I620&amp;J620&amp;K620&amp;D621&amp;G621&amp;H621&amp;" "&amp;Info!J8&amp;FIXED(J621,2)&amp;" in "&amp;K621&amp;" "&amp;L621&amp;M621&amp;N621&amp;" "&amp;Info!J8&amp;FIXED(O621,2)&amp;"."</f>
        <v>In other words,  you spend less in Dubai in order to purchase these same items you paid in Tucson. Hence, purchasing the same 14 items in this category, you need to pay an amount of  USD324.98 in Dubai  while in Tucson you need to pay approximately around USD394.49.</v>
      </c>
      <c r="E624" s="266"/>
      <c r="F624" s="266"/>
      <c r="G624" s="266"/>
      <c r="H624" s="266"/>
      <c r="I624" s="266"/>
      <c r="J624" s="266"/>
      <c r="K624" s="266"/>
      <c r="L624" s="266"/>
      <c r="M624" s="266"/>
      <c r="N624" s="266"/>
      <c r="O624" s="266"/>
      <c r="P624" s="560"/>
      <c r="Q624" s="560"/>
      <c r="R624" s="266"/>
      <c r="S624" s="266"/>
      <c r="T624" s="683"/>
      <c r="U624" s="464"/>
      <c r="V624" s="464"/>
      <c r="W624" s="186"/>
    </row>
    <row r="625" spans="2:23" hidden="1">
      <c r="C625" s="178"/>
      <c r="D625" s="266"/>
      <c r="E625" s="266"/>
      <c r="F625" s="266"/>
      <c r="G625" s="266"/>
      <c r="H625" s="266"/>
      <c r="I625" s="266"/>
      <c r="J625" s="266"/>
      <c r="K625" s="266"/>
      <c r="L625" s="266"/>
      <c r="M625" s="266"/>
      <c r="N625" s="266"/>
      <c r="O625" s="266"/>
      <c r="P625" s="560"/>
      <c r="Q625" s="560"/>
      <c r="R625" s="266"/>
      <c r="S625" s="266"/>
      <c r="T625" s="683"/>
      <c r="U625" s="464"/>
      <c r="V625" s="464"/>
      <c r="W625" s="186"/>
    </row>
    <row r="626" spans="2:23" ht="24.95" hidden="1" customHeight="1">
      <c r="C626" s="178"/>
      <c r="D626" s="269"/>
      <c r="E626" s="269"/>
      <c r="F626" s="699"/>
      <c r="G626" s="699"/>
      <c r="H626" s="266"/>
      <c r="I626" s="266"/>
      <c r="J626" s="266"/>
      <c r="K626" s="266"/>
      <c r="L626" s="266"/>
      <c r="M626" s="266"/>
      <c r="N626" s="266"/>
      <c r="O626" s="266"/>
      <c r="P626" s="266"/>
      <c r="Q626" s="266"/>
      <c r="R626" s="266"/>
      <c r="S626" s="699"/>
      <c r="T626" s="699"/>
      <c r="U626" s="699"/>
      <c r="V626" s="699"/>
      <c r="W626" s="186"/>
    </row>
    <row r="627" spans="2:23" ht="24.95" hidden="1" customHeight="1">
      <c r="C627" s="178"/>
      <c r="D627" s="269"/>
      <c r="E627" s="269"/>
      <c r="F627" s="699"/>
      <c r="G627" s="699"/>
      <c r="H627" s="266"/>
      <c r="I627" s="266"/>
      <c r="J627" s="266"/>
      <c r="K627" s="266"/>
      <c r="L627" s="266"/>
      <c r="M627" s="266"/>
      <c r="N627" s="266"/>
      <c r="O627" s="266"/>
      <c r="P627" s="266"/>
      <c r="Q627" s="266"/>
      <c r="R627" s="266"/>
      <c r="S627" s="699"/>
      <c r="T627" s="699"/>
      <c r="U627" s="699"/>
      <c r="V627" s="699"/>
      <c r="W627" s="186"/>
    </row>
    <row r="628" spans="2:23" s="10" customFormat="1" ht="24.95" hidden="1" customHeight="1">
      <c r="B628" s="87"/>
      <c r="C628" s="178"/>
      <c r="D628" s="269"/>
      <c r="E628" s="269"/>
      <c r="F628" s="699"/>
      <c r="G628" s="699"/>
      <c r="H628" s="266"/>
      <c r="I628" s="266"/>
      <c r="J628" s="266"/>
      <c r="K628" s="266"/>
      <c r="L628" s="266"/>
      <c r="M628" s="266"/>
      <c r="N628" s="266"/>
      <c r="O628" s="266"/>
      <c r="P628" s="266"/>
      <c r="Q628" s="270"/>
      <c r="R628" s="281"/>
      <c r="S628" s="699"/>
      <c r="T628" s="699"/>
      <c r="U628" s="699"/>
      <c r="V628" s="699"/>
      <c r="W628" s="186"/>
    </row>
    <row r="629" spans="2:23" s="10" customFormat="1" ht="23.25" hidden="1" customHeight="1">
      <c r="B629" s="87"/>
      <c r="C629" s="178"/>
      <c r="D629" s="269"/>
      <c r="E629" s="269"/>
      <c r="F629" s="699"/>
      <c r="G629" s="699"/>
      <c r="H629" s="266"/>
      <c r="I629" s="266"/>
      <c r="J629" s="266"/>
      <c r="K629" s="266"/>
      <c r="L629" s="266"/>
      <c r="M629" s="266"/>
      <c r="N629" s="266"/>
      <c r="O629" s="266"/>
      <c r="P629" s="266"/>
      <c r="Q629" s="266"/>
      <c r="R629" s="266"/>
      <c r="S629" s="699"/>
      <c r="T629" s="699"/>
      <c r="U629" s="699"/>
      <c r="V629" s="699"/>
      <c r="W629" s="186"/>
    </row>
    <row r="630" spans="2:23" s="10" customFormat="1" ht="23.25" hidden="1" customHeight="1">
      <c r="B630" s="87"/>
      <c r="C630" s="178"/>
      <c r="D630" s="701"/>
      <c r="E630" s="701"/>
      <c r="F630" s="701"/>
      <c r="G630" s="701"/>
      <c r="H630" s="701"/>
      <c r="I630" s="701"/>
      <c r="J630" s="701"/>
      <c r="K630" s="701"/>
      <c r="L630" s="701"/>
      <c r="M630" s="701"/>
      <c r="N630" s="701"/>
      <c r="O630" s="701"/>
      <c r="P630" s="701"/>
      <c r="Q630" s="701"/>
      <c r="R630" s="701"/>
      <c r="S630" s="701"/>
      <c r="T630" s="701"/>
      <c r="U630" s="701"/>
      <c r="V630" s="701"/>
      <c r="W630" s="186"/>
    </row>
    <row r="631" spans="2:23" s="10" customFormat="1" ht="23.25" hidden="1" customHeight="1">
      <c r="B631" s="87"/>
      <c r="C631" s="178"/>
      <c r="D631" s="699"/>
      <c r="E631" s="699"/>
      <c r="F631" s="699"/>
      <c r="G631" s="699"/>
      <c r="H631" s="699"/>
      <c r="I631" s="699"/>
      <c r="J631" s="699"/>
      <c r="K631" s="699"/>
      <c r="L631" s="699"/>
      <c r="M631" s="699"/>
      <c r="N631" s="699"/>
      <c r="O631" s="699"/>
      <c r="P631" s="699"/>
      <c r="Q631" s="699"/>
      <c r="R631" s="699"/>
      <c r="S631" s="699"/>
      <c r="T631" s="699"/>
      <c r="U631" s="699"/>
      <c r="V631" s="699"/>
      <c r="W631" s="186"/>
    </row>
    <row r="632" spans="2:23" ht="22.5" hidden="1" customHeight="1">
      <c r="C632" s="178"/>
      <c r="D632" s="176" t="str">
        <f>"Personal Cost of Transportation is "&amp;IF(P142&gt;0,"cheaper in ","more expensive in ")&amp;R515</f>
        <v>Personal Cost of Transportation is cheaper in Dubai</v>
      </c>
      <c r="E632" s="179"/>
      <c r="F632" s="179"/>
      <c r="G632" s="179"/>
      <c r="H632" s="179"/>
      <c r="I632" s="179"/>
      <c r="J632" s="179"/>
      <c r="K632" s="179"/>
      <c r="L632" s="179"/>
      <c r="M632" s="179"/>
      <c r="N632" s="179"/>
      <c r="O632" s="179"/>
      <c r="P632" s="179"/>
      <c r="Q632" s="179"/>
      <c r="R632" s="179"/>
      <c r="S632" s="179"/>
      <c r="T632" s="699"/>
      <c r="U632" s="699"/>
      <c r="V632" s="699"/>
      <c r="W632" s="186"/>
    </row>
    <row r="633" spans="2:23" ht="69.75" hidden="1" customHeight="1">
      <c r="C633" s="178"/>
      <c r="D633" s="954" t="str">
        <f>IF(V660=0,"None of the items under this category is selected.",IF(T647=588,D656,D665))</f>
        <v>Your monthly expenses on transportation are selected from 5 out of 6 items. Your cost of transportation index (percentage ratio) is calculated based on these spending pattern over a month according to your usage. Therefore, based on this item preferences, your personal spending on transportation is 82.85 % higher in Tucson in comparison to Dubai.</v>
      </c>
      <c r="E633" s="954"/>
      <c r="F633" s="954"/>
      <c r="G633" s="954"/>
      <c r="H633" s="954"/>
      <c r="I633" s="954"/>
      <c r="J633" s="954"/>
      <c r="K633" s="954"/>
      <c r="L633" s="954"/>
      <c r="M633" s="954"/>
      <c r="N633" s="954"/>
      <c r="O633" s="954"/>
      <c r="P633" s="954"/>
      <c r="Q633" s="954"/>
      <c r="R633" s="954"/>
      <c r="S633" s="954"/>
      <c r="T633" s="954"/>
      <c r="U633" s="954"/>
      <c r="V633" s="954"/>
      <c r="W633" s="186"/>
    </row>
    <row r="634" spans="2:23" ht="57" hidden="1" customHeight="1">
      <c r="C634" s="178"/>
      <c r="D634" s="954" t="str">
        <f>IF(V660=0,"None of the items under this category is selected.",IF(T647=588,D656,D666))</f>
        <v>In other words,  you spend less in Dubai in order to utilize these same services you paid in Tucson. Therefore, using the same 5 items in this category, you need to pay an amount of  USD133.61 in Dubai  while in Tucson you need to pay approximately around USD244.30.</v>
      </c>
      <c r="E634" s="954"/>
      <c r="F634" s="954"/>
      <c r="G634" s="954"/>
      <c r="H634" s="954"/>
      <c r="I634" s="954"/>
      <c r="J634" s="954"/>
      <c r="K634" s="954"/>
      <c r="L634" s="954"/>
      <c r="M634" s="954"/>
      <c r="N634" s="954"/>
      <c r="O634" s="954"/>
      <c r="P634" s="954"/>
      <c r="Q634" s="954"/>
      <c r="R634" s="954"/>
      <c r="S634" s="954"/>
      <c r="T634" s="954"/>
      <c r="U634" s="954"/>
      <c r="V634" s="954"/>
      <c r="W634" s="186"/>
    </row>
    <row r="635" spans="2:23" s="10" customFormat="1" hidden="1">
      <c r="B635" s="87"/>
      <c r="C635" s="517" t="str">
        <f>W591</f>
        <v>USD</v>
      </c>
      <c r="D635" s="518" t="str">
        <f>$Q$127</f>
        <v>Tucson, AZ, United States</v>
      </c>
      <c r="E635" s="181"/>
      <c r="F635" s="698"/>
      <c r="G635" s="698"/>
      <c r="H635" s="693"/>
      <c r="I635" s="693"/>
      <c r="J635" s="693"/>
      <c r="K635" s="694">
        <f>IF(W635&lt;0,W635,Q635)</f>
        <v>-0.44903581267217629</v>
      </c>
      <c r="L635" s="694"/>
      <c r="M635" s="694"/>
      <c r="N635" s="694"/>
      <c r="O635" s="694"/>
      <c r="P635" s="515" t="str">
        <f>$I$129</f>
        <v>Dubai, United Arab Emirates</v>
      </c>
      <c r="Q635" s="519">
        <f>MIN(P638:P645)</f>
        <v>-0.44903581267217629</v>
      </c>
      <c r="R635" s="586" t="str">
        <f>IF(W635&lt;0,"negatif","positif")</f>
        <v>positif</v>
      </c>
      <c r="S635" s="698"/>
      <c r="T635" s="700"/>
      <c r="U635" s="699"/>
      <c r="V635" s="520" t="str">
        <f>$T$637</f>
        <v>Dubai</v>
      </c>
      <c r="W635" s="602">
        <f>MAX(P638:P645)</f>
        <v>3.8959608323133414</v>
      </c>
    </row>
    <row r="636" spans="2:23" s="10" customFormat="1" ht="11.25" hidden="1" customHeight="1" thickBot="1">
      <c r="B636" s="87"/>
      <c r="C636" s="517"/>
      <c r="D636" s="518"/>
      <c r="E636" s="181"/>
      <c r="F636" s="698"/>
      <c r="G636" s="698"/>
      <c r="H636" s="693"/>
      <c r="I636" s="693"/>
      <c r="J636" s="693"/>
      <c r="K636" s="694"/>
      <c r="L636" s="694"/>
      <c r="M636" s="694"/>
      <c r="N636" s="694"/>
      <c r="O636" s="694"/>
      <c r="P636" s="515"/>
      <c r="Q636" s="519"/>
      <c r="R636" s="586"/>
      <c r="S636" s="698"/>
      <c r="T636" s="700"/>
      <c r="U636" s="699"/>
      <c r="V636" s="261"/>
      <c r="W636" s="602"/>
    </row>
    <row r="637" spans="2:23" s="10" customFormat="1" ht="26.25" hidden="1" thickBot="1">
      <c r="B637" s="87"/>
      <c r="C637" s="362" t="str">
        <f>VLOOKUP(D635,Data!L$3:N$398,2,FALSE)</f>
        <v>Tucson</v>
      </c>
      <c r="D637" s="747" t="str">
        <f>'Full Report'!$C$41</f>
        <v>Transportation</v>
      </c>
      <c r="E637" s="522" t="s">
        <v>1175</v>
      </c>
      <c r="F637" s="523" t="s">
        <v>540</v>
      </c>
      <c r="G637" s="524" t="str">
        <f>C637</f>
        <v>Tucson</v>
      </c>
      <c r="H637" s="523" t="str">
        <f>P635&amp;" in US dollar"</f>
        <v>Dubai, United Arab Emirates in US dollar</v>
      </c>
      <c r="I637" s="525" t="str">
        <f>$I$587</f>
        <v>Dubai</v>
      </c>
      <c r="J637" s="526"/>
      <c r="K637" s="526"/>
      <c r="L637" s="527" t="s">
        <v>1176</v>
      </c>
      <c r="M637" s="527"/>
      <c r="N637" s="528"/>
      <c r="O637" s="529"/>
      <c r="P637" s="758" t="str">
        <f>"        Cost difference"&amp;" in "&amp;C637</f>
        <v xml:space="preserve">        Cost difference in Tucson</v>
      </c>
      <c r="Q637" s="539"/>
      <c r="R637" s="540"/>
      <c r="S637" s="530"/>
      <c r="T637" s="531" t="str">
        <f>I637</f>
        <v>Dubai</v>
      </c>
      <c r="U637" s="532"/>
      <c r="V637" s="749" t="s">
        <v>1222</v>
      </c>
      <c r="W637" s="668" t="str">
        <f>G637</f>
        <v>Tucson</v>
      </c>
    </row>
    <row r="638" spans="2:23" s="10" customFormat="1" hidden="1">
      <c r="B638" s="87"/>
      <c r="C638" s="362">
        <f t="shared" ref="C638:C643" si="47">P638</f>
        <v>0.1278195488721805</v>
      </c>
      <c r="D638" s="587" t="str">
        <f>'Full Report'!C42</f>
        <v>One-way Ticket (Public Transport)</v>
      </c>
      <c r="E638" s="534">
        <f>Transportation!J6</f>
        <v>20</v>
      </c>
      <c r="F638" s="535">
        <f>VLOOKUP(Q$127,CPI!C$4:AZ$394,18,FALSE)</f>
        <v>1.5</v>
      </c>
      <c r="G638" s="311">
        <f t="shared" ref="G638:G643" si="48">F638*E$204</f>
        <v>1.5</v>
      </c>
      <c r="H638" s="535">
        <f>VLOOKUP(I$129,CPI!C$4:AZ$394,18,FALSE)</f>
        <v>1.33</v>
      </c>
      <c r="I638" s="536">
        <f t="shared" ref="I638:I643" si="49">H638*E$204</f>
        <v>1.33</v>
      </c>
      <c r="J638" s="418">
        <f t="shared" ref="J638:J646" si="50">F638/H638</f>
        <v>1.1278195488721805</v>
      </c>
      <c r="K638" s="418" t="s">
        <v>1193</v>
      </c>
      <c r="L638" s="693">
        <f t="shared" ref="L638:L643" si="51">G638*E638</f>
        <v>30</v>
      </c>
      <c r="M638" s="693"/>
      <c r="N638" s="537"/>
      <c r="O638" s="698"/>
      <c r="P638" s="538">
        <f t="shared" ref="P638:P643" si="52">J638-1</f>
        <v>0.1278195488721805</v>
      </c>
      <c r="Q638" s="539" t="str">
        <f t="shared" ref="Q638:Q643" si="53">IF(P638=0,"% or equal in ",IF(F638&lt;H638,"lower than in ","higher than in "))</f>
        <v xml:space="preserve">higher than in </v>
      </c>
      <c r="R638" s="540" t="str">
        <f t="shared" ref="R638:R643" si="54">$R$547</f>
        <v>Dubai</v>
      </c>
      <c r="S638" s="541"/>
      <c r="T638" s="700">
        <f t="shared" ref="T638:T643" si="55">IF(P638=0,98,IF(P638&lt;0,0,1))</f>
        <v>1</v>
      </c>
      <c r="U638" s="542"/>
      <c r="V638" s="543">
        <f t="shared" ref="V638:V643" si="56">IF(E638=0,"X",I638*E638)</f>
        <v>26.6</v>
      </c>
      <c r="W638" s="178" t="str">
        <f>RIGHT(P635,5)</f>
        <v>rates</v>
      </c>
    </row>
    <row r="639" spans="2:23" s="10" customFormat="1" hidden="1">
      <c r="B639" s="87"/>
      <c r="C639" s="362">
        <f t="shared" si="47"/>
        <v>-0.44903581267217629</v>
      </c>
      <c r="D639" s="587" t="str">
        <f>'Full Report'!C43</f>
        <v>Monthly Pass (Regular Price)</v>
      </c>
      <c r="E639" s="544">
        <f>Transportation!J7</f>
        <v>1</v>
      </c>
      <c r="F639" s="535">
        <f>VLOOKUP(Q$127,CPI!C$4:AZ$394,20,FALSE)</f>
        <v>30</v>
      </c>
      <c r="G639" s="311">
        <f t="shared" si="48"/>
        <v>30</v>
      </c>
      <c r="H639" s="535">
        <f>VLOOKUP(I$129,CPI!C$4:AZ$394,20,FALSE)</f>
        <v>54.45</v>
      </c>
      <c r="I639" s="536">
        <f t="shared" si="49"/>
        <v>54.45</v>
      </c>
      <c r="J639" s="418">
        <f t="shared" si="50"/>
        <v>0.55096418732782371</v>
      </c>
      <c r="K639" s="418" t="s">
        <v>1194</v>
      </c>
      <c r="L639" s="693">
        <f t="shared" si="51"/>
        <v>30</v>
      </c>
      <c r="M639" s="693"/>
      <c r="N639" s="537"/>
      <c r="O639" s="698"/>
      <c r="P639" s="538">
        <f t="shared" si="52"/>
        <v>-0.44903581267217629</v>
      </c>
      <c r="Q639" s="539" t="str">
        <f t="shared" si="53"/>
        <v xml:space="preserve">lower than in </v>
      </c>
      <c r="R639" s="540" t="str">
        <f t="shared" si="54"/>
        <v>Dubai</v>
      </c>
      <c r="S639" s="541"/>
      <c r="T639" s="700">
        <f t="shared" si="55"/>
        <v>0</v>
      </c>
      <c r="U639" s="542"/>
      <c r="V639" s="543">
        <f t="shared" si="56"/>
        <v>54.45</v>
      </c>
      <c r="W639" s="186"/>
    </row>
    <row r="640" spans="2:23" s="10" customFormat="1" hidden="1">
      <c r="B640" s="87"/>
      <c r="C640" s="362">
        <f t="shared" si="47"/>
        <v>2.5263157894736845</v>
      </c>
      <c r="D640" s="587" t="str">
        <f>'Full Report'!C44</f>
        <v>Taxi Start (Normal Tariff)</v>
      </c>
      <c r="E640" s="544">
        <f>Transportation!J8</f>
        <v>30</v>
      </c>
      <c r="F640" s="535">
        <f>VLOOKUP(Q$127,CPI!C$4:AZ$394,41,FALSE)</f>
        <v>3.35</v>
      </c>
      <c r="G640" s="311">
        <f t="shared" si="48"/>
        <v>3.35</v>
      </c>
      <c r="H640" s="535">
        <f>VLOOKUP(I$129,CPI!C$4:AZ$394,41,FALSE)</f>
        <v>0.95</v>
      </c>
      <c r="I640" s="536">
        <f t="shared" si="49"/>
        <v>0.95</v>
      </c>
      <c r="J640" s="418">
        <f t="shared" si="50"/>
        <v>3.5263157894736845</v>
      </c>
      <c r="K640" s="418" t="s">
        <v>1195</v>
      </c>
      <c r="L640" s="693">
        <f t="shared" si="51"/>
        <v>100.5</v>
      </c>
      <c r="M640" s="693"/>
      <c r="N640" s="537"/>
      <c r="O640" s="698"/>
      <c r="P640" s="538">
        <f t="shared" si="52"/>
        <v>2.5263157894736845</v>
      </c>
      <c r="Q640" s="539" t="str">
        <f t="shared" si="53"/>
        <v xml:space="preserve">higher than in </v>
      </c>
      <c r="R640" s="540" t="str">
        <f t="shared" si="54"/>
        <v>Dubai</v>
      </c>
      <c r="S640" s="541"/>
      <c r="T640" s="700">
        <f t="shared" si="55"/>
        <v>1</v>
      </c>
      <c r="U640" s="542"/>
      <c r="V640" s="543">
        <f t="shared" si="56"/>
        <v>28.5</v>
      </c>
      <c r="W640" s="186"/>
    </row>
    <row r="641" spans="2:23" s="10" customFormat="1" ht="24" hidden="1" thickBot="1">
      <c r="B641" s="87"/>
      <c r="C641" s="362">
        <f t="shared" si="47"/>
        <v>3.822222222222222</v>
      </c>
      <c r="D641" s="587" t="str">
        <f>'Full Report'!C45</f>
        <v>Taxi 1km (Normal Tariff)</v>
      </c>
      <c r="E641" s="545">
        <f>Transportation!J9</f>
        <v>30.000000100000001</v>
      </c>
      <c r="F641" s="546">
        <f>VLOOKUP(Q$127,CPI!C$4:AZ$394,42,FALSE)</f>
        <v>2.17</v>
      </c>
      <c r="G641" s="547">
        <f t="shared" si="48"/>
        <v>2.17</v>
      </c>
      <c r="H641" s="546">
        <f>VLOOKUP(I$129,CPI!C$4:AZ$394,42,FALSE)</f>
        <v>0.45</v>
      </c>
      <c r="I641" s="548">
        <f t="shared" si="49"/>
        <v>0.45</v>
      </c>
      <c r="J641" s="549">
        <f t="shared" si="50"/>
        <v>4.822222222222222</v>
      </c>
      <c r="K641" s="549" t="s">
        <v>1196</v>
      </c>
      <c r="L641" s="550">
        <f t="shared" si="51"/>
        <v>65.100000217000002</v>
      </c>
      <c r="M641" s="550"/>
      <c r="N641" s="551"/>
      <c r="O641" s="552"/>
      <c r="P641" s="538">
        <f t="shared" si="52"/>
        <v>3.822222222222222</v>
      </c>
      <c r="Q641" s="539" t="str">
        <f t="shared" si="53"/>
        <v xml:space="preserve">higher than in </v>
      </c>
      <c r="R641" s="540" t="str">
        <f t="shared" si="54"/>
        <v>Dubai</v>
      </c>
      <c r="S641" s="553"/>
      <c r="T641" s="554">
        <f t="shared" si="55"/>
        <v>1</v>
      </c>
      <c r="U641" s="555"/>
      <c r="V641" s="759">
        <f t="shared" si="56"/>
        <v>13.500000045</v>
      </c>
      <c r="W641" s="186"/>
    </row>
    <row r="642" spans="2:23" s="10" customFormat="1" hidden="1">
      <c r="B642" s="87"/>
      <c r="C642" s="362">
        <f t="shared" si="47"/>
        <v>3.8959608323133414</v>
      </c>
      <c r="D642" s="587" t="str">
        <f>'Full Report'!C46</f>
        <v>Taxi 1hour Waiting (Normal Tariff)</v>
      </c>
      <c r="E642" s="534">
        <f>Transportation!J10</f>
        <v>0</v>
      </c>
      <c r="F642" s="535">
        <f>VLOOKUP(Q$127,CPI!C$4:AZ$394,43,FALSE)</f>
        <v>40</v>
      </c>
      <c r="G642" s="311">
        <f t="shared" si="48"/>
        <v>40</v>
      </c>
      <c r="H642" s="535">
        <f>VLOOKUP(I$129,CPI!C$4:AZ$394,43,FALSE)</f>
        <v>8.17</v>
      </c>
      <c r="I642" s="536">
        <f t="shared" si="49"/>
        <v>8.17</v>
      </c>
      <c r="J642" s="418">
        <f t="shared" si="50"/>
        <v>4.8959608323133414</v>
      </c>
      <c r="K642" s="418" t="s">
        <v>1197</v>
      </c>
      <c r="L642" s="693">
        <f t="shared" si="51"/>
        <v>0</v>
      </c>
      <c r="M642" s="693"/>
      <c r="N642" s="537"/>
      <c r="O642" s="698"/>
      <c r="P642" s="538">
        <f t="shared" si="52"/>
        <v>3.8959608323133414</v>
      </c>
      <c r="Q642" s="539" t="str">
        <f t="shared" si="53"/>
        <v xml:space="preserve">higher than in </v>
      </c>
      <c r="R642" s="540" t="str">
        <f t="shared" si="54"/>
        <v>Dubai</v>
      </c>
      <c r="S642" s="541"/>
      <c r="T642" s="700">
        <f t="shared" si="55"/>
        <v>1</v>
      </c>
      <c r="U642" s="542"/>
      <c r="V642" s="543" t="str">
        <f t="shared" si="56"/>
        <v>X</v>
      </c>
      <c r="W642" s="186"/>
    </row>
    <row r="643" spans="2:23" s="10" customFormat="1" hidden="1">
      <c r="B643" s="87"/>
      <c r="C643" s="362">
        <f t="shared" si="47"/>
        <v>0.77083333333333326</v>
      </c>
      <c r="D643" s="587" t="str">
        <f>'Full Report'!C47</f>
        <v>Petrol fuel (1 liter)</v>
      </c>
      <c r="E643" s="544">
        <f>Transportation!J11</f>
        <v>22</v>
      </c>
      <c r="F643" s="535">
        <f>VLOOKUP(Q$127,CPI!C$4:AZ$394,21,FALSE)</f>
        <v>0.85</v>
      </c>
      <c r="G643" s="311">
        <f t="shared" si="48"/>
        <v>0.85</v>
      </c>
      <c r="H643" s="535">
        <f>VLOOKUP(I$129,CPI!C$4:AZ$394,21,FALSE)</f>
        <v>0.48</v>
      </c>
      <c r="I643" s="536">
        <f t="shared" si="49"/>
        <v>0.48</v>
      </c>
      <c r="J643" s="418">
        <f t="shared" si="50"/>
        <v>1.7708333333333333</v>
      </c>
      <c r="K643" s="418" t="s">
        <v>405</v>
      </c>
      <c r="L643" s="693">
        <f t="shared" si="51"/>
        <v>18.7</v>
      </c>
      <c r="M643" s="693"/>
      <c r="N643" s="537"/>
      <c r="O643" s="698"/>
      <c r="P643" s="538">
        <f t="shared" si="52"/>
        <v>0.77083333333333326</v>
      </c>
      <c r="Q643" s="539" t="str">
        <f t="shared" si="53"/>
        <v xml:space="preserve">higher than in </v>
      </c>
      <c r="R643" s="540" t="str">
        <f t="shared" si="54"/>
        <v>Dubai</v>
      </c>
      <c r="S643" s="541"/>
      <c r="T643" s="700">
        <f t="shared" si="55"/>
        <v>1</v>
      </c>
      <c r="U643" s="542"/>
      <c r="V643" s="543">
        <f t="shared" si="56"/>
        <v>10.559999999999999</v>
      </c>
      <c r="W643" s="186"/>
    </row>
    <row r="644" spans="2:23" s="10" customFormat="1" ht="24" hidden="1" thickBot="1">
      <c r="B644" s="87"/>
      <c r="C644" s="362"/>
      <c r="D644" s="690"/>
      <c r="E644" s="544"/>
      <c r="F644" s="693">
        <v>0</v>
      </c>
      <c r="G644" s="311">
        <f>SUM(G638:G643)</f>
        <v>77.87</v>
      </c>
      <c r="H644" s="691">
        <f>SUM(H638:H643)</f>
        <v>65.830000000000013</v>
      </c>
      <c r="I644" s="693"/>
      <c r="J644" s="694"/>
      <c r="K644" s="690"/>
      <c r="L644" s="559">
        <f>SUM(L638:L643)</f>
        <v>244.30000021699999</v>
      </c>
      <c r="M644" s="694"/>
      <c r="N644" s="694"/>
      <c r="O644" s="694"/>
      <c r="P644" s="695"/>
      <c r="Q644" s="605"/>
      <c r="R644" s="697"/>
      <c r="S644" s="690"/>
      <c r="T644" s="700"/>
      <c r="U644" s="699"/>
      <c r="V644" s="660">
        <f>SUM(V638:V643)</f>
        <v>133.61000004500002</v>
      </c>
      <c r="W644" s="265">
        <f>L644/V644</f>
        <v>1.8284559549039701</v>
      </c>
    </row>
    <row r="645" spans="2:23" s="10" customFormat="1" ht="24" hidden="1" thickTop="1">
      <c r="B645" s="87"/>
      <c r="C645" s="362"/>
      <c r="D645" s="690"/>
      <c r="E645" s="544"/>
      <c r="F645" s="693"/>
      <c r="G645" s="760"/>
      <c r="H645" s="693"/>
      <c r="I645" s="693"/>
      <c r="J645" s="694"/>
      <c r="K645" s="690"/>
      <c r="L645" s="694"/>
      <c r="M645" s="694"/>
      <c r="N645" s="694"/>
      <c r="O645" s="694"/>
      <c r="P645" s="695"/>
      <c r="Q645" s="605"/>
      <c r="R645" s="697"/>
      <c r="S645" s="690"/>
      <c r="T645" s="700"/>
      <c r="U645" s="699"/>
      <c r="V645" s="699"/>
      <c r="W645" s="186"/>
    </row>
    <row r="646" spans="2:23" s="10" customFormat="1" hidden="1">
      <c r="B646" s="87"/>
      <c r="C646" s="178" t="s">
        <v>0</v>
      </c>
      <c r="D646" s="690"/>
      <c r="E646" s="690"/>
      <c r="F646" s="691">
        <f>SUM(F638:F643)</f>
        <v>77.87</v>
      </c>
      <c r="G646" s="556">
        <f>SUM(G638:G643)</f>
        <v>77.87</v>
      </c>
      <c r="H646" s="691">
        <f>SUM(H638:H643)</f>
        <v>65.830000000000013</v>
      </c>
      <c r="I646" s="557">
        <f>SUM(I638:I643)</f>
        <v>65.830000000000013</v>
      </c>
      <c r="J646" s="558">
        <f t="shared" si="50"/>
        <v>1.1828953364727326</v>
      </c>
      <c r="K646" s="694">
        <f>G646/I646</f>
        <v>1.1828953364727326</v>
      </c>
      <c r="L646" s="694"/>
      <c r="M646" s="694"/>
      <c r="N646" s="694"/>
      <c r="O646" s="694"/>
      <c r="P646" s="761">
        <f>J646-1</f>
        <v>0.18289533647273259</v>
      </c>
      <c r="Q646" s="762" t="str">
        <f>IF(P646=0,"% or equal in ",IF(F646&lt;H646,"lower than in ","higher than in "))</f>
        <v xml:space="preserve">higher than in </v>
      </c>
      <c r="R646" s="697"/>
      <c r="S646" s="698"/>
      <c r="T646" s="564">
        <f>SUM(T638:T645)</f>
        <v>5</v>
      </c>
      <c r="U646" s="699"/>
      <c r="V646" s="699"/>
      <c r="W646" s="186"/>
    </row>
    <row r="647" spans="2:23" s="10" customFormat="1" hidden="1">
      <c r="B647" s="87"/>
      <c r="C647" s="178" t="s">
        <v>0</v>
      </c>
      <c r="D647" s="405" t="s">
        <v>1166</v>
      </c>
      <c r="E647" s="563" t="s">
        <v>0</v>
      </c>
      <c r="F647" s="691"/>
      <c r="G647" s="692"/>
      <c r="H647" s="691"/>
      <c r="I647" s="690"/>
      <c r="J647" s="694"/>
      <c r="K647" s="694"/>
      <c r="L647" s="694"/>
      <c r="M647" s="694"/>
      <c r="N647" s="694"/>
      <c r="O647" s="694"/>
      <c r="P647" s="695">
        <f>ABS(P646)</f>
        <v>0.18289533647273259</v>
      </c>
      <c r="Q647" s="696"/>
      <c r="R647" s="697"/>
      <c r="S647" s="698"/>
      <c r="T647" s="564">
        <f>T646</f>
        <v>5</v>
      </c>
      <c r="U647" s="699"/>
      <c r="V647" s="699"/>
      <c r="W647" s="186"/>
    </row>
    <row r="648" spans="2:23" s="10" customFormat="1" hidden="1">
      <c r="B648" s="87"/>
      <c r="C648" s="178">
        <v>1</v>
      </c>
      <c r="D648" s="690" t="s">
        <v>1212</v>
      </c>
      <c r="E648" s="690"/>
      <c r="F648" s="565"/>
      <c r="G648" s="511">
        <f>P647</f>
        <v>0.18289533647273259</v>
      </c>
      <c r="H648" s="566" t="str">
        <f>Q646</f>
        <v xml:space="preserve">higher than in </v>
      </c>
      <c r="I648" s="691" t="str">
        <f>P635</f>
        <v>Dubai, United Arab Emirates</v>
      </c>
      <c r="J648" s="266" t="str">
        <f>IF(P646&gt;0," As shown in the graph below, ",IF(K648=" All items under this category have lower price than in ","Therefore, as shown in the graph below,","However, as shown in the graph below,"))</f>
        <v xml:space="preserve"> As shown in the graph below, </v>
      </c>
      <c r="K648" s="567" t="str">
        <f>IF(T646&gt;16,K650,IF(T646=0,K651,K649))</f>
        <v xml:space="preserve">5 out of 6 items under this category are higher than in </v>
      </c>
      <c r="L648" s="567"/>
      <c r="M648" s="567"/>
      <c r="N648" s="567"/>
      <c r="O648" s="567"/>
      <c r="P648" s="568"/>
      <c r="Q648" s="569"/>
      <c r="R648" s="697"/>
      <c r="S648" s="698"/>
      <c r="T648" s="700"/>
      <c r="U648" s="699"/>
      <c r="V648" s="699"/>
      <c r="W648" s="186"/>
    </row>
    <row r="649" spans="2:23" s="10" customFormat="1" hidden="1">
      <c r="B649" s="87"/>
      <c r="C649" s="178"/>
      <c r="D649" s="690" t="str">
        <f>IF(T646=6,"Obviously, on average it is more",IF(T646=0,"Definitely, on average it is more","It appears that at first glance, on average it is more"))</f>
        <v>It appears that at first glance, on average it is more</v>
      </c>
      <c r="E649" s="690" t="str">
        <f>IF(P646&lt;0," cheaper to spend money on transportation in "," expensive to spend money on transportation in ")</f>
        <v xml:space="preserve"> expensive to spend money on transportation in </v>
      </c>
      <c r="F649" s="565"/>
      <c r="G649" s="699"/>
      <c r="H649" s="570" t="str">
        <f>G637</f>
        <v>Tucson</v>
      </c>
      <c r="I649" s="691"/>
      <c r="J649" s="266"/>
      <c r="K649" s="571" t="str">
        <f>T647&amp;" out of 6 items under this category "&amp;K652&amp;" higher than in "</f>
        <v xml:space="preserve">5 out of 6 items under this category are higher than in </v>
      </c>
      <c r="L649" s="571"/>
      <c r="M649" s="571"/>
      <c r="N649" s="571"/>
      <c r="O649" s="571"/>
      <c r="P649" s="568"/>
      <c r="Q649" s="569"/>
      <c r="R649" s="697"/>
      <c r="S649" s="698"/>
      <c r="T649" s="700"/>
      <c r="U649" s="699"/>
      <c r="V649" s="699"/>
      <c r="W649" s="186"/>
    </row>
    <row r="650" spans="2:23" s="10" customFormat="1" hidden="1">
      <c r="B650" s="87"/>
      <c r="C650" s="178">
        <v>2</v>
      </c>
      <c r="D650" s="675" t="str">
        <f>VLOOKUP(W635,C638:D645,2,FALSE)</f>
        <v>Taxi 1hour Waiting (Normal Tariff)</v>
      </c>
      <c r="E650" s="572"/>
      <c r="F650" s="675" t="s">
        <v>1169</v>
      </c>
      <c r="G650" s="678"/>
      <c r="H650" s="677"/>
      <c r="I650" s="573" t="str">
        <f>I648</f>
        <v>Dubai, United Arab Emirates</v>
      </c>
      <c r="J650" s="679"/>
      <c r="K650" s="571" t="str">
        <f>FIXED(T647/100,0)&amp;" out of 6 items under this category have equal price as in "</f>
        <v xml:space="preserve">0 out of 6 items under this category have equal price as in </v>
      </c>
      <c r="L650" s="571"/>
      <c r="M650" s="571"/>
      <c r="N650" s="571"/>
      <c r="O650" s="571"/>
      <c r="P650" s="574"/>
      <c r="Q650" s="575"/>
      <c r="R650" s="682"/>
      <c r="S650" s="683"/>
      <c r="T650" s="576"/>
      <c r="U650" s="699"/>
      <c r="V650" s="699"/>
      <c r="W650" s="186"/>
    </row>
    <row r="651" spans="2:23" s="10" customFormat="1" hidden="1">
      <c r="B651" s="87"/>
      <c r="C651" s="178"/>
      <c r="D651" s="675" t="s">
        <v>1174</v>
      </c>
      <c r="E651" s="679">
        <f>VLOOKUP(W635,C638:D645,1,FALSE)</f>
        <v>3.8959608323133414</v>
      </c>
      <c r="F651" s="675" t="s">
        <v>1171</v>
      </c>
      <c r="G651" s="678"/>
      <c r="H651" s="677" t="str">
        <f>C637</f>
        <v>Tucson</v>
      </c>
      <c r="I651" s="573"/>
      <c r="J651" s="679"/>
      <c r="K651" s="571" t="str">
        <f>" All items under this category have lower price than in "</f>
        <v xml:space="preserve"> All items under this category have lower price than in </v>
      </c>
      <c r="L651" s="571"/>
      <c r="M651" s="571"/>
      <c r="N651" s="571"/>
      <c r="O651" s="571"/>
      <c r="P651" s="680"/>
      <c r="Q651" s="577"/>
      <c r="R651" s="682"/>
      <c r="S651" s="683"/>
      <c r="T651" s="576"/>
      <c r="U651" s="699"/>
      <c r="V651" s="699"/>
      <c r="W651" s="186"/>
    </row>
    <row r="652" spans="2:23" s="10" customFormat="1" ht="23.25" hidden="1" customHeight="1">
      <c r="B652" s="87"/>
      <c r="C652" s="178">
        <v>3</v>
      </c>
      <c r="D652" s="675" t="str">
        <f>VLOOKUP(Q635,C638:D645,2,FALSE)</f>
        <v>Monthly Pass (Regular Price)</v>
      </c>
      <c r="E652" s="578"/>
      <c r="F652" s="675" t="s">
        <v>1170</v>
      </c>
      <c r="G652" s="678"/>
      <c r="H652" s="677"/>
      <c r="I652" s="579" t="str">
        <f>P635</f>
        <v>Dubai, United Arab Emirates</v>
      </c>
      <c r="J652" s="679"/>
      <c r="K652" s="578" t="str">
        <f>IF(T647&gt;1,"are","is")</f>
        <v>are</v>
      </c>
      <c r="L652" s="578"/>
      <c r="M652" s="578"/>
      <c r="N652" s="578"/>
      <c r="O652" s="578"/>
      <c r="P652" s="680"/>
      <c r="Q652" s="681"/>
      <c r="R652" s="682"/>
      <c r="S652" s="683"/>
      <c r="T652" s="576"/>
      <c r="U652" s="699"/>
      <c r="V652" s="699"/>
      <c r="W652" s="186"/>
    </row>
    <row r="653" spans="2:23" s="10" customFormat="1" ht="23.25" hidden="1" customHeight="1">
      <c r="B653" s="87"/>
      <c r="C653" s="178"/>
      <c r="D653" s="675" t="s">
        <v>1174</v>
      </c>
      <c r="E653" s="679">
        <f>VLOOKUP(Q635,C638:D645,1,FALSE)</f>
        <v>-0.44903581267217629</v>
      </c>
      <c r="F653" s="675" t="str">
        <f>Q643</f>
        <v xml:space="preserve">higher than in </v>
      </c>
      <c r="G653" s="678"/>
      <c r="H653" s="677" t="str">
        <f>I652</f>
        <v>Dubai, United Arab Emirates</v>
      </c>
      <c r="I653" s="675"/>
      <c r="J653" s="679">
        <f>ABS(E653)</f>
        <v>0.44903581267217629</v>
      </c>
      <c r="K653" s="679"/>
      <c r="L653" s="679"/>
      <c r="M653" s="679"/>
      <c r="N653" s="679"/>
      <c r="O653" s="679"/>
      <c r="P653" s="680"/>
      <c r="Q653" s="681"/>
      <c r="R653" s="682"/>
      <c r="S653" s="683"/>
      <c r="T653" s="576"/>
      <c r="U653" s="699"/>
      <c r="V653" s="699"/>
      <c r="W653" s="186"/>
    </row>
    <row r="654" spans="2:23" s="10" customFormat="1" ht="23.25" hidden="1" customHeight="1">
      <c r="B654" s="87"/>
      <c r="C654" s="178"/>
      <c r="D654" s="580" t="str">
        <f>J648&amp;K648&amp;R645&amp;P635&amp;". "&amp;D650&amp;" in "&amp;H651&amp;F650&amp;I650&amp;D651&amp;FIXED(E651*100)&amp;F651&amp;H651&amp;"."</f>
        <v xml:space="preserve"> As shown in the graph below, 5 out of 6 items under this category are higher than in Dubai, United Arab Emirates. Taxi 1hour Waiting (Normal Tariff) in Tucson is the most expensive item in comparison to Dubai, United Arab Emirates. Its cost is 389.60 % more expensive in Tucson.</v>
      </c>
      <c r="E654" s="675"/>
      <c r="F654" s="677"/>
      <c r="G654" s="678"/>
      <c r="H654" s="677"/>
      <c r="I654" s="675"/>
      <c r="J654" s="679"/>
      <c r="K654" s="679"/>
      <c r="L654" s="679"/>
      <c r="M654" s="679"/>
      <c r="N654" s="679"/>
      <c r="O654" s="679"/>
      <c r="P654" s="680"/>
      <c r="Q654" s="681"/>
      <c r="R654" s="682"/>
      <c r="S654" s="683"/>
      <c r="T654" s="576"/>
      <c r="U654" s="699"/>
      <c r="V654" s="699"/>
      <c r="W654" s="186"/>
    </row>
    <row r="655" spans="2:23" s="10" customFormat="1" ht="23.25" hidden="1" customHeight="1">
      <c r="B655" s="87"/>
      <c r="C655" s="178"/>
      <c r="D655" s="675" t="str">
        <f>K648&amp;V635&amp;". "&amp;D652&amp;F652&amp;R645&amp;H653&amp;D653&amp;FIXED(J653*100)&amp;"% "&amp;F653&amp;H653&amp;"."</f>
        <v>5 out of 6 items under this category are higher than in Dubai. Monthly Pass (Regular Price) is the cheapest item in comparison to Dubai, United Arab Emirates. Its cost is 44.90% higher than in Dubai, United Arab Emirates.</v>
      </c>
      <c r="E655" s="676"/>
      <c r="F655" s="677"/>
      <c r="G655" s="678"/>
      <c r="H655" s="677"/>
      <c r="I655" s="675"/>
      <c r="J655" s="679"/>
      <c r="K655" s="679"/>
      <c r="L655" s="679"/>
      <c r="M655" s="679"/>
      <c r="N655" s="679"/>
      <c r="O655" s="679"/>
      <c r="P655" s="680"/>
      <c r="Q655" s="681"/>
      <c r="R655" s="682"/>
      <c r="S655" s="683"/>
      <c r="T655" s="576"/>
      <c r="U655" s="699"/>
      <c r="V655" s="699"/>
      <c r="W655" s="186"/>
    </row>
    <row r="656" spans="2:23" s="10" customFormat="1" ht="23.25" hidden="1" customHeight="1">
      <c r="B656" s="87"/>
      <c r="C656" s="178"/>
      <c r="D656" s="675" t="s">
        <v>1173</v>
      </c>
      <c r="E656" s="676"/>
      <c r="F656" s="677"/>
      <c r="G656" s="678"/>
      <c r="H656" s="677"/>
      <c r="I656" s="675"/>
      <c r="J656" s="679"/>
      <c r="K656" s="679"/>
      <c r="L656" s="679"/>
      <c r="M656" s="679"/>
      <c r="N656" s="679"/>
      <c r="O656" s="679"/>
      <c r="P656" s="680"/>
      <c r="Q656" s="681"/>
      <c r="R656" s="682"/>
      <c r="S656" s="683"/>
      <c r="T656" s="576"/>
      <c r="U656" s="699"/>
      <c r="V656" s="699"/>
      <c r="W656" s="186"/>
    </row>
    <row r="657" spans="2:23" s="10" customFormat="1" ht="23.25" hidden="1" customHeight="1">
      <c r="B657" s="87"/>
      <c r="C657" s="178"/>
      <c r="D657" s="675"/>
      <c r="E657" s="676"/>
      <c r="F657" s="677"/>
      <c r="G657" s="678"/>
      <c r="H657" s="677"/>
      <c r="I657" s="675"/>
      <c r="J657" s="679"/>
      <c r="K657" s="679"/>
      <c r="L657" s="679"/>
      <c r="M657" s="679"/>
      <c r="N657" s="679"/>
      <c r="O657" s="679"/>
      <c r="P657" s="680"/>
      <c r="Q657" s="681"/>
      <c r="R657" s="682"/>
      <c r="S657" s="683"/>
      <c r="T657" s="576"/>
      <c r="U657" s="699"/>
      <c r="V657" s="699"/>
      <c r="W657" s="186"/>
    </row>
    <row r="658" spans="2:23" s="10" customFormat="1" ht="51" hidden="1" customHeight="1">
      <c r="B658" s="87"/>
      <c r="C658" s="178"/>
      <c r="D658" s="979" t="str">
        <f>D648&amp;D635&amp;" is "&amp;FIXED(G648*100)&amp;"% "&amp;H648&amp;I648&amp;". "&amp;D649&amp;E649&amp;H649&amp;". "</f>
        <v xml:space="preserve">Overall, based on 6 items in the transportation category, the cost of transportation in Tucson, AZ, United States is 18.29% higher than in Dubai, United Arab Emirates. It appears that at first glance, on average it is more expensive to spend money on transportation in Tucson. </v>
      </c>
      <c r="E658" s="979"/>
      <c r="F658" s="979"/>
      <c r="G658" s="979"/>
      <c r="H658" s="979"/>
      <c r="I658" s="979"/>
      <c r="J658" s="979"/>
      <c r="K658" s="979"/>
      <c r="L658" s="979"/>
      <c r="M658" s="979"/>
      <c r="N658" s="979"/>
      <c r="O658" s="979"/>
      <c r="P658" s="979"/>
      <c r="Q658" s="979"/>
      <c r="R658" s="979"/>
      <c r="S658" s="979"/>
      <c r="T658" s="576"/>
      <c r="U658" s="699"/>
      <c r="V658" s="699"/>
      <c r="W658" s="186"/>
    </row>
    <row r="659" spans="2:23" s="10" customFormat="1" ht="52.5" hidden="1" customHeight="1">
      <c r="B659" s="87"/>
      <c r="C659" s="178"/>
      <c r="D659" s="979" t="str">
        <f>IF(W635&lt;0,D655,IF(W635=0,D655,D654))</f>
        <v xml:space="preserve"> As shown in the graph below, 5 out of 6 items under this category are higher than in Dubai, United Arab Emirates. Taxi 1hour Waiting (Normal Tariff) in Tucson is the most expensive item in comparison to Dubai, United Arab Emirates. Its cost is 389.60 % more expensive in Tucson.</v>
      </c>
      <c r="E659" s="979"/>
      <c r="F659" s="979"/>
      <c r="G659" s="979"/>
      <c r="H659" s="979"/>
      <c r="I659" s="979"/>
      <c r="J659" s="979"/>
      <c r="K659" s="979"/>
      <c r="L659" s="979"/>
      <c r="M659" s="979"/>
      <c r="N659" s="979"/>
      <c r="O659" s="979"/>
      <c r="P659" s="979"/>
      <c r="Q659" s="979"/>
      <c r="R659" s="979"/>
      <c r="S659" s="979"/>
      <c r="T659" s="576"/>
      <c r="U659" s="699"/>
      <c r="V659" s="699"/>
      <c r="W659" s="186"/>
    </row>
    <row r="660" spans="2:23" s="10" customFormat="1" ht="23.25" hidden="1" customHeight="1">
      <c r="B660" s="87"/>
      <c r="C660" s="178"/>
      <c r="D660" s="686" t="str">
        <f>"Your monthly expenses on transportation are selected from "&amp;V660&amp;" out of 6 items. Your cost of transportation index (percentage ratio) is calculated based on these spending pattern over a month according to your usage. "</f>
        <v xml:space="preserve">Your monthly expenses on transportation are selected from 5 out of 6 items. Your cost of transportation index (percentage ratio) is calculated based on these spending pattern over a month according to your usage. </v>
      </c>
      <c r="E660" s="674"/>
      <c r="F660" s="674"/>
      <c r="G660" s="674"/>
      <c r="H660" s="674"/>
      <c r="I660" s="674"/>
      <c r="J660" s="674"/>
      <c r="K660" s="674"/>
      <c r="L660" s="684"/>
      <c r="M660" s="684"/>
      <c r="N660" s="684"/>
      <c r="O660" s="684"/>
      <c r="P660" s="684"/>
      <c r="Q660" s="684"/>
      <c r="R660" s="687"/>
      <c r="S660" s="684"/>
      <c r="T660" s="576"/>
      <c r="U660" s="464"/>
      <c r="V660" s="464">
        <f>COUNT(V638:V643)</f>
        <v>5</v>
      </c>
      <c r="W660" s="318">
        <f>W644-1</f>
        <v>0.82845595490397006</v>
      </c>
    </row>
    <row r="661" spans="2:23" s="10" customFormat="1" ht="31.5" hidden="1" customHeight="1">
      <c r="B661" s="87"/>
      <c r="C661" s="178"/>
      <c r="D661" s="686" t="s">
        <v>1249</v>
      </c>
      <c r="E661" s="674"/>
      <c r="F661" s="674"/>
      <c r="G661" s="674"/>
      <c r="H661" s="674"/>
      <c r="I661" s="674">
        <f>ABS(W660)*100</f>
        <v>82.845595490397002</v>
      </c>
      <c r="J661" s="674" t="str">
        <f>IF(W660&lt;0,"% lower in ","% higher in ")</f>
        <v xml:space="preserve">% higher in </v>
      </c>
      <c r="K661" s="584" t="str">
        <f>G637</f>
        <v>Tucson</v>
      </c>
      <c r="L661" s="684" t="s">
        <v>1203</v>
      </c>
      <c r="M661" s="684" t="str">
        <f>R638</f>
        <v>Dubai</v>
      </c>
      <c r="N661" s="684"/>
      <c r="O661" s="684"/>
      <c r="P661" s="684"/>
      <c r="Q661" s="684"/>
      <c r="R661" s="687"/>
      <c r="S661" s="684"/>
      <c r="T661" s="576"/>
      <c r="U661" s="464"/>
      <c r="V661" s="464"/>
      <c r="W661" s="318"/>
    </row>
    <row r="662" spans="2:23" s="10" customFormat="1" ht="32.25" hidden="1" customHeight="1">
      <c r="B662" s="87"/>
      <c r="C662" s="178"/>
      <c r="D662" s="686" t="str">
        <f>IF(P555&lt;0,"In conclusion, ","In other words, ")</f>
        <v xml:space="preserve">In other words, </v>
      </c>
      <c r="E662" s="674"/>
      <c r="F662" s="674" t="str">
        <f>IF(W660&lt;0," you need to spend more in "," you spend less in ")</f>
        <v xml:space="preserve"> you spend less in </v>
      </c>
      <c r="G662" s="674" t="str">
        <f>M661</f>
        <v>Dubai</v>
      </c>
      <c r="H662" s="674" t="s">
        <v>1217</v>
      </c>
      <c r="I662" s="674"/>
      <c r="J662" s="674"/>
      <c r="K662" s="584" t="str">
        <f>G637</f>
        <v>Tucson</v>
      </c>
      <c r="L662" s="684"/>
      <c r="M662" s="684"/>
      <c r="N662" s="684"/>
      <c r="O662" s="684"/>
      <c r="P662" s="684"/>
      <c r="Q662" s="684"/>
      <c r="R662" s="687"/>
      <c r="S662" s="684"/>
      <c r="T662" s="576"/>
      <c r="U662" s="464"/>
      <c r="V662" s="464"/>
      <c r="W662" s="318"/>
    </row>
    <row r="663" spans="2:23" s="10" customFormat="1" ht="41.25" hidden="1" customHeight="1">
      <c r="B663" s="87"/>
      <c r="C663" s="178"/>
      <c r="D663" s="686" t="s">
        <v>1225</v>
      </c>
      <c r="E663" s="674" t="s">
        <v>0</v>
      </c>
      <c r="F663" s="674"/>
      <c r="G663" s="674">
        <f>V660</f>
        <v>5</v>
      </c>
      <c r="H663" s="674" t="s">
        <v>1209</v>
      </c>
      <c r="I663" s="674"/>
      <c r="J663" s="606">
        <f>V644</f>
        <v>133.61000004500002</v>
      </c>
      <c r="K663" s="674" t="str">
        <f>M661</f>
        <v>Dubai</v>
      </c>
      <c r="L663" s="684" t="s">
        <v>1206</v>
      </c>
      <c r="M663" s="684" t="str">
        <f>K662</f>
        <v>Tucson</v>
      </c>
      <c r="N663" s="684" t="s">
        <v>1218</v>
      </c>
      <c r="O663" s="583">
        <f>L644</f>
        <v>244.30000021699999</v>
      </c>
      <c r="P663" s="684"/>
      <c r="Q663" s="684"/>
      <c r="R663" s="687"/>
      <c r="S663" s="684"/>
      <c r="T663" s="576"/>
      <c r="U663" s="464"/>
      <c r="V663" s="464"/>
      <c r="W663" s="318"/>
    </row>
    <row r="664" spans="2:23" s="10" customFormat="1" ht="23.25" hidden="1" customHeight="1">
      <c r="B664" s="87"/>
      <c r="C664" s="178"/>
      <c r="D664" s="686"/>
      <c r="E664" s="674"/>
      <c r="F664" s="674"/>
      <c r="G664" s="674"/>
      <c r="H664" s="674"/>
      <c r="I664" s="674"/>
      <c r="J664" s="674"/>
      <c r="K664" s="674"/>
      <c r="L664" s="684"/>
      <c r="M664" s="684"/>
      <c r="N664" s="684"/>
      <c r="O664" s="684"/>
      <c r="P664" s="684"/>
      <c r="Q664" s="684"/>
      <c r="R664" s="687"/>
      <c r="S664" s="684"/>
      <c r="T664" s="576"/>
      <c r="U664" s="464"/>
      <c r="V664" s="464"/>
      <c r="W664" s="318"/>
    </row>
    <row r="665" spans="2:23" s="10" customFormat="1" ht="47.25" hidden="1" customHeight="1">
      <c r="B665" s="87"/>
      <c r="C665" s="178"/>
      <c r="D665" s="969" t="str">
        <f>D660&amp;D661&amp;" "&amp;FIXED(I661,2)&amp;" "&amp;J661&amp;K661&amp;L661&amp;M661&amp;"."</f>
        <v>Your monthly expenses on transportation are selected from 5 out of 6 items. Your cost of transportation index (percentage ratio) is calculated based on these spending pattern over a month according to your usage. Therefore, based on this item preferences, your personal spending on transportation is 82.85 % higher in Tucson in comparison to Dubai.</v>
      </c>
      <c r="E665" s="969"/>
      <c r="F665" s="969"/>
      <c r="G665" s="969"/>
      <c r="H665" s="969"/>
      <c r="I665" s="969"/>
      <c r="J665" s="969"/>
      <c r="K665" s="969"/>
      <c r="L665" s="969"/>
      <c r="M665" s="969"/>
      <c r="N665" s="969"/>
      <c r="O665" s="969"/>
      <c r="P665" s="969"/>
      <c r="Q665" s="969"/>
      <c r="R665" s="969"/>
      <c r="S665" s="684"/>
      <c r="T665" s="683"/>
      <c r="U665" s="464"/>
      <c r="V665" s="464"/>
      <c r="W665" s="186"/>
    </row>
    <row r="666" spans="2:23" s="10" customFormat="1" ht="49.5" hidden="1" customHeight="1">
      <c r="B666" s="87"/>
      <c r="C666" s="178"/>
      <c r="D666" s="967" t="str">
        <f>D662&amp;F662&amp;G662&amp;H662&amp;I662&amp;J662&amp;K662&amp;D663&amp;G663&amp;H663&amp;" "&amp;Info!J8&amp;FIXED(J663,2)&amp;" in "&amp;K663&amp;" "&amp;L663&amp;M663&amp;N663&amp;" "&amp;Info!J8&amp;FIXED(O663,2)&amp;"."</f>
        <v>In other words,  you spend less in Dubai in order to utilize these same services you paid in Tucson. Therefore, using the same 5 items in this category, you need to pay an amount of  USD133.61 in Dubai  while in Tucson you need to pay approximately around USD244.30.</v>
      </c>
      <c r="E666" s="967"/>
      <c r="F666" s="967"/>
      <c r="G666" s="967"/>
      <c r="H666" s="967"/>
      <c r="I666" s="967"/>
      <c r="J666" s="967"/>
      <c r="K666" s="967"/>
      <c r="L666" s="967"/>
      <c r="M666" s="688"/>
      <c r="N666" s="688"/>
      <c r="O666" s="688"/>
      <c r="P666" s="688"/>
      <c r="Q666" s="688"/>
      <c r="R666" s="461"/>
      <c r="S666" s="684"/>
      <c r="T666" s="683"/>
      <c r="U666" s="464"/>
      <c r="V666" s="464"/>
      <c r="W666" s="186"/>
    </row>
    <row r="667" spans="2:23" s="10" customFormat="1" ht="15" hidden="1" customHeight="1">
      <c r="B667" s="87"/>
      <c r="C667" s="178"/>
      <c r="D667" s="688"/>
      <c r="E667" s="688"/>
      <c r="F667" s="688"/>
      <c r="G667" s="688"/>
      <c r="H667" s="688"/>
      <c r="I667" s="688"/>
      <c r="J667" s="688"/>
      <c r="K667" s="688"/>
      <c r="L667" s="688"/>
      <c r="M667" s="688"/>
      <c r="N667" s="688"/>
      <c r="O667" s="688"/>
      <c r="P667" s="688"/>
      <c r="Q667" s="688"/>
      <c r="R667" s="461"/>
      <c r="S667" s="684"/>
      <c r="T667" s="683"/>
      <c r="U667" s="464"/>
      <c r="V667" s="464"/>
      <c r="W667" s="186"/>
    </row>
    <row r="668" spans="2:23" s="10" customFormat="1" ht="21.75" hidden="1" customHeight="1">
      <c r="B668" s="87"/>
      <c r="C668" s="178"/>
      <c r="D668" s="176" t="str">
        <f>"Personal Cost of Utilities is "&amp;IF(P143&gt;0,"cheaper in ","more expensive in ")&amp;R515</f>
        <v>Personal Cost of Utilities is more expensive in Dubai</v>
      </c>
      <c r="E668" s="179"/>
      <c r="F668" s="179"/>
      <c r="G668" s="179"/>
      <c r="H668" s="179"/>
      <c r="I668" s="179"/>
      <c r="J668" s="179"/>
      <c r="K668" s="179"/>
      <c r="L668" s="179"/>
      <c r="M668" s="179"/>
      <c r="N668" s="179"/>
      <c r="O668" s="179"/>
      <c r="P668" s="179"/>
      <c r="Q668" s="179"/>
      <c r="R668" s="179"/>
      <c r="S668" s="179"/>
      <c r="T668" s="698"/>
      <c r="U668" s="698"/>
      <c r="V668" s="698"/>
      <c r="W668" s="186"/>
    </row>
    <row r="669" spans="2:23" s="10" customFormat="1" ht="72" hidden="1" customHeight="1">
      <c r="B669" s="87"/>
      <c r="C669" s="178"/>
      <c r="D669" s="954" t="str">
        <f>IF(V692=0,"You are not using anything under this category. None is selected.",IF(T679=294,D688,D697))</f>
        <v>Your personal expenditure on utilities are selected from 3 out of 3 items. Your cost of utilities index (percentage ratio) is calculated based on these spending pattern over a month and its usage. Therefore, based on this item preferences, your personal spending on utilities is 0.77 % lower in Tucson in comparison to Dubai.</v>
      </c>
      <c r="E669" s="954"/>
      <c r="F669" s="954"/>
      <c r="G669" s="954"/>
      <c r="H669" s="954"/>
      <c r="I669" s="954"/>
      <c r="J669" s="954"/>
      <c r="K669" s="954"/>
      <c r="L669" s="954"/>
      <c r="M669" s="954"/>
      <c r="N669" s="954"/>
      <c r="O669" s="954"/>
      <c r="P669" s="954"/>
      <c r="Q669" s="954"/>
      <c r="R669" s="954"/>
      <c r="S669" s="954"/>
      <c r="T669" s="954"/>
      <c r="U669" s="954"/>
      <c r="V669" s="954"/>
      <c r="W669" s="186"/>
    </row>
    <row r="670" spans="2:23" s="10" customFormat="1" ht="48.75" hidden="1" customHeight="1">
      <c r="B670" s="87"/>
      <c r="C670" s="178"/>
      <c r="D670" s="954" t="str">
        <f>IF(V692=0,"You are not using anything under this category. None is selected.",IF(T679=294,D688,D698))</f>
        <v>In conclusion,  you need to spend more in Dubai in order to utilise these same items you paid in Tucson. Hence, consuming the same 3 items in this category, you need to pay an amount of  USD222.00 in Tucson  while in Dubai you need to pay approximately around USD223.73.</v>
      </c>
      <c r="E670" s="954"/>
      <c r="F670" s="954"/>
      <c r="G670" s="954"/>
      <c r="H670" s="954"/>
      <c r="I670" s="954"/>
      <c r="J670" s="954"/>
      <c r="K670" s="954"/>
      <c r="L670" s="954"/>
      <c r="M670" s="954"/>
      <c r="N670" s="954"/>
      <c r="O670" s="954"/>
      <c r="P670" s="954"/>
      <c r="Q670" s="954"/>
      <c r="R670" s="954"/>
      <c r="S670" s="954"/>
      <c r="T670" s="954"/>
      <c r="U670" s="954"/>
      <c r="V670" s="954"/>
      <c r="W670" s="186"/>
    </row>
    <row r="671" spans="2:23" s="10" customFormat="1" hidden="1">
      <c r="B671" s="87"/>
      <c r="C671" s="178"/>
      <c r="D671" s="699"/>
      <c r="E671" s="181"/>
      <c r="F671" s="698"/>
      <c r="G671" s="698"/>
      <c r="H671" s="693"/>
      <c r="I671" s="515" t="str">
        <f>$I$129</f>
        <v>Dubai, United Arab Emirates</v>
      </c>
      <c r="J671" s="698"/>
      <c r="K671" s="698"/>
      <c r="L671" s="215" t="str">
        <f>V673</f>
        <v>rates</v>
      </c>
      <c r="M671" s="215"/>
      <c r="N671" s="215"/>
      <c r="O671" s="215"/>
      <c r="P671" s="699"/>
      <c r="Q671" s="516" t="s">
        <v>0</v>
      </c>
      <c r="R671" s="697"/>
      <c r="S671" s="698"/>
      <c r="T671" s="700"/>
      <c r="U671" s="698"/>
      <c r="V671" s="699"/>
      <c r="W671" s="186"/>
    </row>
    <row r="672" spans="2:23" s="10" customFormat="1" hidden="1">
      <c r="B672" s="87"/>
      <c r="C672" s="178"/>
      <c r="D672" s="518" t="str">
        <f>$Q$127</f>
        <v>Tucson, AZ, United States</v>
      </c>
      <c r="E672" s="181"/>
      <c r="F672" s="698"/>
      <c r="G672" s="698"/>
      <c r="H672" s="693"/>
      <c r="I672" s="693" t="s">
        <v>0</v>
      </c>
      <c r="J672" s="693" t="str">
        <f>VLOOKUP(Q672,C675:D677,2,FALSE)</f>
        <v>1 min. of Prepaid Mobile Local Rate (No Plans)</v>
      </c>
      <c r="K672" s="693"/>
      <c r="L672" s="693"/>
      <c r="M672" s="693"/>
      <c r="N672" s="693"/>
      <c r="O672" s="693"/>
      <c r="P672" s="693" t="s">
        <v>1167</v>
      </c>
      <c r="Q672" s="519">
        <f>MAX(P675:P677)</f>
        <v>0.11111111111111116</v>
      </c>
      <c r="R672" s="586"/>
      <c r="S672" s="698"/>
      <c r="T672" s="700"/>
      <c r="U672" s="698"/>
      <c r="V672" s="261" t="str">
        <f>$T$674</f>
        <v>Dubai</v>
      </c>
      <c r="W672" s="186"/>
    </row>
    <row r="673" spans="2:23" s="10" customFormat="1" ht="24" hidden="1" thickBot="1">
      <c r="B673" s="87"/>
      <c r="C673" s="178"/>
      <c r="D673" s="181" t="str">
        <f>W591</f>
        <v>USD</v>
      </c>
      <c r="E673" s="181"/>
      <c r="F673" s="698"/>
      <c r="G673" s="698"/>
      <c r="H673" s="693"/>
      <c r="I673" s="693"/>
      <c r="J673" s="693"/>
      <c r="K673" s="694">
        <f>IF(Q672&lt;0,Q672,Q673)</f>
        <v>-0.26535409932412579</v>
      </c>
      <c r="L673" s="694"/>
      <c r="M673" s="694"/>
      <c r="N673" s="694"/>
      <c r="O673" s="694"/>
      <c r="P673" s="693" t="s">
        <v>1168</v>
      </c>
      <c r="Q673" s="519">
        <f>MIN(P675:P677)</f>
        <v>-0.26535409932412579</v>
      </c>
      <c r="R673" s="586" t="str">
        <f>IF(Q672&lt;0,"negatif","positif")</f>
        <v>positif</v>
      </c>
      <c r="S673" s="698"/>
      <c r="T673" s="700"/>
      <c r="U673" s="698"/>
      <c r="V673" s="698" t="str">
        <f>RIGHT(I671,5)</f>
        <v>rates</v>
      </c>
      <c r="W673" s="186"/>
    </row>
    <row r="674" spans="2:23" s="10" customFormat="1" ht="26.25" hidden="1" thickBot="1">
      <c r="B674" s="87"/>
      <c r="C674" s="362" t="str">
        <f>VLOOKUP(D672,Data!L$3:N$398,2,FALSE)</f>
        <v>Tucson</v>
      </c>
      <c r="D674" s="747" t="str">
        <f>'Full Report'!C50</f>
        <v>Utilities</v>
      </c>
      <c r="E674" s="522" t="s">
        <v>1175</v>
      </c>
      <c r="F674" s="523" t="s">
        <v>540</v>
      </c>
      <c r="G674" s="524" t="str">
        <f>C674</f>
        <v>Tucson</v>
      </c>
      <c r="H674" s="523" t="str">
        <f>I671&amp;" in US dollar"</f>
        <v>Dubai, United Arab Emirates in US dollar</v>
      </c>
      <c r="I674" s="525" t="str">
        <f>$I$587</f>
        <v>Dubai</v>
      </c>
      <c r="J674" s="526"/>
      <c r="K674" s="526"/>
      <c r="L674" s="527" t="s">
        <v>1176</v>
      </c>
      <c r="M674" s="527"/>
      <c r="N674" s="528"/>
      <c r="O674" s="529"/>
      <c r="P674" s="758" t="str">
        <f>"        Cost difference"&amp;" in "&amp;C674</f>
        <v xml:space="preserve">        Cost difference in Tucson</v>
      </c>
      <c r="Q674" s="539"/>
      <c r="R674" s="540"/>
      <c r="S674" s="530"/>
      <c r="T674" s="531" t="str">
        <f>I674</f>
        <v>Dubai</v>
      </c>
      <c r="U674" s="532"/>
      <c r="V674" s="749" t="s">
        <v>1222</v>
      </c>
      <c r="W674" s="186"/>
    </row>
    <row r="675" spans="2:23" s="10" customFormat="1" hidden="1">
      <c r="B675" s="87"/>
      <c r="C675" s="362">
        <f>P675</f>
        <v>0.10399646721130495</v>
      </c>
      <c r="D675" s="587" t="str">
        <f>'Full Report'!C51</f>
        <v>Basic (Electricity, Heating, Water, Garbage) for 85m² Apartment</v>
      </c>
      <c r="E675" s="534">
        <f>Utilities!J6</f>
        <v>1</v>
      </c>
      <c r="F675" s="535">
        <f>VLOOKUP(Q$127,CPI!C$4:AZ$394,27,FALSE)</f>
        <v>150</v>
      </c>
      <c r="G675" s="311">
        <f>F675*E$204</f>
        <v>150</v>
      </c>
      <c r="H675" s="535">
        <f>VLOOKUP(I$129,CPI!C$4:AZ$394,27,FALSE)</f>
        <v>135.87</v>
      </c>
      <c r="I675" s="536">
        <f>H675*E$204</f>
        <v>135.87</v>
      </c>
      <c r="J675" s="418">
        <f>F675/H675</f>
        <v>1.103996467211305</v>
      </c>
      <c r="K675" s="418" t="s">
        <v>1226</v>
      </c>
      <c r="L675" s="693">
        <f>G675*E675</f>
        <v>150</v>
      </c>
      <c r="M675" s="693"/>
      <c r="N675" s="537"/>
      <c r="O675" s="698"/>
      <c r="P675" s="538">
        <f>J675-1</f>
        <v>0.10399646721130495</v>
      </c>
      <c r="Q675" s="539" t="str">
        <f>IF(P675=0,"% or equal in ",IF(F675&lt;H675,"lower than in ","higher than in "))</f>
        <v xml:space="preserve">higher than in </v>
      </c>
      <c r="R675" s="540" t="str">
        <f>I674</f>
        <v>Dubai</v>
      </c>
      <c r="S675" s="541"/>
      <c r="T675" s="700">
        <f>IF(P675=0,98,IF(P675&lt;0,0,1))</f>
        <v>1</v>
      </c>
      <c r="U675" s="542"/>
      <c r="V675" s="543">
        <f>IF(E675=0,"not consume",I675*E675)</f>
        <v>135.87</v>
      </c>
      <c r="W675" s="186"/>
    </row>
    <row r="676" spans="2:23" s="10" customFormat="1" hidden="1">
      <c r="B676" s="87"/>
      <c r="C676" s="362">
        <f>P676</f>
        <v>0.11111111111111116</v>
      </c>
      <c r="D676" s="587" t="str">
        <f>'Full Report'!C52</f>
        <v>1 min. of Prepaid Mobile Local Rate (No Plans)</v>
      </c>
      <c r="E676" s="544">
        <f>Utilities!J7</f>
        <v>220.00000009999999</v>
      </c>
      <c r="F676" s="535">
        <f>VLOOKUP(Q$127,CPI!C$4:AZ$394,28,FALSE)</f>
        <v>0.1</v>
      </c>
      <c r="G676" s="311">
        <f>F676*E$204</f>
        <v>0.1</v>
      </c>
      <c r="H676" s="535">
        <f>VLOOKUP(I$129,CPI!C$4:AZ$394,28,FALSE)</f>
        <v>0.09</v>
      </c>
      <c r="I676" s="536">
        <f>H676*E$204</f>
        <v>0.09</v>
      </c>
      <c r="J676" s="418">
        <f>F676/H676</f>
        <v>1.1111111111111112</v>
      </c>
      <c r="K676" s="418" t="s">
        <v>1227</v>
      </c>
      <c r="L676" s="693">
        <f>G676*E676</f>
        <v>22.000000010000001</v>
      </c>
      <c r="M676" s="693"/>
      <c r="N676" s="537"/>
      <c r="O676" s="698"/>
      <c r="P676" s="538">
        <f>J676-1</f>
        <v>0.11111111111111116</v>
      </c>
      <c r="Q676" s="539" t="str">
        <f>IF(P676=0,"% or equal in ",IF(F676&lt;H676,"lower than in ","higher than in "))</f>
        <v xml:space="preserve">higher than in </v>
      </c>
      <c r="R676" s="540" t="str">
        <f>$I$674</f>
        <v>Dubai</v>
      </c>
      <c r="S676" s="541"/>
      <c r="T676" s="700">
        <f>IF(P676=0,98,IF(P676&lt;0,0,1))</f>
        <v>1</v>
      </c>
      <c r="U676" s="542"/>
      <c r="V676" s="543">
        <f>IF(E676=0,"not consume",I676*E676)</f>
        <v>19.800000008999998</v>
      </c>
      <c r="W676" s="186"/>
    </row>
    <row r="677" spans="2:23" s="10" customFormat="1" hidden="1">
      <c r="B677" s="87"/>
      <c r="C677" s="362">
        <f>P677</f>
        <v>-0.26535409932412579</v>
      </c>
      <c r="D677" s="587" t="str">
        <f>'Full Report'!C53</f>
        <v>Internet (6 Mbps, Unlimited Data, Wired)</v>
      </c>
      <c r="E677" s="544">
        <f>Utilities!J8</f>
        <v>1</v>
      </c>
      <c r="F677" s="535">
        <f>VLOOKUP(Q$127,CPI!C$4:AZ$394,29,FALSE)</f>
        <v>50</v>
      </c>
      <c r="G677" s="311">
        <f>F677*E$204</f>
        <v>50</v>
      </c>
      <c r="H677" s="535">
        <f>VLOOKUP(I$129,CPI!C$4:AZ$394,29,FALSE)</f>
        <v>68.06</v>
      </c>
      <c r="I677" s="536">
        <f>H677*E$204</f>
        <v>68.06</v>
      </c>
      <c r="J677" s="418">
        <f>F677/H677</f>
        <v>0.73464590067587421</v>
      </c>
      <c r="K677" s="418" t="s">
        <v>1228</v>
      </c>
      <c r="L677" s="693">
        <f>G677*E677</f>
        <v>50</v>
      </c>
      <c r="M677" s="693"/>
      <c r="N677" s="537"/>
      <c r="O677" s="698"/>
      <c r="P677" s="538">
        <f>J677-1</f>
        <v>-0.26535409932412579</v>
      </c>
      <c r="Q677" s="539" t="str">
        <f>IF(P677=0,"% or equal in ",IF(F677&lt;H677,"lower than in ","higher than in "))</f>
        <v xml:space="preserve">lower than in </v>
      </c>
      <c r="R677" s="540" t="str">
        <f>$I$674</f>
        <v>Dubai</v>
      </c>
      <c r="S677" s="541"/>
      <c r="T677" s="700">
        <f>IF(P677=0,98,IF(P677&lt;0,0,1))</f>
        <v>0</v>
      </c>
      <c r="U677" s="542"/>
      <c r="V677" s="543">
        <f>IF(E677=0,"not consume",I677*E677)</f>
        <v>68.06</v>
      </c>
      <c r="W677" s="186"/>
    </row>
    <row r="678" spans="2:23" s="10" customFormat="1" ht="24" hidden="1" thickBot="1">
      <c r="B678" s="87"/>
      <c r="C678" s="178" t="s">
        <v>0</v>
      </c>
      <c r="D678" s="699"/>
      <c r="E678" s="181"/>
      <c r="F678" s="698">
        <f>SUM(F675:F677)</f>
        <v>200.1</v>
      </c>
      <c r="G678" s="698">
        <f>SUM(G675:G677)</f>
        <v>200.1</v>
      </c>
      <c r="H678" s="693">
        <f>SUM(H675:H677)</f>
        <v>204.02</v>
      </c>
      <c r="I678" s="515">
        <f>SUM(I675:I677)</f>
        <v>204.02</v>
      </c>
      <c r="J678" s="698">
        <f>F678/H678</f>
        <v>0.98078619743162432</v>
      </c>
      <c r="K678" s="698">
        <f>G678/I678</f>
        <v>0.98078619743162432</v>
      </c>
      <c r="L678" s="215">
        <f>SUM(L675:L677)</f>
        <v>222.00000001000001</v>
      </c>
      <c r="M678" s="215"/>
      <c r="N678" s="215"/>
      <c r="O678" s="215"/>
      <c r="P678" s="588">
        <f>J678-1</f>
        <v>-1.9213802568375682E-2</v>
      </c>
      <c r="Q678" s="516" t="str">
        <f>IF(P678=0,"% or equal in ",IF(F678&lt;H678,"lower than in ","higher than in "))</f>
        <v xml:space="preserve">lower than in </v>
      </c>
      <c r="R678" s="697"/>
      <c r="S678" s="698"/>
      <c r="T678" s="700">
        <f>SUM(T675:T677)</f>
        <v>2</v>
      </c>
      <c r="U678" s="698"/>
      <c r="V678" s="562">
        <f>SUM(V675:V677)</f>
        <v>223.73000000900001</v>
      </c>
      <c r="W678" s="265">
        <f>L678/V678</f>
        <v>0.99226746525307108</v>
      </c>
    </row>
    <row r="679" spans="2:23" s="10" customFormat="1" ht="24" hidden="1" thickTop="1">
      <c r="B679" s="87"/>
      <c r="C679" s="178" t="s">
        <v>0</v>
      </c>
      <c r="D679" s="405" t="s">
        <v>1166</v>
      </c>
      <c r="E679" s="563" t="s">
        <v>0</v>
      </c>
      <c r="F679" s="691"/>
      <c r="G679" s="692"/>
      <c r="H679" s="691"/>
      <c r="I679" s="690"/>
      <c r="J679" s="694"/>
      <c r="K679" s="694"/>
      <c r="L679" s="694"/>
      <c r="M679" s="694"/>
      <c r="N679" s="694"/>
      <c r="O679" s="694"/>
      <c r="P679" s="695">
        <f>ABS(P678)</f>
        <v>1.9213802568375682E-2</v>
      </c>
      <c r="Q679" s="696"/>
      <c r="R679" s="697"/>
      <c r="S679" s="698"/>
      <c r="T679" s="564">
        <f>T678</f>
        <v>2</v>
      </c>
      <c r="U679" s="698"/>
      <c r="V679" s="699"/>
      <c r="W679" s="186"/>
    </row>
    <row r="680" spans="2:23" s="10" customFormat="1" hidden="1">
      <c r="B680" s="87"/>
      <c r="C680" s="178">
        <v>1</v>
      </c>
      <c r="D680" s="690" t="s">
        <v>1201</v>
      </c>
      <c r="E680" s="690"/>
      <c r="F680" s="565"/>
      <c r="G680" s="511">
        <f>P679</f>
        <v>1.9213802568375682E-2</v>
      </c>
      <c r="H680" s="566" t="str">
        <f>Q678</f>
        <v xml:space="preserve">lower than in </v>
      </c>
      <c r="I680" s="691" t="str">
        <f>I671</f>
        <v>Dubai, United Arab Emirates</v>
      </c>
      <c r="J680" s="266" t="str">
        <f>IF(P678&lt;0,"However, as shown in the graph below, "," As shown in the graph below, ")</f>
        <v xml:space="preserve">However, as shown in the graph below, </v>
      </c>
      <c r="K680" s="567" t="str">
        <f>IF(T678&gt;16,K682,IF(T678=0,K683,K681))</f>
        <v xml:space="preserve">2 out of 3 items under this category are higher than in </v>
      </c>
      <c r="L680" s="567"/>
      <c r="M680" s="567"/>
      <c r="N680" s="567"/>
      <c r="O680" s="567"/>
      <c r="P680" s="568"/>
      <c r="Q680" s="569"/>
      <c r="R680" s="697"/>
      <c r="S680" s="698"/>
      <c r="T680" s="700"/>
      <c r="U680" s="698"/>
      <c r="V680" s="699"/>
      <c r="W680" s="186"/>
    </row>
    <row r="681" spans="2:23" s="10" customFormat="1" hidden="1">
      <c r="B681" s="87"/>
      <c r="C681" s="178"/>
      <c r="D681" s="690" t="str">
        <f>IF(T679=3,"Obviously, on average it is more",IF(T679=0,"Cleary we can see, on average it is more","It seems that, on average it is more"))</f>
        <v>It seems that, on average it is more</v>
      </c>
      <c r="E681" s="690" t="str">
        <f>IF(P678&lt;0," cheaper to spend money on utilities in "," expensive to spend money on utilities in ")</f>
        <v xml:space="preserve"> cheaper to spend money on utilities in </v>
      </c>
      <c r="F681" s="565"/>
      <c r="G681" s="699"/>
      <c r="H681" s="570" t="str">
        <f>G674</f>
        <v>Tucson</v>
      </c>
      <c r="I681" s="691"/>
      <c r="J681" s="266"/>
      <c r="K681" s="571" t="str">
        <f>T679&amp;" out of 3 items under this category "&amp;K684&amp;" higher than in "</f>
        <v xml:space="preserve">2 out of 3 items under this category are higher than in </v>
      </c>
      <c r="L681" s="571"/>
      <c r="M681" s="571"/>
      <c r="N681" s="571"/>
      <c r="O681" s="571"/>
      <c r="P681" s="568"/>
      <c r="Q681" s="569"/>
      <c r="R681" s="697"/>
      <c r="S681" s="698"/>
      <c r="T681" s="700"/>
      <c r="U681" s="698"/>
      <c r="V681" s="699"/>
      <c r="W681" s="186"/>
    </row>
    <row r="682" spans="2:23" s="10" customFormat="1" hidden="1">
      <c r="B682" s="87"/>
      <c r="C682" s="178">
        <v>2</v>
      </c>
      <c r="D682" s="675" t="str">
        <f>VLOOKUP(Q672,C675:D677,2,FALSE)</f>
        <v>1 min. of Prepaid Mobile Local Rate (No Plans)</v>
      </c>
      <c r="E682" s="572"/>
      <c r="F682" s="675" t="s">
        <v>1169</v>
      </c>
      <c r="G682" s="678"/>
      <c r="H682" s="677"/>
      <c r="I682" s="573" t="str">
        <f>I680</f>
        <v>Dubai, United Arab Emirates</v>
      </c>
      <c r="J682" s="679"/>
      <c r="K682" s="571" t="str">
        <f>FIXED(T679/100,0)&amp;" out of 3 items under this category have equal price as in "</f>
        <v xml:space="preserve">0 out of 3 items under this category have equal price as in </v>
      </c>
      <c r="L682" s="571"/>
      <c r="M682" s="571"/>
      <c r="N682" s="571"/>
      <c r="O682" s="571"/>
      <c r="P682" s="574"/>
      <c r="Q682" s="575"/>
      <c r="R682" s="682"/>
      <c r="S682" s="683"/>
      <c r="T682" s="576"/>
      <c r="U682" s="698"/>
      <c r="V682" s="699"/>
      <c r="W682" s="186"/>
    </row>
    <row r="683" spans="2:23" s="10" customFormat="1" hidden="1">
      <c r="B683" s="87"/>
      <c r="C683" s="178"/>
      <c r="D683" s="675" t="s">
        <v>1174</v>
      </c>
      <c r="E683" s="679">
        <f>VLOOKUP(Q672,C675:D677,1,FALSE)</f>
        <v>0.11111111111111116</v>
      </c>
      <c r="F683" s="675" t="s">
        <v>1171</v>
      </c>
      <c r="G683" s="678"/>
      <c r="H683" s="677" t="str">
        <f>C674</f>
        <v>Tucson</v>
      </c>
      <c r="I683" s="573"/>
      <c r="J683" s="679"/>
      <c r="K683" s="571" t="str">
        <f>" All items under this category have lower price than in "</f>
        <v xml:space="preserve"> All items under this category have lower price than in </v>
      </c>
      <c r="L683" s="571"/>
      <c r="M683" s="571"/>
      <c r="N683" s="571"/>
      <c r="O683" s="571"/>
      <c r="P683" s="680"/>
      <c r="Q683" s="577"/>
      <c r="R683" s="682"/>
      <c r="S683" s="683"/>
      <c r="T683" s="576"/>
      <c r="U683" s="698"/>
      <c r="V683" s="699"/>
      <c r="W683" s="186"/>
    </row>
    <row r="684" spans="2:23" s="10" customFormat="1" hidden="1">
      <c r="B684" s="87"/>
      <c r="C684" s="178">
        <v>3</v>
      </c>
      <c r="D684" s="675" t="str">
        <f>VLOOKUP(Q673,C675:D677,2,FALSE)</f>
        <v>Internet (6 Mbps, Unlimited Data, Wired)</v>
      </c>
      <c r="E684" s="578"/>
      <c r="F684" s="675" t="s">
        <v>1170</v>
      </c>
      <c r="G684" s="678"/>
      <c r="H684" s="677"/>
      <c r="I684" s="579" t="str">
        <f>I671</f>
        <v>Dubai, United Arab Emirates</v>
      </c>
      <c r="J684" s="679"/>
      <c r="K684" s="578" t="str">
        <f>IF(T679&gt;1,"are","is")</f>
        <v>are</v>
      </c>
      <c r="L684" s="578"/>
      <c r="M684" s="578"/>
      <c r="N684" s="578"/>
      <c r="O684" s="578"/>
      <c r="P684" s="680"/>
      <c r="Q684" s="681"/>
      <c r="R684" s="682"/>
      <c r="S684" s="683"/>
      <c r="T684" s="576"/>
      <c r="U684" s="698"/>
      <c r="V684" s="699"/>
      <c r="W684" s="186"/>
    </row>
    <row r="685" spans="2:23" s="10" customFormat="1" hidden="1">
      <c r="B685" s="87"/>
      <c r="C685" s="178"/>
      <c r="D685" s="675" t="s">
        <v>1174</v>
      </c>
      <c r="E685" s="679">
        <f>VLOOKUP(Q673,C675:D677,1,FALSE)</f>
        <v>-0.26535409932412579</v>
      </c>
      <c r="F685" s="675" t="str">
        <f>$F$653</f>
        <v xml:space="preserve">higher than in </v>
      </c>
      <c r="G685" s="678"/>
      <c r="H685" s="677" t="str">
        <f>I684</f>
        <v>Dubai, United Arab Emirates</v>
      </c>
      <c r="I685" s="675"/>
      <c r="J685" s="679">
        <f>ABS(E685)</f>
        <v>0.26535409932412579</v>
      </c>
      <c r="K685" s="679"/>
      <c r="L685" s="679"/>
      <c r="M685" s="679"/>
      <c r="N685" s="679"/>
      <c r="O685" s="679"/>
      <c r="P685" s="680"/>
      <c r="Q685" s="681"/>
      <c r="R685" s="682"/>
      <c r="S685" s="683"/>
      <c r="T685" s="576"/>
      <c r="U685" s="698"/>
      <c r="V685" s="699"/>
      <c r="W685" s="186"/>
    </row>
    <row r="686" spans="2:23" s="10" customFormat="1" hidden="1">
      <c r="B686" s="87"/>
      <c r="C686" s="178"/>
      <c r="D686" s="580" t="str">
        <f>J680&amp;K680&amp;R677&amp;". "&amp;D682&amp;" in "&amp;H683&amp;F682&amp;I682&amp;D683&amp;FIXED(E683*100)&amp;F683&amp;H683&amp;"."</f>
        <v>However, as shown in the graph below, 2 out of 3 items under this category are higher than in Dubai. 1 min. of Prepaid Mobile Local Rate (No Plans) in Tucson is the most expensive item in comparison to Dubai, United Arab Emirates. Its cost is 11.11 % more expensive in Tucson.</v>
      </c>
      <c r="E686" s="675"/>
      <c r="F686" s="677"/>
      <c r="G686" s="678"/>
      <c r="H686" s="677"/>
      <c r="I686" s="675"/>
      <c r="J686" s="679"/>
      <c r="K686" s="679"/>
      <c r="L686" s="679"/>
      <c r="M686" s="679"/>
      <c r="N686" s="679"/>
      <c r="O686" s="679"/>
      <c r="P686" s="680"/>
      <c r="Q686" s="681"/>
      <c r="R686" s="682"/>
      <c r="S686" s="683"/>
      <c r="T686" s="576"/>
      <c r="U686" s="698"/>
      <c r="V686" s="699"/>
      <c r="W686" s="186"/>
    </row>
    <row r="687" spans="2:23" s="10" customFormat="1" hidden="1">
      <c r="B687" s="87"/>
      <c r="C687" s="178"/>
      <c r="D687" s="675" t="str">
        <f>K680&amp;V672&amp;". "&amp;D684&amp;F684&amp;R677&amp;D685&amp;FIXED(J685*100)&amp;"% "&amp;F685&amp;H685&amp;"."</f>
        <v>2 out of 3 items under this category are higher than in Dubai. Internet (6 Mbps, Unlimited Data, Wired) is the cheapest item in comparison to Dubai. Its cost is 26.54% higher than in Dubai, United Arab Emirates.</v>
      </c>
      <c r="E687" s="676"/>
      <c r="F687" s="677"/>
      <c r="G687" s="678"/>
      <c r="H687" s="677"/>
      <c r="I687" s="675"/>
      <c r="J687" s="679"/>
      <c r="K687" s="679"/>
      <c r="L687" s="679"/>
      <c r="M687" s="679"/>
      <c r="N687" s="679"/>
      <c r="O687" s="679"/>
      <c r="P687" s="680"/>
      <c r="Q687" s="681"/>
      <c r="R687" s="682"/>
      <c r="S687" s="683"/>
      <c r="T687" s="576"/>
      <c r="U687" s="698"/>
      <c r="V687" s="699"/>
      <c r="W687" s="186"/>
    </row>
    <row r="688" spans="2:23" s="10" customFormat="1" hidden="1">
      <c r="B688" s="87"/>
      <c r="C688" s="178"/>
      <c r="D688" s="675" t="s">
        <v>1173</v>
      </c>
      <c r="E688" s="676"/>
      <c r="F688" s="677"/>
      <c r="G688" s="678"/>
      <c r="H688" s="677"/>
      <c r="I688" s="675"/>
      <c r="J688" s="679"/>
      <c r="K688" s="679"/>
      <c r="L688" s="679"/>
      <c r="M688" s="679"/>
      <c r="N688" s="679"/>
      <c r="O688" s="679"/>
      <c r="P688" s="680"/>
      <c r="Q688" s="681"/>
      <c r="R688" s="682"/>
      <c r="S688" s="683"/>
      <c r="T688" s="576"/>
      <c r="U688" s="698"/>
      <c r="V688" s="699"/>
      <c r="W688" s="186"/>
    </row>
    <row r="689" spans="2:23" s="10" customFormat="1" hidden="1">
      <c r="B689" s="87"/>
      <c r="C689" s="178"/>
      <c r="D689" s="675"/>
      <c r="E689" s="676"/>
      <c r="F689" s="677"/>
      <c r="G689" s="678"/>
      <c r="H689" s="677"/>
      <c r="I689" s="675"/>
      <c r="J689" s="679"/>
      <c r="K689" s="679"/>
      <c r="L689" s="679"/>
      <c r="M689" s="679"/>
      <c r="N689" s="679"/>
      <c r="O689" s="679"/>
      <c r="P689" s="680"/>
      <c r="Q689" s="681"/>
      <c r="R689" s="682"/>
      <c r="S689" s="683"/>
      <c r="T689" s="576"/>
      <c r="U689" s="698"/>
      <c r="V689" s="699"/>
      <c r="W689" s="186"/>
    </row>
    <row r="690" spans="2:23" s="10" customFormat="1" ht="34.5" hidden="1" customHeight="1">
      <c r="B690" s="87"/>
      <c r="C690" s="178"/>
      <c r="D690" s="979" t="str">
        <f>D680&amp;D672&amp;" is "&amp;FIXED(G680*100)&amp;"% "&amp;H680&amp;I680&amp;". "&amp;D681&amp;E681&amp;H681&amp;". "</f>
        <v xml:space="preserve">Overall, based on 3 items in the Utilities category, the cost of utilities in Tucson, AZ, United States is 1.92% lower than in Dubai, United Arab Emirates. It seems that, on average it is more cheaper to spend money on utilities in Tucson. </v>
      </c>
      <c r="E690" s="979"/>
      <c r="F690" s="979"/>
      <c r="G690" s="979"/>
      <c r="H690" s="979"/>
      <c r="I690" s="979"/>
      <c r="J690" s="979"/>
      <c r="K690" s="979"/>
      <c r="L690" s="979"/>
      <c r="M690" s="979"/>
      <c r="N690" s="979"/>
      <c r="O690" s="979"/>
      <c r="P690" s="979"/>
      <c r="Q690" s="979"/>
      <c r="R690" s="979"/>
      <c r="S690" s="979"/>
      <c r="T690" s="576"/>
      <c r="U690" s="698"/>
      <c r="V690" s="699"/>
      <c r="W690" s="186"/>
    </row>
    <row r="691" spans="2:23" s="10" customFormat="1" ht="41.25" hidden="1" customHeight="1">
      <c r="B691" s="87"/>
      <c r="C691" s="178"/>
      <c r="D691" s="979" t="str">
        <f>IF(Q672&lt;0,D687,IF(Q672=0,D687,D686))</f>
        <v>However, as shown in the graph below, 2 out of 3 items under this category are higher than in Dubai. 1 min. of Prepaid Mobile Local Rate (No Plans) in Tucson is the most expensive item in comparison to Dubai, United Arab Emirates. Its cost is 11.11 % more expensive in Tucson.</v>
      </c>
      <c r="E691" s="979"/>
      <c r="F691" s="979"/>
      <c r="G691" s="979"/>
      <c r="H691" s="979"/>
      <c r="I691" s="979"/>
      <c r="J691" s="979"/>
      <c r="K691" s="979"/>
      <c r="L691" s="979"/>
      <c r="M691" s="979"/>
      <c r="N691" s="979"/>
      <c r="O691" s="979"/>
      <c r="P691" s="979"/>
      <c r="Q691" s="979"/>
      <c r="R691" s="979"/>
      <c r="S691" s="979"/>
      <c r="T691" s="576"/>
      <c r="U691" s="698"/>
      <c r="V691" s="699"/>
      <c r="W691" s="186"/>
    </row>
    <row r="692" spans="2:23" s="10" customFormat="1" hidden="1">
      <c r="B692" s="87"/>
      <c r="C692" s="178"/>
      <c r="D692" s="686" t="str">
        <f>"Your personal expenditure on utilities are selected from "&amp;V692&amp;" out of 3 items. Your cost of utilities index (percentage ratio) is calculated based on these spending pattern over a month and its usage. "</f>
        <v xml:space="preserve">Your personal expenditure on utilities are selected from 3 out of 3 items. Your cost of utilities index (percentage ratio) is calculated based on these spending pattern over a month and its usage. </v>
      </c>
      <c r="E692" s="674"/>
      <c r="F692" s="674"/>
      <c r="G692" s="674"/>
      <c r="H692" s="674"/>
      <c r="I692" s="674"/>
      <c r="J692" s="674"/>
      <c r="K692" s="674"/>
      <c r="L692" s="684"/>
      <c r="M692" s="684"/>
      <c r="N692" s="684"/>
      <c r="O692" s="684"/>
      <c r="P692" s="684"/>
      <c r="Q692" s="684"/>
      <c r="R692" s="687"/>
      <c r="S692" s="684"/>
      <c r="T692" s="576"/>
      <c r="U692" s="464"/>
      <c r="V692" s="464">
        <f>COUNT(V675:V677)</f>
        <v>3</v>
      </c>
      <c r="W692" s="318">
        <f>W678-1</f>
        <v>-7.7325347469289207E-3</v>
      </c>
    </row>
    <row r="693" spans="2:23" s="10" customFormat="1" ht="60" hidden="1" customHeight="1">
      <c r="B693" s="87"/>
      <c r="C693" s="178"/>
      <c r="D693" s="686" t="s">
        <v>1250</v>
      </c>
      <c r="E693" s="674"/>
      <c r="F693" s="674"/>
      <c r="G693" s="674"/>
      <c r="H693" s="674"/>
      <c r="I693" s="674">
        <f>ABS(W692)*100</f>
        <v>0.77325347469289207</v>
      </c>
      <c r="J693" s="674" t="str">
        <f>IF(W692&lt;0,"% lower in ","% higher in ")</f>
        <v xml:space="preserve">% lower in </v>
      </c>
      <c r="K693" s="584" t="str">
        <f>G674</f>
        <v>Tucson</v>
      </c>
      <c r="L693" s="684" t="s">
        <v>1203</v>
      </c>
      <c r="M693" s="684" t="str">
        <f>R638</f>
        <v>Dubai</v>
      </c>
      <c r="N693" s="684"/>
      <c r="O693" s="684"/>
      <c r="P693" s="684"/>
      <c r="Q693" s="684"/>
      <c r="R693" s="687"/>
      <c r="S693" s="684"/>
      <c r="T693" s="576"/>
      <c r="U693" s="464"/>
      <c r="V693" s="464"/>
      <c r="W693" s="318"/>
    </row>
    <row r="694" spans="2:23" s="10" customFormat="1" ht="51.75" hidden="1" customHeight="1">
      <c r="B694" s="87"/>
      <c r="C694" s="178"/>
      <c r="D694" s="686" t="str">
        <f>IF(P678&lt;0,"In conclusion, ","In other words, ")</f>
        <v xml:space="preserve">In conclusion, </v>
      </c>
      <c r="E694" s="674"/>
      <c r="F694" s="674" t="str">
        <f>IF(W692&lt;0," you need to spend more in "," you spend less in ")</f>
        <v xml:space="preserve"> you need to spend more in </v>
      </c>
      <c r="G694" s="584" t="str">
        <f>R675</f>
        <v>Dubai</v>
      </c>
      <c r="H694" s="674" t="s">
        <v>1211</v>
      </c>
      <c r="I694" s="674"/>
      <c r="J694" s="674"/>
      <c r="K694" s="584" t="str">
        <f>G637</f>
        <v>Tucson</v>
      </c>
      <c r="L694" s="684"/>
      <c r="M694" s="684"/>
      <c r="N694" s="684"/>
      <c r="O694" s="684"/>
      <c r="P694" s="684"/>
      <c r="Q694" s="684"/>
      <c r="R694" s="687"/>
      <c r="S694" s="684"/>
      <c r="T694" s="576"/>
      <c r="U694" s="464"/>
      <c r="V694" s="464"/>
      <c r="W694" s="318"/>
    </row>
    <row r="695" spans="2:23" s="10" customFormat="1" ht="73.5" hidden="1" customHeight="1">
      <c r="B695" s="87"/>
      <c r="C695" s="178"/>
      <c r="D695" s="686" t="s">
        <v>1210</v>
      </c>
      <c r="E695" s="674" t="s">
        <v>0</v>
      </c>
      <c r="F695" s="674"/>
      <c r="G695" s="674">
        <f>V692</f>
        <v>3</v>
      </c>
      <c r="H695" s="674" t="s">
        <v>1209</v>
      </c>
      <c r="I695" s="674"/>
      <c r="J695" s="606">
        <f>L678</f>
        <v>222.00000001000001</v>
      </c>
      <c r="K695" s="584" t="str">
        <f>G674</f>
        <v>Tucson</v>
      </c>
      <c r="L695" s="684" t="s">
        <v>1206</v>
      </c>
      <c r="M695" s="583" t="str">
        <f>R675</f>
        <v>Dubai</v>
      </c>
      <c r="N695" s="684" t="s">
        <v>1218</v>
      </c>
      <c r="O695" s="583">
        <f>V678</f>
        <v>223.73000000900001</v>
      </c>
      <c r="P695" s="684"/>
      <c r="Q695" s="684"/>
      <c r="R695" s="687"/>
      <c r="S695" s="684"/>
      <c r="T695" s="576"/>
      <c r="U695" s="464"/>
      <c r="V695" s="464"/>
      <c r="W695" s="318"/>
    </row>
    <row r="696" spans="2:23" s="10" customFormat="1" ht="42" hidden="1" customHeight="1">
      <c r="B696" s="87"/>
      <c r="C696" s="178"/>
      <c r="D696" s="686"/>
      <c r="E696" s="674"/>
      <c r="F696" s="674"/>
      <c r="G696" s="674"/>
      <c r="H696" s="674"/>
      <c r="I696" s="674"/>
      <c r="J696" s="674"/>
      <c r="K696" s="674"/>
      <c r="L696" s="684"/>
      <c r="M696" s="684"/>
      <c r="N696" s="684"/>
      <c r="O696" s="684"/>
      <c r="P696" s="684"/>
      <c r="Q696" s="684"/>
      <c r="R696" s="687"/>
      <c r="S696" s="684"/>
      <c r="T696" s="576"/>
      <c r="U696" s="464"/>
      <c r="V696" s="464"/>
      <c r="W696" s="318"/>
    </row>
    <row r="697" spans="2:23" s="10" customFormat="1" ht="56.25" hidden="1" customHeight="1">
      <c r="B697" s="87"/>
      <c r="C697" s="178"/>
      <c r="D697" s="969" t="str">
        <f>D692&amp;D693&amp;" "&amp;FIXED(I693,2)&amp;" "&amp;J693&amp;K693&amp;L693&amp;M693&amp;"."</f>
        <v>Your personal expenditure on utilities are selected from 3 out of 3 items. Your cost of utilities index (percentage ratio) is calculated based on these spending pattern over a month and its usage. Therefore, based on this item preferences, your personal spending on utilities is 0.77 % lower in Tucson in comparison to Dubai.</v>
      </c>
      <c r="E697" s="969"/>
      <c r="F697" s="969"/>
      <c r="G697" s="969"/>
      <c r="H697" s="969"/>
      <c r="I697" s="969"/>
      <c r="J697" s="969"/>
      <c r="K697" s="969"/>
      <c r="L697" s="969"/>
      <c r="M697" s="969"/>
      <c r="N697" s="969"/>
      <c r="O697" s="969"/>
      <c r="P697" s="969"/>
      <c r="Q697" s="969"/>
      <c r="R697" s="969"/>
      <c r="S697" s="684"/>
      <c r="T697" s="683"/>
      <c r="U697" s="464"/>
      <c r="V697" s="464"/>
      <c r="W697" s="186"/>
    </row>
    <row r="698" spans="2:23" s="10" customFormat="1" ht="48.75" hidden="1" customHeight="1">
      <c r="B698" s="87"/>
      <c r="C698" s="178"/>
      <c r="D698" s="967" t="str">
        <f>D694&amp;F694&amp;G694&amp;H694&amp;I694&amp;J694&amp;K694&amp;D695&amp;G695&amp;H695&amp;" "&amp;Info!J8&amp;FIXED(J695,2)&amp;" in "&amp;K695&amp;" "&amp;L695&amp;M695&amp;N695&amp;" "&amp;Info!J8&amp;FIXED(O695,2)&amp;"."</f>
        <v>In conclusion,  you need to spend more in Dubai in order to utilise these same items you paid in Tucson. Hence, consuming the same 3 items in this category, you need to pay an amount of  USD222.00 in Tucson  while in Dubai you need to pay approximately around USD223.73.</v>
      </c>
      <c r="E698" s="967"/>
      <c r="F698" s="967"/>
      <c r="G698" s="967"/>
      <c r="H698" s="967"/>
      <c r="I698" s="967"/>
      <c r="J698" s="967"/>
      <c r="K698" s="967"/>
      <c r="L698" s="967"/>
      <c r="M698" s="967"/>
      <c r="N698" s="967"/>
      <c r="O698" s="967"/>
      <c r="P698" s="967"/>
      <c r="Q698" s="967"/>
      <c r="R698" s="967"/>
      <c r="S698" s="684"/>
      <c r="T698" s="683"/>
      <c r="U698" s="464"/>
      <c r="V698" s="464"/>
      <c r="W698" s="186"/>
    </row>
    <row r="699" spans="2:23" s="10" customFormat="1" hidden="1">
      <c r="B699" s="87"/>
      <c r="C699" s="178"/>
      <c r="D699" s="688"/>
      <c r="E699" s="688"/>
      <c r="F699" s="688"/>
      <c r="G699" s="688"/>
      <c r="H699" s="688"/>
      <c r="I699" s="688"/>
      <c r="J699" s="688"/>
      <c r="K699" s="688"/>
      <c r="L699" s="688"/>
      <c r="M699" s="688"/>
      <c r="N699" s="688"/>
      <c r="O699" s="688"/>
      <c r="P699" s="688"/>
      <c r="Q699" s="688"/>
      <c r="R699" s="461"/>
      <c r="S699" s="684"/>
      <c r="T699" s="683"/>
      <c r="U699" s="464"/>
      <c r="V699" s="464"/>
      <c r="W699" s="186"/>
    </row>
    <row r="700" spans="2:23" s="10" customFormat="1" hidden="1">
      <c r="B700" s="87"/>
      <c r="C700" s="699"/>
      <c r="D700" s="699"/>
      <c r="E700" s="699"/>
      <c r="F700" s="699"/>
      <c r="G700" s="699"/>
      <c r="H700" s="699"/>
      <c r="I700" s="699"/>
      <c r="J700" s="699"/>
      <c r="K700" s="699"/>
      <c r="L700" s="699"/>
      <c r="M700" s="699"/>
      <c r="N700" s="699"/>
      <c r="O700" s="699"/>
      <c r="P700" s="699"/>
      <c r="Q700" s="699"/>
      <c r="R700" s="699"/>
      <c r="S700" s="699"/>
      <c r="T700" s="699"/>
      <c r="U700" s="699"/>
      <c r="V700" s="699"/>
      <c r="W700" s="699"/>
    </row>
    <row r="701" spans="2:23" s="10" customFormat="1" ht="25.5" hidden="1" customHeight="1">
      <c r="B701" s="87"/>
      <c r="C701" s="178"/>
      <c r="D701" s="688"/>
      <c r="E701" s="688"/>
      <c r="F701" s="688"/>
      <c r="G701" s="688"/>
      <c r="H701" s="688"/>
      <c r="I701" s="688"/>
      <c r="J701" s="688"/>
      <c r="K701" s="688"/>
      <c r="L701" s="688"/>
      <c r="M701" s="688"/>
      <c r="N701" s="688"/>
      <c r="O701" s="688"/>
      <c r="P701" s="688"/>
      <c r="Q701" s="688"/>
      <c r="R701" s="461"/>
      <c r="S701" s="684"/>
      <c r="T701" s="683"/>
      <c r="U701" s="464"/>
      <c r="V701" s="464"/>
      <c r="W701" s="186"/>
    </row>
    <row r="702" spans="2:23" s="10" customFormat="1" ht="31.5" hidden="1" customHeight="1">
      <c r="B702" s="87"/>
      <c r="C702" s="178"/>
      <c r="D702" s="699"/>
      <c r="E702" s="699"/>
      <c r="F702" s="699"/>
      <c r="G702" s="699"/>
      <c r="H702" s="699"/>
      <c r="I702" s="699"/>
      <c r="J702" s="699"/>
      <c r="K702" s="699"/>
      <c r="L702" s="699"/>
      <c r="M702" s="699"/>
      <c r="N702" s="699"/>
      <c r="O702" s="699"/>
      <c r="P702" s="699"/>
      <c r="Q702" s="699"/>
      <c r="R702" s="699"/>
      <c r="S702" s="699"/>
      <c r="T702" s="699"/>
      <c r="U702" s="699"/>
      <c r="V702" s="699"/>
      <c r="W702" s="186"/>
    </row>
    <row r="703" spans="2:23" s="10" customFormat="1" ht="18" hidden="1" customHeight="1">
      <c r="B703" s="87"/>
      <c r="C703" s="178"/>
      <c r="D703" s="176" t="str">
        <f>"Personal Cost of Recreation and Leisure is "&amp;IF(P144&gt;0,"cheaper in ","more expensive in ")&amp;R515</f>
        <v>Personal Cost of Recreation and Leisure is more expensive in Dubai</v>
      </c>
      <c r="E703" s="699"/>
      <c r="F703" s="699"/>
      <c r="G703" s="699"/>
      <c r="H703" s="699"/>
      <c r="I703" s="699"/>
      <c r="J703" s="699"/>
      <c r="K703" s="699"/>
      <c r="L703" s="699"/>
      <c r="M703" s="699"/>
      <c r="N703" s="699"/>
      <c r="O703" s="699"/>
      <c r="P703" s="699"/>
      <c r="Q703" s="699"/>
      <c r="R703" s="699"/>
      <c r="S703" s="699"/>
      <c r="T703" s="699"/>
      <c r="U703" s="699"/>
      <c r="V703" s="699"/>
      <c r="W703" s="186"/>
    </row>
    <row r="704" spans="2:23" s="10" customFormat="1" ht="20.25" hidden="1" customHeight="1">
      <c r="B704" s="87"/>
      <c r="C704" s="178"/>
      <c r="D704" s="178"/>
      <c r="E704" s="179"/>
      <c r="F704" s="179"/>
      <c r="G704" s="179"/>
      <c r="H704" s="179"/>
      <c r="I704" s="179"/>
      <c r="J704" s="179"/>
      <c r="K704" s="179"/>
      <c r="L704" s="179"/>
      <c r="M704" s="179"/>
      <c r="N704" s="179"/>
      <c r="O704" s="179"/>
      <c r="P704" s="179"/>
      <c r="Q704" s="179"/>
      <c r="R704" s="179"/>
      <c r="S704" s="179"/>
      <c r="T704" s="698"/>
      <c r="U704" s="698"/>
      <c r="V704" s="698"/>
      <c r="W704" s="186"/>
    </row>
    <row r="705" spans="2:23" s="10" customFormat="1" ht="69.75" hidden="1" customHeight="1">
      <c r="B705" s="87"/>
      <c r="C705" s="178"/>
      <c r="D705" s="967" t="str">
        <f>IF(V727=0,"None of the items under this category is selected.",IF(T714=294,D723,D732))</f>
        <v>Your personal expenditure on recreation activities are selected from 3 out of 3 items. Your cost of recreation index (percentage ratio) is calculated based on these spending pattern over a month according to your usage. Therefore, based on this item preferences, your personal spending on recreation is 21.61 % lower in Tucson in comparison to Dubai.</v>
      </c>
      <c r="E705" s="967"/>
      <c r="F705" s="967"/>
      <c r="G705" s="967"/>
      <c r="H705" s="967"/>
      <c r="I705" s="967"/>
      <c r="J705" s="967"/>
      <c r="K705" s="967"/>
      <c r="L705" s="967"/>
      <c r="M705" s="967"/>
      <c r="N705" s="967"/>
      <c r="O705" s="967"/>
      <c r="P705" s="967"/>
      <c r="Q705" s="967"/>
      <c r="R705" s="967"/>
      <c r="S705" s="1003"/>
      <c r="T705" s="1003"/>
      <c r="U705" s="1003"/>
      <c r="V705" s="1003"/>
      <c r="W705" s="186"/>
    </row>
    <row r="706" spans="2:23" s="10" customFormat="1" ht="57" hidden="1" customHeight="1">
      <c r="B706" s="87"/>
      <c r="C706" s="178"/>
      <c r="D706" s="968" t="str">
        <f>IF(V727=0,"None of the items under this category is selected.",IF(T714=294,D723,D733))</f>
        <v>In other words,  you need to spend more in Dubai in order to enjoy these same recreation you paid in Tucson. Hence, using the same 3 items in this category, you need to pay an amount of  USD154.00 in Tucson  while in Dubai you need to pay approximately around USD196.45.</v>
      </c>
      <c r="E706" s="968"/>
      <c r="F706" s="968"/>
      <c r="G706" s="968"/>
      <c r="H706" s="968"/>
      <c r="I706" s="968"/>
      <c r="J706" s="968"/>
      <c r="K706" s="968"/>
      <c r="L706" s="968"/>
      <c r="M706" s="968"/>
      <c r="N706" s="968"/>
      <c r="O706" s="968"/>
      <c r="P706" s="968"/>
      <c r="Q706" s="968"/>
      <c r="R706" s="968"/>
      <c r="S706" s="968"/>
      <c r="T706" s="968"/>
      <c r="U706" s="968"/>
      <c r="V706" s="968"/>
      <c r="W706" s="186"/>
    </row>
    <row r="707" spans="2:23" s="10" customFormat="1" ht="15" hidden="1" customHeight="1">
      <c r="B707" s="87"/>
      <c r="C707" s="178"/>
      <c r="D707" s="699"/>
      <c r="E707" s="181"/>
      <c r="F707" s="698"/>
      <c r="G707" s="698"/>
      <c r="H707" s="693"/>
      <c r="I707" s="515" t="str">
        <f>$I$129</f>
        <v>Dubai, United Arab Emirates</v>
      </c>
      <c r="J707" s="698"/>
      <c r="K707" s="698"/>
      <c r="L707" s="215" t="str">
        <f>W710</f>
        <v>rates</v>
      </c>
      <c r="M707" s="215"/>
      <c r="N707" s="215"/>
      <c r="O707" s="215"/>
      <c r="P707" s="699"/>
      <c r="Q707" s="516" t="s">
        <v>0</v>
      </c>
      <c r="R707" s="697"/>
      <c r="S707" s="698"/>
      <c r="T707" s="700"/>
      <c r="U707" s="698"/>
      <c r="V707" s="699"/>
      <c r="W707" s="186"/>
    </row>
    <row r="708" spans="2:23" s="10" customFormat="1" ht="24" hidden="1" thickBot="1">
      <c r="B708" s="87"/>
      <c r="C708" s="517" t="str">
        <f>W591</f>
        <v>USD</v>
      </c>
      <c r="D708" s="518" t="str">
        <f>$Q$127</f>
        <v>Tucson, AZ, United States</v>
      </c>
      <c r="E708" s="181"/>
      <c r="F708" s="698"/>
      <c r="G708" s="698"/>
      <c r="H708" s="693"/>
      <c r="I708" s="693"/>
      <c r="J708" s="693"/>
      <c r="K708" s="694">
        <f>IF(W709&lt;0,W709,Q708)</f>
        <v>-0.6</v>
      </c>
      <c r="L708" s="694"/>
      <c r="M708" s="694"/>
      <c r="N708" s="694"/>
      <c r="O708" s="694"/>
      <c r="P708" s="693" t="s">
        <v>0</v>
      </c>
      <c r="Q708" s="519">
        <f>MIN(P710:P712)</f>
        <v>-0.6</v>
      </c>
      <c r="R708" s="586" t="str">
        <f>IF(W709&lt;0,"negatif","positif")</f>
        <v>positif</v>
      </c>
      <c r="S708" s="698"/>
      <c r="T708" s="700"/>
      <c r="U708" s="698"/>
      <c r="V708" s="520" t="str">
        <f>$T$709</f>
        <v>Dubai</v>
      </c>
      <c r="W708" s="186"/>
    </row>
    <row r="709" spans="2:23" s="10" customFormat="1" ht="26.25" hidden="1" thickBot="1">
      <c r="B709" s="87"/>
      <c r="C709" s="362" t="str">
        <f>VLOOKUP(D708,Data!L$3:N$398,2,FALSE)</f>
        <v>Tucson</v>
      </c>
      <c r="D709" s="747" t="str">
        <f>'Full Report'!C55</f>
        <v>Recreation And Leisure</v>
      </c>
      <c r="E709" s="522" t="s">
        <v>1175</v>
      </c>
      <c r="F709" s="523" t="s">
        <v>540</v>
      </c>
      <c r="G709" s="524" t="str">
        <f>C709</f>
        <v>Tucson</v>
      </c>
      <c r="H709" s="523" t="str">
        <f>I707&amp;" in US dollar"</f>
        <v>Dubai, United Arab Emirates in US dollar</v>
      </c>
      <c r="I709" s="525" t="str">
        <f>$I$587</f>
        <v>Dubai</v>
      </c>
      <c r="J709" s="526"/>
      <c r="K709" s="526"/>
      <c r="L709" s="527" t="s">
        <v>1176</v>
      </c>
      <c r="M709" s="527"/>
      <c r="N709" s="528"/>
      <c r="O709" s="529"/>
      <c r="P709" s="758" t="str">
        <f>"        Cost difference"&amp;" in "&amp;C709</f>
        <v xml:space="preserve">        Cost difference in Tucson</v>
      </c>
      <c r="Q709" s="539"/>
      <c r="R709" s="540"/>
      <c r="S709" s="530"/>
      <c r="T709" s="531" t="str">
        <f>I709</f>
        <v>Dubai</v>
      </c>
      <c r="U709" s="532"/>
      <c r="V709" s="749" t="s">
        <v>1222</v>
      </c>
      <c r="W709" s="602">
        <f>MAX(P710:P712)</f>
        <v>1.474022761009401</v>
      </c>
    </row>
    <row r="710" spans="2:23" s="10" customFormat="1" hidden="1">
      <c r="B710" s="87"/>
      <c r="C710" s="533">
        <f>P710</f>
        <v>-0.6</v>
      </c>
      <c r="D710" s="587" t="str">
        <f>'Full Report'!C56</f>
        <v>Fitness Club, Monthly Fee for 1 Adult</v>
      </c>
      <c r="E710" s="534">
        <f>Recreation!J6</f>
        <v>1</v>
      </c>
      <c r="F710" s="535">
        <f>VLOOKUP(Q$127,CPI!C$4:AZ$394,30,FALSE)</f>
        <v>40</v>
      </c>
      <c r="G710" s="311">
        <f>F710*E$204</f>
        <v>40</v>
      </c>
      <c r="H710" s="535">
        <f>VLOOKUP(I$129,CPI!C$4:AZ$394,30,FALSE)</f>
        <v>100</v>
      </c>
      <c r="I710" s="536">
        <f>H710*E$204</f>
        <v>100</v>
      </c>
      <c r="J710" s="418">
        <f>F710/H710</f>
        <v>0.4</v>
      </c>
      <c r="K710" s="418" t="s">
        <v>1198</v>
      </c>
      <c r="L710" s="693">
        <f>E710*G710</f>
        <v>40</v>
      </c>
      <c r="M710" s="693"/>
      <c r="N710" s="537"/>
      <c r="O710" s="698"/>
      <c r="P710" s="538">
        <f>J710-1</f>
        <v>-0.6</v>
      </c>
      <c r="Q710" s="539" t="str">
        <f>IF(P710=0,"% or equal in ",IF(F710&lt;H710,"lower than in ","higher than in "))</f>
        <v xml:space="preserve">lower than in </v>
      </c>
      <c r="R710" s="540" t="str">
        <f>V708</f>
        <v>Dubai</v>
      </c>
      <c r="S710" s="541"/>
      <c r="T710" s="700">
        <f>IF(P710=0,98,IF(P710&lt;0,0,1))</f>
        <v>0</v>
      </c>
      <c r="U710" s="542"/>
      <c r="V710" s="543">
        <f>IF(E710=0,"not consume",I710*E710)</f>
        <v>100</v>
      </c>
      <c r="W710" s="178" t="str">
        <f>RIGHT(I707,5)</f>
        <v>rates</v>
      </c>
    </row>
    <row r="711" spans="2:23" s="10" customFormat="1" hidden="1">
      <c r="B711" s="87"/>
      <c r="C711" s="533">
        <f>P711</f>
        <v>1.474022761009401</v>
      </c>
      <c r="D711" s="587" t="str">
        <f>'Full Report'!C57</f>
        <v>Tennis Court Rent (1 Hour on Weekend)</v>
      </c>
      <c r="E711" s="544">
        <f>Recreation!J7</f>
        <v>1</v>
      </c>
      <c r="F711" s="535">
        <f>VLOOKUP(Q$127,CPI!C$4:AZ$394,31,FALSE)</f>
        <v>50</v>
      </c>
      <c r="G711" s="311">
        <f>F711*E$204</f>
        <v>50</v>
      </c>
      <c r="H711" s="535">
        <f>VLOOKUP(I$129,CPI!C$4:AZ$394,31,FALSE)</f>
        <v>20.21</v>
      </c>
      <c r="I711" s="536">
        <f>H711*E$204</f>
        <v>20.21</v>
      </c>
      <c r="J711" s="418">
        <f>F711/H711</f>
        <v>2.474022761009401</v>
      </c>
      <c r="K711" s="418" t="s">
        <v>1199</v>
      </c>
      <c r="L711" s="693">
        <f>E711*G711</f>
        <v>50</v>
      </c>
      <c r="M711" s="693"/>
      <c r="N711" s="537"/>
      <c r="O711" s="698"/>
      <c r="P711" s="538">
        <f>J711-1</f>
        <v>1.474022761009401</v>
      </c>
      <c r="Q711" s="539" t="str">
        <f>IF(P711=0,"% or equal in ",IF(F711&lt;H711,"lower than in ","higher than in "))</f>
        <v xml:space="preserve">higher than in </v>
      </c>
      <c r="R711" s="540" t="str">
        <f>V708</f>
        <v>Dubai</v>
      </c>
      <c r="S711" s="541"/>
      <c r="T711" s="700">
        <f>IF(P711=0,98,IF(P711&lt;0,0,1))</f>
        <v>1</v>
      </c>
      <c r="U711" s="542"/>
      <c r="V711" s="543">
        <f>IF(E711=0,"not consume",I711*E711)</f>
        <v>20.21</v>
      </c>
      <c r="W711" s="186"/>
    </row>
    <row r="712" spans="2:23" s="10" customFormat="1" hidden="1">
      <c r="B712" s="87"/>
      <c r="C712" s="533">
        <f>P712</f>
        <v>-0.16054564533053506</v>
      </c>
      <c r="D712" s="587" t="str">
        <f>'Full Report'!C58</f>
        <v>Movie Theatre, International Release, 1 Seat</v>
      </c>
      <c r="E712" s="544">
        <f>Recreation!J8</f>
        <v>8.0000000001</v>
      </c>
      <c r="F712" s="535">
        <f>VLOOKUP(Q$127,CPI!C$4:AZ$394,32,FALSE)</f>
        <v>8</v>
      </c>
      <c r="G712" s="311">
        <f>F712*E$204</f>
        <v>8</v>
      </c>
      <c r="H712" s="535">
        <f>VLOOKUP(I$129,CPI!C$4:AZ$394,32,FALSE)</f>
        <v>9.5299999999999994</v>
      </c>
      <c r="I712" s="536">
        <f>H712*E$204</f>
        <v>9.5299999999999994</v>
      </c>
      <c r="J712" s="418">
        <f>F712/H712</f>
        <v>0.83945435466946494</v>
      </c>
      <c r="K712" s="418" t="s">
        <v>1200</v>
      </c>
      <c r="L712" s="693">
        <f>E712*G712</f>
        <v>64.0000000008</v>
      </c>
      <c r="M712" s="693"/>
      <c r="N712" s="537"/>
      <c r="O712" s="698"/>
      <c r="P712" s="538">
        <f>J712-1</f>
        <v>-0.16054564533053506</v>
      </c>
      <c r="Q712" s="539" t="str">
        <f>IF(P712=0,"% or equal in ",IF(F712&lt;H712,"lower than in ","higher than in "))</f>
        <v xml:space="preserve">lower than in </v>
      </c>
      <c r="R712" s="540" t="str">
        <f>V708</f>
        <v>Dubai</v>
      </c>
      <c r="S712" s="541"/>
      <c r="T712" s="700">
        <f>IF(P712=0,98,IF(P712&lt;0,0,1))</f>
        <v>0</v>
      </c>
      <c r="U712" s="542"/>
      <c r="V712" s="543">
        <f>IF(E712=0,"not consume",I712*E712)</f>
        <v>76.240000000952989</v>
      </c>
      <c r="W712" s="186"/>
    </row>
    <row r="713" spans="2:23" s="10" customFormat="1" ht="24" hidden="1" thickBot="1">
      <c r="B713" s="87"/>
      <c r="C713" s="178" t="s">
        <v>0</v>
      </c>
      <c r="D713" s="587"/>
      <c r="E713" s="544"/>
      <c r="F713" s="535">
        <f>SUM(F710:F712)</f>
        <v>98</v>
      </c>
      <c r="G713" s="311">
        <f>SUM(G710:G712)</f>
        <v>98</v>
      </c>
      <c r="H713" s="535">
        <f>SUM(H710:H712)</f>
        <v>129.74</v>
      </c>
      <c r="I713" s="536">
        <f>SUM(I710:I712)</f>
        <v>129.74</v>
      </c>
      <c r="J713" s="418">
        <f>F713/H713</f>
        <v>0.75535686758131637</v>
      </c>
      <c r="K713" s="418">
        <f>G713/I713</f>
        <v>0.75535686758131637</v>
      </c>
      <c r="L713" s="693">
        <f>SUM(L710:L712)</f>
        <v>154.00000000080001</v>
      </c>
      <c r="M713" s="693"/>
      <c r="N713" s="537"/>
      <c r="O713" s="698"/>
      <c r="P713" s="763">
        <f>J713-1</f>
        <v>-0.24464313241868363</v>
      </c>
      <c r="Q713" s="764" t="str">
        <f>IF(P713=0,"% or equal in ",IF(F713&lt;H713,"lower than in ","higher than in "))</f>
        <v xml:space="preserve">lower than in </v>
      </c>
      <c r="R713" s="540"/>
      <c r="S713" s="541"/>
      <c r="T713" s="700">
        <f>SUM(T710:T712)</f>
        <v>1</v>
      </c>
      <c r="U713" s="542"/>
      <c r="V713" s="765">
        <f>SUM(V710:V712)</f>
        <v>196.450000000953</v>
      </c>
      <c r="W713" s="265">
        <f>L713/V713</f>
        <v>0.78391448205677239</v>
      </c>
    </row>
    <row r="714" spans="2:23" s="10" customFormat="1" ht="24" hidden="1" thickTop="1">
      <c r="B714" s="87"/>
      <c r="C714" s="178" t="s">
        <v>0</v>
      </c>
      <c r="D714" s="405" t="s">
        <v>1166</v>
      </c>
      <c r="E714" s="563" t="s">
        <v>0</v>
      </c>
      <c r="F714" s="691"/>
      <c r="G714" s="692"/>
      <c r="H714" s="691"/>
      <c r="I714" s="690"/>
      <c r="J714" s="694"/>
      <c r="K714" s="694"/>
      <c r="L714" s="694"/>
      <c r="M714" s="694"/>
      <c r="N714" s="694"/>
      <c r="O714" s="694"/>
      <c r="P714" s="695">
        <f>ABS(P713)</f>
        <v>0.24464313241868363</v>
      </c>
      <c r="Q714" s="696"/>
      <c r="R714" s="697"/>
      <c r="S714" s="698"/>
      <c r="T714" s="564">
        <f>T713</f>
        <v>1</v>
      </c>
      <c r="U714" s="698"/>
      <c r="V714" s="699"/>
      <c r="W714" s="186"/>
    </row>
    <row r="715" spans="2:23" s="10" customFormat="1" hidden="1">
      <c r="B715" s="87"/>
      <c r="C715" s="178">
        <v>1</v>
      </c>
      <c r="D715" s="690" t="s">
        <v>1220</v>
      </c>
      <c r="E715" s="690"/>
      <c r="F715" s="565"/>
      <c r="G715" s="511">
        <f>P714</f>
        <v>0.24464313241868363</v>
      </c>
      <c r="H715" s="566" t="str">
        <f>Q713</f>
        <v xml:space="preserve">lower than in </v>
      </c>
      <c r="I715" s="691" t="str">
        <f>I707</f>
        <v>Dubai, United Arab Emirates</v>
      </c>
      <c r="J715" s="266" t="str">
        <f>IF(P713&lt;0,"However, as shown in the graph below, "," As shown in the graph below, ")</f>
        <v xml:space="preserve">However, as shown in the graph below, </v>
      </c>
      <c r="K715" s="567" t="str">
        <f>IF(T713&gt;16,K717,IF(T713=0,K718,K716))</f>
        <v xml:space="preserve">1 out of 3 items under this category are higher than in </v>
      </c>
      <c r="L715" s="567"/>
      <c r="M715" s="567"/>
      <c r="N715" s="567"/>
      <c r="O715" s="567"/>
      <c r="P715" s="568"/>
      <c r="Q715" s="569"/>
      <c r="R715" s="697"/>
      <c r="S715" s="698"/>
      <c r="T715" s="700"/>
      <c r="U715" s="698"/>
      <c r="V715" s="699"/>
      <c r="W715" s="186"/>
    </row>
    <row r="716" spans="2:23" s="10" customFormat="1" hidden="1">
      <c r="B716" s="87"/>
      <c r="C716" s="178"/>
      <c r="D716" s="690" t="str">
        <f>IF(T714=3,"Without a doubt, on average it is more",IF(T714=0,"Definitely, on average it is more","It seems that, on average it is more"))</f>
        <v>It seems that, on average it is more</v>
      </c>
      <c r="E716" s="690" t="str">
        <f>IF(P713&lt;0," cheaper to spend money for recreation in "," expensive to spend money for recreation in ")</f>
        <v xml:space="preserve"> cheaper to spend money for recreation in </v>
      </c>
      <c r="F716" s="565"/>
      <c r="G716" s="699"/>
      <c r="H716" s="570" t="str">
        <f>G709</f>
        <v>Tucson</v>
      </c>
      <c r="I716" s="691"/>
      <c r="J716" s="266"/>
      <c r="K716" s="571" t="str">
        <f>T714&amp;" out of 3 items under this category are higher than in "</f>
        <v xml:space="preserve">1 out of 3 items under this category are higher than in </v>
      </c>
      <c r="L716" s="571"/>
      <c r="M716" s="571"/>
      <c r="N716" s="571"/>
      <c r="O716" s="571"/>
      <c r="P716" s="568"/>
      <c r="Q716" s="569"/>
      <c r="R716" s="697"/>
      <c r="S716" s="698"/>
      <c r="T716" s="700"/>
      <c r="U716" s="698"/>
      <c r="V716" s="699"/>
      <c r="W716" s="186"/>
    </row>
    <row r="717" spans="2:23" s="10" customFormat="1" hidden="1">
      <c r="B717" s="87"/>
      <c r="C717" s="178">
        <v>2</v>
      </c>
      <c r="D717" s="675" t="str">
        <f>VLOOKUP(W709,C710:D712,2,FALSE)</f>
        <v>Tennis Court Rent (1 Hour on Weekend)</v>
      </c>
      <c r="E717" s="572"/>
      <c r="F717" s="675" t="s">
        <v>1169</v>
      </c>
      <c r="G717" s="678"/>
      <c r="H717" s="677"/>
      <c r="I717" s="573" t="str">
        <f>I715</f>
        <v>Dubai, United Arab Emirates</v>
      </c>
      <c r="J717" s="679"/>
      <c r="K717" s="571" t="str">
        <f>FIXED(T714/100,0)&amp;" out of 3 items under this category have equal price as in "</f>
        <v xml:space="preserve">0 out of 3 items under this category have equal price as in </v>
      </c>
      <c r="L717" s="571"/>
      <c r="M717" s="571"/>
      <c r="N717" s="571"/>
      <c r="O717" s="571"/>
      <c r="P717" s="574"/>
      <c r="Q717" s="575"/>
      <c r="R717" s="682"/>
      <c r="S717" s="683"/>
      <c r="T717" s="576"/>
      <c r="U717" s="698"/>
      <c r="V717" s="699"/>
      <c r="W717" s="186"/>
    </row>
    <row r="718" spans="2:23" s="10" customFormat="1" hidden="1">
      <c r="B718" s="87"/>
      <c r="C718" s="178"/>
      <c r="D718" s="675" t="s">
        <v>1174</v>
      </c>
      <c r="E718" s="679">
        <f>VLOOKUP(W709,C710:D712,1,FALSE)</f>
        <v>1.474022761009401</v>
      </c>
      <c r="F718" s="675" t="s">
        <v>1171</v>
      </c>
      <c r="G718" s="678"/>
      <c r="H718" s="677" t="str">
        <f>C709</f>
        <v>Tucson</v>
      </c>
      <c r="I718" s="573"/>
      <c r="J718" s="679"/>
      <c r="K718" s="571" t="str">
        <f>" All items under this category have lower price than in "</f>
        <v xml:space="preserve"> All items under this category have lower price than in </v>
      </c>
      <c r="L718" s="571"/>
      <c r="M718" s="571"/>
      <c r="N718" s="571"/>
      <c r="O718" s="571"/>
      <c r="P718" s="680"/>
      <c r="Q718" s="577"/>
      <c r="R718" s="682"/>
      <c r="S718" s="683"/>
      <c r="T718" s="576"/>
      <c r="U718" s="698"/>
      <c r="V718" s="699"/>
      <c r="W718" s="186"/>
    </row>
    <row r="719" spans="2:23" s="10" customFormat="1" hidden="1">
      <c r="B719" s="87"/>
      <c r="C719" s="178">
        <v>3</v>
      </c>
      <c r="D719" s="675" t="str">
        <f>VLOOKUP(Q708,C710:D712,2,FALSE)</f>
        <v>Fitness Club, Monthly Fee for 1 Adult</v>
      </c>
      <c r="E719" s="578"/>
      <c r="F719" s="675" t="s">
        <v>1170</v>
      </c>
      <c r="G719" s="678"/>
      <c r="H719" s="677"/>
      <c r="I719" s="579" t="str">
        <f>I707</f>
        <v>Dubai, United Arab Emirates</v>
      </c>
      <c r="J719" s="679"/>
      <c r="K719" s="578"/>
      <c r="L719" s="578"/>
      <c r="M719" s="578"/>
      <c r="N719" s="578"/>
      <c r="O719" s="578"/>
      <c r="P719" s="680"/>
      <c r="Q719" s="681"/>
      <c r="R719" s="682"/>
      <c r="S719" s="683"/>
      <c r="T719" s="576"/>
      <c r="U719" s="698"/>
      <c r="V719" s="699"/>
      <c r="W719" s="186"/>
    </row>
    <row r="720" spans="2:23" s="10" customFormat="1" hidden="1">
      <c r="B720" s="87"/>
      <c r="C720" s="178"/>
      <c r="D720" s="675" t="s">
        <v>1174</v>
      </c>
      <c r="E720" s="679">
        <f>VLOOKUP(Q708,C710:D712,1,FALSE)</f>
        <v>-0.6</v>
      </c>
      <c r="F720" s="675" t="str">
        <f>$F$653</f>
        <v xml:space="preserve">higher than in </v>
      </c>
      <c r="G720" s="678"/>
      <c r="H720" s="677" t="str">
        <f>I719</f>
        <v>Dubai, United Arab Emirates</v>
      </c>
      <c r="I720" s="675"/>
      <c r="J720" s="679">
        <f>ABS(E720)</f>
        <v>0.6</v>
      </c>
      <c r="K720" s="679"/>
      <c r="L720" s="679"/>
      <c r="M720" s="679"/>
      <c r="N720" s="679"/>
      <c r="O720" s="679"/>
      <c r="P720" s="680"/>
      <c r="Q720" s="681"/>
      <c r="R720" s="682"/>
      <c r="S720" s="683"/>
      <c r="T720" s="576"/>
      <c r="U720" s="698"/>
      <c r="V720" s="699"/>
      <c r="W720" s="186"/>
    </row>
    <row r="721" spans="2:23" s="10" customFormat="1" hidden="1">
      <c r="B721" s="87"/>
      <c r="C721" s="178"/>
      <c r="D721" s="580" t="str">
        <f>J715&amp;K715&amp;R712&amp;". "&amp;D717&amp;" in "&amp;H718&amp;F717&amp;I717&amp;D718&amp;FIXED(E718*100)&amp;F718&amp;H718&amp;"."</f>
        <v>However, as shown in the graph below, 1 out of 3 items under this category are higher than in Dubai. Tennis Court Rent (1 Hour on Weekend) in Tucson is the most expensive item in comparison to Dubai, United Arab Emirates. Its cost is 147.40 % more expensive in Tucson.</v>
      </c>
      <c r="E721" s="675"/>
      <c r="F721" s="677"/>
      <c r="G721" s="678"/>
      <c r="H721" s="677"/>
      <c r="I721" s="675"/>
      <c r="J721" s="679"/>
      <c r="K721" s="679"/>
      <c r="L721" s="679"/>
      <c r="M721" s="679"/>
      <c r="N721" s="679"/>
      <c r="O721" s="679"/>
      <c r="P721" s="680"/>
      <c r="Q721" s="681"/>
      <c r="R721" s="682"/>
      <c r="S721" s="683"/>
      <c r="T721" s="576"/>
      <c r="U721" s="698"/>
      <c r="V721" s="699"/>
      <c r="W721" s="186"/>
    </row>
    <row r="722" spans="2:23" s="10" customFormat="1" hidden="1">
      <c r="B722" s="87"/>
      <c r="C722" s="178"/>
      <c r="D722" s="675" t="str">
        <f>K715&amp;V708&amp;". "&amp;D719&amp;F719&amp;R712&amp;D720&amp;FIXED(J720*100)&amp;"% "&amp;F720&amp;H720</f>
        <v>1 out of 3 items under this category are higher than in Dubai. Fitness Club, Monthly Fee for 1 Adult is the cheapest item in comparison to Dubai. Its cost is 60.00% higher than in Dubai, United Arab Emirates</v>
      </c>
      <c r="E722" s="676"/>
      <c r="F722" s="677"/>
      <c r="G722" s="678"/>
      <c r="H722" s="677"/>
      <c r="I722" s="675"/>
      <c r="J722" s="679"/>
      <c r="K722" s="679"/>
      <c r="L722" s="679"/>
      <c r="M722" s="679"/>
      <c r="N722" s="679"/>
      <c r="O722" s="679"/>
      <c r="P722" s="680"/>
      <c r="Q722" s="681"/>
      <c r="R722" s="682"/>
      <c r="S722" s="683"/>
      <c r="T722" s="576"/>
      <c r="U722" s="698"/>
      <c r="V722" s="699"/>
      <c r="W722" s="186"/>
    </row>
    <row r="723" spans="2:23" s="10" customFormat="1" hidden="1">
      <c r="B723" s="87"/>
      <c r="C723" s="178"/>
      <c r="D723" s="675" t="s">
        <v>1173</v>
      </c>
      <c r="E723" s="676"/>
      <c r="F723" s="677"/>
      <c r="G723" s="678"/>
      <c r="H723" s="677"/>
      <c r="I723" s="675"/>
      <c r="J723" s="679"/>
      <c r="K723" s="679"/>
      <c r="L723" s="679"/>
      <c r="M723" s="679"/>
      <c r="N723" s="679"/>
      <c r="O723" s="679"/>
      <c r="P723" s="680"/>
      <c r="Q723" s="681"/>
      <c r="R723" s="682"/>
      <c r="S723" s="683"/>
      <c r="T723" s="576"/>
      <c r="U723" s="698"/>
      <c r="V723" s="699"/>
      <c r="W723" s="186"/>
    </row>
    <row r="724" spans="2:23" s="10" customFormat="1" hidden="1">
      <c r="B724" s="87"/>
      <c r="C724" s="178"/>
      <c r="D724" s="958"/>
      <c r="E724" s="959"/>
      <c r="F724" s="960"/>
      <c r="G724" s="961"/>
      <c r="H724" s="960"/>
      <c r="I724" s="958"/>
      <c r="J724" s="962"/>
      <c r="K724" s="962"/>
      <c r="L724" s="962"/>
      <c r="M724" s="962"/>
      <c r="N724" s="962"/>
      <c r="O724" s="962"/>
      <c r="P724" s="963"/>
      <c r="Q724" s="964"/>
      <c r="R724" s="965"/>
      <c r="S724" s="966"/>
      <c r="T724" s="576"/>
      <c r="U724" s="698"/>
      <c r="V724" s="699"/>
      <c r="W724" s="186"/>
    </row>
    <row r="725" spans="2:23" s="10" customFormat="1" hidden="1">
      <c r="B725" s="87"/>
      <c r="C725" s="178"/>
      <c r="D725" s="979" t="str">
        <f>D715&amp;D708&amp;" is "&amp;FIXED(G715*100)&amp;"% "&amp;H715&amp;I715&amp;". "&amp;D716&amp;E716&amp;H716&amp;". "</f>
        <v xml:space="preserve">Overall, based on 3 items in the Recreation category, the cost of recreation in Tucson, AZ, United States is 24.46% lower than in Dubai, United Arab Emirates. It seems that, on average it is more cheaper to spend money for recreation in Tucson. </v>
      </c>
      <c r="E725" s="979"/>
      <c r="F725" s="979"/>
      <c r="G725" s="979"/>
      <c r="H725" s="979"/>
      <c r="I725" s="979"/>
      <c r="J725" s="979"/>
      <c r="K725" s="979"/>
      <c r="L725" s="979"/>
      <c r="M725" s="979"/>
      <c r="N725" s="979"/>
      <c r="O725" s="979"/>
      <c r="P725" s="979"/>
      <c r="Q725" s="979"/>
      <c r="R725" s="979"/>
      <c r="S725" s="979"/>
      <c r="T725" s="576"/>
      <c r="U725" s="698"/>
      <c r="V725" s="699"/>
      <c r="W725" s="186"/>
    </row>
    <row r="726" spans="2:23" s="10" customFormat="1" ht="106.5" hidden="1">
      <c r="B726" s="87"/>
      <c r="C726" s="178"/>
      <c r="D726" s="684" t="str">
        <f>IF(W709&lt;0,D722,IF(W709=0,D722,D721))</f>
        <v>However, as shown in the graph below, 1 out of 3 items under this category are higher than in Dubai. Tennis Court Rent (1 Hour on Weekend) in Tucson is the most expensive item in comparison to Dubai, United Arab Emirates. Its cost is 147.40 % more expensive in Tucson.</v>
      </c>
      <c r="E726" s="684"/>
      <c r="F726" s="684"/>
      <c r="G726" s="684"/>
      <c r="H726" s="684"/>
      <c r="I726" s="684"/>
      <c r="J726" s="684"/>
      <c r="K726" s="684"/>
      <c r="L726" s="684"/>
      <c r="M726" s="684"/>
      <c r="N726" s="684"/>
      <c r="O726" s="684"/>
      <c r="P726" s="684"/>
      <c r="Q726" s="684"/>
      <c r="R726" s="684"/>
      <c r="S726" s="684"/>
      <c r="T726" s="576"/>
      <c r="U726" s="698"/>
      <c r="V726" s="699"/>
      <c r="W726" s="186"/>
    </row>
    <row r="727" spans="2:23" s="10" customFormat="1" hidden="1">
      <c r="B727" s="87"/>
      <c r="C727" s="178"/>
      <c r="D727" s="686" t="str">
        <f>"Your personal expenditure on recreation activities are selected from "&amp;V727&amp;" out of 3 items. Your cost of recreation index (percentage ratio) is calculated based on these spending pattern over a month according to your usage. "</f>
        <v xml:space="preserve">Your personal expenditure on recreation activities are selected from 3 out of 3 items. Your cost of recreation index (percentage ratio) is calculated based on these spending pattern over a month according to your usage. </v>
      </c>
      <c r="E727" s="674"/>
      <c r="F727" s="674"/>
      <c r="G727" s="674"/>
      <c r="H727" s="674"/>
      <c r="I727" s="674"/>
      <c r="J727" s="674"/>
      <c r="K727" s="674"/>
      <c r="L727" s="684"/>
      <c r="M727" s="684"/>
      <c r="N727" s="684"/>
      <c r="O727" s="684"/>
      <c r="P727" s="684"/>
      <c r="Q727" s="684"/>
      <c r="R727" s="687"/>
      <c r="S727" s="684"/>
      <c r="T727" s="576"/>
      <c r="U727" s="464"/>
      <c r="V727" s="464">
        <f>COUNT(V710:V712)</f>
        <v>3</v>
      </c>
      <c r="W727" s="318">
        <f>W713-1</f>
        <v>-0.21608551794322761</v>
      </c>
    </row>
    <row r="728" spans="2:23" s="10" customFormat="1" ht="56.25" hidden="1" customHeight="1">
      <c r="B728" s="87"/>
      <c r="C728" s="178"/>
      <c r="D728" s="686" t="s">
        <v>1251</v>
      </c>
      <c r="E728" s="674"/>
      <c r="F728" s="674"/>
      <c r="G728" s="674"/>
      <c r="H728" s="674"/>
      <c r="I728" s="674">
        <f>ABS(W727)*100</f>
        <v>21.608551794322761</v>
      </c>
      <c r="J728" s="674" t="str">
        <f>IF(W727&lt;0,"% lower in ","% higher in ")</f>
        <v xml:space="preserve">% lower in </v>
      </c>
      <c r="K728" s="584" t="str">
        <f>G709</f>
        <v>Tucson</v>
      </c>
      <c r="L728" s="684" t="s">
        <v>1203</v>
      </c>
      <c r="M728" s="583" t="str">
        <f>V708</f>
        <v>Dubai</v>
      </c>
      <c r="N728" s="684"/>
      <c r="O728" s="684"/>
      <c r="P728" s="684"/>
      <c r="Q728" s="684"/>
      <c r="R728" s="687"/>
      <c r="S728" s="684"/>
      <c r="T728" s="576"/>
      <c r="U728" s="464"/>
      <c r="V728" s="464"/>
      <c r="W728" s="318"/>
    </row>
    <row r="729" spans="2:23" s="10" customFormat="1" ht="54.75" hidden="1" customHeight="1">
      <c r="B729" s="87"/>
      <c r="C729" s="178"/>
      <c r="D729" s="686" t="str">
        <f>IF(P716&lt;0,"In conclusion, ","In other words, ")</f>
        <v xml:space="preserve">In other words, </v>
      </c>
      <c r="E729" s="674"/>
      <c r="F729" s="674" t="str">
        <f>IF(W727&lt;0," you need to spend more in "," you spend less in ")</f>
        <v xml:space="preserve"> you need to spend more in </v>
      </c>
      <c r="G729" s="584" t="str">
        <f>R710</f>
        <v>Dubai</v>
      </c>
      <c r="H729" s="674" t="s">
        <v>1219</v>
      </c>
      <c r="I729" s="674"/>
      <c r="J729" s="674"/>
      <c r="K729" s="584" t="str">
        <f>G709</f>
        <v>Tucson</v>
      </c>
      <c r="L729" s="684"/>
      <c r="M729" s="684"/>
      <c r="N729" s="684"/>
      <c r="O729" s="684"/>
      <c r="P729" s="684"/>
      <c r="Q729" s="684"/>
      <c r="R729" s="687"/>
      <c r="S729" s="684"/>
      <c r="T729" s="576"/>
      <c r="U729" s="464"/>
      <c r="V729" s="464"/>
      <c r="W729" s="318"/>
    </row>
    <row r="730" spans="2:23" s="10" customFormat="1" ht="61.5" hidden="1">
      <c r="B730" s="87"/>
      <c r="C730" s="178"/>
      <c r="D730" s="686" t="s">
        <v>1221</v>
      </c>
      <c r="E730" s="674" t="s">
        <v>0</v>
      </c>
      <c r="F730" s="674"/>
      <c r="G730" s="674">
        <f>V727</f>
        <v>3</v>
      </c>
      <c r="H730" s="674" t="s">
        <v>1209</v>
      </c>
      <c r="I730" s="674"/>
      <c r="J730" s="674">
        <f>L713</f>
        <v>154.00000000080001</v>
      </c>
      <c r="K730" s="584" t="str">
        <f>G709</f>
        <v>Tucson</v>
      </c>
      <c r="L730" s="684" t="s">
        <v>1206</v>
      </c>
      <c r="M730" s="583" t="str">
        <f>V708</f>
        <v>Dubai</v>
      </c>
      <c r="N730" s="684" t="s">
        <v>1218</v>
      </c>
      <c r="O730" s="684">
        <f>V713</f>
        <v>196.450000000953</v>
      </c>
      <c r="P730" s="684"/>
      <c r="Q730" s="684"/>
      <c r="R730" s="687"/>
      <c r="S730" s="684"/>
      <c r="T730" s="576"/>
      <c r="U730" s="464"/>
      <c r="V730" s="464"/>
      <c r="W730" s="318"/>
    </row>
    <row r="731" spans="2:23" s="10" customFormat="1" hidden="1">
      <c r="B731" s="87"/>
      <c r="C731" s="178"/>
      <c r="D731" s="1016"/>
      <c r="E731" s="969"/>
      <c r="F731" s="969"/>
      <c r="G731" s="969"/>
      <c r="H731" s="969"/>
      <c r="I731" s="969"/>
      <c r="J731" s="969"/>
      <c r="K731" s="969"/>
      <c r="L731" s="979"/>
      <c r="M731" s="979"/>
      <c r="N731" s="979"/>
      <c r="O731" s="979"/>
      <c r="P731" s="979"/>
      <c r="Q731" s="979"/>
      <c r="R731" s="1017"/>
      <c r="S731" s="684"/>
      <c r="T731" s="576"/>
      <c r="U731" s="464"/>
      <c r="V731" s="464"/>
      <c r="W731" s="318"/>
    </row>
    <row r="732" spans="2:23" s="10" customFormat="1" ht="27.75" hidden="1" customHeight="1">
      <c r="B732" s="87"/>
      <c r="C732" s="178"/>
      <c r="D732" s="969" t="str">
        <f>D727&amp;D728&amp;" "&amp;FIXED(I728,2)&amp;" "&amp;J728&amp;K728&amp;L728&amp;M728&amp;"."</f>
        <v>Your personal expenditure on recreation activities are selected from 3 out of 3 items. Your cost of recreation index (percentage ratio) is calculated based on these spending pattern over a month according to your usage. Therefore, based on this item preferences, your personal spending on recreation is 21.61 % lower in Tucson in comparison to Dubai.</v>
      </c>
      <c r="E732" s="969"/>
      <c r="F732" s="969"/>
      <c r="G732" s="969"/>
      <c r="H732" s="969"/>
      <c r="I732" s="969"/>
      <c r="J732" s="969"/>
      <c r="K732" s="969"/>
      <c r="L732" s="969"/>
      <c r="M732" s="969"/>
      <c r="N732" s="969"/>
      <c r="O732" s="969"/>
      <c r="P732" s="969"/>
      <c r="Q732" s="969"/>
      <c r="R732" s="969"/>
      <c r="S732" s="684"/>
      <c r="T732" s="683"/>
      <c r="U732" s="464"/>
      <c r="V732" s="464"/>
      <c r="W732" s="186"/>
    </row>
    <row r="733" spans="2:23" s="10" customFormat="1" ht="52.5" hidden="1" customHeight="1">
      <c r="B733" s="87"/>
      <c r="C733" s="178"/>
      <c r="D733" s="607" t="str">
        <f>D729&amp;F729&amp;G729&amp;H729&amp;I729&amp;J729&amp;K729&amp;D730&amp;G730&amp;H730&amp;" "&amp;Info!J8&amp;FIXED(J730,2)&amp;" in "&amp;K730&amp;" "&amp;L730&amp;M730&amp;N730&amp;" "&amp;Info!J8&amp;FIXED(O730,2)&amp;"."</f>
        <v>In other words,  you need to spend more in Dubai in order to enjoy these same recreation you paid in Tucson. Hence, using the same 3 items in this category, you need to pay an amount of  USD154.00 in Tucson  while in Dubai you need to pay approximately around USD196.45.</v>
      </c>
      <c r="E733" s="607"/>
      <c r="F733" s="607"/>
      <c r="G733" s="607"/>
      <c r="H733" s="607"/>
      <c r="I733" s="607"/>
      <c r="J733" s="607"/>
      <c r="K733" s="607"/>
      <c r="L733" s="607"/>
      <c r="M733" s="607"/>
      <c r="N733" s="607"/>
      <c r="O733" s="607"/>
      <c r="P733" s="607"/>
      <c r="Q733" s="607"/>
      <c r="R733" s="607"/>
      <c r="S733" s="684"/>
      <c r="T733" s="683"/>
      <c r="U733" s="464"/>
      <c r="V733" s="464"/>
      <c r="W733" s="186"/>
    </row>
    <row r="734" spans="2:23" s="10" customFormat="1" ht="21" hidden="1" customHeight="1">
      <c r="B734" s="87"/>
      <c r="C734" s="178"/>
      <c r="D734" s="607"/>
      <c r="E734" s="607"/>
      <c r="F734" s="607"/>
      <c r="G734" s="607"/>
      <c r="H734" s="607"/>
      <c r="I734" s="607"/>
      <c r="J734" s="607"/>
      <c r="K734" s="607"/>
      <c r="L734" s="607"/>
      <c r="M734" s="607"/>
      <c r="N734" s="607"/>
      <c r="O734" s="607"/>
      <c r="P734" s="607"/>
      <c r="Q734" s="607"/>
      <c r="R734" s="607"/>
      <c r="S734" s="684"/>
      <c r="T734" s="683"/>
      <c r="U734" s="464"/>
      <c r="V734" s="464"/>
      <c r="W734" s="186"/>
    </row>
    <row r="735" spans="2:23" s="10" customFormat="1" ht="30" hidden="1" customHeight="1">
      <c r="B735" s="87"/>
      <c r="C735" s="178"/>
      <c r="D735" s="176" t="str">
        <f>"Personal Cost of Apparel And Footwear is "&amp;IF(P145&gt;0,"cheaper in ","more expensive in ")&amp;R515</f>
        <v>Personal Cost of Apparel And Footwear is more expensive in Dubai</v>
      </c>
      <c r="E735" s="179"/>
      <c r="F735" s="179"/>
      <c r="G735" s="179"/>
      <c r="H735" s="179"/>
      <c r="I735" s="179"/>
      <c r="J735" s="179"/>
      <c r="K735" s="179"/>
      <c r="L735" s="179"/>
      <c r="M735" s="179"/>
      <c r="N735" s="179"/>
      <c r="O735" s="179"/>
      <c r="P735" s="179"/>
      <c r="Q735" s="179"/>
      <c r="R735" s="179"/>
      <c r="S735" s="179"/>
      <c r="T735" s="699"/>
      <c r="U735" s="699"/>
      <c r="V735" s="699"/>
      <c r="W735" s="186"/>
    </row>
    <row r="736" spans="2:23" s="10" customFormat="1" ht="63.75" hidden="1" customHeight="1">
      <c r="B736" s="87"/>
      <c r="C736" s="178"/>
      <c r="D736" s="969" t="str">
        <f>IF(V760=0,"None of the items under this category is selected.",IF(T747=392,D756,D765))</f>
        <v>Your personal expenditure on apparel are selected from 3 out of 4 items. Your cost of apparel index (percentage ratio) is calculated based on these spending pattern over a month according to your amount of spending. Therefore, based on this item preferences, your personal spending on apparel is 34.38 % lower in Tucson in comparison to Dubai.</v>
      </c>
      <c r="E736" s="969"/>
      <c r="F736" s="969"/>
      <c r="G736" s="969"/>
      <c r="H736" s="969"/>
      <c r="I736" s="969"/>
      <c r="J736" s="969"/>
      <c r="K736" s="969"/>
      <c r="L736" s="969"/>
      <c r="M736" s="969"/>
      <c r="N736" s="969"/>
      <c r="O736" s="969"/>
      <c r="P736" s="969"/>
      <c r="Q736" s="969"/>
      <c r="R736" s="969"/>
      <c r="S736" s="954"/>
      <c r="T736" s="954"/>
      <c r="U736" s="954"/>
      <c r="V736" s="954"/>
      <c r="W736" s="186"/>
    </row>
    <row r="737" spans="2:23" s="10" customFormat="1" ht="58.5" hidden="1" customHeight="1">
      <c r="B737" s="87"/>
      <c r="C737" s="178"/>
      <c r="D737" s="969" t="str">
        <f>IF(V760=0,"None of the items under this category is selected.",IF(T747=392,D756,D766))</f>
        <v>In conclusion,  you need to spend more in Dubai in order to purchase these same items you paid in Tucson. Hence, purchasing the same 3 items in this category, you need to pay an amount of  USD222.50 in Tucson  while in Dubai you need to pay USD339.08.</v>
      </c>
      <c r="E737" s="969"/>
      <c r="F737" s="969"/>
      <c r="G737" s="969"/>
      <c r="H737" s="969"/>
      <c r="I737" s="969"/>
      <c r="J737" s="969"/>
      <c r="K737" s="969"/>
      <c r="L737" s="969"/>
      <c r="M737" s="969"/>
      <c r="N737" s="969"/>
      <c r="O737" s="969"/>
      <c r="P737" s="969"/>
      <c r="Q737" s="969"/>
      <c r="R737" s="969"/>
      <c r="S737" s="954"/>
      <c r="T737" s="954"/>
      <c r="U737" s="954"/>
      <c r="V737" s="954"/>
      <c r="W737" s="186"/>
    </row>
    <row r="738" spans="2:23" s="10" customFormat="1" hidden="1">
      <c r="B738" s="87"/>
      <c r="C738" s="178"/>
      <c r="D738" s="699"/>
      <c r="E738" s="181"/>
      <c r="F738" s="698"/>
      <c r="G738" s="698"/>
      <c r="H738" s="693"/>
      <c r="I738" s="515" t="str">
        <f>$I$129</f>
        <v>Dubai, United Arab Emirates</v>
      </c>
      <c r="J738" s="698"/>
      <c r="K738" s="698"/>
      <c r="L738" s="215" t="str">
        <f>C739</f>
        <v>rates</v>
      </c>
      <c r="M738" s="215"/>
      <c r="N738" s="215"/>
      <c r="O738" s="215"/>
      <c r="P738" s="699"/>
      <c r="Q738" s="516" t="s">
        <v>0</v>
      </c>
      <c r="R738" s="697"/>
      <c r="S738" s="698"/>
      <c r="T738" s="700"/>
      <c r="U738" s="698"/>
      <c r="V738" s="699"/>
      <c r="W738" s="186"/>
    </row>
    <row r="739" spans="2:23" s="10" customFormat="1" hidden="1">
      <c r="B739" s="87"/>
      <c r="C739" s="178" t="str">
        <f>RIGHT(I738,5)</f>
        <v>rates</v>
      </c>
      <c r="D739" s="518" t="str">
        <f>$Q$127</f>
        <v>Tucson, AZ, United States</v>
      </c>
      <c r="E739" s="181"/>
      <c r="F739" s="698"/>
      <c r="G739" s="698"/>
      <c r="H739" s="693"/>
      <c r="I739" s="693" t="s">
        <v>0</v>
      </c>
      <c r="J739" s="693" t="str">
        <f>VLOOKUP(Q739,C742:D745,2,FALSE)</f>
        <v>1 Pair of Sport Shoes (Nike etc.)</v>
      </c>
      <c r="K739" s="693"/>
      <c r="L739" s="693"/>
      <c r="M739" s="693"/>
      <c r="N739" s="693"/>
      <c r="O739" s="693"/>
      <c r="P739" s="693" t="s">
        <v>1167</v>
      </c>
      <c r="Q739" s="519">
        <f>MAX(P742:P745)</f>
        <v>-0.11238981390793346</v>
      </c>
      <c r="R739" s="261" t="str">
        <f>$T$741</f>
        <v>Dubai</v>
      </c>
      <c r="S739" s="698"/>
      <c r="T739" s="698"/>
      <c r="U739" s="698"/>
      <c r="V739" s="698"/>
      <c r="W739" s="186"/>
    </row>
    <row r="740" spans="2:23" s="10" customFormat="1" ht="24" hidden="1" thickBot="1">
      <c r="B740" s="87"/>
      <c r="C740" s="178"/>
      <c r="D740" s="181" t="str">
        <f>W591</f>
        <v>USD</v>
      </c>
      <c r="E740" s="181"/>
      <c r="F740" s="698"/>
      <c r="G740" s="698"/>
      <c r="H740" s="693"/>
      <c r="I740" s="693"/>
      <c r="J740" s="693"/>
      <c r="K740" s="694">
        <f>IF(Q739&lt;0,Q739,Q740)</f>
        <v>-0.11238981390793346</v>
      </c>
      <c r="L740" s="694"/>
      <c r="M740" s="694"/>
      <c r="N740" s="694"/>
      <c r="O740" s="694"/>
      <c r="P740" s="693" t="s">
        <v>1168</v>
      </c>
      <c r="Q740" s="519">
        <f>MIN(P742:P745)</f>
        <v>-0.6327130264446621</v>
      </c>
      <c r="R740" s="586" t="str">
        <f>IF(Q739&lt;0,"negatif","positif")</f>
        <v>negatif</v>
      </c>
      <c r="S740" s="698"/>
      <c r="T740" s="700"/>
      <c r="U740" s="698"/>
      <c r="V740" s="699"/>
      <c r="W740" s="186"/>
    </row>
    <row r="741" spans="2:23" s="10" customFormat="1" ht="26.25" hidden="1" thickBot="1">
      <c r="B741" s="87"/>
      <c r="C741" s="362" t="str">
        <f>VLOOKUP(D739,Data!L$3:N$398,2,FALSE)</f>
        <v>Tucson</v>
      </c>
      <c r="D741" s="747" t="str">
        <f>'Full Report'!C60</f>
        <v>Apparel And Footwear</v>
      </c>
      <c r="E741" s="522" t="s">
        <v>1175</v>
      </c>
      <c r="F741" s="523" t="s">
        <v>540</v>
      </c>
      <c r="G741" s="524" t="str">
        <f>C741</f>
        <v>Tucson</v>
      </c>
      <c r="H741" s="523" t="str">
        <f>I738&amp;" in US dollar"</f>
        <v>Dubai, United Arab Emirates in US dollar</v>
      </c>
      <c r="I741" s="525" t="str">
        <f>$I$587</f>
        <v>Dubai</v>
      </c>
      <c r="J741" s="526"/>
      <c r="K741" s="526"/>
      <c r="L741" s="527" t="s">
        <v>1176</v>
      </c>
      <c r="M741" s="527"/>
      <c r="N741" s="528"/>
      <c r="O741" s="529"/>
      <c r="P741" s="758" t="str">
        <f>"        Cost difference"&amp;" in "&amp;C741</f>
        <v xml:space="preserve">        Cost difference in Tucson</v>
      </c>
      <c r="Q741" s="539"/>
      <c r="R741" s="540"/>
      <c r="S741" s="530"/>
      <c r="T741" s="531" t="str">
        <f>I741</f>
        <v>Dubai</v>
      </c>
      <c r="U741" s="532"/>
      <c r="V741" s="749" t="s">
        <v>1222</v>
      </c>
      <c r="W741" s="186"/>
    </row>
    <row r="742" spans="2:23" s="10" customFormat="1" hidden="1">
      <c r="B742" s="87"/>
      <c r="C742" s="533">
        <f>P742</f>
        <v>-0.6327130264446621</v>
      </c>
      <c r="D742" s="587" t="str">
        <f>'Full Report'!C61</f>
        <v>1 Pair of Jeans (Levis 501 etc.)</v>
      </c>
      <c r="E742" s="534">
        <f>'Apparel and Footwear'!J6</f>
        <v>0</v>
      </c>
      <c r="F742" s="535">
        <f>VLOOKUP(Q$127,CPI!C$4:AZ$394,33,FALSE)</f>
        <v>30</v>
      </c>
      <c r="G742" s="311">
        <f>F742*E$204</f>
        <v>30</v>
      </c>
      <c r="H742" s="535">
        <f>VLOOKUP(I$129,CPI!C$4:AZ$394,33,FALSE)</f>
        <v>81.680000000000007</v>
      </c>
      <c r="I742" s="536">
        <f>H742*E$204</f>
        <v>81.680000000000007</v>
      </c>
      <c r="J742" s="418">
        <f>F742/H742</f>
        <v>0.36728697355533785</v>
      </c>
      <c r="K742" s="418" t="s">
        <v>437</v>
      </c>
      <c r="L742" s="693">
        <f>G742*E742</f>
        <v>0</v>
      </c>
      <c r="M742" s="693"/>
      <c r="N742" s="537"/>
      <c r="O742" s="698"/>
      <c r="P742" s="538">
        <f>J742-1</f>
        <v>-0.6327130264446621</v>
      </c>
      <c r="Q742" s="539" t="str">
        <f>IF(P742=0,"% or equal in ",IF(F742&lt;H742,"lower than in ","higher than in "))</f>
        <v xml:space="preserve">lower than in </v>
      </c>
      <c r="R742" s="540" t="str">
        <f>$T$741</f>
        <v>Dubai</v>
      </c>
      <c r="S742" s="541"/>
      <c r="T742" s="700">
        <f>IF(P742=0,98,IF(P742&lt;0,0,1))</f>
        <v>0</v>
      </c>
      <c r="U742" s="542"/>
      <c r="V742" s="543" t="str">
        <f>IF(E742=0,"   X   ",I742*E742)</f>
        <v xml:space="preserve">   X   </v>
      </c>
      <c r="W742" s="186"/>
    </row>
    <row r="743" spans="2:23" s="10" customFormat="1" hidden="1">
      <c r="B743" s="87"/>
      <c r="C743" s="533">
        <f>P743</f>
        <v>-0.49494949494949492</v>
      </c>
      <c r="D743" s="587" t="str">
        <f>'Full Report'!C62</f>
        <v>1 Summer Dress in a Chain Store (Zara, H&amp;M, ...)</v>
      </c>
      <c r="E743" s="544">
        <f>'Apparel and Footwear'!J7</f>
        <v>3.0000000001</v>
      </c>
      <c r="F743" s="535">
        <f>VLOOKUP(Q$127,CPI!C$4:AZ$394,34,FALSE)</f>
        <v>25</v>
      </c>
      <c r="G743" s="311">
        <f>F743*E$204</f>
        <v>25</v>
      </c>
      <c r="H743" s="535">
        <f>VLOOKUP(I$129,CPI!C$4:AZ$394,34,FALSE)</f>
        <v>49.5</v>
      </c>
      <c r="I743" s="536">
        <f>H743*E$204</f>
        <v>49.5</v>
      </c>
      <c r="J743" s="418">
        <f>F743/H743</f>
        <v>0.50505050505050508</v>
      </c>
      <c r="K743" s="418" t="s">
        <v>438</v>
      </c>
      <c r="L743" s="693">
        <f>G743*E743</f>
        <v>75.000000002500002</v>
      </c>
      <c r="M743" s="693"/>
      <c r="N743" s="537"/>
      <c r="O743" s="698"/>
      <c r="P743" s="538">
        <f>J743-1</f>
        <v>-0.49494949494949492</v>
      </c>
      <c r="Q743" s="539" t="str">
        <f>IF(P743=0,"% or equal in ",IF(F743&lt;H743,"lower than in ","higher than in "))</f>
        <v xml:space="preserve">lower than in </v>
      </c>
      <c r="R743" s="540" t="str">
        <f>$T$741</f>
        <v>Dubai</v>
      </c>
      <c r="S743" s="541"/>
      <c r="T743" s="700">
        <f>IF(P743=0,98,IF(P743&lt;0,0,1))</f>
        <v>0</v>
      </c>
      <c r="U743" s="542"/>
      <c r="V743" s="543">
        <f>IF(E743=0,"   X   ",I743*E743)</f>
        <v>148.50000000495001</v>
      </c>
      <c r="W743" s="186"/>
    </row>
    <row r="744" spans="2:23" s="10" customFormat="1" ht="24" hidden="1" thickBot="1">
      <c r="B744" s="87"/>
      <c r="C744" s="533">
        <f>P744</f>
        <v>-0.11238981390793346</v>
      </c>
      <c r="D744" s="587" t="str">
        <f>'Full Report'!C63</f>
        <v>1 Pair of Sport Shoes (Nike etc.)</v>
      </c>
      <c r="E744" s="544">
        <f>'Apparel and Footwear'!J8</f>
        <v>1</v>
      </c>
      <c r="F744" s="535">
        <f>VLOOKUP(Q$127,CPI!C$4:AZ$394,35,FALSE)</f>
        <v>72.5</v>
      </c>
      <c r="G744" s="311">
        <f>F744*E$204</f>
        <v>72.5</v>
      </c>
      <c r="H744" s="535">
        <f>VLOOKUP(I$129,CPI!C$4:AZ$394,35,FALSE)</f>
        <v>81.680000000000007</v>
      </c>
      <c r="I744" s="536">
        <f>H744*E$204</f>
        <v>81.680000000000007</v>
      </c>
      <c r="J744" s="418">
        <f>F744/H744</f>
        <v>0.88761018609206654</v>
      </c>
      <c r="K744" s="418" t="s">
        <v>439</v>
      </c>
      <c r="L744" s="693">
        <f>G744*E744</f>
        <v>72.5</v>
      </c>
      <c r="M744" s="693"/>
      <c r="N744" s="537"/>
      <c r="O744" s="698"/>
      <c r="P744" s="538">
        <f>J744-1</f>
        <v>-0.11238981390793346</v>
      </c>
      <c r="Q744" s="539" t="str">
        <f>IF(P744=0,"% or equal in ",IF(F744&lt;H744,"lower than in ","higher than in "))</f>
        <v xml:space="preserve">lower than in </v>
      </c>
      <c r="R744" s="540" t="str">
        <f>$T$741</f>
        <v>Dubai</v>
      </c>
      <c r="S744" s="541"/>
      <c r="T744" s="700">
        <f>IF(P744=0,98,IF(P744&lt;0,0,1))</f>
        <v>0</v>
      </c>
      <c r="U744" s="542"/>
      <c r="V744" s="543">
        <f>IF(E744=0,"   X   ",I744*E744)</f>
        <v>81.680000000000007</v>
      </c>
      <c r="W744" s="186"/>
    </row>
    <row r="745" spans="2:23" s="10" customFormat="1" ht="24" hidden="1" thickBot="1">
      <c r="B745" s="87"/>
      <c r="C745" s="533">
        <f>P745</f>
        <v>-0.31129476584022042</v>
      </c>
      <c r="D745" s="587" t="str">
        <f>'Full Report'!C64</f>
        <v>1 Pair of Men Leather Shoes</v>
      </c>
      <c r="E745" s="522">
        <f>'Apparel and Footwear'!J9</f>
        <v>1</v>
      </c>
      <c r="F745" s="523">
        <f>VLOOKUP(Q$127,CPI!C$4:AZ$394,36,FALSE)</f>
        <v>75</v>
      </c>
      <c r="G745" s="524">
        <f>F745*E$204</f>
        <v>75</v>
      </c>
      <c r="H745" s="523">
        <f>VLOOKUP(I$129,CPI!C$4:AZ$394,36,FALSE)</f>
        <v>108.9</v>
      </c>
      <c r="I745" s="525">
        <f>H745*E$204</f>
        <v>108.9</v>
      </c>
      <c r="J745" s="526">
        <f>F745/H745</f>
        <v>0.68870523415977958</v>
      </c>
      <c r="K745" s="526" t="s">
        <v>440</v>
      </c>
      <c r="L745" s="527">
        <f>G745*E745</f>
        <v>75</v>
      </c>
      <c r="M745" s="527"/>
      <c r="N745" s="528"/>
      <c r="O745" s="529"/>
      <c r="P745" s="538">
        <f>J745-1</f>
        <v>-0.31129476584022042</v>
      </c>
      <c r="Q745" s="539" t="str">
        <f>IF(P745=0,"% or equal in ",IF(F745&lt;H745,"lower than in ","higher than in "))</f>
        <v xml:space="preserve">lower than in </v>
      </c>
      <c r="R745" s="540" t="str">
        <f>$T$741</f>
        <v>Dubai</v>
      </c>
      <c r="S745" s="530"/>
      <c r="T745" s="531">
        <f>IF(P745=0,98,IF(P745&lt;0,0,1))</f>
        <v>0</v>
      </c>
      <c r="U745" s="532"/>
      <c r="V745" s="543">
        <f>IF(E745=0,"   X   ",I745*E745)</f>
        <v>108.9</v>
      </c>
      <c r="W745" s="186"/>
    </row>
    <row r="746" spans="2:23" s="10" customFormat="1" ht="24" hidden="1" thickBot="1">
      <c r="B746" s="87"/>
      <c r="C746" s="178" t="s">
        <v>0</v>
      </c>
      <c r="D746" s="688"/>
      <c r="E746" s="688"/>
      <c r="F746" s="688">
        <f>SUM(F742:F745)</f>
        <v>202.5</v>
      </c>
      <c r="G746" s="688">
        <f>SUM(G742:G745)</f>
        <v>202.5</v>
      </c>
      <c r="H746" s="688">
        <f>SUM(H742:H745)</f>
        <v>321.76</v>
      </c>
      <c r="I746" s="688">
        <f>SUM(I742:I745)</f>
        <v>321.76</v>
      </c>
      <c r="J746" s="688">
        <f>F746/H746</f>
        <v>0.62935106911984084</v>
      </c>
      <c r="K746" s="688">
        <f>G746/I746</f>
        <v>0.62935106911984084</v>
      </c>
      <c r="L746" s="688">
        <f>SUM(L742:L745)</f>
        <v>222.5000000025</v>
      </c>
      <c r="M746" s="688"/>
      <c r="N746" s="688"/>
      <c r="O746" s="688"/>
      <c r="P746" s="608">
        <f>J746-1</f>
        <v>-0.37064893088015916</v>
      </c>
      <c r="Q746" s="608" t="str">
        <f>IF(P746=0,"% or equal in ",IF(F746&lt;H746,"lower than in ","higher than in "))</f>
        <v xml:space="preserve">lower than in </v>
      </c>
      <c r="R746" s="688"/>
      <c r="S746" s="688"/>
      <c r="T746" s="700">
        <f>SUM(T742:T745)</f>
        <v>0</v>
      </c>
      <c r="U746" s="698"/>
      <c r="V746" s="399">
        <f>SUM(V742:V745)</f>
        <v>339.08000000495002</v>
      </c>
      <c r="W746" s="265">
        <f>L746/V746</f>
        <v>0.65618733042129251</v>
      </c>
    </row>
    <row r="747" spans="2:23" s="10" customFormat="1" ht="23.25" hidden="1" customHeight="1" thickTop="1">
      <c r="B747" s="87"/>
      <c r="C747" s="178" t="s">
        <v>0</v>
      </c>
      <c r="D747" s="688" t="s">
        <v>1166</v>
      </c>
      <c r="E747" s="688" t="s">
        <v>0</v>
      </c>
      <c r="F747" s="688"/>
      <c r="G747" s="688"/>
      <c r="H747" s="688"/>
      <c r="I747" s="688"/>
      <c r="J747" s="688"/>
      <c r="K747" s="688"/>
      <c r="L747" s="688"/>
      <c r="M747" s="688"/>
      <c r="N747" s="688"/>
      <c r="O747" s="688"/>
      <c r="P747" s="688">
        <f>ABS(P746)</f>
        <v>0.37064893088015916</v>
      </c>
      <c r="Q747" s="688"/>
      <c r="R747" s="688"/>
      <c r="S747" s="688"/>
      <c r="T747" s="564">
        <f>T746</f>
        <v>0</v>
      </c>
      <c r="U747" s="698"/>
      <c r="V747" s="699"/>
      <c r="W747" s="186"/>
    </row>
    <row r="748" spans="2:23" s="10" customFormat="1" ht="23.25" hidden="1" customHeight="1">
      <c r="B748" s="87"/>
      <c r="C748" s="178">
        <v>1</v>
      </c>
      <c r="D748" s="688" t="s">
        <v>1262</v>
      </c>
      <c r="E748" s="688"/>
      <c r="F748" s="688"/>
      <c r="G748" s="688">
        <f>P747</f>
        <v>0.37064893088015916</v>
      </c>
      <c r="H748" s="688" t="str">
        <f>Q746</f>
        <v xml:space="preserve">lower than in </v>
      </c>
      <c r="I748" s="688" t="str">
        <f>I738</f>
        <v>Dubai, United Arab Emirates</v>
      </c>
      <c r="J748" s="688" t="str">
        <f>IF(P746&lt;0,"However, as shown in the graph below, "," As shown in the graph below, ")</f>
        <v xml:space="preserve">However, as shown in the graph below, </v>
      </c>
      <c r="K748" s="688" t="str">
        <f>IF(T746&gt;16,K750,IF(T746=0,K751,K749))</f>
        <v xml:space="preserve"> All items under this category have lower price than in </v>
      </c>
      <c r="L748" s="688"/>
      <c r="M748" s="688"/>
      <c r="N748" s="688"/>
      <c r="O748" s="688"/>
      <c r="P748" s="688"/>
      <c r="Q748" s="688"/>
      <c r="R748" s="688"/>
      <c r="S748" s="688"/>
      <c r="T748" s="700"/>
      <c r="U748" s="698"/>
      <c r="V748" s="699"/>
      <c r="W748" s="186"/>
    </row>
    <row r="749" spans="2:23" s="10" customFormat="1" ht="23.25" hidden="1" customHeight="1">
      <c r="B749" s="87"/>
      <c r="C749" s="178"/>
      <c r="D749" s="688" t="str">
        <f>IF(T747=4,"Beyond any doubt, on average it is more",IF(T747=0,"Clearly, on average it is more","Most likely, on average it is more"))</f>
        <v>Clearly, on average it is more</v>
      </c>
      <c r="E749" s="688" t="str">
        <f>IF(P746&lt;0," cheaper to spend money for clothing and shoes in "," expensive to spend money for apparel in ")</f>
        <v xml:space="preserve"> cheaper to spend money for clothing and shoes in </v>
      </c>
      <c r="F749" s="688"/>
      <c r="G749" s="688"/>
      <c r="H749" s="688" t="str">
        <f>G741</f>
        <v>Tucson</v>
      </c>
      <c r="I749" s="688"/>
      <c r="J749" s="688"/>
      <c r="K749" s="688" t="str">
        <f>T747&amp;" out of 4 items under this category are higher than in "</f>
        <v xml:space="preserve">0 out of 4 items under this category are higher than in </v>
      </c>
      <c r="L749" s="688"/>
      <c r="M749" s="688"/>
      <c r="N749" s="688"/>
      <c r="O749" s="688"/>
      <c r="P749" s="688"/>
      <c r="Q749" s="688"/>
      <c r="R749" s="688"/>
      <c r="S749" s="688"/>
      <c r="T749" s="700"/>
      <c r="U749" s="698"/>
      <c r="V749" s="699"/>
      <c r="W749" s="186"/>
    </row>
    <row r="750" spans="2:23" s="10" customFormat="1" ht="23.25" hidden="1" customHeight="1">
      <c r="B750" s="87"/>
      <c r="C750" s="178">
        <v>2</v>
      </c>
      <c r="D750" s="688" t="str">
        <f>VLOOKUP(Q739,C742:D745,2,FALSE)</f>
        <v>1 Pair of Sport Shoes (Nike etc.)</v>
      </c>
      <c r="E750" s="688"/>
      <c r="F750" s="688" t="s">
        <v>1169</v>
      </c>
      <c r="G750" s="688"/>
      <c r="H750" s="688"/>
      <c r="I750" s="688" t="str">
        <f>I748</f>
        <v>Dubai, United Arab Emirates</v>
      </c>
      <c r="J750" s="688"/>
      <c r="K750" s="688" t="str">
        <f>FIXED(T747/100,0)&amp;" out of 4 items under this category have equal price as in "</f>
        <v xml:space="preserve">0 out of 4 items under this category have equal price as in </v>
      </c>
      <c r="L750" s="688"/>
      <c r="M750" s="688"/>
      <c r="N750" s="688"/>
      <c r="O750" s="688"/>
      <c r="P750" s="688"/>
      <c r="Q750" s="688"/>
      <c r="R750" s="688"/>
      <c r="S750" s="688"/>
      <c r="T750" s="576"/>
      <c r="U750" s="698"/>
      <c r="V750" s="699"/>
      <c r="W750" s="186"/>
    </row>
    <row r="751" spans="2:23" s="10" customFormat="1" ht="23.25" hidden="1" customHeight="1">
      <c r="B751" s="87"/>
      <c r="C751" s="178"/>
      <c r="D751" s="688" t="s">
        <v>1174</v>
      </c>
      <c r="E751" s="688">
        <f>VLOOKUP(Q739,C742:D745,1,FALSE)</f>
        <v>-0.11238981390793346</v>
      </c>
      <c r="F751" s="688" t="s">
        <v>1171</v>
      </c>
      <c r="G751" s="688"/>
      <c r="H751" s="688" t="str">
        <f>C741</f>
        <v>Tucson</v>
      </c>
      <c r="I751" s="688"/>
      <c r="J751" s="688"/>
      <c r="K751" s="688" t="str">
        <f>" All items under this category have lower price than in "</f>
        <v xml:space="preserve"> All items under this category have lower price than in </v>
      </c>
      <c r="L751" s="688"/>
      <c r="M751" s="688"/>
      <c r="N751" s="688"/>
      <c r="O751" s="688"/>
      <c r="P751" s="688"/>
      <c r="Q751" s="688"/>
      <c r="R751" s="688"/>
      <c r="S751" s="688"/>
      <c r="T751" s="576"/>
      <c r="U751" s="698"/>
      <c r="V751" s="699"/>
      <c r="W751" s="186"/>
    </row>
    <row r="752" spans="2:23" s="10" customFormat="1" ht="23.25" hidden="1" customHeight="1">
      <c r="B752" s="87"/>
      <c r="C752" s="178">
        <v>3</v>
      </c>
      <c r="D752" s="688" t="str">
        <f>VLOOKUP(Q740,C742:D745,2,FALSE)</f>
        <v>1 Pair of Jeans (Levis 501 etc.)</v>
      </c>
      <c r="E752" s="688"/>
      <c r="F752" s="688" t="s">
        <v>1170</v>
      </c>
      <c r="G752" s="688"/>
      <c r="H752" s="688"/>
      <c r="I752" s="688" t="str">
        <f>I738</f>
        <v>Dubai, United Arab Emirates</v>
      </c>
      <c r="J752" s="688"/>
      <c r="K752" s="688"/>
      <c r="L752" s="688"/>
      <c r="M752" s="688"/>
      <c r="N752" s="688"/>
      <c r="O752" s="688"/>
      <c r="P752" s="688"/>
      <c r="Q752" s="688"/>
      <c r="R752" s="688"/>
      <c r="S752" s="688"/>
      <c r="T752" s="576"/>
      <c r="U752" s="698"/>
      <c r="V752" s="699"/>
      <c r="W752" s="186"/>
    </row>
    <row r="753" spans="2:23" s="10" customFormat="1" ht="23.25" hidden="1" customHeight="1">
      <c r="B753" s="87"/>
      <c r="C753" s="178"/>
      <c r="D753" s="688" t="s">
        <v>1174</v>
      </c>
      <c r="E753" s="688">
        <f>VLOOKUP(Q740,C742:D745,1,FALSE)</f>
        <v>-0.6327130264446621</v>
      </c>
      <c r="F753" s="688" t="str">
        <f>$F$653</f>
        <v xml:space="preserve">higher than in </v>
      </c>
      <c r="G753" s="688"/>
      <c r="H753" s="688" t="str">
        <f>I752</f>
        <v>Dubai, United Arab Emirates</v>
      </c>
      <c r="I753" s="688"/>
      <c r="J753" s="688">
        <f>ABS(E753)</f>
        <v>0.6327130264446621</v>
      </c>
      <c r="K753" s="688"/>
      <c r="L753" s="688"/>
      <c r="M753" s="688"/>
      <c r="N753" s="688"/>
      <c r="O753" s="688"/>
      <c r="P753" s="688"/>
      <c r="Q753" s="688"/>
      <c r="R753" s="688"/>
      <c r="S753" s="688"/>
      <c r="T753" s="576"/>
      <c r="U753" s="698"/>
      <c r="V753" s="699"/>
      <c r="W753" s="186"/>
    </row>
    <row r="754" spans="2:23" s="10" customFormat="1" ht="23.25" hidden="1" customHeight="1">
      <c r="B754" s="87"/>
      <c r="C754" s="178"/>
      <c r="D754" s="688" t="str">
        <f>J748&amp;K748&amp;R745&amp;". "&amp;D750&amp;" in "&amp;H751&amp;F750&amp;I750&amp;D751&amp;FIXED(E751*100)&amp;F751&amp;H751&amp;"."</f>
        <v>However, as shown in the graph below,  All items under this category have lower price than in Dubai. 1 Pair of Sport Shoes (Nike etc.) in Tucson is the most expensive item in comparison to Dubai, United Arab Emirates. Its cost is -11.24 % more expensive in Tucson.</v>
      </c>
      <c r="E754" s="688"/>
      <c r="F754" s="688"/>
      <c r="G754" s="688"/>
      <c r="H754" s="688"/>
      <c r="I754" s="688"/>
      <c r="J754" s="688"/>
      <c r="K754" s="688"/>
      <c r="L754" s="688"/>
      <c r="M754" s="688"/>
      <c r="N754" s="688"/>
      <c r="O754" s="688"/>
      <c r="P754" s="688"/>
      <c r="Q754" s="688"/>
      <c r="R754" s="688"/>
      <c r="S754" s="688"/>
      <c r="T754" s="576"/>
      <c r="U754" s="698"/>
      <c r="V754" s="699"/>
      <c r="W754" s="186"/>
    </row>
    <row r="755" spans="2:23" s="10" customFormat="1" ht="23.25" hidden="1" customHeight="1">
      <c r="B755" s="87"/>
      <c r="C755" s="178"/>
      <c r="D755" s="688" t="str">
        <f>K748&amp;R739&amp;". "&amp;D752&amp;F752&amp;R745&amp;D753&amp;FIXED(J753*100)&amp;"% "&amp;F753&amp;H753&amp;"."</f>
        <v xml:space="preserve"> All items under this category have lower price than in Dubai. 1 Pair of Jeans (Levis 501 etc.) is the cheapest item in comparison to Dubai. Its cost is 63.27% higher than in Dubai, United Arab Emirates.</v>
      </c>
      <c r="E755" s="688"/>
      <c r="F755" s="688"/>
      <c r="G755" s="688"/>
      <c r="H755" s="688"/>
      <c r="I755" s="688"/>
      <c r="J755" s="688"/>
      <c r="K755" s="688"/>
      <c r="L755" s="688"/>
      <c r="M755" s="688"/>
      <c r="N755" s="688"/>
      <c r="O755" s="688"/>
      <c r="P755" s="688"/>
      <c r="Q755" s="688"/>
      <c r="R755" s="688"/>
      <c r="S755" s="688"/>
      <c r="T755" s="576"/>
      <c r="U755" s="698"/>
      <c r="V755" s="699"/>
      <c r="W755" s="186"/>
    </row>
    <row r="756" spans="2:23" s="10" customFormat="1" ht="23.25" hidden="1" customHeight="1">
      <c r="B756" s="87"/>
      <c r="C756" s="178"/>
      <c r="D756" s="688" t="s">
        <v>1173</v>
      </c>
      <c r="E756" s="688"/>
      <c r="F756" s="688"/>
      <c r="G756" s="688"/>
      <c r="H756" s="688"/>
      <c r="I756" s="688"/>
      <c r="J756" s="688"/>
      <c r="K756" s="688"/>
      <c r="L756" s="688"/>
      <c r="M756" s="688"/>
      <c r="N756" s="688"/>
      <c r="O756" s="688"/>
      <c r="P756" s="688"/>
      <c r="Q756" s="688"/>
      <c r="R756" s="688"/>
      <c r="S756" s="688"/>
      <c r="T756" s="576"/>
      <c r="U756" s="698"/>
      <c r="V756" s="699"/>
      <c r="W756" s="186"/>
    </row>
    <row r="757" spans="2:23" s="10" customFormat="1" ht="39.75" hidden="1" customHeight="1">
      <c r="B757" s="87"/>
      <c r="C757" s="178"/>
      <c r="D757" s="688"/>
      <c r="E757" s="688"/>
      <c r="F757" s="688"/>
      <c r="G757" s="688"/>
      <c r="H757" s="688"/>
      <c r="I757" s="688"/>
      <c r="J757" s="688"/>
      <c r="K757" s="688"/>
      <c r="L757" s="688"/>
      <c r="M757" s="688"/>
      <c r="N757" s="688"/>
      <c r="O757" s="688"/>
      <c r="P757" s="688"/>
      <c r="Q757" s="688"/>
      <c r="R757" s="688"/>
      <c r="S757" s="688"/>
      <c r="T757" s="576"/>
      <c r="U757" s="698"/>
      <c r="V757" s="699"/>
      <c r="W757" s="186"/>
    </row>
    <row r="758" spans="2:23" s="10" customFormat="1" ht="42.75" hidden="1" customHeight="1">
      <c r="B758" s="87"/>
      <c r="C758" s="178"/>
      <c r="D758" s="688" t="str">
        <f>D748&amp;D739&amp;" is "&amp;FIXED(G748*100)&amp;"% "&amp;H748&amp;I748&amp;". "&amp;D749&amp;E749&amp;H749&amp;". "</f>
        <v xml:space="preserve">Overall, based on 3 items in the Apparel and Footwear category, the cost of these items in Tucson, AZ, United States is 37.06% lower than in Dubai, United Arab Emirates. Clearly, on average it is more cheaper to spend money for clothing and shoes in Tucson. </v>
      </c>
      <c r="E758" s="688"/>
      <c r="F758" s="688"/>
      <c r="G758" s="688"/>
      <c r="H758" s="688"/>
      <c r="I758" s="688"/>
      <c r="J758" s="688"/>
      <c r="K758" s="688"/>
      <c r="L758" s="688"/>
      <c r="M758" s="688"/>
      <c r="N758" s="688"/>
      <c r="O758" s="688"/>
      <c r="P758" s="688"/>
      <c r="Q758" s="688"/>
      <c r="R758" s="688"/>
      <c r="S758" s="688"/>
      <c r="T758" s="576"/>
      <c r="U758" s="698"/>
      <c r="V758" s="699"/>
      <c r="W758" s="186"/>
    </row>
    <row r="759" spans="2:23" s="10" customFormat="1" ht="47.25" hidden="1" customHeight="1">
      <c r="B759" s="87"/>
      <c r="C759" s="178"/>
      <c r="D759" s="688" t="str">
        <f>IF(Q739&lt;0,D755,IF(Q739=0,D755,D754))</f>
        <v xml:space="preserve"> All items under this category have lower price than in Dubai. 1 Pair of Jeans (Levis 501 etc.) is the cheapest item in comparison to Dubai. Its cost is 63.27% higher than in Dubai, United Arab Emirates.</v>
      </c>
      <c r="E759" s="688"/>
      <c r="F759" s="688"/>
      <c r="G759" s="688"/>
      <c r="H759" s="688"/>
      <c r="I759" s="688"/>
      <c r="J759" s="688"/>
      <c r="K759" s="688"/>
      <c r="L759" s="688"/>
      <c r="M759" s="688"/>
      <c r="N759" s="688"/>
      <c r="O759" s="688"/>
      <c r="P759" s="688"/>
      <c r="Q759" s="688"/>
      <c r="R759" s="688"/>
      <c r="S759" s="688"/>
      <c r="T759" s="576"/>
      <c r="U759" s="698"/>
      <c r="V759" s="699"/>
      <c r="W759" s="186"/>
    </row>
    <row r="760" spans="2:23" s="10" customFormat="1" ht="23.25" hidden="1" customHeight="1">
      <c r="B760" s="87"/>
      <c r="C760" s="178"/>
      <c r="D760" s="688" t="str">
        <f>"Your personal expenditure on apparel are selected from "&amp;V760&amp;" out of 4 items. Your cost of apparel index (percentage ratio) is calculated based on these spending pattern over a month according to your amount of spending. "</f>
        <v xml:space="preserve">Your personal expenditure on apparel are selected from 3 out of 4 items. Your cost of apparel index (percentage ratio) is calculated based on these spending pattern over a month according to your amount of spending. </v>
      </c>
      <c r="E760" s="688"/>
      <c r="F760" s="688"/>
      <c r="G760" s="688"/>
      <c r="H760" s="688"/>
      <c r="I760" s="688"/>
      <c r="J760" s="688"/>
      <c r="K760" s="688"/>
      <c r="L760" s="688"/>
      <c r="M760" s="688"/>
      <c r="N760" s="688"/>
      <c r="O760" s="688"/>
      <c r="P760" s="688"/>
      <c r="Q760" s="688"/>
      <c r="R760" s="688"/>
      <c r="S760" s="688"/>
      <c r="T760" s="576"/>
      <c r="U760" s="464"/>
      <c r="V760" s="464">
        <f>COUNT(V742:V745)</f>
        <v>3</v>
      </c>
      <c r="W760" s="318">
        <f>W746-1</f>
        <v>-0.34381266957870749</v>
      </c>
    </row>
    <row r="761" spans="2:23" s="10" customFormat="1" ht="58.5" hidden="1" customHeight="1">
      <c r="B761" s="87"/>
      <c r="C761" s="178"/>
      <c r="D761" s="688" t="s">
        <v>1252</v>
      </c>
      <c r="E761" s="688"/>
      <c r="F761" s="688"/>
      <c r="G761" s="688"/>
      <c r="H761" s="688"/>
      <c r="I761" s="688">
        <f>ABS(W760)*100</f>
        <v>34.38126695787075</v>
      </c>
      <c r="J761" s="688" t="str">
        <f>IF(W760&lt;0,"% lower in ","% higher in ")</f>
        <v xml:space="preserve">% lower in </v>
      </c>
      <c r="K761" s="688" t="str">
        <f>K762</f>
        <v>Tucson</v>
      </c>
      <c r="L761" s="688" t="s">
        <v>1203</v>
      </c>
      <c r="M761" s="688" t="str">
        <f>G762</f>
        <v>Dubai</v>
      </c>
      <c r="N761" s="688"/>
      <c r="O761" s="688"/>
      <c r="P761" s="688"/>
      <c r="Q761" s="688"/>
      <c r="R761" s="688"/>
      <c r="S761" s="688"/>
      <c r="T761" s="576"/>
      <c r="U761" s="464"/>
      <c r="V761" s="464"/>
      <c r="W761" s="318"/>
    </row>
    <row r="762" spans="2:23" s="10" customFormat="1" ht="60" hidden="1" customHeight="1">
      <c r="B762" s="87"/>
      <c r="C762" s="178"/>
      <c r="D762" s="688" t="str">
        <f>IF(P746&lt;0,"In conclusion, ","In other words, ")</f>
        <v xml:space="preserve">In conclusion, </v>
      </c>
      <c r="E762" s="688"/>
      <c r="F762" s="688" t="str">
        <f>IF(W760&lt;0," you need to spend more in "," you spend less in ")</f>
        <v xml:space="preserve"> you need to spend more in </v>
      </c>
      <c r="G762" s="688" t="str">
        <f>R743</f>
        <v>Dubai</v>
      </c>
      <c r="H762" s="688" t="s">
        <v>1205</v>
      </c>
      <c r="I762" s="688"/>
      <c r="J762" s="688"/>
      <c r="K762" s="688" t="str">
        <f>C741</f>
        <v>Tucson</v>
      </c>
      <c r="L762" s="688"/>
      <c r="M762" s="688"/>
      <c r="N762" s="688"/>
      <c r="O762" s="688"/>
      <c r="P762" s="688"/>
      <c r="Q762" s="688"/>
      <c r="R762" s="688"/>
      <c r="S762" s="688"/>
      <c r="T762" s="576"/>
      <c r="U762" s="464"/>
      <c r="V762" s="464"/>
      <c r="W762" s="318"/>
    </row>
    <row r="763" spans="2:23" s="10" customFormat="1" ht="48" hidden="1" customHeight="1">
      <c r="B763" s="87"/>
      <c r="C763" s="178"/>
      <c r="D763" s="688" t="s">
        <v>1207</v>
      </c>
      <c r="E763" s="688" t="s">
        <v>0</v>
      </c>
      <c r="F763" s="688"/>
      <c r="G763" s="688">
        <f>V760</f>
        <v>3</v>
      </c>
      <c r="H763" s="688" t="s">
        <v>1209</v>
      </c>
      <c r="I763" s="688"/>
      <c r="J763" s="688">
        <f>L746</f>
        <v>222.5000000025</v>
      </c>
      <c r="K763" s="688" t="str">
        <f>G741</f>
        <v>Tucson</v>
      </c>
      <c r="L763" s="688" t="s">
        <v>1206</v>
      </c>
      <c r="M763" s="688" t="str">
        <f>R739</f>
        <v>Dubai</v>
      </c>
      <c r="N763" s="688" t="s">
        <v>1208</v>
      </c>
      <c r="O763" s="688">
        <f>V746</f>
        <v>339.08000000495002</v>
      </c>
      <c r="P763" s="688"/>
      <c r="Q763" s="688"/>
      <c r="R763" s="688"/>
      <c r="S763" s="688"/>
      <c r="T763" s="576"/>
      <c r="U763" s="464"/>
      <c r="V763" s="464"/>
      <c r="W763" s="318"/>
    </row>
    <row r="764" spans="2:23" s="10" customFormat="1" ht="23.25" hidden="1" customHeight="1">
      <c r="B764" s="87"/>
      <c r="C764" s="178"/>
      <c r="D764" s="688"/>
      <c r="E764" s="688"/>
      <c r="F764" s="688"/>
      <c r="G764" s="688"/>
      <c r="H764" s="688"/>
      <c r="I764" s="688"/>
      <c r="J764" s="688"/>
      <c r="K764" s="688"/>
      <c r="L764" s="688"/>
      <c r="M764" s="688"/>
      <c r="N764" s="688"/>
      <c r="O764" s="688"/>
      <c r="P764" s="688"/>
      <c r="Q764" s="688"/>
      <c r="R764" s="688"/>
      <c r="S764" s="688"/>
      <c r="T764" s="576"/>
      <c r="U764" s="464"/>
      <c r="V764" s="464"/>
      <c r="W764" s="318"/>
    </row>
    <row r="765" spans="2:23" s="10" customFormat="1" ht="33.75" hidden="1" customHeight="1">
      <c r="B765" s="87"/>
      <c r="C765" s="178"/>
      <c r="D765" s="688" t="str">
        <f>D760&amp;D761&amp;" "&amp;FIXED(I761,2)&amp;" "&amp;J761&amp;K761&amp;L761&amp;M761&amp;"."</f>
        <v>Your personal expenditure on apparel are selected from 3 out of 4 items. Your cost of apparel index (percentage ratio) is calculated based on these spending pattern over a month according to your amount of spending. Therefore, based on this item preferences, your personal spending on apparel is 34.38 % lower in Tucson in comparison to Dubai.</v>
      </c>
      <c r="E765" s="688"/>
      <c r="F765" s="688"/>
      <c r="G765" s="688"/>
      <c r="H765" s="688"/>
      <c r="I765" s="688"/>
      <c r="J765" s="688"/>
      <c r="K765" s="688"/>
      <c r="L765" s="688"/>
      <c r="M765" s="688"/>
      <c r="N765" s="688"/>
      <c r="O765" s="688"/>
      <c r="P765" s="688"/>
      <c r="Q765" s="688"/>
      <c r="R765" s="688"/>
      <c r="S765" s="688"/>
      <c r="T765" s="683"/>
      <c r="U765" s="464"/>
      <c r="V765" s="464"/>
      <c r="W765" s="186"/>
    </row>
    <row r="766" spans="2:23" s="10" customFormat="1" ht="49.5" hidden="1" customHeight="1">
      <c r="B766" s="87"/>
      <c r="C766" s="178"/>
      <c r="D766" s="688" t="str">
        <f>D762&amp;F762&amp;G762&amp;H762&amp;I762&amp;J762&amp;K762&amp;D763&amp;G763&amp;H763&amp;" "&amp;Info!J8&amp;FIXED(J763,2)&amp;" in "&amp;K763&amp;" "&amp;L763&amp;M763&amp;N763&amp;" "&amp;Info!J8&amp;FIXED(O763,2)&amp;"."</f>
        <v>In conclusion,  you need to spend more in Dubai in order to purchase these same items you paid in Tucson. Hence, purchasing the same 3 items in this category, you need to pay an amount of  USD222.50 in Tucson  while in Dubai you need to pay USD339.08.</v>
      </c>
      <c r="E766" s="688"/>
      <c r="F766" s="688"/>
      <c r="G766" s="688"/>
      <c r="H766" s="688"/>
      <c r="I766" s="688"/>
      <c r="J766" s="688"/>
      <c r="K766" s="688"/>
      <c r="L766" s="688"/>
      <c r="M766" s="688"/>
      <c r="N766" s="688"/>
      <c r="O766" s="688"/>
      <c r="P766" s="688"/>
      <c r="Q766" s="688"/>
      <c r="R766" s="688"/>
      <c r="S766" s="688"/>
      <c r="T766" s="683"/>
      <c r="U766" s="464"/>
      <c r="V766" s="464"/>
      <c r="W766" s="186"/>
    </row>
    <row r="767" spans="2:23" s="10" customFormat="1" ht="24.95" hidden="1" customHeight="1">
      <c r="B767" s="87"/>
      <c r="C767" s="178"/>
      <c r="D767" s="688"/>
      <c r="E767" s="688"/>
      <c r="F767" s="688"/>
      <c r="G767" s="688"/>
      <c r="H767" s="688"/>
      <c r="I767" s="688"/>
      <c r="J767" s="688"/>
      <c r="K767" s="688"/>
      <c r="L767" s="688"/>
      <c r="M767" s="688"/>
      <c r="N767" s="688"/>
      <c r="O767" s="688"/>
      <c r="P767" s="688"/>
      <c r="Q767" s="688"/>
      <c r="R767" s="688"/>
      <c r="S767" s="688"/>
      <c r="T767" s="683"/>
      <c r="U767" s="464"/>
      <c r="V767" s="464"/>
      <c r="W767" s="186"/>
    </row>
    <row r="768" spans="2:23" s="10" customFormat="1" ht="24.95" hidden="1" customHeight="1">
      <c r="B768" s="87"/>
      <c r="C768" s="699"/>
      <c r="D768" s="699"/>
      <c r="E768" s="699"/>
      <c r="F768" s="699"/>
      <c r="G768" s="699"/>
      <c r="H768" s="699"/>
      <c r="I768" s="699"/>
      <c r="J768" s="699"/>
      <c r="K768" s="699"/>
      <c r="L768" s="699"/>
      <c r="M768" s="699"/>
      <c r="N768" s="699"/>
      <c r="O768" s="699"/>
      <c r="P768" s="699"/>
      <c r="Q768" s="699"/>
      <c r="R768" s="699"/>
      <c r="S768" s="699"/>
      <c r="T768" s="699"/>
      <c r="U768" s="699"/>
      <c r="V768" s="699"/>
      <c r="W768" s="699"/>
    </row>
    <row r="769" spans="2:23" s="10" customFormat="1" ht="24.95" hidden="1" customHeight="1">
      <c r="B769" s="87"/>
      <c r="C769" s="178"/>
      <c r="D769" s="688"/>
      <c r="E769" s="688"/>
      <c r="F769" s="688"/>
      <c r="G769" s="688"/>
      <c r="H769" s="688"/>
      <c r="I769" s="688"/>
      <c r="J769" s="688"/>
      <c r="K769" s="688"/>
      <c r="L769" s="688"/>
      <c r="M769" s="688"/>
      <c r="N769" s="688"/>
      <c r="O769" s="688"/>
      <c r="P769" s="688"/>
      <c r="Q769" s="688"/>
      <c r="R769" s="461"/>
      <c r="S769" s="684"/>
      <c r="T769" s="683"/>
      <c r="U769" s="464"/>
      <c r="V769" s="464"/>
      <c r="W769" s="186"/>
    </row>
    <row r="770" spans="2:23" s="10" customFormat="1" ht="26.25" hidden="1" customHeight="1">
      <c r="B770" s="87"/>
      <c r="C770" s="178"/>
      <c r="D770" s="704"/>
      <c r="E770" s="704"/>
      <c r="F770" s="704"/>
      <c r="G770" s="704"/>
      <c r="H770" s="704"/>
      <c r="I770" s="704"/>
      <c r="J770" s="704"/>
      <c r="K770" s="704"/>
      <c r="L770" s="704"/>
      <c r="M770" s="704"/>
      <c r="N770" s="704"/>
      <c r="O770" s="704"/>
      <c r="P770" s="704"/>
      <c r="Q770" s="704"/>
      <c r="R770" s="705"/>
      <c r="S770" s="684"/>
      <c r="T770" s="202"/>
      <c r="U770" s="244"/>
      <c r="V770" s="244"/>
      <c r="W770" s="244"/>
    </row>
    <row r="771" spans="2:23" s="10" customFormat="1" ht="28.5" hidden="1" customHeight="1">
      <c r="B771" s="87"/>
      <c r="C771" s="178"/>
      <c r="D771" s="704"/>
      <c r="E771" s="704"/>
      <c r="F771" s="704"/>
      <c r="G771" s="704"/>
      <c r="H771" s="704"/>
      <c r="I771" s="704"/>
      <c r="J771" s="704"/>
      <c r="K771" s="704"/>
      <c r="L771" s="704"/>
      <c r="M771" s="704"/>
      <c r="N771" s="704"/>
      <c r="O771" s="704"/>
      <c r="P771" s="704"/>
      <c r="Q771" s="704"/>
      <c r="R771" s="705"/>
      <c r="S771" s="684"/>
      <c r="T771" s="202"/>
      <c r="U771" s="244"/>
      <c r="V771" s="244"/>
      <c r="W771" s="244"/>
    </row>
    <row r="772" spans="2:23" s="10" customFormat="1" ht="24.95" hidden="1" customHeight="1">
      <c r="B772" s="87"/>
      <c r="C772" s="178"/>
      <c r="D772" s="704"/>
      <c r="E772" s="704"/>
      <c r="F772" s="704"/>
      <c r="G772" s="704"/>
      <c r="H772" s="704"/>
      <c r="I772" s="704"/>
      <c r="J772" s="704"/>
      <c r="K772" s="704"/>
      <c r="L772" s="704"/>
      <c r="M772" s="704"/>
      <c r="N772" s="704"/>
      <c r="O772" s="704"/>
      <c r="P772" s="704"/>
      <c r="Q772" s="704"/>
      <c r="R772" s="705"/>
      <c r="S772" s="684"/>
      <c r="T772" s="202"/>
      <c r="U772" s="244"/>
      <c r="V772" s="244"/>
      <c r="W772" s="244"/>
    </row>
    <row r="773" spans="2:23" s="10" customFormat="1" ht="24.95" hidden="1" customHeight="1">
      <c r="B773" s="87"/>
      <c r="C773" s="178"/>
      <c r="D773" s="706" t="s">
        <v>1240</v>
      </c>
      <c r="E773" s="704"/>
      <c r="F773" s="704"/>
      <c r="G773" s="704"/>
      <c r="H773" s="704"/>
      <c r="I773" s="704"/>
      <c r="J773" s="704"/>
      <c r="K773" s="704"/>
      <c r="L773" s="704"/>
      <c r="M773" s="704"/>
      <c r="N773" s="704"/>
      <c r="O773" s="704"/>
      <c r="P773" s="707">
        <f>Q773*Info!K8</f>
        <v>3500</v>
      </c>
      <c r="Q773" s="704">
        <f>VLOOKUP(D777,CPI!C2:AO394,39,FALSE)</f>
        <v>3500</v>
      </c>
      <c r="R773" s="705"/>
      <c r="S773" s="684"/>
      <c r="T773" s="202"/>
      <c r="U773" s="244"/>
      <c r="V773" s="244"/>
      <c r="W773" s="244"/>
    </row>
    <row r="774" spans="2:23" s="10" customFormat="1" ht="24.95" hidden="1" customHeight="1">
      <c r="B774" s="87"/>
      <c r="C774" s="178"/>
      <c r="D774" s="708" t="s">
        <v>1238</v>
      </c>
      <c r="E774" s="709"/>
      <c r="F774" s="709"/>
      <c r="G774" s="709"/>
      <c r="H774" s="709"/>
      <c r="I774" s="709"/>
      <c r="J774" s="709"/>
      <c r="K774" s="709"/>
      <c r="L774" s="709"/>
      <c r="M774" s="709"/>
      <c r="N774" s="709"/>
      <c r="O774" s="709"/>
      <c r="P774" s="710">
        <f>L746+L713+L678+L644+L604+L555+L519</f>
        <v>3295.0900003069501</v>
      </c>
      <c r="Q774" s="704" t="s">
        <v>1242</v>
      </c>
      <c r="R774" s="705"/>
      <c r="S774" s="684"/>
      <c r="T774" s="202"/>
      <c r="U774" s="244"/>
      <c r="V774" s="244">
        <f>ABS(V775)</f>
        <v>4279.3140699131609</v>
      </c>
      <c r="W774" s="244"/>
    </row>
    <row r="775" spans="2:23" s="10" customFormat="1" ht="24.95" hidden="1" customHeight="1">
      <c r="B775" s="87"/>
      <c r="C775" s="178"/>
      <c r="D775" s="708" t="s">
        <v>1239</v>
      </c>
      <c r="E775" s="709"/>
      <c r="F775" s="709"/>
      <c r="G775" s="709"/>
      <c r="H775" s="709"/>
      <c r="I775" s="709"/>
      <c r="J775" s="709"/>
      <c r="K775" s="709"/>
      <c r="L775" s="709"/>
      <c r="M775" s="709"/>
      <c r="N775" s="709"/>
      <c r="O775" s="709"/>
      <c r="P775" s="711">
        <f>V746+V713+V678+V644+V604+V555+V519</f>
        <v>4964.1000001580151</v>
      </c>
      <c r="Q775" s="712">
        <f>P778*Q783</f>
        <v>6779.3140699131609</v>
      </c>
      <c r="R775" s="713">
        <f>IF(Q779&lt;Q775,Q775,Q775)</f>
        <v>6779.3140699131609</v>
      </c>
      <c r="S775" s="684"/>
      <c r="T775" s="202"/>
      <c r="U775" s="244"/>
      <c r="V775" s="714">
        <f>R775-P777</f>
        <v>4279.3140699131609</v>
      </c>
      <c r="W775" s="244"/>
    </row>
    <row r="776" spans="2:23" s="10" customFormat="1" ht="24.95" hidden="1" customHeight="1">
      <c r="B776" s="87"/>
      <c r="C776" s="367"/>
      <c r="D776" s="715">
        <f>ABS(P776)</f>
        <v>0.3362160310626171</v>
      </c>
      <c r="E776" s="709"/>
      <c r="F776" s="709"/>
      <c r="G776" s="709"/>
      <c r="H776" s="709"/>
      <c r="I776" s="709"/>
      <c r="J776" s="709"/>
      <c r="K776" s="709"/>
      <c r="L776" s="709"/>
      <c r="M776" s="709"/>
      <c r="N776" s="709"/>
      <c r="O776" s="709"/>
      <c r="P776" s="716">
        <f>Q776-1</f>
        <v>-0.3362160310626171</v>
      </c>
      <c r="Q776" s="711">
        <f>P774/P775</f>
        <v>0.6637839689373829</v>
      </c>
      <c r="R776" s="709" t="str">
        <f>IF(P776&lt;0,"% lower than in ","% higher than in ")</f>
        <v xml:space="preserve">% lower than in </v>
      </c>
      <c r="S776" s="684"/>
      <c r="T776" s="202"/>
      <c r="U776" s="244"/>
      <c r="V776" s="717" t="str">
        <f>IF(P776&lt;0,"is cheaper",IF(P776&lt;0.5,"is slightly expensive","is a lot more expensive"))</f>
        <v>is cheaper</v>
      </c>
      <c r="W776" s="244"/>
    </row>
    <row r="777" spans="2:23" s="10" customFormat="1" ht="24.95" hidden="1" customHeight="1">
      <c r="B777" s="87"/>
      <c r="C777" s="178"/>
      <c r="D777" s="718" t="str">
        <f>Info!F14</f>
        <v>Dubai, United Arab Emirates</v>
      </c>
      <c r="E777" s="704"/>
      <c r="F777" s="704"/>
      <c r="G777" s="704"/>
      <c r="H777" s="704"/>
      <c r="I777" s="704"/>
      <c r="J777" s="704"/>
      <c r="K777" s="704"/>
      <c r="L777" s="704"/>
      <c r="M777" s="704"/>
      <c r="N777" s="704"/>
      <c r="O777" s="704"/>
      <c r="P777" s="719">
        <f>Info!F16</f>
        <v>2500</v>
      </c>
      <c r="Q777" s="720" t="s">
        <v>1235</v>
      </c>
      <c r="R777" s="705"/>
      <c r="S777" s="684"/>
      <c r="T777" s="202"/>
      <c r="U777" s="244"/>
      <c r="V777" s="244"/>
      <c r="W777" s="244"/>
    </row>
    <row r="778" spans="2:23" s="10" customFormat="1" ht="24.95" hidden="1" customHeight="1">
      <c r="B778" s="87"/>
      <c r="C778" s="178"/>
      <c r="D778" s="718" t="str">
        <f>Info!F10</f>
        <v>Tucson, AZ, United States</v>
      </c>
      <c r="E778" s="244"/>
      <c r="F778" s="244"/>
      <c r="G778" s="244"/>
      <c r="H778" s="244"/>
      <c r="I778" s="244"/>
      <c r="J778" s="244"/>
      <c r="K778" s="244"/>
      <c r="L778" s="244"/>
      <c r="M778" s="244"/>
      <c r="N778" s="244"/>
      <c r="O778" s="244"/>
      <c r="P778" s="719">
        <f>Info!F12</f>
        <v>4500</v>
      </c>
      <c r="Q778" s="718" t="s">
        <v>1234</v>
      </c>
      <c r="R778" s="705"/>
      <c r="S778" s="684"/>
      <c r="T778" s="202"/>
      <c r="U778" s="244"/>
      <c r="V778" s="244"/>
      <c r="W778" s="244"/>
    </row>
    <row r="779" spans="2:23" s="10" customFormat="1" ht="15" hidden="1">
      <c r="C779" s="186"/>
      <c r="D779" s="718" t="s">
        <v>1236</v>
      </c>
      <c r="E779" s="244"/>
      <c r="F779" s="244"/>
      <c r="G779" s="244"/>
      <c r="H779" s="244"/>
      <c r="I779" s="244"/>
      <c r="J779" s="244"/>
      <c r="K779" s="244"/>
      <c r="L779" s="244"/>
      <c r="M779" s="244"/>
      <c r="N779" s="244"/>
      <c r="O779" s="244"/>
      <c r="P779" s="714">
        <f>P778*D776</f>
        <v>1512.9721397817771</v>
      </c>
      <c r="Q779" s="714">
        <f>P779+P778</f>
        <v>6012.9721397817775</v>
      </c>
      <c r="R779" s="244" t="s">
        <v>1241</v>
      </c>
      <c r="S779" s="244"/>
      <c r="T779" s="244"/>
      <c r="U779" s="244"/>
      <c r="V779" s="244"/>
      <c r="W779" s="244"/>
    </row>
    <row r="780" spans="2:23" s="10" customFormat="1" ht="15" hidden="1">
      <c r="C780" s="186"/>
      <c r="D780" s="244"/>
      <c r="E780" s="244"/>
      <c r="F780" s="244"/>
      <c r="G780" s="244"/>
      <c r="H780" s="244"/>
      <c r="I780" s="244"/>
      <c r="J780" s="244"/>
      <c r="K780" s="244"/>
      <c r="L780" s="244"/>
      <c r="M780" s="244"/>
      <c r="N780" s="244"/>
      <c r="O780" s="244"/>
      <c r="P780" s="244"/>
      <c r="Q780" s="244"/>
      <c r="R780" s="720"/>
      <c r="S780" s="720"/>
      <c r="T780" s="720"/>
      <c r="U780" s="720"/>
      <c r="V780" s="721"/>
      <c r="W780" s="244"/>
    </row>
    <row r="781" spans="2:23" s="10" customFormat="1" ht="15" hidden="1">
      <c r="C781" s="186"/>
      <c r="D781" s="718" t="s">
        <v>1237</v>
      </c>
      <c r="E781" s="722"/>
      <c r="F781" s="722"/>
      <c r="G781" s="722"/>
      <c r="H781" s="722"/>
      <c r="I781" s="722"/>
      <c r="J781" s="722"/>
      <c r="K781" s="722"/>
      <c r="L781" s="722"/>
      <c r="M781" s="722"/>
      <c r="N781" s="722"/>
      <c r="O781" s="722"/>
      <c r="P781" s="723">
        <f>R781-1</f>
        <v>-0.63123112836812068</v>
      </c>
      <c r="Q781" s="722">
        <f>ABS(P781)</f>
        <v>0.63123112836812068</v>
      </c>
      <c r="R781" s="724">
        <f>P777/R775</f>
        <v>0.36876887163187938</v>
      </c>
      <c r="S781" s="244"/>
      <c r="T781" s="244"/>
      <c r="U781" s="244"/>
      <c r="V781" s="244" t="str">
        <f>IF(P781&lt;0,"% less than","% more than")</f>
        <v>% less than</v>
      </c>
      <c r="W781" s="244"/>
    </row>
    <row r="782" spans="2:23" s="10" customFormat="1" ht="15" hidden="1">
      <c r="C782" s="186"/>
      <c r="D782" s="244"/>
      <c r="E782" s="244"/>
      <c r="F782" s="244"/>
      <c r="G782" s="244"/>
      <c r="H782" s="244"/>
      <c r="I782" s="244"/>
      <c r="J782" s="244"/>
      <c r="K782" s="244"/>
      <c r="L782" s="244"/>
      <c r="M782" s="244"/>
      <c r="N782" s="244"/>
      <c r="O782" s="244"/>
      <c r="P782" s="244"/>
      <c r="Q782" s="244"/>
      <c r="R782" s="244"/>
      <c r="S782" s="244"/>
      <c r="T782" s="244"/>
      <c r="U782" s="244"/>
      <c r="V782" s="244"/>
      <c r="W782" s="244"/>
    </row>
    <row r="783" spans="2:23" s="10" customFormat="1" ht="15" hidden="1">
      <c r="C783" s="186"/>
      <c r="D783" s="244" t="str">
        <f>VLOOKUP(D777,Data!L$3:N$398,3,FALSE)</f>
        <v>United Arab Emirates</v>
      </c>
      <c r="E783" s="244"/>
      <c r="F783" s="244"/>
      <c r="G783" s="244"/>
      <c r="H783" s="244"/>
      <c r="I783" s="244"/>
      <c r="J783" s="244"/>
      <c r="K783" s="244"/>
      <c r="L783" s="244"/>
      <c r="M783" s="244"/>
      <c r="N783" s="244"/>
      <c r="O783" s="244"/>
      <c r="P783" s="714"/>
      <c r="Q783" s="722">
        <f>P775/P774</f>
        <v>1.5065142377584801</v>
      </c>
      <c r="R783" s="244"/>
      <c r="S783" s="244"/>
      <c r="T783" s="244"/>
      <c r="U783" s="244"/>
      <c r="V783" s="244"/>
      <c r="W783" s="244"/>
    </row>
    <row r="784" spans="2:23" s="10" customFormat="1" ht="57.75" hidden="1" customHeight="1">
      <c r="C784" s="186"/>
      <c r="D784" s="981" t="str">
        <f>"For this reason you have a DEFICIT, hence you need an additional "&amp;Q132&amp;FIXED(V775,2)&amp;" (apart from "&amp;Q132&amp;FIXED(P777,2)&amp;" of the expected net salary) in order to maintain the same purchasing power of "&amp;Q132&amp;FIXED(P778,2)&amp;" as in "&amp;C637&amp;" while in "&amp;V635&amp;"."</f>
        <v>For this reason you have a DEFICIT, hence you need an additional USD4,279.31 (apart from USD2,500.00 of the expected net salary) in order to maintain the same purchasing power of USD4,500.00 as in Tucson while in Dubai.</v>
      </c>
      <c r="E784" s="981"/>
      <c r="F784" s="981"/>
      <c r="G784" s="981"/>
      <c r="H784" s="981"/>
      <c r="I784" s="981"/>
      <c r="J784" s="981"/>
      <c r="K784" s="981"/>
      <c r="L784" s="981"/>
      <c r="M784" s="981"/>
      <c r="N784" s="981"/>
      <c r="O784" s="981"/>
      <c r="P784" s="981"/>
      <c r="Q784" s="981"/>
      <c r="R784" s="981"/>
      <c r="S784" s="981"/>
      <c r="T784" s="981"/>
      <c r="U784" s="981"/>
      <c r="V784" s="981"/>
      <c r="W784" s="244"/>
    </row>
    <row r="785" spans="3:23" s="10" customFormat="1" ht="48" hidden="1" customHeight="1">
      <c r="C785" s="191"/>
      <c r="D785" s="981" t="str">
        <f>"In other words what it means is that, you might have a SURPLUS of "&amp;Q132&amp;FIXED(V774,2)&amp;" if being paid "&amp;Q132&amp;FIXED(P777,2)&amp;" in "&amp;V635&amp;", owing to the reason that a spendable income of "&amp;Q132&amp;FIXED(R775,2)&amp;" in "&amp;V635&amp;" is comparable to "&amp;Q132&amp;FIXED(P778,2)&amp;" in "&amp;D778&amp;"."</f>
        <v>In other words what it means is that, you might have a SURPLUS of USD4,279.31 if being paid USD2,500.00 in Dubai, owing to the reason that a spendable income of USD6,779.31 in Dubai is comparable to USD4,500.00 in Tucson, AZ, United States.</v>
      </c>
      <c r="E785" s="981"/>
      <c r="F785" s="981"/>
      <c r="G785" s="981"/>
      <c r="H785" s="981"/>
      <c r="I785" s="981"/>
      <c r="J785" s="981"/>
      <c r="K785" s="981"/>
      <c r="L785" s="981"/>
      <c r="M785" s="981"/>
      <c r="N785" s="981"/>
      <c r="O785" s="981"/>
      <c r="P785" s="981"/>
      <c r="Q785" s="981"/>
      <c r="R785" s="981"/>
      <c r="S785" s="981"/>
      <c r="T785" s="981"/>
      <c r="U785" s="981"/>
      <c r="V785" s="981"/>
      <c r="W785" s="244"/>
    </row>
    <row r="786" spans="3:23" s="10" customFormat="1" ht="15" hidden="1">
      <c r="C786" s="186"/>
      <c r="D786" s="244"/>
      <c r="E786" s="244"/>
      <c r="F786" s="244"/>
      <c r="G786" s="244"/>
      <c r="H786" s="244"/>
      <c r="I786" s="244"/>
      <c r="J786" s="244"/>
      <c r="K786" s="244"/>
      <c r="L786" s="244"/>
      <c r="M786" s="244"/>
      <c r="N786" s="244"/>
      <c r="O786" s="244"/>
      <c r="P786" s="714"/>
      <c r="Q786" s="722"/>
      <c r="R786" s="244"/>
      <c r="S786" s="244"/>
      <c r="T786" s="244"/>
      <c r="U786" s="244"/>
      <c r="V786" s="244"/>
      <c r="W786" s="244"/>
    </row>
    <row r="787" spans="3:23" s="10" customFormat="1" ht="15" hidden="1">
      <c r="C787" s="186"/>
      <c r="D787" s="244"/>
      <c r="E787" s="244"/>
      <c r="F787" s="244"/>
      <c r="G787" s="244"/>
      <c r="H787" s="244"/>
      <c r="I787" s="244"/>
      <c r="J787" s="244"/>
      <c r="K787" s="244"/>
      <c r="L787" s="244"/>
      <c r="M787" s="244"/>
      <c r="N787" s="244"/>
      <c r="O787" s="244"/>
      <c r="P787" s="714"/>
      <c r="Q787" s="171"/>
      <c r="R787" s="171"/>
      <c r="S787" s="171"/>
      <c r="T787" s="171"/>
      <c r="U787" s="171"/>
      <c r="V787" s="171"/>
      <c r="W787" s="244"/>
    </row>
    <row r="788" spans="3:23" s="10" customFormat="1" ht="15" hidden="1">
      <c r="C788" s="186"/>
      <c r="D788" s="244"/>
      <c r="E788" s="244"/>
      <c r="F788" s="244"/>
      <c r="G788" s="244"/>
      <c r="H788" s="244"/>
      <c r="I788" s="244"/>
      <c r="J788" s="244"/>
      <c r="K788" s="244"/>
      <c r="L788" s="244"/>
      <c r="M788" s="244"/>
      <c r="N788" s="244"/>
      <c r="O788" s="244"/>
      <c r="P788" s="714"/>
      <c r="Q788" s="171"/>
      <c r="R788" s="171"/>
      <c r="S788" s="171"/>
      <c r="T788" s="171"/>
      <c r="U788" s="171"/>
      <c r="V788" s="171"/>
      <c r="W788" s="244"/>
    </row>
    <row r="789" spans="3:23" s="10" customFormat="1" ht="45" hidden="1">
      <c r="C789" s="186"/>
      <c r="D789" s="244"/>
      <c r="E789" s="244"/>
      <c r="F789" s="244"/>
      <c r="G789" s="244"/>
      <c r="H789" s="244"/>
      <c r="I789" s="244"/>
      <c r="J789" s="244"/>
      <c r="K789" s="244"/>
      <c r="L789" s="244"/>
      <c r="M789" s="244"/>
      <c r="N789" s="244"/>
      <c r="O789" s="244"/>
      <c r="P789" s="725"/>
      <c r="Q789" s="171"/>
      <c r="R789" s="171"/>
      <c r="S789" s="171"/>
      <c r="T789" s="171"/>
      <c r="U789" s="171"/>
      <c r="V789" s="171"/>
      <c r="W789" s="244"/>
    </row>
    <row r="790" spans="3:23" s="10" customFormat="1" ht="68.25" hidden="1">
      <c r="C790" s="186"/>
      <c r="D790" s="726" t="s">
        <v>1303</v>
      </c>
      <c r="E790" s="244"/>
      <c r="F790" s="244"/>
      <c r="G790" s="244"/>
      <c r="H790" s="244"/>
      <c r="I790" s="244"/>
      <c r="J790" s="244"/>
      <c r="K790" s="244"/>
      <c r="L790" s="244"/>
      <c r="M790" s="244"/>
      <c r="N790" s="244"/>
      <c r="O790" s="244"/>
      <c r="P790" s="714"/>
      <c r="Q790" s="171"/>
      <c r="R790" s="171"/>
      <c r="S790" s="171"/>
      <c r="T790" s="171"/>
      <c r="U790" s="171"/>
      <c r="V790" s="171"/>
      <c r="W790" s="244"/>
    </row>
    <row r="791" spans="3:23" s="10" customFormat="1" ht="15" hidden="1">
      <c r="C791" s="186"/>
      <c r="D791" s="244"/>
      <c r="E791" s="244"/>
      <c r="F791" s="244"/>
      <c r="G791" s="244"/>
      <c r="H791" s="244"/>
      <c r="I791" s="244"/>
      <c r="J791" s="244"/>
      <c r="K791" s="244"/>
      <c r="L791" s="244"/>
      <c r="M791" s="244"/>
      <c r="N791" s="244"/>
      <c r="O791" s="244"/>
      <c r="P791" s="714"/>
      <c r="Q791" s="171"/>
      <c r="R791" s="171"/>
      <c r="S791" s="171"/>
      <c r="T791" s="171"/>
      <c r="U791" s="171"/>
      <c r="V791" s="171"/>
      <c r="W791" s="244"/>
    </row>
    <row r="792" spans="3:23" s="10" customFormat="1" ht="15" hidden="1">
      <c r="C792" s="186"/>
      <c r="D792" s="244"/>
      <c r="E792" s="244"/>
      <c r="F792" s="244"/>
      <c r="G792" s="244"/>
      <c r="H792" s="244"/>
      <c r="I792" s="244"/>
      <c r="J792" s="244"/>
      <c r="K792" s="244"/>
      <c r="L792" s="244"/>
      <c r="M792" s="244"/>
      <c r="N792" s="244"/>
      <c r="O792" s="244"/>
      <c r="P792" s="244"/>
      <c r="Q792" s="244"/>
      <c r="R792" s="244"/>
      <c r="S792" s="244"/>
      <c r="T792" s="244"/>
      <c r="U792" s="244"/>
      <c r="V792" s="244"/>
      <c r="W792" s="244"/>
    </row>
    <row r="793" spans="3:23" s="10" customFormat="1" ht="15" hidden="1">
      <c r="C793" s="186"/>
      <c r="D793" s="244"/>
      <c r="E793" s="244"/>
      <c r="F793" s="244"/>
      <c r="G793" s="244"/>
      <c r="H793" s="244"/>
      <c r="I793" s="244"/>
      <c r="J793" s="244"/>
      <c r="K793" s="244"/>
      <c r="L793" s="244"/>
      <c r="M793" s="244"/>
      <c r="N793" s="244"/>
      <c r="O793" s="244"/>
      <c r="P793" s="714"/>
      <c r="Q793" s="722"/>
      <c r="R793" s="244"/>
      <c r="S793" s="244"/>
      <c r="T793" s="244"/>
      <c r="U793" s="244"/>
      <c r="V793" s="244"/>
      <c r="W793" s="244"/>
    </row>
    <row r="794" spans="3:23" s="10" customFormat="1" ht="15" hidden="1">
      <c r="C794" s="186"/>
      <c r="D794" s="244"/>
      <c r="E794" s="244"/>
      <c r="F794" s="244"/>
      <c r="G794" s="244"/>
      <c r="H794" s="244"/>
      <c r="I794" s="244"/>
      <c r="J794" s="244"/>
      <c r="K794" s="244"/>
      <c r="L794" s="244"/>
      <c r="M794" s="244"/>
      <c r="N794" s="244"/>
      <c r="O794" s="244"/>
      <c r="P794" s="714"/>
      <c r="Q794" s="722"/>
      <c r="R794" s="244"/>
      <c r="S794" s="244"/>
      <c r="T794" s="244"/>
      <c r="U794" s="244"/>
      <c r="V794" s="244"/>
      <c r="W794" s="244"/>
    </row>
    <row r="795" spans="3:23" s="10" customFormat="1" ht="15" hidden="1">
      <c r="C795" s="186"/>
      <c r="D795" s="699"/>
      <c r="E795" s="699"/>
      <c r="F795" s="699"/>
      <c r="G795" s="699"/>
      <c r="H795" s="699"/>
      <c r="I795" s="699"/>
      <c r="J795" s="699"/>
      <c r="K795" s="699"/>
      <c r="L795" s="699"/>
      <c r="M795" s="699"/>
      <c r="N795" s="699"/>
      <c r="O795" s="699"/>
      <c r="P795" s="512"/>
      <c r="Q795" s="266"/>
      <c r="R795" s="699"/>
      <c r="S795" s="699"/>
      <c r="T795" s="699"/>
      <c r="U795" s="699"/>
      <c r="V795" s="699"/>
      <c r="W795" s="186"/>
    </row>
    <row r="796" spans="3:23" s="10" customFormat="1" ht="15" hidden="1">
      <c r="C796" s="186"/>
      <c r="D796" s="699"/>
      <c r="E796" s="699"/>
      <c r="F796" s="699"/>
      <c r="G796" s="699"/>
      <c r="H796" s="699"/>
      <c r="I796" s="699"/>
      <c r="J796" s="699"/>
      <c r="K796" s="699"/>
      <c r="L796" s="699"/>
      <c r="M796" s="699"/>
      <c r="N796" s="699"/>
      <c r="O796" s="699"/>
      <c r="P796" s="512"/>
      <c r="Q796" s="266"/>
      <c r="R796" s="699"/>
      <c r="S796" s="699"/>
      <c r="T796" s="699"/>
      <c r="U796" s="699"/>
      <c r="V796" s="699"/>
      <c r="W796" s="186"/>
    </row>
    <row r="797" spans="3:23" s="10" customFormat="1" ht="15" hidden="1">
      <c r="C797" s="186"/>
      <c r="D797" s="699"/>
      <c r="E797" s="699"/>
      <c r="F797" s="699"/>
      <c r="G797" s="699"/>
      <c r="H797" s="699"/>
      <c r="I797" s="699"/>
      <c r="J797" s="699"/>
      <c r="K797" s="699"/>
      <c r="L797" s="699"/>
      <c r="M797" s="699"/>
      <c r="N797" s="699"/>
      <c r="O797" s="699"/>
      <c r="P797" s="512"/>
      <c r="Q797" s="266"/>
      <c r="R797" s="699"/>
      <c r="S797" s="699"/>
      <c r="T797" s="699"/>
      <c r="U797" s="699"/>
      <c r="V797" s="699"/>
      <c r="W797" s="186"/>
    </row>
    <row r="798" spans="3:23" s="10" customFormat="1" ht="15" hidden="1">
      <c r="C798" s="186"/>
      <c r="D798" s="699"/>
      <c r="E798" s="699"/>
      <c r="F798" s="699"/>
      <c r="G798" s="699"/>
      <c r="H798" s="699"/>
      <c r="I798" s="699"/>
      <c r="J798" s="699"/>
      <c r="K798" s="699"/>
      <c r="L798" s="699"/>
      <c r="M798" s="699"/>
      <c r="N798" s="699"/>
      <c r="O798" s="699"/>
      <c r="P798" s="512"/>
      <c r="Q798" s="266"/>
      <c r="R798" s="699"/>
      <c r="S798" s="699"/>
      <c r="T798" s="699"/>
      <c r="U798" s="699"/>
      <c r="V798" s="699"/>
      <c r="W798" s="186"/>
    </row>
    <row r="799" spans="3:23" s="10" customFormat="1" ht="15" hidden="1">
      <c r="C799" s="186"/>
      <c r="D799" s="699"/>
      <c r="E799" s="699"/>
      <c r="F799" s="699"/>
      <c r="G799" s="699"/>
      <c r="H799" s="699"/>
      <c r="I799" s="699"/>
      <c r="J799" s="699"/>
      <c r="K799" s="699"/>
      <c r="L799" s="699"/>
      <c r="M799" s="699"/>
      <c r="N799" s="699"/>
      <c r="O799" s="699"/>
      <c r="P799" s="512"/>
      <c r="Q799" s="266"/>
      <c r="R799" s="699"/>
      <c r="S799" s="699"/>
      <c r="T799" s="699"/>
      <c r="U799" s="699"/>
      <c r="V799" s="699"/>
      <c r="W799" s="186"/>
    </row>
    <row r="800" spans="3:23" s="10" customFormat="1" ht="15" hidden="1">
      <c r="C800" s="186"/>
      <c r="D800" s="699"/>
      <c r="E800" s="699"/>
      <c r="F800" s="699"/>
      <c r="G800" s="699"/>
      <c r="H800" s="699"/>
      <c r="I800" s="699"/>
      <c r="J800" s="699"/>
      <c r="K800" s="699"/>
      <c r="L800" s="699"/>
      <c r="M800" s="699"/>
      <c r="N800" s="699"/>
      <c r="O800" s="699"/>
      <c r="P800" s="512"/>
      <c r="Q800" s="266"/>
      <c r="R800" s="699"/>
      <c r="S800" s="699"/>
      <c r="T800" s="699"/>
      <c r="U800" s="699"/>
      <c r="V800" s="699"/>
      <c r="W800" s="186"/>
    </row>
    <row r="801" spans="2:23" s="10" customFormat="1" ht="25.5" hidden="1">
      <c r="C801" s="186"/>
      <c r="D801" s="1005" t="s">
        <v>1304</v>
      </c>
      <c r="E801" s="1005"/>
      <c r="F801" s="1005"/>
      <c r="G801" s="1005"/>
      <c r="H801" s="1005"/>
      <c r="I801" s="1005"/>
      <c r="J801" s="1005"/>
      <c r="K801" s="1005"/>
      <c r="L801" s="1005"/>
      <c r="M801" s="1005"/>
      <c r="N801" s="1005"/>
      <c r="O801" s="1005"/>
      <c r="P801" s="1005"/>
      <c r="Q801" s="1005"/>
      <c r="R801" s="1005"/>
      <c r="S801" s="1005"/>
      <c r="T801" s="1005"/>
      <c r="U801" s="1005"/>
      <c r="V801" s="1005"/>
      <c r="W801" s="186"/>
    </row>
    <row r="802" spans="2:23" s="10" customFormat="1" ht="15" hidden="1">
      <c r="C802" s="186"/>
      <c r="D802" s="689"/>
      <c r="E802" s="689"/>
      <c r="F802" s="689"/>
      <c r="G802" s="689"/>
      <c r="H802" s="689"/>
      <c r="I802" s="689"/>
      <c r="J802" s="689"/>
      <c r="K802" s="689"/>
      <c r="L802" s="689"/>
      <c r="M802" s="689"/>
      <c r="N802" s="689"/>
      <c r="O802" s="689"/>
      <c r="P802" s="689"/>
      <c r="Q802" s="689"/>
      <c r="R802" s="689"/>
      <c r="S802" s="689"/>
      <c r="T802" s="689"/>
      <c r="U802" s="689"/>
      <c r="V802" s="689"/>
      <c r="W802" s="186"/>
    </row>
    <row r="803" spans="2:23" s="10" customFormat="1" ht="15" hidden="1">
      <c r="C803" s="186"/>
      <c r="D803" s="689"/>
      <c r="E803" s="689"/>
      <c r="F803" s="689"/>
      <c r="G803" s="689"/>
      <c r="H803" s="689"/>
      <c r="I803" s="689"/>
      <c r="J803" s="689"/>
      <c r="K803" s="689"/>
      <c r="L803" s="689"/>
      <c r="M803" s="689"/>
      <c r="N803" s="689"/>
      <c r="O803" s="689"/>
      <c r="P803" s="689"/>
      <c r="Q803" s="689"/>
      <c r="R803" s="689"/>
      <c r="S803" s="689"/>
      <c r="T803" s="689"/>
      <c r="U803" s="689"/>
      <c r="V803" s="689"/>
      <c r="W803" s="186"/>
    </row>
    <row r="804" spans="2:23" s="10" customFormat="1" ht="96" hidden="1" customHeight="1">
      <c r="C804" s="186"/>
      <c r="D804" s="978" t="s">
        <v>1311</v>
      </c>
      <c r="E804" s="978"/>
      <c r="F804" s="978"/>
      <c r="G804" s="978"/>
      <c r="H804" s="978"/>
      <c r="I804" s="978"/>
      <c r="J804" s="978"/>
      <c r="K804" s="978"/>
      <c r="L804" s="978"/>
      <c r="M804" s="978"/>
      <c r="N804" s="978"/>
      <c r="O804" s="978"/>
      <c r="P804" s="978"/>
      <c r="Q804" s="978"/>
      <c r="R804" s="978"/>
      <c r="S804" s="699"/>
      <c r="T804" s="699"/>
      <c r="U804" s="699"/>
      <c r="V804" s="699"/>
      <c r="W804" s="186"/>
    </row>
    <row r="805" spans="2:23" s="10" customFormat="1" ht="15" hidden="1">
      <c r="C805" s="186"/>
      <c r="D805" s="699"/>
      <c r="E805" s="699"/>
      <c r="F805" s="699"/>
      <c r="G805" s="699"/>
      <c r="H805" s="699"/>
      <c r="I805" s="699"/>
      <c r="J805" s="699"/>
      <c r="K805" s="699"/>
      <c r="L805" s="699"/>
      <c r="M805" s="699"/>
      <c r="N805" s="699"/>
      <c r="O805" s="699"/>
      <c r="P805" s="512"/>
      <c r="Q805" s="266"/>
      <c r="R805" s="699"/>
      <c r="S805" s="699"/>
      <c r="T805" s="699"/>
      <c r="U805" s="699"/>
      <c r="V805" s="699"/>
      <c r="W805" s="186"/>
    </row>
    <row r="806" spans="2:23" s="10" customFormat="1" ht="79.5" hidden="1" customHeight="1">
      <c r="B806" s="15"/>
      <c r="C806" s="186"/>
      <c r="D806" s="1004" t="s">
        <v>1312</v>
      </c>
      <c r="E806" s="1004"/>
      <c r="F806" s="1004"/>
      <c r="G806" s="1004"/>
      <c r="H806" s="1004"/>
      <c r="I806" s="1004"/>
      <c r="J806" s="1004"/>
      <c r="K806" s="1004"/>
      <c r="L806" s="1004"/>
      <c r="M806" s="1004"/>
      <c r="N806" s="1004"/>
      <c r="O806" s="1004"/>
      <c r="P806" s="1004"/>
      <c r="Q806" s="1004"/>
      <c r="R806" s="1004"/>
      <c r="S806" s="699"/>
      <c r="T806" s="699"/>
      <c r="U806" s="699"/>
      <c r="V806" s="699"/>
      <c r="W806" s="186"/>
    </row>
    <row r="807" spans="2:23" s="10" customFormat="1" ht="82.5" hidden="1" customHeight="1">
      <c r="C807" s="186"/>
      <c r="D807" s="699"/>
      <c r="E807" s="699"/>
      <c r="F807" s="699"/>
      <c r="G807" s="699"/>
      <c r="H807" s="699"/>
      <c r="I807" s="699"/>
      <c r="J807" s="699"/>
      <c r="K807" s="699"/>
      <c r="L807" s="699"/>
      <c r="M807" s="699"/>
      <c r="N807" s="699"/>
      <c r="O807" s="699"/>
      <c r="P807" s="699"/>
      <c r="Q807" s="699"/>
      <c r="R807" s="699"/>
      <c r="S807" s="503"/>
      <c r="T807" s="503"/>
      <c r="U807" s="503"/>
      <c r="V807" s="503"/>
      <c r="W807" s="186"/>
    </row>
    <row r="808" spans="2:23" s="10" customFormat="1" ht="15" hidden="1">
      <c r="C808" s="186"/>
      <c r="D808" s="699"/>
      <c r="E808" s="699"/>
      <c r="F808" s="699"/>
      <c r="G808" s="699"/>
      <c r="H808" s="699"/>
      <c r="I808" s="699"/>
      <c r="J808" s="699"/>
      <c r="K808" s="699"/>
      <c r="L808" s="699"/>
      <c r="M808" s="699"/>
      <c r="N808" s="699"/>
      <c r="O808" s="699"/>
      <c r="P808" s="512"/>
      <c r="Q808" s="266"/>
      <c r="R808" s="699"/>
      <c r="S808" s="699"/>
      <c r="T808" s="699"/>
      <c r="U808" s="699"/>
      <c r="V808" s="699"/>
      <c r="W808" s="186"/>
    </row>
    <row r="809" spans="2:23" s="10" customFormat="1" ht="15" hidden="1">
      <c r="C809" s="186"/>
      <c r="D809" s="699"/>
      <c r="E809" s="699"/>
      <c r="F809" s="699"/>
      <c r="G809" s="699"/>
      <c r="H809" s="699"/>
      <c r="I809" s="699"/>
      <c r="J809" s="699"/>
      <c r="K809" s="699"/>
      <c r="L809" s="699"/>
      <c r="M809" s="699"/>
      <c r="N809" s="699"/>
      <c r="O809" s="699"/>
      <c r="P809" s="512"/>
      <c r="Q809" s="266"/>
      <c r="R809" s="699"/>
      <c r="S809" s="699"/>
      <c r="T809" s="699"/>
      <c r="U809" s="699"/>
      <c r="V809" s="699"/>
      <c r="W809" s="186"/>
    </row>
    <row r="810" spans="2:23" s="10" customFormat="1" ht="19.5" hidden="1" customHeight="1">
      <c r="C810" s="186"/>
      <c r="D810" s="699"/>
      <c r="E810" s="699"/>
      <c r="F810" s="699"/>
      <c r="G810" s="699"/>
      <c r="H810" s="699"/>
      <c r="I810" s="699"/>
      <c r="J810" s="699"/>
      <c r="K810" s="699"/>
      <c r="L810" s="699"/>
      <c r="M810" s="699"/>
      <c r="N810" s="699"/>
      <c r="O810" s="699"/>
      <c r="P810" s="512"/>
      <c r="Q810" s="266"/>
      <c r="R810" s="699"/>
      <c r="S810" s="699"/>
      <c r="T810" s="699"/>
      <c r="U810" s="699"/>
      <c r="V810" s="699"/>
      <c r="W810" s="186"/>
    </row>
    <row r="811" spans="2:23" s="10" customFormat="1" ht="24.95" hidden="1" customHeight="1">
      <c r="C811" s="186"/>
      <c r="D811" s="699"/>
      <c r="E811" s="699"/>
      <c r="F811" s="699"/>
      <c r="G811" s="699"/>
      <c r="H811" s="699"/>
      <c r="I811" s="699"/>
      <c r="J811" s="699"/>
      <c r="K811" s="699"/>
      <c r="L811" s="699"/>
      <c r="M811" s="699"/>
      <c r="N811" s="699"/>
      <c r="O811" s="699"/>
      <c r="P811" s="512"/>
      <c r="Q811" s="266"/>
      <c r="R811" s="699"/>
      <c r="S811" s="699"/>
      <c r="T811" s="699"/>
      <c r="U811" s="699"/>
      <c r="V811" s="699"/>
      <c r="W811" s="186"/>
    </row>
    <row r="812" spans="2:23" s="10" customFormat="1" ht="20.100000000000001" customHeight="1">
      <c r="C812" s="186"/>
      <c r="D812" s="776" t="str">
        <f t="shared" ref="D812:D817" si="57">R496</f>
        <v>Accomodation</v>
      </c>
      <c r="E812" s="777"/>
      <c r="F812" s="777"/>
      <c r="G812" s="777"/>
      <c r="H812" s="777"/>
      <c r="I812" s="777"/>
      <c r="J812" s="777"/>
      <c r="K812" s="777"/>
      <c r="L812" s="777"/>
      <c r="M812" s="777"/>
      <c r="N812" s="777"/>
      <c r="O812" s="777"/>
      <c r="P812" s="778">
        <f t="shared" ref="P812:Q817" si="58">V496</f>
        <v>3062.0000000950581</v>
      </c>
      <c r="Q812" s="779">
        <f t="shared" si="58"/>
        <v>0.61682883100614216</v>
      </c>
      <c r="R812" s="292"/>
      <c r="S812" s="703"/>
      <c r="T812" s="703"/>
      <c r="U812" s="703"/>
      <c r="V812" s="703"/>
      <c r="W812" s="186"/>
    </row>
    <row r="813" spans="2:23" s="10" customFormat="1" ht="20.100000000000001" customHeight="1">
      <c r="C813" s="186"/>
      <c r="D813" s="774" t="str">
        <f t="shared" si="57"/>
        <v>Eating Out</v>
      </c>
      <c r="E813" s="772"/>
      <c r="F813" s="772"/>
      <c r="G813" s="772"/>
      <c r="H813" s="772"/>
      <c r="I813" s="772"/>
      <c r="J813" s="772"/>
      <c r="K813" s="772"/>
      <c r="L813" s="772"/>
      <c r="M813" s="772"/>
      <c r="N813" s="772"/>
      <c r="O813" s="772"/>
      <c r="P813" s="773">
        <f t="shared" si="58"/>
        <v>684.2500000030002</v>
      </c>
      <c r="Q813" s="775">
        <f t="shared" si="58"/>
        <v>0.13783968896299825</v>
      </c>
      <c r="R813" s="703"/>
      <c r="S813" s="703"/>
      <c r="T813" s="703"/>
      <c r="U813" s="703"/>
      <c r="V813" s="703"/>
      <c r="W813" s="186"/>
    </row>
    <row r="814" spans="2:23" s="10" customFormat="1" ht="20.100000000000001" customHeight="1">
      <c r="C814" s="186"/>
      <c r="D814" s="776" t="str">
        <f t="shared" si="57"/>
        <v>Apparel And Footwear</v>
      </c>
      <c r="E814" s="777"/>
      <c r="F814" s="777"/>
      <c r="G814" s="777"/>
      <c r="H814" s="777"/>
      <c r="I814" s="777"/>
      <c r="J814" s="777"/>
      <c r="K814" s="777"/>
      <c r="L814" s="777"/>
      <c r="M814" s="777"/>
      <c r="N814" s="777"/>
      <c r="O814" s="777"/>
      <c r="P814" s="778">
        <f t="shared" si="58"/>
        <v>339.08000000495002</v>
      </c>
      <c r="Q814" s="779">
        <f t="shared" si="58"/>
        <v>6.8306440239752755E-2</v>
      </c>
      <c r="R814" s="292"/>
      <c r="S814" s="703"/>
      <c r="T814" s="703"/>
      <c r="U814" s="703"/>
      <c r="V814" s="703"/>
      <c r="W814" s="186"/>
    </row>
    <row r="815" spans="2:23" s="10" customFormat="1" ht="20.100000000000001" customHeight="1">
      <c r="C815" s="186"/>
      <c r="D815" s="774" t="str">
        <f t="shared" si="57"/>
        <v>Groceries</v>
      </c>
      <c r="E815" s="772"/>
      <c r="F815" s="772"/>
      <c r="G815" s="772"/>
      <c r="H815" s="772"/>
      <c r="I815" s="772"/>
      <c r="J815" s="772"/>
      <c r="K815" s="772"/>
      <c r="L815" s="772"/>
      <c r="M815" s="772"/>
      <c r="N815" s="772"/>
      <c r="O815" s="772"/>
      <c r="P815" s="773">
        <f t="shared" si="58"/>
        <v>324.98000000005402</v>
      </c>
      <c r="Q815" s="775">
        <f t="shared" si="58"/>
        <v>6.5466046209727735E-2</v>
      </c>
      <c r="R815" s="781"/>
      <c r="S815" s="703"/>
      <c r="T815" s="703"/>
      <c r="U815" s="703"/>
      <c r="V815" s="703"/>
      <c r="W815" s="186"/>
    </row>
    <row r="816" spans="2:23" s="10" customFormat="1" ht="20.100000000000001" customHeight="1">
      <c r="C816" s="186"/>
      <c r="D816" s="776" t="str">
        <f t="shared" si="57"/>
        <v>Utilities</v>
      </c>
      <c r="E816" s="777"/>
      <c r="F816" s="777"/>
      <c r="G816" s="777"/>
      <c r="H816" s="777"/>
      <c r="I816" s="777"/>
      <c r="J816" s="777"/>
      <c r="K816" s="777"/>
      <c r="L816" s="777"/>
      <c r="M816" s="777"/>
      <c r="N816" s="777"/>
      <c r="O816" s="777"/>
      <c r="P816" s="778">
        <f t="shared" si="58"/>
        <v>223.73000000900001</v>
      </c>
      <c r="Q816" s="779">
        <f t="shared" si="58"/>
        <v>4.5069599726411308E-2</v>
      </c>
      <c r="R816" s="292"/>
      <c r="S816" s="703"/>
      <c r="T816" s="703"/>
      <c r="U816" s="703"/>
      <c r="V816" s="703"/>
      <c r="W816" s="186"/>
    </row>
    <row r="817" spans="2:23" s="10" customFormat="1" ht="20.100000000000001" customHeight="1">
      <c r="C817" s="186"/>
      <c r="D817" s="774" t="str">
        <f t="shared" si="57"/>
        <v>Recreation And Leisure</v>
      </c>
      <c r="E817" s="772"/>
      <c r="F817" s="772"/>
      <c r="G817" s="772"/>
      <c r="H817" s="772"/>
      <c r="I817" s="772"/>
      <c r="J817" s="772"/>
      <c r="K817" s="772"/>
      <c r="L817" s="772"/>
      <c r="M817" s="772"/>
      <c r="N817" s="772"/>
      <c r="O817" s="772"/>
      <c r="P817" s="773">
        <f t="shared" si="58"/>
        <v>196.450000000953</v>
      </c>
      <c r="Q817" s="775">
        <f t="shared" si="58"/>
        <v>3.957414234094795E-2</v>
      </c>
      <c r="R817" s="781"/>
      <c r="S817" s="703"/>
      <c r="T817" s="703"/>
      <c r="U817" s="703"/>
      <c r="V817" s="703"/>
      <c r="W817" s="186"/>
    </row>
    <row r="818" spans="2:23" s="10" customFormat="1" ht="20.100000000000001" customHeight="1">
      <c r="C818" s="186"/>
      <c r="D818" s="776" t="str">
        <f t="shared" ref="D818" si="59">R502</f>
        <v>Transportation</v>
      </c>
      <c r="E818" s="777"/>
      <c r="F818" s="777"/>
      <c r="G818" s="777"/>
      <c r="H818" s="777"/>
      <c r="I818" s="777"/>
      <c r="J818" s="777"/>
      <c r="K818" s="777"/>
      <c r="L818" s="777"/>
      <c r="M818" s="777"/>
      <c r="N818" s="777"/>
      <c r="O818" s="777"/>
      <c r="P818" s="778">
        <f t="shared" ref="P818" si="60">V502</f>
        <v>133.61000004500002</v>
      </c>
      <c r="Q818" s="779">
        <f t="shared" ref="Q818" si="61">W502</f>
        <v>2.6915251514020071E-2</v>
      </c>
      <c r="R818" s="292"/>
      <c r="S818" s="703"/>
      <c r="T818" s="703"/>
      <c r="U818" s="703"/>
      <c r="V818" s="703"/>
      <c r="W818" s="186"/>
    </row>
    <row r="819" spans="2:23" s="10" customFormat="1" ht="24.95" customHeight="1">
      <c r="C819" s="186"/>
      <c r="D819" s="774"/>
      <c r="E819" s="772"/>
      <c r="F819" s="772"/>
      <c r="G819" s="772"/>
      <c r="H819" s="772"/>
      <c r="I819" s="772"/>
      <c r="J819" s="772"/>
      <c r="K819" s="772"/>
      <c r="L819" s="772"/>
      <c r="M819" s="772"/>
      <c r="N819" s="772"/>
      <c r="O819" s="772"/>
      <c r="P819" s="773"/>
      <c r="Q819" s="775"/>
      <c r="R819" s="703"/>
      <c r="S819" s="703"/>
      <c r="T819" s="703"/>
      <c r="U819" s="703"/>
      <c r="V819" s="703"/>
      <c r="W819" s="186"/>
    </row>
    <row r="820" spans="2:23" s="10" customFormat="1" ht="24.95" customHeight="1">
      <c r="C820" s="186"/>
      <c r="D820" s="703"/>
      <c r="E820" s="703"/>
      <c r="F820" s="703"/>
      <c r="G820" s="703"/>
      <c r="H820" s="703"/>
      <c r="I820" s="703"/>
      <c r="J820" s="703"/>
      <c r="K820" s="703"/>
      <c r="L820" s="703"/>
      <c r="M820" s="703"/>
      <c r="N820" s="703"/>
      <c r="O820" s="703"/>
      <c r="P820" s="856"/>
      <c r="Q820" s="266"/>
      <c r="R820" s="703"/>
      <c r="S820" s="703"/>
      <c r="T820" s="703"/>
      <c r="U820" s="703"/>
      <c r="V820" s="703"/>
      <c r="W820" s="186"/>
    </row>
    <row r="821" spans="2:23" s="10" customFormat="1" ht="24.95" customHeight="1"/>
    <row r="822" spans="2:23" s="10" customFormat="1" ht="15">
      <c r="C822" s="781"/>
      <c r="D822" s="781"/>
      <c r="E822" s="781"/>
      <c r="F822" s="781"/>
      <c r="G822" s="781"/>
      <c r="H822" s="781"/>
      <c r="I822" s="781"/>
      <c r="J822" s="781"/>
      <c r="K822" s="781"/>
      <c r="L822" s="781"/>
      <c r="M822" s="781"/>
      <c r="N822" s="781"/>
      <c r="O822" s="781"/>
      <c r="P822" s="781"/>
      <c r="Q822" s="781"/>
      <c r="R822" s="781"/>
      <c r="S822" s="781"/>
      <c r="T822" s="781"/>
      <c r="U822" s="781"/>
      <c r="V822" s="781"/>
      <c r="W822" s="781"/>
    </row>
    <row r="823" spans="2:23" s="10" customFormat="1" ht="15">
      <c r="C823" s="781"/>
      <c r="D823" s="781"/>
      <c r="E823" s="781"/>
      <c r="F823" s="781"/>
      <c r="G823" s="781"/>
      <c r="H823" s="781"/>
      <c r="I823" s="781"/>
      <c r="J823" s="781"/>
      <c r="K823" s="781"/>
      <c r="L823" s="781"/>
      <c r="M823" s="781"/>
      <c r="N823" s="781"/>
      <c r="O823" s="781"/>
      <c r="P823" s="781"/>
      <c r="Q823" s="781"/>
      <c r="R823" s="781"/>
      <c r="S823" s="781"/>
      <c r="T823" s="781"/>
      <c r="U823" s="781"/>
      <c r="V823" s="781"/>
      <c r="W823" s="781"/>
    </row>
    <row r="824" spans="2:23" s="10" customFormat="1" ht="15">
      <c r="C824" s="177"/>
      <c r="D824" s="177"/>
      <c r="E824" s="177"/>
      <c r="F824" s="177"/>
      <c r="G824" s="177"/>
      <c r="H824" s="177"/>
      <c r="I824" s="177"/>
      <c r="J824" s="177"/>
      <c r="K824" s="177"/>
      <c r="L824" s="177"/>
      <c r="M824" s="177"/>
      <c r="N824" s="177"/>
      <c r="O824" s="177"/>
      <c r="P824" s="177"/>
      <c r="Q824" s="177"/>
      <c r="R824" s="177"/>
      <c r="S824" s="177"/>
      <c r="T824" s="177"/>
      <c r="U824" s="177"/>
      <c r="V824" s="177"/>
      <c r="W824" s="177"/>
    </row>
    <row r="825" spans="2:23" s="10" customFormat="1" ht="15">
      <c r="C825" s="186"/>
      <c r="D825" s="177"/>
      <c r="E825" s="177"/>
      <c r="F825" s="177"/>
      <c r="G825" s="177"/>
      <c r="H825" s="177"/>
      <c r="I825" s="177"/>
      <c r="J825" s="177"/>
      <c r="K825" s="177"/>
      <c r="L825" s="177"/>
      <c r="M825" s="177"/>
      <c r="N825" s="177"/>
      <c r="O825" s="177"/>
      <c r="P825" s="512"/>
      <c r="Q825" s="266"/>
      <c r="R825" s="177"/>
      <c r="S825" s="177"/>
      <c r="T825" s="177"/>
      <c r="U825" s="177"/>
      <c r="V825" s="177"/>
      <c r="W825" s="186"/>
    </row>
    <row r="826" spans="2:23" s="10" customFormat="1" ht="36" customHeight="1">
      <c r="C826" s="186"/>
      <c r="D826" s="829" t="s">
        <v>1364</v>
      </c>
      <c r="E826" s="781"/>
      <c r="F826" s="781"/>
      <c r="G826" s="781"/>
      <c r="H826" s="781"/>
      <c r="I826" s="781"/>
      <c r="J826" s="781"/>
      <c r="K826" s="781"/>
      <c r="L826" s="781"/>
      <c r="M826" s="781"/>
      <c r="N826" s="781"/>
      <c r="O826" s="781"/>
      <c r="P826" s="781"/>
      <c r="Q826" s="781"/>
      <c r="R826" s="781"/>
      <c r="S826" s="781"/>
      <c r="T826" s="781"/>
      <c r="U826" s="781"/>
      <c r="V826" s="781"/>
      <c r="W826" s="186"/>
    </row>
    <row r="827" spans="2:23" s="10" customFormat="1" ht="15" hidden="1">
      <c r="C827" s="186"/>
      <c r="D827" s="612"/>
      <c r="E827" s="612"/>
      <c r="F827" s="612"/>
      <c r="G827" s="612"/>
      <c r="H827" s="612"/>
      <c r="I827" s="612"/>
      <c r="J827" s="612"/>
      <c r="K827" s="612"/>
      <c r="L827" s="612"/>
      <c r="M827" s="612"/>
      <c r="N827" s="612"/>
      <c r="O827" s="612"/>
      <c r="P827" s="612"/>
      <c r="Q827" s="612"/>
      <c r="R827" s="612"/>
      <c r="S827" s="612"/>
      <c r="T827" s="612"/>
      <c r="U827" s="612"/>
      <c r="V827" s="612"/>
      <c r="W827" s="186"/>
    </row>
    <row r="828" spans="2:23" s="10" customFormat="1" ht="25.5" customHeight="1">
      <c r="C828" s="186"/>
      <c r="D828" s="980" t="str">
        <f>"Your Current Net Salary is comparable to "&amp;Q132&amp;FIXED(R775,2)&amp;" in "&amp;R711</f>
        <v>Your Current Net Salary is comparable to USD6,779.31 in Dubai</v>
      </c>
      <c r="E828" s="980"/>
      <c r="F828" s="980"/>
      <c r="G828" s="980"/>
      <c r="H828" s="980"/>
      <c r="I828" s="980"/>
      <c r="J828" s="980"/>
      <c r="K828" s="980"/>
      <c r="L828" s="980"/>
      <c r="M828" s="980"/>
      <c r="N828" s="980"/>
      <c r="O828" s="980"/>
      <c r="P828" s="980"/>
      <c r="Q828" s="980"/>
      <c r="R828" s="980"/>
      <c r="S828" s="980"/>
      <c r="T828" s="980"/>
      <c r="U828" s="980"/>
      <c r="V828" s="980"/>
      <c r="W828" s="186"/>
    </row>
    <row r="829" spans="2:23" s="10" customFormat="1" ht="79.5" customHeight="1">
      <c r="C829" s="186"/>
      <c r="D829" s="973" t="s">
        <v>1361</v>
      </c>
      <c r="E829" s="973"/>
      <c r="F829" s="973"/>
      <c r="G829" s="973"/>
      <c r="H829" s="973"/>
      <c r="I829" s="973"/>
      <c r="J829" s="973"/>
      <c r="K829" s="973"/>
      <c r="L829" s="973"/>
      <c r="M829" s="973"/>
      <c r="N829" s="973"/>
      <c r="O829" s="973"/>
      <c r="P829" s="973"/>
      <c r="Q829" s="973"/>
      <c r="R829" s="973"/>
      <c r="S829" s="973"/>
      <c r="T829" s="973"/>
      <c r="U829" s="973"/>
      <c r="V829" s="973"/>
      <c r="W829" s="186"/>
    </row>
    <row r="830" spans="2:23" s="10" customFormat="1" ht="69" customHeight="1">
      <c r="C830" s="186"/>
      <c r="D830" s="973" t="str">
        <f>"Based from your spending patterns, the cost of living in "&amp;D778&amp;" is "&amp;FIXED(D776*100)&amp;R776&amp;D777&amp;". Basically what it means is that the estimation of your personal consumption expenditure for eating out, groceries, transportation, utilities, recreation, clothing and rent in "&amp;C637&amp;" on average "&amp;V776&amp;" compared to "&amp;V635&amp;"."</f>
        <v>Based from your spending patterns, the cost of living in Tucson, AZ, United States is 33.62% lower than in Dubai, United Arab Emirates. Basically what it means is that the estimation of your personal consumption expenditure for eating out, groceries, transportation, utilities, recreation, clothing and rent in Tucson on average is cheaper compared to Dubai.</v>
      </c>
      <c r="E830" s="973"/>
      <c r="F830" s="973"/>
      <c r="G830" s="973"/>
      <c r="H830" s="973"/>
      <c r="I830" s="973"/>
      <c r="J830" s="973"/>
      <c r="K830" s="973"/>
      <c r="L830" s="973"/>
      <c r="M830" s="973"/>
      <c r="N830" s="973"/>
      <c r="O830" s="973"/>
      <c r="P830" s="973"/>
      <c r="Q830" s="973"/>
      <c r="R830" s="973"/>
      <c r="S830" s="973"/>
      <c r="T830" s="973"/>
      <c r="U830" s="973"/>
      <c r="V830" s="973"/>
      <c r="W830" s="186"/>
    </row>
    <row r="831" spans="2:23" s="10" customFormat="1" ht="42" customHeight="1">
      <c r="B831" s="87"/>
      <c r="C831" s="186"/>
      <c r="D831" s="954" t="str">
        <f>"In monetary terms, if you are earning a net salary of "&amp;Q132&amp;FIXED(P778,2)&amp;" as your spendable income in "&amp;C637&amp;" , the comparable spendable income in "&amp;V635&amp;" is "&amp;Q132&amp;FIXED(R775,2)&amp;"."</f>
        <v>In monetary terms, if you are earning a net salary of USD4,500.00 as your spendable income in Tucson , the comparable spendable income in Dubai is USD6,779.31.</v>
      </c>
      <c r="E831" s="954"/>
      <c r="F831" s="954"/>
      <c r="G831" s="954"/>
      <c r="H831" s="954"/>
      <c r="I831" s="954"/>
      <c r="J831" s="954"/>
      <c r="K831" s="954"/>
      <c r="L831" s="954"/>
      <c r="M831" s="954"/>
      <c r="N831" s="954"/>
      <c r="O831" s="954"/>
      <c r="P831" s="954"/>
      <c r="Q831" s="954"/>
      <c r="R831" s="954"/>
      <c r="S831" s="954"/>
      <c r="T831" s="954"/>
      <c r="U831" s="954"/>
      <c r="V831" s="954"/>
      <c r="W831" s="186"/>
    </row>
    <row r="832" spans="2:23" s="10" customFormat="1" ht="29.25" customHeight="1">
      <c r="B832" s="87"/>
      <c r="C832" s="186"/>
      <c r="D832" s="973" t="str">
        <f>"In other words, we can say that to maintain a similar/comparable standard of living as you like to have with "&amp;Q132&amp;FIXED(P778,2)&amp;" in "&amp;C637&amp;", you need at least "&amp;Q132&amp;FIXED(R775,2)&amp;" in "&amp;V635&amp;"."</f>
        <v>In other words, we can say that to maintain a similar/comparable standard of living as you like to have with USD4,500.00 in Tucson, you need at least USD6,779.31 in Dubai.</v>
      </c>
      <c r="E832" s="973"/>
      <c r="F832" s="973"/>
      <c r="G832" s="973"/>
      <c r="H832" s="973"/>
      <c r="I832" s="973"/>
      <c r="J832" s="973"/>
      <c r="K832" s="973"/>
      <c r="L832" s="973"/>
      <c r="M832" s="973"/>
      <c r="N832" s="973"/>
      <c r="O832" s="973"/>
      <c r="P832" s="973"/>
      <c r="Q832" s="973"/>
      <c r="R832" s="973"/>
      <c r="S832" s="973"/>
      <c r="T832" s="973"/>
      <c r="U832" s="973"/>
      <c r="V832" s="973"/>
      <c r="W832" s="186"/>
    </row>
    <row r="833" spans="2:23" s="10" customFormat="1" ht="23.25" customHeight="1">
      <c r="B833" s="87"/>
      <c r="C833" s="186"/>
      <c r="D833" s="880"/>
      <c r="E833" s="881"/>
      <c r="F833" s="881"/>
      <c r="G833" s="881"/>
      <c r="H833" s="881"/>
      <c r="I833" s="881"/>
      <c r="J833" s="881"/>
      <c r="K833" s="881"/>
      <c r="L833" s="881"/>
      <c r="M833" s="881"/>
      <c r="N833" s="881"/>
      <c r="O833" s="881"/>
      <c r="P833" s="881"/>
      <c r="Q833" s="882"/>
      <c r="R833" s="882"/>
      <c r="S833" s="882"/>
      <c r="T833" s="882"/>
      <c r="U833" s="882"/>
      <c r="V833" s="882"/>
      <c r="W833" s="186"/>
    </row>
    <row r="834" spans="2:23" s="10" customFormat="1" ht="23.25" customHeight="1">
      <c r="B834" s="87"/>
      <c r="C834" s="186"/>
      <c r="D834" s="885" t="s">
        <v>1360</v>
      </c>
      <c r="E834" s="879"/>
      <c r="F834" s="879"/>
      <c r="G834" s="879"/>
      <c r="H834" s="879"/>
      <c r="I834" s="879"/>
      <c r="J834" s="879"/>
      <c r="K834" s="879"/>
      <c r="L834" s="879"/>
      <c r="M834" s="879"/>
      <c r="N834" s="879"/>
      <c r="O834" s="879"/>
      <c r="P834" s="879"/>
      <c r="Q834" s="885"/>
      <c r="R834" s="886" t="s">
        <v>1300</v>
      </c>
      <c r="S834" s="882"/>
      <c r="T834" s="882"/>
      <c r="U834" s="882"/>
      <c r="V834" s="883"/>
      <c r="W834" s="186"/>
    </row>
    <row r="835" spans="2:23" s="10" customFormat="1" ht="23.25" customHeight="1">
      <c r="B835" s="87"/>
      <c r="C835" s="186"/>
      <c r="D835" s="887" t="str">
        <f>" in "&amp;D778</f>
        <v xml:space="preserve"> in Tucson, AZ, United States</v>
      </c>
      <c r="E835" s="879"/>
      <c r="F835" s="879"/>
      <c r="G835" s="879"/>
      <c r="H835" s="879"/>
      <c r="I835" s="879"/>
      <c r="J835" s="879"/>
      <c r="K835" s="879"/>
      <c r="L835" s="879"/>
      <c r="M835" s="879"/>
      <c r="N835" s="879"/>
      <c r="O835" s="879"/>
      <c r="P835" s="879"/>
      <c r="Q835" s="888" t="str">
        <f>"in "&amp;D777</f>
        <v>in Dubai, United Arab Emirates</v>
      </c>
      <c r="R835" s="887"/>
      <c r="S835" s="882"/>
      <c r="T835" s="882"/>
      <c r="U835" s="882"/>
      <c r="V835" s="884"/>
      <c r="W835" s="186"/>
    </row>
    <row r="836" spans="2:23" s="10" customFormat="1" ht="23.25" customHeight="1">
      <c r="B836" s="87"/>
      <c r="C836" s="186"/>
      <c r="D836" s="889" t="str">
        <f>Q132</f>
        <v>USD</v>
      </c>
      <c r="E836" s="879"/>
      <c r="F836" s="879"/>
      <c r="G836" s="879"/>
      <c r="H836" s="879"/>
      <c r="I836" s="879"/>
      <c r="J836" s="879"/>
      <c r="K836" s="879"/>
      <c r="L836" s="879"/>
      <c r="M836" s="879"/>
      <c r="N836" s="879"/>
      <c r="O836" s="879"/>
      <c r="P836" s="879"/>
      <c r="Q836" s="879"/>
      <c r="R836" s="614" t="str">
        <f>Q132</f>
        <v>USD</v>
      </c>
      <c r="S836" s="881"/>
      <c r="T836" s="881"/>
      <c r="U836" s="881"/>
      <c r="V836" s="881"/>
      <c r="W836" s="244"/>
    </row>
    <row r="837" spans="2:23" s="10" customFormat="1" ht="25.5" customHeight="1">
      <c r="B837" s="87"/>
      <c r="C837" s="186"/>
      <c r="D837" s="881"/>
      <c r="E837" s="881"/>
      <c r="F837" s="881"/>
      <c r="G837" s="881"/>
      <c r="H837" s="881"/>
      <c r="I837" s="881"/>
      <c r="J837" s="881"/>
      <c r="K837" s="881"/>
      <c r="L837" s="881"/>
      <c r="M837" s="881"/>
      <c r="N837" s="881"/>
      <c r="O837" s="881"/>
      <c r="P837" s="881"/>
      <c r="Q837" s="881"/>
      <c r="R837" s="881"/>
      <c r="S837" s="881"/>
      <c r="T837" s="881"/>
      <c r="U837" s="881"/>
      <c r="V837" s="881"/>
      <c r="W837" s="186"/>
    </row>
    <row r="838" spans="2:23" s="10" customFormat="1" ht="26.25" customHeight="1">
      <c r="B838" s="87"/>
      <c r="C838" s="186"/>
      <c r="D838" s="581"/>
      <c r="E838" s="581"/>
      <c r="F838" s="581"/>
      <c r="G838" s="581"/>
      <c r="H838" s="581"/>
      <c r="I838" s="581"/>
      <c r="J838" s="581"/>
      <c r="K838" s="581"/>
      <c r="L838" s="581"/>
      <c r="M838" s="581"/>
      <c r="N838" s="581"/>
      <c r="O838" s="581"/>
      <c r="P838" s="827"/>
      <c r="Q838" s="609">
        <f>P778</f>
        <v>4500</v>
      </c>
      <c r="R838" s="610" t="str">
        <f>IF(V839&lt;0,"Offered Net Salary ","Comparable Spendable Income ")</f>
        <v xml:space="preserve">Offered Net Salary </v>
      </c>
      <c r="S838" s="610"/>
      <c r="T838" s="610"/>
      <c r="U838" s="610"/>
      <c r="V838" s="609">
        <f>IF(V839&lt;0,V840,Q839)</f>
        <v>2500</v>
      </c>
      <c r="W838" s="186"/>
    </row>
    <row r="839" spans="2:23" s="10" customFormat="1" ht="26.25" customHeight="1">
      <c r="B839" s="87"/>
      <c r="C839" s="186"/>
      <c r="D839" s="581"/>
      <c r="E839" s="581"/>
      <c r="F839" s="581"/>
      <c r="G839" s="581"/>
      <c r="H839" s="581"/>
      <c r="I839" s="581"/>
      <c r="J839" s="581"/>
      <c r="K839" s="581"/>
      <c r="L839" s="581"/>
      <c r="M839" s="581"/>
      <c r="N839" s="581"/>
      <c r="O839" s="581"/>
      <c r="P839" s="827"/>
      <c r="Q839" s="609">
        <f>R775</f>
        <v>6779.3140699131609</v>
      </c>
      <c r="R839" s="610" t="str">
        <f>IF(V839&lt;0,"Deficit","Surplus")</f>
        <v>Deficit</v>
      </c>
      <c r="S839" s="610"/>
      <c r="T839" s="610"/>
      <c r="U839" s="610"/>
      <c r="V839" s="821">
        <f>V840-Q839</f>
        <v>-4279.3140699131609</v>
      </c>
      <c r="W839" s="186"/>
    </row>
    <row r="840" spans="2:23" s="10" customFormat="1" ht="26.25" customHeight="1">
      <c r="B840" s="87"/>
      <c r="C840" s="186"/>
      <c r="D840" s="581"/>
      <c r="E840" s="581"/>
      <c r="F840" s="581"/>
      <c r="G840" s="581"/>
      <c r="H840" s="581"/>
      <c r="I840" s="581"/>
      <c r="J840" s="581"/>
      <c r="K840" s="581"/>
      <c r="L840" s="581"/>
      <c r="M840" s="581"/>
      <c r="N840" s="581"/>
      <c r="O840" s="581"/>
      <c r="P840" s="827"/>
      <c r="Q840" s="609">
        <v>1</v>
      </c>
      <c r="R840" s="610" t="s">
        <v>1293</v>
      </c>
      <c r="S840" s="610"/>
      <c r="T840" s="610"/>
      <c r="U840" s="610"/>
      <c r="V840" s="609">
        <f>P777</f>
        <v>2500</v>
      </c>
      <c r="W840" s="186"/>
    </row>
    <row r="841" spans="2:23" s="10" customFormat="1" ht="26.25" customHeight="1">
      <c r="B841" s="87"/>
      <c r="C841" s="186"/>
      <c r="D841" s="581"/>
      <c r="E841" s="581"/>
      <c r="F841" s="581"/>
      <c r="G841" s="581"/>
      <c r="H841" s="581"/>
      <c r="I841" s="581"/>
      <c r="J841" s="581"/>
      <c r="K841" s="581"/>
      <c r="L841" s="581"/>
      <c r="M841" s="581"/>
      <c r="N841" s="581"/>
      <c r="O841" s="581"/>
      <c r="P841" s="827"/>
      <c r="Q841" s="611">
        <f>Q839-V840</f>
        <v>4279.3140699131609</v>
      </c>
      <c r="R841" s="610" t="s">
        <v>1292</v>
      </c>
      <c r="S841" s="610"/>
      <c r="T841" s="610"/>
      <c r="U841" s="610"/>
      <c r="V841" s="822">
        <f>P777-P775</f>
        <v>-2464.1000001580151</v>
      </c>
      <c r="W841" s="186"/>
    </row>
    <row r="842" spans="2:23" s="10" customFormat="1" ht="26.25" customHeight="1">
      <c r="B842" s="87"/>
      <c r="C842" s="186"/>
      <c r="D842" s="186"/>
      <c r="E842" s="581"/>
      <c r="F842" s="581"/>
      <c r="G842" s="581"/>
      <c r="H842" s="581"/>
      <c r="I842" s="581"/>
      <c r="J842" s="581"/>
      <c r="K842" s="581"/>
      <c r="L842" s="581"/>
      <c r="M842" s="581"/>
      <c r="N842" s="581"/>
      <c r="O842" s="581"/>
      <c r="P842" s="244"/>
      <c r="Q842" s="823"/>
      <c r="R842" s="610" t="s">
        <v>1292</v>
      </c>
      <c r="S842" s="610"/>
      <c r="T842" s="610"/>
      <c r="U842" s="610"/>
      <c r="V842" s="824">
        <f>ABS(V841)</f>
        <v>2464.1000001580151</v>
      </c>
      <c r="W842" s="186"/>
    </row>
    <row r="843" spans="2:23" s="10" customFormat="1" ht="44.25" customHeight="1">
      <c r="B843" s="87"/>
      <c r="C843" s="186"/>
      <c r="D843" s="186"/>
      <c r="E843" s="186"/>
      <c r="F843" s="186"/>
      <c r="G843" s="186"/>
      <c r="H843" s="186"/>
      <c r="I843" s="186"/>
      <c r="J843" s="186"/>
      <c r="K843" s="186"/>
      <c r="L843" s="186"/>
      <c r="M843" s="186"/>
      <c r="N843" s="186"/>
      <c r="O843" s="186"/>
      <c r="P843" s="244"/>
      <c r="Q843" s="186"/>
      <c r="R843" s="186"/>
      <c r="S843" s="186"/>
      <c r="T843" s="186"/>
      <c r="U843" s="186"/>
      <c r="V843" s="186"/>
      <c r="W843" s="186"/>
    </row>
    <row r="844" spans="2:23" s="10" customFormat="1" ht="48" customHeight="1">
      <c r="B844" s="87"/>
      <c r="C844" s="186"/>
      <c r="D844" s="976" t="str">
        <f>"As shown in the above infographic, your personal monthly budget of "&amp;Q132&amp;FIXED(P778,2)&amp;" in "&amp;C637&amp;" is similar/comparable to what you pay for "&amp;Q132&amp;FIXED(R775,2)&amp;" in "&amp;R711&amp;"."</f>
        <v>As shown in the above infographic, your personal monthly budget of USD4,500.00 in Tucson is similar/comparable to what you pay for USD6,779.31 in Dubai.</v>
      </c>
      <c r="E844" s="976"/>
      <c r="F844" s="976"/>
      <c r="G844" s="976"/>
      <c r="H844" s="976"/>
      <c r="I844" s="976"/>
      <c r="J844" s="976"/>
      <c r="K844" s="976"/>
      <c r="L844" s="976"/>
      <c r="M844" s="976"/>
      <c r="N844" s="976"/>
      <c r="O844" s="976"/>
      <c r="P844" s="976"/>
      <c r="Q844" s="976"/>
      <c r="R844" s="976"/>
      <c r="S844" s="976"/>
      <c r="T844" s="976"/>
      <c r="U844" s="976"/>
      <c r="V844" s="976"/>
      <c r="W844" s="186"/>
    </row>
    <row r="845" spans="2:23" s="10" customFormat="1" ht="26.25" customHeight="1">
      <c r="B845" s="87"/>
      <c r="C845" s="186"/>
      <c r="D845" s="613"/>
      <c r="E845" s="581"/>
      <c r="F845" s="581"/>
      <c r="G845" s="581"/>
      <c r="H845" s="581"/>
      <c r="I845" s="581"/>
      <c r="J845" s="581"/>
      <c r="K845" s="581"/>
      <c r="L845" s="581"/>
      <c r="M845" s="581"/>
      <c r="N845" s="581"/>
      <c r="O845" s="581"/>
      <c r="P845" s="177"/>
      <c r="Q845" s="177"/>
      <c r="R845" s="177"/>
      <c r="S845" s="177"/>
      <c r="T845" s="177"/>
      <c r="U845" s="177"/>
      <c r="V845" s="177"/>
      <c r="W845" s="186"/>
    </row>
    <row r="846" spans="2:23" s="10" customFormat="1" ht="26.25" customHeight="1">
      <c r="B846" s="87"/>
      <c r="C846" s="171"/>
      <c r="D846" s="171"/>
      <c r="E846" s="171"/>
      <c r="F846" s="171"/>
      <c r="G846" s="171"/>
      <c r="H846" s="171"/>
      <c r="I846" s="171"/>
      <c r="J846" s="171"/>
      <c r="K846" s="171"/>
      <c r="L846" s="171"/>
      <c r="M846" s="171"/>
      <c r="N846" s="171"/>
      <c r="O846" s="171"/>
      <c r="P846" s="171"/>
      <c r="Q846" s="171"/>
      <c r="R846" s="171"/>
      <c r="S846" s="171"/>
      <c r="T846" s="171"/>
      <c r="U846" s="171"/>
      <c r="V846" s="171"/>
      <c r="W846" s="171"/>
    </row>
    <row r="847" spans="2:23" s="10" customFormat="1" ht="26.25" customHeight="1">
      <c r="B847" s="87"/>
      <c r="Q847" s="138"/>
    </row>
    <row r="848" spans="2:23" s="10" customFormat="1" ht="21" customHeight="1">
      <c r="B848" s="87"/>
      <c r="C848" s="826"/>
      <c r="D848" s="826"/>
      <c r="E848" s="826"/>
      <c r="F848" s="826"/>
      <c r="G848" s="826"/>
      <c r="H848" s="826"/>
      <c r="I848" s="826"/>
      <c r="J848" s="826"/>
      <c r="K848" s="826"/>
      <c r="L848" s="826"/>
      <c r="M848" s="826"/>
      <c r="N848" s="826"/>
      <c r="O848" s="826"/>
      <c r="P848" s="826"/>
      <c r="Q848" s="826"/>
      <c r="R848" s="186"/>
      <c r="S848" s="186"/>
      <c r="T848" s="186"/>
      <c r="U848" s="186"/>
      <c r="V848" s="186"/>
      <c r="W848" s="826"/>
    </row>
    <row r="849" spans="1:41" s="10" customFormat="1" ht="30" customHeight="1">
      <c r="B849" s="87"/>
      <c r="C849" s="186"/>
      <c r="D849" s="171"/>
      <c r="E849" s="581"/>
      <c r="F849" s="581"/>
      <c r="G849" s="581"/>
      <c r="H849" s="581"/>
      <c r="I849" s="581"/>
      <c r="J849" s="581"/>
      <c r="K849" s="581"/>
      <c r="L849" s="581"/>
      <c r="M849" s="581"/>
      <c r="N849" s="581"/>
      <c r="O849" s="581"/>
      <c r="P849" s="581"/>
      <c r="Q849" s="581"/>
      <c r="R849" s="177"/>
      <c r="S849" s="177"/>
      <c r="T849" s="177"/>
      <c r="U849" s="177"/>
      <c r="V849" s="177"/>
      <c r="W849" s="614"/>
    </row>
    <row r="850" spans="1:41" s="10" customFormat="1" ht="26.25" customHeight="1">
      <c r="B850" s="87"/>
      <c r="C850" s="186"/>
      <c r="D850" s="197" t="str">
        <f>IF(V775&lt;0,"The Offered Net Salary is higher than the Comparable Spendable Income","The Offered Net Salary is less than the Comparable Spendable Income")</f>
        <v>The Offered Net Salary is less than the Comparable Spendable Income</v>
      </c>
      <c r="E850" s="780"/>
      <c r="F850" s="780"/>
      <c r="G850" s="780"/>
      <c r="H850" s="780"/>
      <c r="I850" s="780"/>
      <c r="J850" s="780"/>
      <c r="K850" s="780"/>
      <c r="L850" s="780"/>
      <c r="M850" s="780"/>
      <c r="N850" s="780"/>
      <c r="O850" s="780"/>
      <c r="P850" s="780"/>
      <c r="Q850" s="780"/>
      <c r="R850" s="781"/>
      <c r="S850" s="781"/>
      <c r="T850" s="781"/>
      <c r="U850" s="781"/>
      <c r="V850" s="781"/>
      <c r="W850" s="614"/>
    </row>
    <row r="851" spans="1:41" s="10" customFormat="1" ht="13.5" customHeight="1">
      <c r="B851" s="87"/>
      <c r="C851" s="178"/>
      <c r="D851" s="581"/>
      <c r="E851" s="581"/>
      <c r="F851" s="581"/>
      <c r="G851" s="581"/>
      <c r="H851" s="581"/>
      <c r="I851" s="581"/>
      <c r="J851" s="581"/>
      <c r="K851" s="581"/>
      <c r="L851" s="581"/>
      <c r="M851" s="581"/>
      <c r="N851" s="581"/>
      <c r="O851" s="581"/>
      <c r="P851" s="581"/>
      <c r="Q851" s="581"/>
      <c r="R851" s="177"/>
      <c r="S851" s="177"/>
      <c r="T851" s="177"/>
      <c r="U851" s="177"/>
      <c r="V851" s="177"/>
      <c r="W851" s="581"/>
    </row>
    <row r="852" spans="1:41" s="10" customFormat="1" ht="88.5" customHeight="1">
      <c r="B852" s="87"/>
      <c r="C852" s="178"/>
      <c r="D852" s="949" t="s">
        <v>1430</v>
      </c>
      <c r="E852" s="949"/>
      <c r="F852" s="949"/>
      <c r="G852" s="949"/>
      <c r="H852" s="949"/>
      <c r="I852" s="949"/>
      <c r="J852" s="949"/>
      <c r="K852" s="949"/>
      <c r="L852" s="949"/>
      <c r="M852" s="949"/>
      <c r="N852" s="949"/>
      <c r="O852" s="949"/>
      <c r="P852" s="949"/>
      <c r="Q852" s="949"/>
      <c r="R852" s="949"/>
      <c r="S852" s="949"/>
      <c r="T852" s="949"/>
      <c r="U852" s="949"/>
      <c r="V852" s="949"/>
      <c r="W852" s="186"/>
    </row>
    <row r="853" spans="1:41" s="10" customFormat="1" ht="57.75" customHeight="1">
      <c r="B853" s="87"/>
      <c r="C853" s="178"/>
      <c r="D853" s="973" t="str">
        <f>"Based on the salary adjustment comparability, as you are being offered a Net Salary of "&amp;Q132&amp;FIXED(P777,2)&amp;" in "&amp;V635&amp;", the purchasing power of that amount is "&amp;FIXED(Q781*100)&amp;V781&amp;" the Comparable Spendable Income amount of "&amp;Q132&amp;FIXED(R775,2)&amp;" in "&amp;C637&amp;"."</f>
        <v>Based on the salary adjustment comparability, as you are being offered a Net Salary of USD2,500.00 in Dubai, the purchasing power of that amount is 63.12% less than the Comparable Spendable Income amount of USD6,779.31 in Tucson.</v>
      </c>
      <c r="E853" s="973"/>
      <c r="F853" s="973"/>
      <c r="G853" s="973"/>
      <c r="H853" s="973"/>
      <c r="I853" s="973"/>
      <c r="J853" s="973"/>
      <c r="K853" s="973"/>
      <c r="L853" s="973"/>
      <c r="M853" s="973"/>
      <c r="N853" s="973"/>
      <c r="O853" s="973"/>
      <c r="P853" s="973"/>
      <c r="Q853" s="973"/>
      <c r="R853" s="973"/>
      <c r="S853" s="973"/>
      <c r="T853" s="973"/>
      <c r="U853" s="973"/>
      <c r="V853" s="973"/>
      <c r="W853" s="186"/>
    </row>
    <row r="854" spans="1:41" ht="43.5" customHeight="1">
      <c r="A854"/>
      <c r="C854" s="178">
        <v>7</v>
      </c>
      <c r="D854" s="949" t="str">
        <f>IF(V775&gt;0,D784,D785)</f>
        <v>For this reason you have a DEFICIT, hence you need an additional USD4,279.31 (apart from USD2,500.00 of the expected net salary) in order to maintain the same purchasing power of USD4,500.00 as in Tucson while in Dubai.</v>
      </c>
      <c r="E854" s="949"/>
      <c r="F854" s="949"/>
      <c r="G854" s="949"/>
      <c r="H854" s="949"/>
      <c r="I854" s="949"/>
      <c r="J854" s="949"/>
      <c r="K854" s="949"/>
      <c r="L854" s="949"/>
      <c r="M854" s="949"/>
      <c r="N854" s="949"/>
      <c r="O854" s="949"/>
      <c r="P854" s="949"/>
      <c r="Q854" s="949"/>
      <c r="R854" s="949"/>
      <c r="S854" s="949"/>
      <c r="T854" s="949"/>
      <c r="U854" s="949"/>
      <c r="V854" s="949"/>
      <c r="W854" s="186"/>
      <c r="Y854"/>
      <c r="Z854"/>
      <c r="AA854"/>
      <c r="AB854"/>
      <c r="AC854"/>
      <c r="AD854"/>
      <c r="AE854"/>
      <c r="AF854"/>
      <c r="AG854"/>
      <c r="AH854"/>
      <c r="AI854"/>
      <c r="AJ854"/>
      <c r="AK854"/>
      <c r="AL854"/>
      <c r="AM854"/>
      <c r="AN854"/>
      <c r="AO854"/>
    </row>
    <row r="855" spans="1:41" ht="29.25" customHeight="1">
      <c r="A855"/>
      <c r="C855" s="178"/>
      <c r="D855" s="974" t="str">
        <f>IF(V839&gt;0,"Offered Net Salary ","Comparable Spendable Income ")&amp;Q132&amp;IF(V839&gt;0,FIXED(V840,2),FIXED(Q839,2))</f>
        <v>Comparable Spendable Income USD6,779.31</v>
      </c>
      <c r="E855" s="974"/>
      <c r="F855" s="974"/>
      <c r="G855" s="974"/>
      <c r="H855" s="974"/>
      <c r="I855" s="974"/>
      <c r="J855" s="974"/>
      <c r="K855" s="974"/>
      <c r="L855" s="974"/>
      <c r="M855" s="974"/>
      <c r="N855" s="974"/>
      <c r="O855" s="974"/>
      <c r="P855" s="974"/>
      <c r="Q855" s="974"/>
      <c r="R855" s="974"/>
      <c r="S855" s="974"/>
      <c r="T855" s="974"/>
      <c r="U855" s="974"/>
      <c r="V855" s="974"/>
      <c r="W855" s="186"/>
      <c r="Y855"/>
      <c r="Z855"/>
      <c r="AA855"/>
      <c r="AB855"/>
      <c r="AC855"/>
      <c r="AD855"/>
      <c r="AE855"/>
      <c r="AF855"/>
      <c r="AG855"/>
      <c r="AH855"/>
      <c r="AI855"/>
      <c r="AJ855"/>
      <c r="AK855"/>
      <c r="AL855"/>
      <c r="AM855"/>
      <c r="AN855"/>
      <c r="AO855"/>
    </row>
    <row r="856" spans="1:41" ht="14.25" customHeight="1">
      <c r="A856"/>
      <c r="C856" s="178"/>
      <c r="D856" s="615"/>
      <c r="E856" s="615"/>
      <c r="F856" s="615"/>
      <c r="G856" s="615"/>
      <c r="H856" s="615"/>
      <c r="I856" s="615"/>
      <c r="J856" s="615"/>
      <c r="K856" s="615"/>
      <c r="L856" s="615"/>
      <c r="M856" s="615"/>
      <c r="N856" s="615"/>
      <c r="O856" s="615"/>
      <c r="P856" s="615"/>
      <c r="Q856" s="615"/>
      <c r="R856" s="616"/>
      <c r="S856" s="610"/>
      <c r="T856" s="610"/>
      <c r="U856" s="610" t="str">
        <f>"expected net salary in "&amp;R739</f>
        <v>expected net salary in Dubai</v>
      </c>
      <c r="V856" s="609">
        <f>P777</f>
        <v>2500</v>
      </c>
      <c r="W856" s="186"/>
      <c r="X856" s="139"/>
      <c r="Y856"/>
      <c r="Z856"/>
      <c r="AA856"/>
      <c r="AB856"/>
      <c r="AC856"/>
      <c r="AD856"/>
      <c r="AE856"/>
      <c r="AF856"/>
      <c r="AG856"/>
      <c r="AH856"/>
      <c r="AI856"/>
      <c r="AJ856"/>
      <c r="AK856"/>
      <c r="AL856"/>
      <c r="AM856"/>
      <c r="AN856"/>
      <c r="AO856"/>
    </row>
    <row r="857" spans="1:41" ht="23.25" customHeight="1">
      <c r="A857"/>
      <c r="C857" s="178"/>
      <c r="D857" s="615"/>
      <c r="E857" s="615"/>
      <c r="F857" s="615"/>
      <c r="G857" s="615"/>
      <c r="H857" s="615"/>
      <c r="I857" s="615"/>
      <c r="J857" s="615"/>
      <c r="K857" s="615"/>
      <c r="L857" s="615"/>
      <c r="M857" s="615"/>
      <c r="N857" s="615"/>
      <c r="O857" s="615"/>
      <c r="P857" s="615"/>
      <c r="Q857" s="615"/>
      <c r="R857" s="616"/>
      <c r="S857" s="610"/>
      <c r="T857" s="610"/>
      <c r="U857" s="610" t="str">
        <f>IF(V775&gt;0,"Deficit","Surplus")</f>
        <v>Deficit</v>
      </c>
      <c r="V857" s="617">
        <f>V774</f>
        <v>4279.3140699131609</v>
      </c>
      <c r="W857" s="186"/>
      <c r="X857" s="139"/>
      <c r="Y857"/>
      <c r="Z857"/>
      <c r="AA857"/>
      <c r="AB857"/>
      <c r="AC857"/>
      <c r="AD857"/>
      <c r="AE857"/>
      <c r="AF857"/>
      <c r="AG857"/>
      <c r="AH857"/>
      <c r="AI857"/>
      <c r="AJ857"/>
      <c r="AK857"/>
      <c r="AL857"/>
      <c r="AM857"/>
      <c r="AN857"/>
      <c r="AO857"/>
    </row>
    <row r="858" spans="1:41" ht="23.25" customHeight="1">
      <c r="A858"/>
      <c r="C858" s="178"/>
      <c r="D858" s="615"/>
      <c r="E858" s="615"/>
      <c r="F858" s="615"/>
      <c r="G858" s="615"/>
      <c r="H858" s="615"/>
      <c r="I858" s="615"/>
      <c r="J858" s="615"/>
      <c r="K858" s="615"/>
      <c r="L858" s="615"/>
      <c r="M858" s="615"/>
      <c r="N858" s="615"/>
      <c r="O858" s="615"/>
      <c r="P858" s="615"/>
      <c r="Q858" s="615"/>
      <c r="R858" s="616"/>
      <c r="S858" s="186"/>
      <c r="T858" s="186"/>
      <c r="U858" s="616" t="s">
        <v>1243</v>
      </c>
      <c r="V858" s="186">
        <v>10</v>
      </c>
      <c r="W858" s="186"/>
      <c r="X858" s="139"/>
      <c r="Y858"/>
      <c r="Z858"/>
      <c r="AA858"/>
      <c r="AB858"/>
      <c r="AC858"/>
      <c r="AD858"/>
      <c r="AE858"/>
      <c r="AF858"/>
      <c r="AG858"/>
      <c r="AH858"/>
      <c r="AI858"/>
      <c r="AJ858"/>
      <c r="AK858"/>
      <c r="AL858"/>
      <c r="AM858"/>
      <c r="AN858"/>
      <c r="AO858"/>
    </row>
    <row r="859" spans="1:41" ht="23.25" customHeight="1">
      <c r="A859"/>
      <c r="C859" s="178"/>
      <c r="D859" s="615"/>
      <c r="E859" s="615"/>
      <c r="F859" s="615"/>
      <c r="G859" s="615"/>
      <c r="H859" s="615"/>
      <c r="I859" s="615"/>
      <c r="J859" s="615"/>
      <c r="K859" s="615"/>
      <c r="L859" s="615"/>
      <c r="M859" s="615"/>
      <c r="N859" s="615"/>
      <c r="O859" s="615"/>
      <c r="P859" s="615"/>
      <c r="Q859" s="615"/>
      <c r="R859" s="581"/>
      <c r="S859" s="581"/>
      <c r="T859" s="581"/>
      <c r="U859" s="581"/>
      <c r="V859" s="581"/>
      <c r="W859" s="186"/>
      <c r="X859" s="139"/>
      <c r="Y859"/>
      <c r="Z859"/>
      <c r="AA859"/>
      <c r="AB859"/>
      <c r="AC859"/>
      <c r="AD859"/>
      <c r="AE859"/>
      <c r="AF859"/>
      <c r="AG859"/>
      <c r="AH859"/>
      <c r="AI859"/>
      <c r="AJ859"/>
      <c r="AK859"/>
      <c r="AL859"/>
      <c r="AM859"/>
      <c r="AN859"/>
      <c r="AO859"/>
    </row>
    <row r="860" spans="1:41" ht="23.25" customHeight="1">
      <c r="A860"/>
      <c r="C860" s="178"/>
      <c r="D860" s="615"/>
      <c r="E860" s="615"/>
      <c r="F860" s="615"/>
      <c r="G860" s="615"/>
      <c r="H860" s="615"/>
      <c r="I860" s="615"/>
      <c r="J860" s="615"/>
      <c r="K860" s="615"/>
      <c r="L860" s="615"/>
      <c r="M860" s="615"/>
      <c r="N860" s="615"/>
      <c r="O860" s="615"/>
      <c r="P860" s="615"/>
      <c r="Q860" s="615"/>
      <c r="R860" s="581"/>
      <c r="S860" s="581"/>
      <c r="T860" s="581"/>
      <c r="U860" s="581"/>
      <c r="V860" s="581"/>
      <c r="W860" s="186"/>
      <c r="X860" s="139"/>
      <c r="Y860"/>
      <c r="Z860"/>
      <c r="AA860"/>
      <c r="AB860"/>
      <c r="AC860"/>
      <c r="AD860"/>
      <c r="AE860"/>
      <c r="AF860"/>
      <c r="AG860"/>
      <c r="AH860"/>
      <c r="AI860"/>
      <c r="AJ860"/>
      <c r="AK860"/>
      <c r="AL860"/>
      <c r="AM860"/>
      <c r="AN860"/>
      <c r="AO860"/>
    </row>
    <row r="861" spans="1:41" ht="23.25" customHeight="1">
      <c r="A861"/>
      <c r="C861" s="178"/>
      <c r="D861" s="615"/>
      <c r="E861" s="615"/>
      <c r="F861" s="615"/>
      <c r="G861" s="615"/>
      <c r="H861" s="615"/>
      <c r="I861" s="615"/>
      <c r="J861" s="615"/>
      <c r="K861" s="615"/>
      <c r="L861" s="615"/>
      <c r="M861" s="615"/>
      <c r="N861" s="615"/>
      <c r="O861" s="615"/>
      <c r="P861" s="615"/>
      <c r="Q861" s="615"/>
      <c r="R861" s="615"/>
      <c r="S861" s="615"/>
      <c r="T861" s="615"/>
      <c r="U861" s="615"/>
      <c r="V861" s="615"/>
      <c r="W861" s="186"/>
      <c r="Y861"/>
      <c r="Z861"/>
      <c r="AA861"/>
      <c r="AB861"/>
      <c r="AC861"/>
      <c r="AD861"/>
      <c r="AE861"/>
      <c r="AF861"/>
      <c r="AG861"/>
      <c r="AH861"/>
      <c r="AI861"/>
      <c r="AJ861"/>
      <c r="AK861"/>
      <c r="AL861"/>
      <c r="AM861"/>
      <c r="AN861"/>
      <c r="AO861"/>
    </row>
    <row r="862" spans="1:41" ht="23.25" customHeight="1">
      <c r="A862"/>
      <c r="C862" s="178"/>
      <c r="D862" s="615"/>
      <c r="E862" s="615"/>
      <c r="F862" s="615"/>
      <c r="G862" s="615"/>
      <c r="H862" s="615"/>
      <c r="I862" s="615"/>
      <c r="J862" s="615"/>
      <c r="K862" s="615"/>
      <c r="L862" s="615"/>
      <c r="M862" s="615"/>
      <c r="N862" s="615"/>
      <c r="O862" s="615"/>
      <c r="P862" s="615"/>
      <c r="Q862" s="615"/>
      <c r="R862" s="615"/>
      <c r="S862" s="615"/>
      <c r="T862" s="615"/>
      <c r="U862" s="615"/>
      <c r="V862" s="177"/>
      <c r="W862" s="186"/>
      <c r="Y862"/>
      <c r="Z862"/>
      <c r="AA862"/>
      <c r="AB862"/>
      <c r="AC862"/>
      <c r="AD862"/>
      <c r="AE862"/>
      <c r="AF862"/>
      <c r="AG862"/>
      <c r="AH862"/>
      <c r="AI862"/>
      <c r="AJ862"/>
      <c r="AK862"/>
      <c r="AL862"/>
      <c r="AM862"/>
      <c r="AN862"/>
      <c r="AO862"/>
    </row>
    <row r="863" spans="1:41" ht="23.25" customHeight="1">
      <c r="A863"/>
      <c r="C863" s="178"/>
      <c r="D863" s="615"/>
      <c r="E863" s="615"/>
      <c r="F863" s="615"/>
      <c r="G863" s="615"/>
      <c r="H863" s="615"/>
      <c r="I863" s="615"/>
      <c r="J863" s="615"/>
      <c r="K863" s="615"/>
      <c r="L863" s="615"/>
      <c r="M863" s="615"/>
      <c r="N863" s="615"/>
      <c r="O863" s="615"/>
      <c r="P863" s="615"/>
      <c r="Q863" s="615"/>
      <c r="R863" s="615"/>
      <c r="S863" s="615"/>
      <c r="T863" s="615"/>
      <c r="U863" s="615"/>
      <c r="V863" s="177"/>
      <c r="W863" s="186"/>
      <c r="Y863"/>
      <c r="Z863"/>
      <c r="AA863"/>
      <c r="AB863"/>
      <c r="AC863"/>
      <c r="AD863"/>
      <c r="AE863"/>
      <c r="AF863"/>
      <c r="AG863"/>
      <c r="AH863"/>
      <c r="AI863"/>
      <c r="AJ863"/>
      <c r="AK863"/>
      <c r="AL863"/>
      <c r="AM863"/>
      <c r="AN863"/>
      <c r="AO863"/>
    </row>
    <row r="864" spans="1:41" ht="86.25" hidden="1" customHeight="1">
      <c r="A864"/>
      <c r="C864" s="178"/>
      <c r="D864" s="950" t="s">
        <v>1302</v>
      </c>
      <c r="E864" s="950"/>
      <c r="F864" s="950"/>
      <c r="G864" s="950"/>
      <c r="H864" s="950"/>
      <c r="I864" s="950"/>
      <c r="J864" s="950"/>
      <c r="K864" s="950"/>
      <c r="L864" s="950"/>
      <c r="M864" s="950"/>
      <c r="N864" s="950"/>
      <c r="O864" s="950"/>
      <c r="P864" s="950"/>
      <c r="Q864" s="950"/>
      <c r="R864" s="950"/>
      <c r="S864" s="950"/>
      <c r="T864" s="950"/>
      <c r="U864" s="950"/>
      <c r="V864" s="950"/>
      <c r="W864" s="186"/>
      <c r="Y864"/>
      <c r="Z864"/>
      <c r="AA864"/>
      <c r="AB864"/>
      <c r="AC864"/>
      <c r="AD864"/>
      <c r="AE864"/>
      <c r="AF864"/>
      <c r="AG864"/>
      <c r="AH864"/>
      <c r="AI864"/>
      <c r="AJ864"/>
      <c r="AK864"/>
      <c r="AL864"/>
      <c r="AM864"/>
      <c r="AN864"/>
      <c r="AO864"/>
    </row>
    <row r="865" spans="1:41" ht="109.5" hidden="1" customHeight="1">
      <c r="A865"/>
      <c r="C865" s="178"/>
      <c r="D865" s="950" t="s">
        <v>1305</v>
      </c>
      <c r="E865" s="950"/>
      <c r="F865" s="950"/>
      <c r="G865" s="950"/>
      <c r="H865" s="950"/>
      <c r="I865" s="950"/>
      <c r="J865" s="950"/>
      <c r="K865" s="950"/>
      <c r="L865" s="950"/>
      <c r="M865" s="950"/>
      <c r="N865" s="950"/>
      <c r="O865" s="950"/>
      <c r="P865" s="950"/>
      <c r="Q865" s="950"/>
      <c r="R865" s="950"/>
      <c r="S865" s="950"/>
      <c r="T865" s="950"/>
      <c r="U865" s="950"/>
      <c r="V865" s="950"/>
      <c r="W865" s="186"/>
      <c r="Y865"/>
      <c r="Z865"/>
      <c r="AA865"/>
      <c r="AB865"/>
      <c r="AC865"/>
      <c r="AD865"/>
      <c r="AE865"/>
      <c r="AF865"/>
      <c r="AG865"/>
      <c r="AH865"/>
      <c r="AI865"/>
      <c r="AJ865"/>
      <c r="AK865"/>
      <c r="AL865"/>
      <c r="AM865"/>
      <c r="AN865"/>
      <c r="AO865"/>
    </row>
    <row r="866" spans="1:41" ht="24.95" hidden="1" customHeight="1">
      <c r="A866"/>
      <c r="C866" s="178"/>
      <c r="D866" s="615" t="s">
        <v>0</v>
      </c>
      <c r="E866" s="615"/>
      <c r="F866" s="615"/>
      <c r="G866" s="615"/>
      <c r="H866" s="615"/>
      <c r="I866" s="615"/>
      <c r="J866" s="615"/>
      <c r="K866" s="615"/>
      <c r="L866" s="615"/>
      <c r="M866" s="615"/>
      <c r="N866" s="615"/>
      <c r="O866" s="615"/>
      <c r="P866" s="615"/>
      <c r="Q866" s="615"/>
      <c r="R866" s="615"/>
      <c r="S866" s="615"/>
      <c r="T866" s="615"/>
      <c r="U866" s="615"/>
      <c r="V866" s="615"/>
      <c r="W866" s="186"/>
      <c r="Y866"/>
      <c r="Z866"/>
      <c r="AA866"/>
      <c r="AB866"/>
      <c r="AC866"/>
      <c r="AD866"/>
      <c r="AE866"/>
      <c r="AF866"/>
      <c r="AG866"/>
      <c r="AH866"/>
      <c r="AI866"/>
      <c r="AJ866"/>
      <c r="AK866"/>
      <c r="AL866"/>
      <c r="AM866"/>
      <c r="AN866"/>
      <c r="AO866"/>
    </row>
    <row r="867" spans="1:41" s="145" customFormat="1" ht="60" hidden="1">
      <c r="B867" s="146"/>
      <c r="C867" s="618" t="b">
        <f>V867</f>
        <v>0</v>
      </c>
      <c r="D867" s="977" t="str">
        <f>"However, based on your personal monthly budget amount of "&amp;Q132&amp;FIXED(P775,2)&amp;", you have overspend your monthly salary of "&amp;Q132&amp;FIXED(V840,2)&amp;" that lead to a shortage of "&amp;Q132&amp;FIXED(V842,2)&amp;". In other words, you are living beyond your means while in "&amp;D777&amp;". Check your budget to make sure you've got all the amounts right and look at your expenses to see if there are any you could reduce."&amp;" There will almost always be trade-offs that have to be made. For example, you can spend less on going to restaurants by eating at home. You can also negotiate for a raise/compensation/ allowance."""</f>
        <v>However, based on your personal monthly budget amount of USD4,964.10, you have overspend your monthly salary of USD2,500.00 that lead to a shortage of USD2,464.10. In other words, you are living beyond your means while in Dubai, United Arab Emirates. Check your budget to make sure you've got all the amounts right and look at your expenses to see if there are any you could reduce. There will almost always be trade-offs that have to be made. For example, you can spend less on going to restaurants by eating at home. You can also negotiate for a raise/compensation/ allowance."</v>
      </c>
      <c r="E867" s="977"/>
      <c r="F867" s="977"/>
      <c r="G867" s="977"/>
      <c r="H867" s="977"/>
      <c r="I867" s="977"/>
      <c r="J867" s="977"/>
      <c r="K867" s="977"/>
      <c r="L867" s="977"/>
      <c r="M867" s="977"/>
      <c r="N867" s="977"/>
      <c r="O867" s="977"/>
      <c r="P867" s="977"/>
      <c r="Q867" s="977"/>
      <c r="R867" s="977"/>
      <c r="S867" s="619"/>
      <c r="T867" s="619"/>
      <c r="U867" s="619"/>
      <c r="V867" s="619" t="b">
        <f>AND(V839&gt;0,V841&lt;0)</f>
        <v>0</v>
      </c>
      <c r="W867" s="619" t="s">
        <v>1288</v>
      </c>
      <c r="X867" s="147"/>
    </row>
    <row r="868" spans="1:41" s="145" customFormat="1" ht="93.75" hidden="1" customHeight="1">
      <c r="B868" s="146"/>
      <c r="C868" s="618" t="b">
        <f>V868</f>
        <v>0</v>
      </c>
      <c r="D868" s="975" t="str">
        <f>"In addition, based on your personal monthly budget, you have a leftover money of "&amp;Q132&amp;FIXED(V842,2)&amp;" from your monthly budget spending of "&amp;Q132&amp;FIXED(P775,2)&amp;" while in "&amp;D777&amp;". In other words, you have an excess amount of cash that can be considered a totally ample saving. If you have extra money, it is wise to save for predictable expenses in the next few years (i.e wedding, children education, house, etc)."&amp;"If you have debts, it's far better to pay off debts before starting to save. The interest cost of debts is much higher than the interest earned on savings."</f>
        <v>In addition, based on your personal monthly budget, you have a leftover money of USD2,464.10 from your monthly budget spending of USD4,964.10 while in Dubai, United Arab Emirates. In other words, you have an excess amount of cash that can be considered a totally ample saving. If you have extra money, it is wise to save for predictable expenses in the next few years (i.e wedding, children education, house, etc).If you have debts, it's far better to pay off debts before starting to save. The interest cost of debts is much higher than the interest earned on savings.</v>
      </c>
      <c r="E868" s="975"/>
      <c r="F868" s="975"/>
      <c r="G868" s="975"/>
      <c r="H868" s="975"/>
      <c r="I868" s="975"/>
      <c r="J868" s="975"/>
      <c r="K868" s="975"/>
      <c r="L868" s="975"/>
      <c r="M868" s="975"/>
      <c r="N868" s="975"/>
      <c r="O868" s="975"/>
      <c r="P868" s="975"/>
      <c r="Q868" s="975"/>
      <c r="R868" s="975"/>
      <c r="S868" s="619"/>
      <c r="T868" s="619"/>
      <c r="U868" s="619"/>
      <c r="V868" s="619" t="b">
        <f>AND(V839&gt;0,V841&gt;0)</f>
        <v>0</v>
      </c>
      <c r="W868" s="619" t="s">
        <v>1287</v>
      </c>
      <c r="X868" s="147"/>
    </row>
    <row r="869" spans="1:41" s="145" customFormat="1" ht="81.75" hidden="1" customHeight="1">
      <c r="B869" s="146"/>
      <c r="C869" s="618" t="b">
        <f>V869</f>
        <v>0</v>
      </c>
      <c r="D869" s="975" t="str">
        <f>"Despite that the expected net salary is in DEFICIT status, based on your monthly budget,  you manage to keep a leftover of "&amp;Q132&amp;FIXED(V842,2)&amp;" from your monthly salary. In other words, you live below your current standard of living while in "&amp;D777&amp;". Be aware that accepting a salary lower than the comparable spendable income by trying to live below your means in other country is risky because there are many uncertainties arise later beyond your knowledge."&amp;" You definitely should  think over about the job offer. You must negotiate for a raise/compensation/ allowance."</f>
        <v>Despite that the expected net salary is in DEFICIT status, based on your monthly budget,  you manage to keep a leftover of USD2,464.10 from your monthly salary. In other words, you live below your current standard of living while in Dubai, United Arab Emirates. Be aware that accepting a salary lower than the comparable spendable income by trying to live below your means in other country is risky because there are many uncertainties arise later beyond your knowledge. You definitely should  think over about the job offer. You must negotiate for a raise/compensation/ allowance.</v>
      </c>
      <c r="E869" s="975"/>
      <c r="F869" s="975"/>
      <c r="G869" s="975"/>
      <c r="H869" s="975"/>
      <c r="I869" s="975"/>
      <c r="J869" s="975"/>
      <c r="K869" s="975"/>
      <c r="L869" s="975"/>
      <c r="M869" s="975"/>
      <c r="N869" s="975"/>
      <c r="O869" s="975"/>
      <c r="P869" s="975"/>
      <c r="Q869" s="975"/>
      <c r="R869" s="975"/>
      <c r="S869" s="620"/>
      <c r="T869" s="621"/>
      <c r="U869" s="621"/>
      <c r="V869" s="619" t="b">
        <f>AND(V839&lt;0,V841&gt;0)</f>
        <v>0</v>
      </c>
      <c r="W869" s="619" t="s">
        <v>1289</v>
      </c>
      <c r="X869" s="147"/>
    </row>
    <row r="870" spans="1:41" s="145" customFormat="1" ht="87" hidden="1" customHeight="1">
      <c r="B870" s="146"/>
      <c r="C870" s="618" t="b">
        <f>V870</f>
        <v>1</v>
      </c>
      <c r="D870" s="975" t="str">
        <f>"Based on your personal monthly budget, even though the expected net salary per month of "&amp;Q132&amp;FIXED(V840,2)&amp;" is in DEFICIT status, apparently you still overspend up to "&amp;Q132&amp;FIXED(P775,2)&amp;" that lead to a shortage of "&amp;Q132&amp;FIXED(V842,2)&amp;".  Be aware that, once this debt starts to build, it will only continue to get worse unless you are able to return to your original financial stability."&amp;"  Eventually over a time, it could plunge you into a more serious financial problem i.e bankruptcy. Definitely, you should  think over about the job offer. You MUST negotiate for a raise/compensation/ allowance."</f>
        <v>Based on your personal monthly budget, even though the expected net salary per month of USD2,500.00 is in DEFICIT status, apparently you still overspend up to USD4,964.10 that lead to a shortage of USD2,464.10.  Be aware that, once this debt starts to build, it will only continue to get worse unless you are able to return to your original financial stability.  Eventually over a time, it could plunge you into a more serious financial problem i.e bankruptcy. Definitely, you should  think over about the job offer. You MUST negotiate for a raise/compensation/ allowance.</v>
      </c>
      <c r="E870" s="975"/>
      <c r="F870" s="975"/>
      <c r="G870" s="975"/>
      <c r="H870" s="975"/>
      <c r="I870" s="975"/>
      <c r="J870" s="975"/>
      <c r="K870" s="975"/>
      <c r="L870" s="975"/>
      <c r="M870" s="975"/>
      <c r="N870" s="975"/>
      <c r="O870" s="975"/>
      <c r="P870" s="975"/>
      <c r="Q870" s="975"/>
      <c r="R870" s="975"/>
      <c r="S870" s="620"/>
      <c r="T870" s="621"/>
      <c r="U870" s="621"/>
      <c r="V870" s="619" t="b">
        <f>AND(V841&lt;0,V839&lt;0)</f>
        <v>1</v>
      </c>
      <c r="W870" s="619" t="s">
        <v>1290</v>
      </c>
      <c r="X870" s="147"/>
    </row>
    <row r="871" spans="1:41" s="145" customFormat="1" ht="11.25" customHeight="1">
      <c r="B871" s="146"/>
      <c r="C871" s="618"/>
      <c r="D871" s="435"/>
      <c r="E871" s="435"/>
      <c r="F871" s="435"/>
      <c r="G871" s="435"/>
      <c r="H871" s="435"/>
      <c r="I871" s="435"/>
      <c r="J871" s="435"/>
      <c r="K871" s="435"/>
      <c r="L871" s="435"/>
      <c r="M871" s="435"/>
      <c r="N871" s="435"/>
      <c r="O871" s="435"/>
      <c r="P871" s="435"/>
      <c r="Q871" s="435"/>
      <c r="R871" s="435"/>
      <c r="S871" s="620"/>
      <c r="T871" s="621"/>
      <c r="U871" s="621"/>
      <c r="V871" s="619"/>
      <c r="W871" s="619"/>
      <c r="X871" s="147"/>
    </row>
    <row r="872" spans="1:41" ht="24.75" customHeight="1">
      <c r="A872"/>
      <c r="C872" s="178"/>
      <c r="D872" s="622" t="str">
        <f>IF(V775&gt;0,"Debt","Saving")</f>
        <v>Debt</v>
      </c>
      <c r="E872" s="615"/>
      <c r="F872" s="615"/>
      <c r="G872" s="615"/>
      <c r="H872" s="615"/>
      <c r="I872" s="615"/>
      <c r="J872" s="615"/>
      <c r="K872" s="615"/>
      <c r="L872" s="615"/>
      <c r="M872" s="615"/>
      <c r="N872" s="615"/>
      <c r="O872" s="615"/>
      <c r="P872" s="615"/>
      <c r="Q872" s="615"/>
      <c r="R872" s="615"/>
      <c r="S872" s="615"/>
      <c r="T872" s="615"/>
      <c r="U872" s="615"/>
      <c r="V872" s="615"/>
      <c r="W872" s="186"/>
      <c r="Y872"/>
      <c r="Z872"/>
      <c r="AA872"/>
      <c r="AB872"/>
      <c r="AC872"/>
      <c r="AD872"/>
      <c r="AE872"/>
      <c r="AF872"/>
      <c r="AG872"/>
      <c r="AH872"/>
      <c r="AI872"/>
      <c r="AJ872"/>
      <c r="AK872"/>
      <c r="AL872"/>
      <c r="AM872"/>
      <c r="AN872"/>
      <c r="AO872"/>
    </row>
    <row r="873" spans="1:41" ht="96" customHeight="1">
      <c r="A873"/>
      <c r="C873" s="178"/>
      <c r="D873" s="973" t="str">
        <f>IF(V775&gt;0,D864,D865)</f>
        <v>If the expected net salary in the host country is lower than the comparable spendable income, you will have a deficit and will be forced to borrow money to make up the difference (i.e; use your credit card). The amount you borrowed (and now owe) is your debt. If you have a deficit every month and you keep borrowing, your debt grows plus interest on your debt.  If this could happen, you should  think twice accepting the job offer. You MUST ask for a compensation/ allowance or demand a salary raise.</v>
      </c>
      <c r="E873" s="973"/>
      <c r="F873" s="973"/>
      <c r="G873" s="973"/>
      <c r="H873" s="973"/>
      <c r="I873" s="973"/>
      <c r="J873" s="973"/>
      <c r="K873" s="973"/>
      <c r="L873" s="973"/>
      <c r="M873" s="973"/>
      <c r="N873" s="973"/>
      <c r="O873" s="973"/>
      <c r="P873" s="973"/>
      <c r="Q873" s="973"/>
      <c r="R873" s="973"/>
      <c r="S873" s="973"/>
      <c r="T873" s="973"/>
      <c r="U873" s="973"/>
      <c r="V873" s="973"/>
      <c r="W873" s="186"/>
      <c r="Y873"/>
      <c r="Z873"/>
      <c r="AA873"/>
      <c r="AB873"/>
      <c r="AC873"/>
      <c r="AD873"/>
      <c r="AE873"/>
      <c r="AF873"/>
      <c r="AG873"/>
      <c r="AH873"/>
      <c r="AI873"/>
      <c r="AJ873"/>
      <c r="AK873"/>
      <c r="AL873"/>
      <c r="AM873"/>
      <c r="AN873"/>
      <c r="AO873"/>
    </row>
    <row r="874" spans="1:41" ht="9.75" customHeight="1">
      <c r="A874"/>
      <c r="C874" s="178"/>
      <c r="D874" s="269"/>
      <c r="E874" s="269"/>
      <c r="F874" s="177"/>
      <c r="G874" s="177"/>
      <c r="H874" s="266"/>
      <c r="I874" s="266"/>
      <c r="J874" s="266"/>
      <c r="K874" s="266"/>
      <c r="L874" s="266"/>
      <c r="M874" s="266"/>
      <c r="N874" s="266"/>
      <c r="O874" s="266"/>
      <c r="P874" s="266"/>
      <c r="Q874" s="270"/>
      <c r="R874" s="281"/>
      <c r="S874" s="271"/>
      <c r="T874" s="177"/>
      <c r="U874" s="177"/>
      <c r="V874" s="177"/>
      <c r="W874" s="186"/>
      <c r="Y874"/>
      <c r="Z874"/>
      <c r="AA874"/>
      <c r="AB874"/>
      <c r="AC874"/>
      <c r="AD874"/>
      <c r="AE874"/>
      <c r="AF874"/>
      <c r="AG874"/>
      <c r="AH874"/>
      <c r="AI874"/>
      <c r="AJ874"/>
      <c r="AK874"/>
      <c r="AL874"/>
      <c r="AM874"/>
      <c r="AN874"/>
      <c r="AO874"/>
    </row>
    <row r="875" spans="1:41" ht="93" customHeight="1">
      <c r="A875"/>
      <c r="C875" s="639" t="b">
        <v>1</v>
      </c>
      <c r="D875" s="949" t="str">
        <f>VLOOKUP(C875,C867:R870,2,FALSE)</f>
        <v>Based on your personal monthly budget, even though the expected net salary per month of USD2,500.00 is in DEFICIT status, apparently you still overspend up to USD4,964.10 that lead to a shortage of USD2,464.10.  Be aware that, once this debt starts to build, it will only continue to get worse unless you are able to return to your original financial stability.  Eventually over a time, it could plunge you into a more serious financial problem i.e bankruptcy. Definitely, you should  think over about the job offer. You MUST negotiate for a raise/compensation/ allowance.</v>
      </c>
      <c r="E875" s="949"/>
      <c r="F875" s="949"/>
      <c r="G875" s="949"/>
      <c r="H875" s="949"/>
      <c r="I875" s="949"/>
      <c r="J875" s="949"/>
      <c r="K875" s="949"/>
      <c r="L875" s="949"/>
      <c r="M875" s="949"/>
      <c r="N875" s="949"/>
      <c r="O875" s="949"/>
      <c r="P875" s="949"/>
      <c r="Q875" s="949"/>
      <c r="R875" s="949"/>
      <c r="S875" s="949"/>
      <c r="T875" s="949"/>
      <c r="U875" s="949"/>
      <c r="V875" s="949"/>
      <c r="W875" s="464"/>
      <c r="Y875"/>
      <c r="Z875"/>
      <c r="AA875"/>
      <c r="AB875"/>
      <c r="AC875"/>
      <c r="AD875"/>
      <c r="AE875"/>
      <c r="AF875"/>
      <c r="AG875"/>
      <c r="AH875"/>
      <c r="AI875"/>
      <c r="AJ875"/>
      <c r="AK875"/>
      <c r="AL875"/>
      <c r="AM875"/>
      <c r="AN875"/>
      <c r="AO875"/>
    </row>
    <row r="876" spans="1:41" ht="23.25" customHeight="1">
      <c r="A876"/>
      <c r="F876" s="171"/>
      <c r="G876" s="171"/>
      <c r="R876" s="659"/>
      <c r="S876" s="171"/>
      <c r="T876" s="171"/>
      <c r="U876" s="171"/>
      <c r="V876" s="171"/>
      <c r="W876" s="99"/>
      <c r="Y876"/>
      <c r="Z876"/>
      <c r="AA876"/>
      <c r="AB876"/>
      <c r="AC876"/>
      <c r="AD876"/>
      <c r="AE876"/>
      <c r="AF876"/>
      <c r="AG876"/>
      <c r="AH876"/>
      <c r="AI876"/>
      <c r="AJ876"/>
      <c r="AK876"/>
      <c r="AL876"/>
      <c r="AM876"/>
      <c r="AN876"/>
      <c r="AO876"/>
    </row>
    <row r="877" spans="1:41" s="10" customFormat="1" ht="23.25" customHeight="1">
      <c r="B877" s="87"/>
      <c r="C877" s="137"/>
      <c r="D877" s="30"/>
      <c r="E877" s="30"/>
      <c r="H877" s="15"/>
      <c r="I877" s="15"/>
      <c r="J877" s="15"/>
      <c r="K877" s="15"/>
      <c r="L877" s="15"/>
      <c r="M877" s="15"/>
      <c r="N877" s="15"/>
      <c r="O877" s="15"/>
      <c r="P877" s="15"/>
      <c r="Q877" s="71"/>
      <c r="R877" s="84"/>
      <c r="W877" s="138"/>
    </row>
    <row r="878" spans="1:41" ht="23.25" customHeight="1">
      <c r="A878"/>
      <c r="F878" s="171"/>
      <c r="G878" s="171"/>
      <c r="R878" s="659"/>
      <c r="S878" s="171"/>
      <c r="T878" s="171"/>
      <c r="U878" s="171"/>
      <c r="V878" s="171"/>
      <c r="W878" s="99"/>
      <c r="Y878"/>
      <c r="Z878"/>
      <c r="AA878"/>
      <c r="AB878"/>
      <c r="AC878"/>
      <c r="AD878"/>
      <c r="AE878"/>
      <c r="AF878"/>
      <c r="AG878"/>
      <c r="AH878"/>
      <c r="AI878"/>
      <c r="AJ878"/>
      <c r="AK878"/>
      <c r="AL878"/>
      <c r="AM878"/>
      <c r="AN878"/>
      <c r="AO878"/>
    </row>
    <row r="879" spans="1:41" ht="23.25" hidden="1" customHeight="1">
      <c r="A879"/>
      <c r="C879" s="178"/>
      <c r="D879" s="950"/>
      <c r="E879" s="950"/>
      <c r="F879" s="950"/>
      <c r="G879" s="950"/>
      <c r="H879" s="950"/>
      <c r="I879" s="950"/>
      <c r="J879" s="950"/>
      <c r="K879" s="950"/>
      <c r="L879" s="950"/>
      <c r="M879" s="950"/>
      <c r="N879" s="950"/>
      <c r="O879" s="950"/>
      <c r="P879" s="950"/>
      <c r="Q879" s="950"/>
      <c r="R879" s="950"/>
      <c r="S879" s="950"/>
      <c r="T879" s="950"/>
      <c r="U879" s="950"/>
      <c r="V879" s="950"/>
      <c r="W879" s="186"/>
      <c r="Y879"/>
      <c r="Z879"/>
      <c r="AA879"/>
      <c r="AB879"/>
      <c r="AC879"/>
      <c r="AD879"/>
      <c r="AE879"/>
      <c r="AF879"/>
      <c r="AG879"/>
      <c r="AH879"/>
      <c r="AI879"/>
      <c r="AJ879"/>
      <c r="AK879"/>
      <c r="AL879"/>
      <c r="AM879"/>
      <c r="AN879"/>
      <c r="AO879"/>
    </row>
    <row r="880" spans="1:41" ht="23.25" hidden="1" customHeight="1">
      <c r="A880"/>
      <c r="C880" s="178"/>
      <c r="D880" s="672"/>
      <c r="E880" s="672"/>
      <c r="F880" s="672"/>
      <c r="G880" s="672"/>
      <c r="H880" s="672"/>
      <c r="I880" s="672"/>
      <c r="J880" s="672"/>
      <c r="K880" s="672"/>
      <c r="L880" s="672"/>
      <c r="M880" s="672"/>
      <c r="N880" s="672"/>
      <c r="O880" s="672"/>
      <c r="P880" s="672"/>
      <c r="Q880" s="672"/>
      <c r="R880" s="672"/>
      <c r="S880" s="672"/>
      <c r="T880" s="672"/>
      <c r="U880" s="672"/>
      <c r="V880" s="672"/>
      <c r="W880" s="186"/>
      <c r="Y880"/>
      <c r="Z880"/>
      <c r="AA880"/>
      <c r="AB880"/>
      <c r="AC880"/>
      <c r="AD880"/>
      <c r="AE880"/>
      <c r="AF880"/>
      <c r="AG880"/>
      <c r="AH880"/>
      <c r="AI880"/>
      <c r="AJ880"/>
      <c r="AK880"/>
      <c r="AL880"/>
      <c r="AM880"/>
      <c r="AN880"/>
      <c r="AO880"/>
    </row>
    <row r="881" spans="1:41" ht="23.25" hidden="1" customHeight="1">
      <c r="A881"/>
      <c r="C881" s="178"/>
      <c r="D881" s="623" t="str">
        <f>"Comparing with "&amp;R711&amp;" average salary"</f>
        <v>Comparing with Dubai average salary</v>
      </c>
      <c r="E881" s="672"/>
      <c r="F881" s="672"/>
      <c r="G881" s="672"/>
      <c r="H881" s="672"/>
      <c r="I881" s="672"/>
      <c r="J881" s="672"/>
      <c r="K881" s="672"/>
      <c r="L881" s="672"/>
      <c r="M881" s="672"/>
      <c r="N881" s="672"/>
      <c r="O881" s="672"/>
      <c r="P881" s="672"/>
      <c r="Q881" s="672"/>
      <c r="R881" s="672"/>
      <c r="S881" s="672"/>
      <c r="T881" s="672"/>
      <c r="U881" s="672"/>
      <c r="V881" s="672"/>
      <c r="W881" s="186"/>
      <c r="Y881"/>
      <c r="Z881"/>
      <c r="AA881"/>
      <c r="AB881"/>
      <c r="AC881"/>
      <c r="AD881"/>
      <c r="AE881"/>
      <c r="AF881"/>
      <c r="AG881"/>
      <c r="AH881"/>
      <c r="AI881"/>
      <c r="AJ881"/>
      <c r="AK881"/>
      <c r="AL881"/>
      <c r="AM881"/>
      <c r="AN881"/>
      <c r="AO881"/>
    </row>
    <row r="882" spans="1:41" hidden="1">
      <c r="A882"/>
      <c r="C882" s="178"/>
      <c r="D882" s="269"/>
      <c r="E882" s="269"/>
      <c r="F882" s="699"/>
      <c r="G882" s="699"/>
      <c r="H882" s="266"/>
      <c r="I882" s="266"/>
      <c r="J882" s="266"/>
      <c r="K882" s="266"/>
      <c r="L882" s="266"/>
      <c r="M882" s="266"/>
      <c r="N882" s="266"/>
      <c r="O882" s="266"/>
      <c r="P882" s="266"/>
      <c r="Q882" s="270"/>
      <c r="R882" s="281"/>
      <c r="S882" s="699"/>
      <c r="T882" s="699"/>
      <c r="U882" s="699"/>
      <c r="V882" s="699"/>
      <c r="W882" s="186"/>
      <c r="Y882"/>
      <c r="Z882"/>
      <c r="AA882"/>
      <c r="AB882"/>
      <c r="AC882"/>
      <c r="AD882"/>
      <c r="AE882"/>
      <c r="AF882"/>
      <c r="AG882"/>
      <c r="AH882"/>
      <c r="AI882"/>
      <c r="AJ882"/>
      <c r="AK882"/>
      <c r="AL882"/>
      <c r="AM882"/>
      <c r="AN882"/>
      <c r="AO882"/>
    </row>
    <row r="883" spans="1:41" ht="66.75" hidden="1" customHeight="1">
      <c r="A883"/>
      <c r="C883" s="178"/>
      <c r="D883" s="956" t="s">
        <v>1291</v>
      </c>
      <c r="E883" s="956"/>
      <c r="F883" s="956"/>
      <c r="G883" s="956"/>
      <c r="H883" s="956"/>
      <c r="I883" s="956"/>
      <c r="J883" s="956"/>
      <c r="K883" s="956"/>
      <c r="L883" s="956"/>
      <c r="M883" s="956"/>
      <c r="N883" s="956"/>
      <c r="O883" s="956"/>
      <c r="P883" s="956"/>
      <c r="Q883" s="956"/>
      <c r="R883" s="956"/>
      <c r="S883" s="956"/>
      <c r="T883" s="956"/>
      <c r="U883" s="956"/>
      <c r="V883" s="956"/>
      <c r="W883" s="186"/>
      <c r="Y883"/>
      <c r="Z883"/>
      <c r="AA883"/>
      <c r="AB883"/>
      <c r="AC883"/>
      <c r="AD883"/>
      <c r="AE883"/>
      <c r="AF883"/>
      <c r="AG883"/>
      <c r="AH883"/>
      <c r="AI883"/>
      <c r="AJ883"/>
      <c r="AK883"/>
      <c r="AL883"/>
      <c r="AM883"/>
      <c r="AN883"/>
      <c r="AO883"/>
    </row>
    <row r="884" spans="1:41" ht="37.5" hidden="1" customHeight="1">
      <c r="A884"/>
      <c r="C884" s="178"/>
      <c r="D884" s="956" t="s">
        <v>1314</v>
      </c>
      <c r="E884" s="956"/>
      <c r="F884" s="956"/>
      <c r="G884" s="956"/>
      <c r="H884" s="956"/>
      <c r="I884" s="956"/>
      <c r="J884" s="956"/>
      <c r="K884" s="956"/>
      <c r="L884" s="956"/>
      <c r="M884" s="956"/>
      <c r="N884" s="956"/>
      <c r="O884" s="956"/>
      <c r="P884" s="956"/>
      <c r="Q884" s="956"/>
      <c r="R884" s="956"/>
      <c r="S884" s="956"/>
      <c r="T884" s="956"/>
      <c r="U884" s="956"/>
      <c r="V884" s="956"/>
      <c r="W884" s="186"/>
      <c r="Y884"/>
      <c r="Z884"/>
      <c r="AA884"/>
      <c r="AB884"/>
      <c r="AC884"/>
      <c r="AD884"/>
      <c r="AE884"/>
      <c r="AF884"/>
      <c r="AG884"/>
      <c r="AH884"/>
      <c r="AI884"/>
      <c r="AJ884"/>
      <c r="AK884"/>
      <c r="AL884"/>
      <c r="AM884"/>
      <c r="AN884"/>
      <c r="AO884"/>
    </row>
    <row r="885" spans="1:41" ht="37.5" hidden="1" customHeight="1">
      <c r="A885"/>
      <c r="C885" s="178"/>
      <c r="D885" s="957" t="str">
        <f>"Where do you stand compared to the rest of "&amp;R516</f>
        <v>Where do you stand compared to the rest of Dubai</v>
      </c>
      <c r="E885" s="957"/>
      <c r="F885" s="957"/>
      <c r="G885" s="957"/>
      <c r="H885" s="957"/>
      <c r="I885" s="957"/>
      <c r="J885" s="957"/>
      <c r="K885" s="957"/>
      <c r="L885" s="957"/>
      <c r="M885" s="957"/>
      <c r="N885" s="957"/>
      <c r="O885" s="957"/>
      <c r="P885" s="957"/>
      <c r="Q885" s="957"/>
      <c r="R885" s="957"/>
      <c r="S885" s="957"/>
      <c r="T885" s="957"/>
      <c r="U885" s="957"/>
      <c r="V885" s="957"/>
      <c r="W885" s="186"/>
      <c r="Y885"/>
      <c r="Z885"/>
      <c r="AA885"/>
      <c r="AB885"/>
      <c r="AC885"/>
      <c r="AD885"/>
      <c r="AE885"/>
      <c r="AF885"/>
      <c r="AG885"/>
      <c r="AH885"/>
      <c r="AI885"/>
      <c r="AJ885"/>
      <c r="AK885"/>
      <c r="AL885"/>
      <c r="AM885"/>
      <c r="AN885"/>
      <c r="AO885"/>
    </row>
    <row r="886" spans="1:41" ht="59.25" hidden="1" customHeight="1">
      <c r="A886"/>
      <c r="C886" s="178"/>
      <c r="D886" s="950" t="str">
        <f>"According to the calculator recent data for the Fourth Quarter 2013, the average salary for "&amp;V635&amp;" jobs is "&amp;Q132&amp;FIXED(P773,2)&amp;". "&amp;"In comparison to the expected net salary of "&amp;Q132&amp;FIXED(P777,2)&amp;" , the expected net salary is "&amp;IF(P773&lt;P777,"ABOVE","BELOW")&amp;" the average salary in "&amp;V635&amp;"."</f>
        <v>According to the calculator recent data for the Fourth Quarter 2013, the average salary for Dubai jobs is USD3,500.00. In comparison to the expected net salary of USD2,500.00 , the expected net salary is BELOW the average salary in Dubai.</v>
      </c>
      <c r="E886" s="950"/>
      <c r="F886" s="950"/>
      <c r="G886" s="950"/>
      <c r="H886" s="950"/>
      <c r="I886" s="950"/>
      <c r="J886" s="950"/>
      <c r="K886" s="950"/>
      <c r="L886" s="950"/>
      <c r="M886" s="950"/>
      <c r="N886" s="950"/>
      <c r="O886" s="950"/>
      <c r="P886" s="950"/>
      <c r="Q886" s="950"/>
      <c r="R886" s="950"/>
      <c r="S886" s="950"/>
      <c r="T886" s="950"/>
      <c r="U886" s="950"/>
      <c r="V886" s="950"/>
      <c r="W886" s="186"/>
      <c r="Y886"/>
      <c r="Z886"/>
      <c r="AA886"/>
      <c r="AB886"/>
      <c r="AC886"/>
      <c r="AD886"/>
      <c r="AE886"/>
      <c r="AF886"/>
      <c r="AG886"/>
      <c r="AH886"/>
      <c r="AI886"/>
      <c r="AJ886"/>
      <c r="AK886"/>
      <c r="AL886"/>
      <c r="AM886"/>
      <c r="AN886"/>
      <c r="AO886"/>
    </row>
    <row r="887" spans="1:41" ht="93" hidden="1" customHeight="1">
      <c r="A887"/>
      <c r="C887" s="178"/>
      <c r="D887" s="950" t="s">
        <v>1294</v>
      </c>
      <c r="E887" s="950"/>
      <c r="F887" s="950"/>
      <c r="G887" s="950"/>
      <c r="H887" s="950"/>
      <c r="I887" s="950"/>
      <c r="J887" s="950"/>
      <c r="K887" s="950"/>
      <c r="L887" s="950"/>
      <c r="M887" s="950"/>
      <c r="N887" s="950"/>
      <c r="O887" s="950"/>
      <c r="P887" s="950"/>
      <c r="Q887" s="950"/>
      <c r="R887" s="950"/>
      <c r="S887" s="950"/>
      <c r="T887" s="950"/>
      <c r="U887" s="950"/>
      <c r="V887" s="950"/>
      <c r="W887" s="186"/>
      <c r="Y887"/>
      <c r="Z887"/>
      <c r="AA887"/>
      <c r="AB887"/>
      <c r="AC887"/>
      <c r="AD887"/>
      <c r="AE887"/>
      <c r="AF887"/>
      <c r="AG887"/>
      <c r="AH887"/>
      <c r="AI887"/>
      <c r="AJ887"/>
      <c r="AK887"/>
      <c r="AL887"/>
      <c r="AM887"/>
      <c r="AN887"/>
      <c r="AO887"/>
    </row>
    <row r="888" spans="1:41" ht="51.75" hidden="1" customHeight="1">
      <c r="A888"/>
      <c r="C888" s="178"/>
      <c r="D888" s="1006" t="s">
        <v>1301</v>
      </c>
      <c r="E888" s="1006"/>
      <c r="F888" s="1006"/>
      <c r="G888" s="1006"/>
      <c r="H888" s="1006"/>
      <c r="I888" s="1006"/>
      <c r="J888" s="1006"/>
      <c r="K888" s="1006"/>
      <c r="L888" s="1006"/>
      <c r="M888" s="1006"/>
      <c r="N888" s="1006"/>
      <c r="O888" s="1006"/>
      <c r="P888" s="1006"/>
      <c r="Q888" s="1006"/>
      <c r="R888" s="1006"/>
      <c r="S888" s="1006"/>
      <c r="T888" s="1006"/>
      <c r="U888" s="1006"/>
      <c r="V888" s="1006"/>
      <c r="W888" s="186"/>
      <c r="Y888"/>
      <c r="Z888"/>
      <c r="AA888"/>
      <c r="AB888"/>
      <c r="AC888"/>
      <c r="AD888"/>
      <c r="AE888"/>
      <c r="AF888"/>
      <c r="AG888"/>
      <c r="AH888"/>
      <c r="AI888"/>
      <c r="AJ888"/>
      <c r="AK888"/>
      <c r="AL888"/>
      <c r="AM888"/>
      <c r="AN888"/>
      <c r="AO888"/>
    </row>
    <row r="889" spans="1:41" ht="51.75" hidden="1" customHeight="1">
      <c r="A889"/>
      <c r="C889" s="178"/>
      <c r="D889" s="673"/>
      <c r="E889" s="673"/>
      <c r="F889" s="673"/>
      <c r="G889" s="673"/>
      <c r="H889" s="673"/>
      <c r="I889" s="673"/>
      <c r="J889" s="673"/>
      <c r="K889" s="673"/>
      <c r="L889" s="673"/>
      <c r="M889" s="673"/>
      <c r="N889" s="673"/>
      <c r="O889" s="673"/>
      <c r="P889" s="673"/>
      <c r="Q889" s="673"/>
      <c r="R889" s="673"/>
      <c r="S889" s="673"/>
      <c r="T889" s="673"/>
      <c r="U889" s="673"/>
      <c r="V889" s="673"/>
      <c r="W889" s="186"/>
      <c r="Y889"/>
      <c r="Z889"/>
      <c r="AA889"/>
      <c r="AB889"/>
      <c r="AC889"/>
      <c r="AD889"/>
      <c r="AE889"/>
      <c r="AF889"/>
      <c r="AG889"/>
      <c r="AH889"/>
      <c r="AI889"/>
      <c r="AJ889"/>
      <c r="AK889"/>
      <c r="AL889"/>
      <c r="AM889"/>
      <c r="AN889"/>
      <c r="AO889"/>
    </row>
    <row r="890" spans="1:41" hidden="1">
      <c r="A890"/>
      <c r="C890" s="178"/>
      <c r="D890" s="269"/>
      <c r="E890" s="269"/>
      <c r="F890" s="699"/>
      <c r="G890" s="699"/>
      <c r="H890" s="266"/>
      <c r="I890" s="266"/>
      <c r="J890" s="266"/>
      <c r="K890" s="266"/>
      <c r="L890" s="266"/>
      <c r="M890" s="266"/>
      <c r="N890" s="266"/>
      <c r="O890" s="266"/>
      <c r="P890" s="624" t="s">
        <v>1278</v>
      </c>
      <c r="Q890" s="625"/>
      <c r="R890" s="626">
        <f>P773</f>
        <v>3500</v>
      </c>
      <c r="S890" s="699"/>
      <c r="T890" s="699"/>
      <c r="U890" s="699"/>
      <c r="V890" s="512"/>
      <c r="W890" s="186"/>
      <c r="Y890"/>
      <c r="Z890"/>
      <c r="AA890"/>
      <c r="AB890"/>
      <c r="AC890"/>
      <c r="AD890"/>
      <c r="AE890"/>
      <c r="AF890"/>
      <c r="AG890"/>
      <c r="AH890"/>
      <c r="AI890"/>
      <c r="AJ890"/>
      <c r="AK890"/>
      <c r="AL890"/>
      <c r="AM890"/>
      <c r="AN890"/>
      <c r="AO890"/>
    </row>
    <row r="891" spans="1:41" hidden="1">
      <c r="A891"/>
      <c r="C891" s="178"/>
      <c r="D891" s="269"/>
      <c r="E891" s="269"/>
      <c r="F891" s="699"/>
      <c r="G891" s="699"/>
      <c r="H891" s="266"/>
      <c r="I891" s="266"/>
      <c r="J891" s="266"/>
      <c r="K891" s="266"/>
      <c r="L891" s="266"/>
      <c r="M891" s="266"/>
      <c r="N891" s="266"/>
      <c r="O891" s="266"/>
      <c r="P891" s="627">
        <f>R890</f>
        <v>3500</v>
      </c>
      <c r="Q891" s="270"/>
      <c r="R891" s="628"/>
      <c r="S891" s="699"/>
      <c r="T891" s="699"/>
      <c r="U891" s="699"/>
      <c r="V891" s="512"/>
      <c r="W891" s="186"/>
      <c r="Y891"/>
      <c r="Z891"/>
      <c r="AA891"/>
      <c r="AB891"/>
      <c r="AC891"/>
      <c r="AD891"/>
      <c r="AE891"/>
      <c r="AF891"/>
      <c r="AG891"/>
      <c r="AH891"/>
      <c r="AI891"/>
      <c r="AJ891"/>
      <c r="AK891"/>
      <c r="AL891"/>
      <c r="AM891"/>
      <c r="AN891"/>
      <c r="AO891"/>
    </row>
    <row r="892" spans="1:41" hidden="1">
      <c r="A892"/>
      <c r="C892" s="178"/>
      <c r="D892" s="629">
        <f>IF(P777&lt;R890,P777,"")</f>
        <v>2500</v>
      </c>
      <c r="E892" s="269"/>
      <c r="F892" s="699"/>
      <c r="G892" s="699"/>
      <c r="H892" s="266"/>
      <c r="I892" s="266"/>
      <c r="J892" s="266"/>
      <c r="K892" s="266"/>
      <c r="L892" s="266"/>
      <c r="M892" s="266"/>
      <c r="N892" s="266"/>
      <c r="O892" s="266"/>
      <c r="P892" s="266"/>
      <c r="Q892" s="630" t="str">
        <f>IF(P777=857,"",IF(P777&gt;R890,P777,""))</f>
        <v/>
      </c>
      <c r="R892" s="281"/>
      <c r="S892" s="699"/>
      <c r="T892" s="699"/>
      <c r="U892" s="699"/>
      <c r="V892" s="512"/>
      <c r="W892" s="186"/>
      <c r="Y892"/>
      <c r="Z892"/>
      <c r="AA892"/>
      <c r="AB892"/>
      <c r="AC892"/>
      <c r="AD892"/>
      <c r="AE892"/>
      <c r="AF892"/>
      <c r="AG892"/>
      <c r="AH892"/>
      <c r="AI892"/>
      <c r="AJ892"/>
      <c r="AK892"/>
      <c r="AL892"/>
      <c r="AM892"/>
      <c r="AN892"/>
      <c r="AO892"/>
    </row>
    <row r="893" spans="1:41" hidden="1">
      <c r="A893"/>
      <c r="C893" s="178"/>
      <c r="D893" s="269"/>
      <c r="E893" s="269"/>
      <c r="F893" s="699"/>
      <c r="G893" s="699"/>
      <c r="H893" s="266"/>
      <c r="I893" s="266"/>
      <c r="J893" s="266"/>
      <c r="K893" s="266"/>
      <c r="L893" s="266"/>
      <c r="M893" s="266"/>
      <c r="N893" s="266"/>
      <c r="O893" s="266"/>
      <c r="P893" s="266"/>
      <c r="Q893" s="631"/>
      <c r="R893" s="632"/>
      <c r="S893" s="699"/>
      <c r="T893" s="699"/>
      <c r="U893" s="699"/>
      <c r="V893" s="512"/>
      <c r="W893" s="186"/>
      <c r="Y893"/>
      <c r="Z893"/>
      <c r="AA893"/>
      <c r="AB893"/>
      <c r="AC893"/>
      <c r="AD893"/>
      <c r="AE893"/>
      <c r="AF893"/>
      <c r="AG893"/>
      <c r="AH893"/>
      <c r="AI893"/>
      <c r="AJ893"/>
      <c r="AK893"/>
      <c r="AL893"/>
      <c r="AM893"/>
      <c r="AN893"/>
      <c r="AO893"/>
    </row>
    <row r="894" spans="1:41" hidden="1">
      <c r="A894"/>
      <c r="C894" s="178"/>
      <c r="D894" s="699"/>
      <c r="E894" s="269"/>
      <c r="F894" s="699"/>
      <c r="G894" s="699"/>
      <c r="H894" s="266"/>
      <c r="I894" s="266"/>
      <c r="J894" s="266"/>
      <c r="K894" s="266"/>
      <c r="L894" s="266"/>
      <c r="M894" s="266"/>
      <c r="N894" s="266"/>
      <c r="O894" s="266"/>
      <c r="P894" s="266"/>
      <c r="Q894" s="631"/>
      <c r="R894" s="632"/>
      <c r="S894" s="699"/>
      <c r="T894" s="699"/>
      <c r="U894" s="699"/>
      <c r="V894" s="512"/>
      <c r="W894" s="186"/>
      <c r="Y894"/>
      <c r="Z894"/>
      <c r="AA894"/>
      <c r="AB894"/>
      <c r="AC894"/>
      <c r="AD894"/>
      <c r="AE894"/>
      <c r="AF894"/>
      <c r="AG894"/>
      <c r="AH894"/>
      <c r="AI894"/>
      <c r="AJ894"/>
      <c r="AK894"/>
      <c r="AL894"/>
      <c r="AM894"/>
      <c r="AN894"/>
      <c r="AO894"/>
    </row>
    <row r="895" spans="1:41" hidden="1">
      <c r="A895"/>
      <c r="C895" s="178"/>
      <c r="D895" s="633"/>
      <c r="E895" s="269"/>
      <c r="F895" s="699"/>
      <c r="G895" s="699"/>
      <c r="H895" s="266"/>
      <c r="I895" s="266"/>
      <c r="J895" s="266"/>
      <c r="K895" s="266"/>
      <c r="L895" s="266"/>
      <c r="M895" s="266"/>
      <c r="N895" s="266"/>
      <c r="O895" s="266"/>
      <c r="P895" s="266"/>
      <c r="Q895" s="631"/>
      <c r="R895" s="634" t="s">
        <v>0</v>
      </c>
      <c r="S895" s="699"/>
      <c r="T895" s="699"/>
      <c r="U895" s="699"/>
      <c r="V895" s="512"/>
      <c r="W895" s="186"/>
      <c r="Y895"/>
      <c r="Z895"/>
      <c r="AA895"/>
      <c r="AB895"/>
      <c r="AC895"/>
      <c r="AD895"/>
      <c r="AE895"/>
      <c r="AF895"/>
      <c r="AG895"/>
      <c r="AH895"/>
      <c r="AI895"/>
      <c r="AJ895"/>
      <c r="AK895"/>
      <c r="AL895"/>
      <c r="AM895"/>
      <c r="AN895"/>
      <c r="AO895"/>
    </row>
    <row r="896" spans="1:41" ht="39" hidden="1" customHeight="1">
      <c r="A896"/>
      <c r="B896"/>
      <c r="C896" s="178"/>
      <c r="D896" s="635" t="str">
        <f>IF(P777&gt;R890,"","The offered salary is below average. A RED FLAG. Avoid to get a salary below the average.")</f>
        <v>The offered salary is below average. A RED FLAG. Avoid to get a salary below the average.</v>
      </c>
      <c r="E896" s="269"/>
      <c r="F896" s="699"/>
      <c r="G896" s="699"/>
      <c r="H896" s="266"/>
      <c r="I896" s="266"/>
      <c r="J896" s="266"/>
      <c r="K896" s="266"/>
      <c r="L896" s="266"/>
      <c r="M896" s="266"/>
      <c r="N896" s="266"/>
      <c r="O896" s="266"/>
      <c r="P896" s="266"/>
      <c r="Q896" s="1008" t="str">
        <f>IF(P777&gt;R890,"The expected net salary is above average. Don't get too excited. Make sure the amount is at least comparable with your current net salary","-")</f>
        <v>-</v>
      </c>
      <c r="R896" s="1008"/>
      <c r="S896" s="1008"/>
      <c r="T896" s="1008"/>
      <c r="U896" s="1008"/>
      <c r="V896" s="1008"/>
      <c r="W896" s="186"/>
      <c r="Y896"/>
      <c r="Z896"/>
      <c r="AA896"/>
      <c r="AB896"/>
      <c r="AC896"/>
      <c r="AD896"/>
      <c r="AE896"/>
      <c r="AF896"/>
      <c r="AG896"/>
      <c r="AH896"/>
      <c r="AI896"/>
      <c r="AJ896"/>
      <c r="AK896"/>
      <c r="AL896"/>
      <c r="AM896"/>
      <c r="AN896"/>
      <c r="AO896"/>
    </row>
    <row r="897" spans="1:41" ht="15" hidden="1">
      <c r="A897"/>
      <c r="B897"/>
      <c r="C897" s="178"/>
      <c r="D897" s="269"/>
      <c r="E897" s="269"/>
      <c r="F897" s="699"/>
      <c r="G897" s="699"/>
      <c r="H897" s="266"/>
      <c r="I897" s="266"/>
      <c r="J897" s="266"/>
      <c r="K897" s="266"/>
      <c r="L897" s="266"/>
      <c r="M897" s="266"/>
      <c r="N897" s="266"/>
      <c r="O897" s="266"/>
      <c r="P897" s="266"/>
      <c r="Q897" s="270"/>
      <c r="R897" s="281"/>
      <c r="S897" s="699"/>
      <c r="T897" s="699"/>
      <c r="U897" s="699"/>
      <c r="V897" s="611" t="s">
        <v>0</v>
      </c>
      <c r="W897" s="186"/>
      <c r="Y897"/>
      <c r="Z897"/>
      <c r="AA897"/>
      <c r="AB897"/>
      <c r="AC897"/>
      <c r="AD897"/>
      <c r="AE897"/>
      <c r="AF897"/>
      <c r="AG897"/>
      <c r="AH897"/>
      <c r="AI897"/>
      <c r="AJ897"/>
      <c r="AK897"/>
      <c r="AL897"/>
      <c r="AM897"/>
      <c r="AN897"/>
      <c r="AO897"/>
    </row>
    <row r="898" spans="1:41" ht="15" hidden="1">
      <c r="A898"/>
      <c r="B898"/>
      <c r="C898" s="178"/>
      <c r="D898" s="269"/>
      <c r="E898" s="269"/>
      <c r="F898" s="699"/>
      <c r="G898" s="699"/>
      <c r="H898" s="266"/>
      <c r="I898" s="266"/>
      <c r="J898" s="266"/>
      <c r="K898" s="266"/>
      <c r="L898" s="266"/>
      <c r="M898" s="266"/>
      <c r="N898" s="266"/>
      <c r="O898" s="266"/>
      <c r="P898" s="266"/>
      <c r="Q898" s="270"/>
      <c r="R898" s="281"/>
      <c r="S898" s="699"/>
      <c r="T898" s="699"/>
      <c r="U898" s="699"/>
      <c r="V898" s="699"/>
      <c r="W898" s="186"/>
      <c r="Y898"/>
      <c r="Z898"/>
      <c r="AA898"/>
      <c r="AB898"/>
      <c r="AC898"/>
      <c r="AD898"/>
      <c r="AE898"/>
      <c r="AF898"/>
      <c r="AG898"/>
      <c r="AH898"/>
      <c r="AI898"/>
      <c r="AJ898"/>
      <c r="AK898"/>
      <c r="AL898"/>
      <c r="AM898"/>
      <c r="AN898"/>
      <c r="AO898"/>
    </row>
    <row r="899" spans="1:41" ht="15" hidden="1">
      <c r="A899"/>
      <c r="B899"/>
      <c r="C899" s="178"/>
      <c r="D899" s="269"/>
      <c r="E899" s="269"/>
      <c r="F899" s="699"/>
      <c r="G899" s="699"/>
      <c r="H899" s="266"/>
      <c r="I899" s="266"/>
      <c r="J899" s="266"/>
      <c r="K899" s="266"/>
      <c r="L899" s="266"/>
      <c r="M899" s="266"/>
      <c r="N899" s="266"/>
      <c r="O899" s="266"/>
      <c r="P899" s="266"/>
      <c r="Q899" s="270"/>
      <c r="R899" s="281"/>
      <c r="S899" s="699"/>
      <c r="T899" s="699"/>
      <c r="U899" s="699"/>
      <c r="V899" s="699"/>
      <c r="W899" s="186"/>
      <c r="Y899"/>
      <c r="Z899"/>
      <c r="AA899"/>
      <c r="AB899"/>
      <c r="AC899"/>
      <c r="AD899"/>
      <c r="AE899"/>
      <c r="AF899"/>
      <c r="AG899"/>
      <c r="AH899"/>
      <c r="AI899"/>
      <c r="AJ899"/>
      <c r="AK899"/>
      <c r="AL899"/>
      <c r="AM899"/>
      <c r="AN899"/>
      <c r="AO899"/>
    </row>
    <row r="900" spans="1:41" ht="15" hidden="1">
      <c r="A900"/>
      <c r="B900"/>
      <c r="C900" s="178"/>
      <c r="D900" s="269"/>
      <c r="E900" s="269"/>
      <c r="F900" s="699"/>
      <c r="G900" s="699"/>
      <c r="H900" s="266"/>
      <c r="I900" s="266"/>
      <c r="J900" s="266"/>
      <c r="K900" s="266"/>
      <c r="L900" s="266"/>
      <c r="M900" s="266"/>
      <c r="N900" s="266"/>
      <c r="O900" s="266"/>
      <c r="P900" s="266"/>
      <c r="Q900" s="270"/>
      <c r="R900" s="281"/>
      <c r="S900" s="699"/>
      <c r="T900" s="699"/>
      <c r="U900" s="699"/>
      <c r="V900" s="699"/>
      <c r="W900" s="186"/>
      <c r="Y900"/>
      <c r="Z900"/>
      <c r="AA900"/>
      <c r="AB900"/>
      <c r="AC900"/>
      <c r="AD900"/>
      <c r="AE900"/>
      <c r="AF900"/>
      <c r="AG900"/>
      <c r="AH900"/>
      <c r="AI900"/>
      <c r="AJ900"/>
      <c r="AK900"/>
      <c r="AL900"/>
      <c r="AM900"/>
      <c r="AN900"/>
      <c r="AO900"/>
    </row>
    <row r="901" spans="1:41" ht="15" hidden="1">
      <c r="A901"/>
      <c r="B901"/>
      <c r="C901" s="178"/>
      <c r="D901" s="269"/>
      <c r="E901" s="269"/>
      <c r="F901" s="699"/>
      <c r="G901" s="699"/>
      <c r="H901" s="266"/>
      <c r="I901" s="266"/>
      <c r="J901" s="266"/>
      <c r="K901" s="266"/>
      <c r="L901" s="266"/>
      <c r="M901" s="266"/>
      <c r="N901" s="266"/>
      <c r="O901" s="266"/>
      <c r="P901" s="266"/>
      <c r="Q901" s="270"/>
      <c r="R901" s="281"/>
      <c r="S901" s="699"/>
      <c r="T901" s="699"/>
      <c r="U901" s="699"/>
      <c r="V901" s="699"/>
      <c r="W901" s="186"/>
      <c r="Y901"/>
      <c r="Z901"/>
      <c r="AA901"/>
      <c r="AB901"/>
      <c r="AC901"/>
      <c r="AD901"/>
      <c r="AE901"/>
      <c r="AF901"/>
      <c r="AG901"/>
      <c r="AH901"/>
      <c r="AI901"/>
      <c r="AJ901"/>
      <c r="AK901"/>
      <c r="AL901"/>
      <c r="AM901"/>
      <c r="AN901"/>
      <c r="AO901"/>
    </row>
    <row r="902" spans="1:41" s="10" customFormat="1" ht="15" hidden="1">
      <c r="C902" s="178"/>
      <c r="D902" s="269"/>
      <c r="E902" s="269"/>
      <c r="F902" s="699"/>
      <c r="G902" s="699"/>
      <c r="H902" s="266"/>
      <c r="I902" s="266"/>
      <c r="J902" s="266"/>
      <c r="K902" s="266"/>
      <c r="L902" s="266"/>
      <c r="M902" s="266"/>
      <c r="N902" s="266"/>
      <c r="O902" s="266"/>
      <c r="P902" s="266"/>
      <c r="Q902" s="270"/>
      <c r="R902" s="281"/>
      <c r="S902" s="699"/>
      <c r="T902" s="699"/>
      <c r="U902" s="699"/>
      <c r="V902" s="699"/>
      <c r="W902" s="186"/>
    </row>
    <row r="903" spans="1:41" s="10" customFormat="1" ht="15">
      <c r="C903" s="178"/>
      <c r="D903" s="269"/>
      <c r="E903" s="269"/>
      <c r="F903" s="177"/>
      <c r="G903" s="177"/>
      <c r="H903" s="266"/>
      <c r="I903" s="266"/>
      <c r="J903" s="266"/>
      <c r="K903" s="266"/>
      <c r="L903" s="266"/>
      <c r="M903" s="266"/>
      <c r="N903" s="266"/>
      <c r="O903" s="266"/>
      <c r="P903" s="266"/>
      <c r="Q903" s="270"/>
      <c r="R903" s="281"/>
      <c r="S903" s="177"/>
      <c r="T903" s="177"/>
      <c r="U903" s="177"/>
      <c r="V903" s="177"/>
      <c r="W903" s="186"/>
    </row>
    <row r="904" spans="1:41" ht="22.5">
      <c r="A904"/>
      <c r="B904"/>
      <c r="C904" s="178"/>
      <c r="D904" s="636" t="s">
        <v>1244</v>
      </c>
      <c r="E904" s="269"/>
      <c r="F904" s="177"/>
      <c r="G904" s="177"/>
      <c r="H904" s="266"/>
      <c r="I904" s="266"/>
      <c r="J904" s="266"/>
      <c r="K904" s="266"/>
      <c r="L904" s="266"/>
      <c r="M904" s="266"/>
      <c r="N904" s="266"/>
      <c r="O904" s="266"/>
      <c r="P904" s="266"/>
      <c r="Q904" s="270"/>
      <c r="R904" s="281"/>
      <c r="S904" s="177"/>
      <c r="T904" s="177"/>
      <c r="U904" s="177"/>
      <c r="V904" s="177"/>
      <c r="W904" s="186"/>
      <c r="Y904"/>
      <c r="Z904"/>
      <c r="AA904"/>
      <c r="AB904"/>
      <c r="AC904"/>
      <c r="AD904"/>
      <c r="AE904"/>
      <c r="AF904"/>
      <c r="AG904"/>
      <c r="AH904"/>
      <c r="AI904"/>
      <c r="AJ904"/>
      <c r="AK904"/>
      <c r="AL904"/>
      <c r="AM904"/>
      <c r="AN904"/>
      <c r="AO904"/>
    </row>
    <row r="905" spans="1:41" ht="15">
      <c r="A905"/>
      <c r="B905"/>
      <c r="C905" s="178"/>
      <c r="D905" s="269"/>
      <c r="E905" s="269"/>
      <c r="F905" s="177"/>
      <c r="G905" s="177"/>
      <c r="H905" s="266"/>
      <c r="I905" s="266"/>
      <c r="J905" s="266"/>
      <c r="K905" s="266"/>
      <c r="L905" s="266"/>
      <c r="M905" s="266"/>
      <c r="N905" s="266"/>
      <c r="O905" s="266"/>
      <c r="P905" s="266"/>
      <c r="Q905" s="270"/>
      <c r="R905" s="281"/>
      <c r="S905" s="177"/>
      <c r="T905" s="177"/>
      <c r="U905" s="177"/>
      <c r="V905" s="177"/>
      <c r="W905" s="186"/>
      <c r="Y905"/>
      <c r="Z905"/>
      <c r="AA905"/>
      <c r="AB905"/>
      <c r="AC905"/>
      <c r="AD905"/>
      <c r="AE905"/>
      <c r="AF905"/>
      <c r="AG905"/>
      <c r="AH905"/>
      <c r="AI905"/>
      <c r="AJ905"/>
      <c r="AK905"/>
      <c r="AL905"/>
      <c r="AM905"/>
      <c r="AN905"/>
      <c r="AO905"/>
    </row>
    <row r="906" spans="1:41" ht="126.75" customHeight="1">
      <c r="A906"/>
      <c r="B906"/>
      <c r="C906" s="178"/>
      <c r="D906" s="949" t="str">
        <f>"Overall "&amp;D155&amp;D160&amp;D162&amp;D164&amp;D166&amp;" "&amp;D163</f>
        <v>Overall the cost of living in Tucson, AZ, United States is 33.62% lower than in Dubai, United Arab Emirates. In other words, on average it is cheaper to live in Tucson than in Dubai. Not all categories in Tucson, AZ, United States are lower than in Dubai, United Arab Emirates . Only 4 out of 7 categories are lower than in Dubai, United Arab Emirates. Your current salary after tax of USD4,500.00 in Tucson, AZ, United States is comparable to USD6,779.31 in Dubai, United Arab Emirates. As you are being offered a salary of USD2,500.00 in Dubai, United Arab Emirates then you have a deficit of USD4,279.31 in your personal monthly budget.</v>
      </c>
      <c r="E906" s="949"/>
      <c r="F906" s="949"/>
      <c r="G906" s="949"/>
      <c r="H906" s="949"/>
      <c r="I906" s="949"/>
      <c r="J906" s="949"/>
      <c r="K906" s="949"/>
      <c r="L906" s="949"/>
      <c r="M906" s="949"/>
      <c r="N906" s="949"/>
      <c r="O906" s="949"/>
      <c r="P906" s="949"/>
      <c r="Q906" s="949"/>
      <c r="R906" s="949"/>
      <c r="S906" s="949"/>
      <c r="T906" s="949"/>
      <c r="U906" s="949"/>
      <c r="V906" s="949"/>
      <c r="W906" s="186"/>
      <c r="Y906"/>
      <c r="Z906"/>
      <c r="AA906"/>
      <c r="AB906"/>
      <c r="AC906"/>
      <c r="AD906"/>
      <c r="AE906"/>
      <c r="AF906"/>
      <c r="AG906"/>
      <c r="AH906"/>
      <c r="AI906"/>
      <c r="AJ906"/>
      <c r="AK906"/>
      <c r="AL906"/>
      <c r="AM906"/>
      <c r="AN906"/>
      <c r="AO906"/>
    </row>
    <row r="907" spans="1:41" ht="21.95" customHeight="1">
      <c r="A907"/>
      <c r="B907"/>
      <c r="C907" s="178"/>
      <c r="D907" s="910"/>
      <c r="E907" s="910"/>
      <c r="F907" s="910"/>
      <c r="G907" s="910"/>
      <c r="H907" s="910"/>
      <c r="I907" s="910"/>
      <c r="J907" s="910"/>
      <c r="K907" s="910"/>
      <c r="L907" s="910"/>
      <c r="M907" s="910"/>
      <c r="N907" s="910"/>
      <c r="O907" s="910"/>
      <c r="P907" s="910"/>
      <c r="Q907" s="910"/>
      <c r="R907" s="910"/>
      <c r="S907" s="910"/>
      <c r="T907" s="910"/>
      <c r="U907" s="910"/>
      <c r="V907" s="910"/>
      <c r="W907" s="186"/>
      <c r="Y907"/>
      <c r="Z907"/>
      <c r="AA907"/>
      <c r="AB907"/>
      <c r="AC907"/>
      <c r="AD907"/>
      <c r="AE907"/>
      <c r="AF907"/>
      <c r="AG907"/>
      <c r="AH907"/>
      <c r="AI907"/>
      <c r="AJ907"/>
      <c r="AK907"/>
      <c r="AL907"/>
      <c r="AM907"/>
      <c r="AN907"/>
      <c r="AO907"/>
    </row>
    <row r="908" spans="1:41" ht="21.95" customHeight="1">
      <c r="A908"/>
      <c r="B908"/>
      <c r="C908" s="178"/>
      <c r="D908" s="910"/>
      <c r="E908" s="910"/>
      <c r="F908" s="910"/>
      <c r="G908" s="910"/>
      <c r="H908" s="910"/>
      <c r="I908" s="910"/>
      <c r="J908" s="910"/>
      <c r="K908" s="910"/>
      <c r="L908" s="910"/>
      <c r="M908" s="910"/>
      <c r="N908" s="910"/>
      <c r="O908" s="910"/>
      <c r="P908" s="910"/>
      <c r="Q908" s="910"/>
      <c r="R908" s="910"/>
      <c r="S908" s="910"/>
      <c r="T908" s="910"/>
      <c r="U908" s="910"/>
      <c r="V908" s="910"/>
      <c r="W908" s="186"/>
      <c r="Y908"/>
      <c r="Z908"/>
      <c r="AA908"/>
      <c r="AB908"/>
      <c r="AC908"/>
      <c r="AD908"/>
      <c r="AE908"/>
      <c r="AF908"/>
      <c r="AG908"/>
      <c r="AH908"/>
      <c r="AI908"/>
      <c r="AJ908"/>
      <c r="AK908"/>
      <c r="AL908"/>
      <c r="AM908"/>
      <c r="AN908"/>
      <c r="AO908"/>
    </row>
    <row r="909" spans="1:41" ht="21.95" customHeight="1">
      <c r="A909"/>
      <c r="B909"/>
      <c r="C909" s="178"/>
      <c r="D909" s="910"/>
      <c r="E909" s="910"/>
      <c r="F909" s="910"/>
      <c r="G909" s="910"/>
      <c r="H909" s="910"/>
      <c r="I909" s="910"/>
      <c r="J909" s="910"/>
      <c r="K909" s="910"/>
      <c r="L909" s="910"/>
      <c r="M909" s="910"/>
      <c r="N909" s="910"/>
      <c r="O909" s="910"/>
      <c r="P909" s="910"/>
      <c r="Q909" s="910"/>
      <c r="R909" s="910"/>
      <c r="S909" s="910"/>
      <c r="T909" s="910"/>
      <c r="U909" s="910"/>
      <c r="V909" s="910"/>
      <c r="W909" s="186"/>
      <c r="Y909"/>
      <c r="Z909"/>
      <c r="AA909"/>
      <c r="AB909"/>
      <c r="AC909"/>
      <c r="AD909"/>
      <c r="AE909"/>
      <c r="AF909"/>
      <c r="AG909"/>
      <c r="AH909"/>
      <c r="AI909"/>
      <c r="AJ909"/>
      <c r="AK909"/>
      <c r="AL909"/>
      <c r="AM909"/>
      <c r="AN909"/>
      <c r="AO909"/>
    </row>
    <row r="910" spans="1:41" ht="18" customHeight="1">
      <c r="A910"/>
      <c r="B910"/>
      <c r="C910" s="178"/>
      <c r="D910" s="636" t="s">
        <v>1442</v>
      </c>
      <c r="E910" s="909"/>
      <c r="F910" s="909"/>
      <c r="G910" s="909"/>
      <c r="H910" s="909"/>
      <c r="I910" s="909"/>
      <c r="J910" s="909"/>
      <c r="K910" s="909"/>
      <c r="L910" s="909"/>
      <c r="M910" s="909"/>
      <c r="N910" s="909"/>
      <c r="O910" s="909"/>
      <c r="P910" s="909"/>
      <c r="Q910" s="909"/>
      <c r="R910" s="909"/>
      <c r="S910" s="909"/>
      <c r="T910" s="909"/>
      <c r="U910" s="909"/>
      <c r="V910" s="909"/>
      <c r="W910" s="186"/>
      <c r="Y910"/>
      <c r="Z910"/>
      <c r="AA910"/>
      <c r="AB910"/>
      <c r="AC910"/>
      <c r="AD910"/>
      <c r="AE910"/>
      <c r="AF910"/>
      <c r="AG910"/>
      <c r="AH910"/>
      <c r="AI910"/>
      <c r="AJ910"/>
      <c r="AK910"/>
      <c r="AL910"/>
      <c r="AM910"/>
      <c r="AN910"/>
      <c r="AO910"/>
    </row>
    <row r="911" spans="1:41" ht="11.25" customHeight="1">
      <c r="A911"/>
      <c r="B911"/>
      <c r="C911" s="178"/>
      <c r="D911" s="909"/>
      <c r="E911" s="909"/>
      <c r="F911" s="909"/>
      <c r="G911" s="909"/>
      <c r="H911" s="909"/>
      <c r="I911" s="909"/>
      <c r="J911" s="909"/>
      <c r="K911" s="909"/>
      <c r="L911" s="909"/>
      <c r="M911" s="909"/>
      <c r="N911" s="909"/>
      <c r="O911" s="909"/>
      <c r="P911" s="909"/>
      <c r="Q911" s="909"/>
      <c r="R911" s="909"/>
      <c r="S911" s="909"/>
      <c r="T911" s="909"/>
      <c r="U911" s="909"/>
      <c r="V911" s="909"/>
      <c r="W911" s="186"/>
      <c r="Y911"/>
      <c r="Z911"/>
      <c r="AA911"/>
      <c r="AB911"/>
      <c r="AC911"/>
      <c r="AD911"/>
      <c r="AE911"/>
      <c r="AF911"/>
      <c r="AG911"/>
      <c r="AH911"/>
      <c r="AI911"/>
      <c r="AJ911"/>
      <c r="AK911"/>
      <c r="AL911"/>
      <c r="AM911"/>
      <c r="AN911"/>
      <c r="AO911"/>
    </row>
    <row r="912" spans="1:41" ht="116.25" customHeight="1">
      <c r="A912"/>
      <c r="B912"/>
      <c r="C912" s="178"/>
      <c r="D912" s="973" t="s">
        <v>1440</v>
      </c>
      <c r="E912" s="973"/>
      <c r="F912" s="973"/>
      <c r="G912" s="973"/>
      <c r="H912" s="973"/>
      <c r="I912" s="973"/>
      <c r="J912" s="973"/>
      <c r="K912" s="973"/>
      <c r="L912" s="973"/>
      <c r="M912" s="973"/>
      <c r="N912" s="973"/>
      <c r="O912" s="973"/>
      <c r="P912" s="973"/>
      <c r="Q912" s="973"/>
      <c r="R912" s="973"/>
      <c r="S912" s="973"/>
      <c r="T912" s="973"/>
      <c r="U912" s="973"/>
      <c r="V912" s="973"/>
      <c r="W912" s="186"/>
      <c r="Y912"/>
      <c r="Z912"/>
      <c r="AA912"/>
      <c r="AB912"/>
      <c r="AC912"/>
      <c r="AD912"/>
      <c r="AE912"/>
      <c r="AF912"/>
      <c r="AG912"/>
      <c r="AH912"/>
      <c r="AI912"/>
      <c r="AJ912"/>
      <c r="AK912"/>
      <c r="AL912"/>
      <c r="AM912"/>
      <c r="AN912"/>
      <c r="AO912"/>
    </row>
    <row r="913" spans="1:41" ht="52.5" customHeight="1">
      <c r="A913"/>
      <c r="B913"/>
      <c r="D913" s="1007" t="s">
        <v>1441</v>
      </c>
      <c r="E913" s="1007"/>
      <c r="F913" s="1007"/>
      <c r="G913" s="1007"/>
      <c r="H913" s="1007"/>
      <c r="I913" s="1007"/>
      <c r="J913" s="1007"/>
      <c r="K913" s="1007"/>
      <c r="L913" s="1007"/>
      <c r="M913" s="1007"/>
      <c r="N913" s="1007"/>
      <c r="O913" s="1007"/>
      <c r="P913" s="1007"/>
      <c r="Q913" s="1007"/>
      <c r="R913" s="1007"/>
      <c r="S913" s="1007"/>
      <c r="T913" s="1007"/>
      <c r="U913" s="1007"/>
      <c r="V913" s="1007"/>
      <c r="W913" s="186"/>
      <c r="Y913"/>
      <c r="Z913"/>
      <c r="AA913"/>
      <c r="AB913"/>
      <c r="AC913"/>
      <c r="AD913"/>
      <c r="AE913"/>
      <c r="AF913"/>
      <c r="AG913"/>
      <c r="AH913"/>
      <c r="AI913"/>
      <c r="AJ913"/>
      <c r="AK913"/>
      <c r="AL913"/>
      <c r="AM913"/>
      <c r="AN913"/>
      <c r="AO913"/>
    </row>
    <row r="914" spans="1:41" ht="20.100000000000001" customHeight="1">
      <c r="A914"/>
      <c r="B914"/>
      <c r="D914" s="912"/>
      <c r="E914" s="911"/>
      <c r="F914" s="911"/>
      <c r="G914" s="911"/>
      <c r="H914" s="266"/>
      <c r="I914" s="266"/>
      <c r="J914" s="266"/>
      <c r="K914" s="266"/>
      <c r="L914" s="266"/>
      <c r="M914" s="266"/>
      <c r="N914" s="266"/>
      <c r="O914" s="266"/>
      <c r="P914" s="266"/>
      <c r="Q914" s="612"/>
      <c r="R914" s="268"/>
      <c r="S914" s="324"/>
      <c r="T914" s="324"/>
      <c r="U914" s="324"/>
      <c r="V914" s="324"/>
      <c r="W914" s="186"/>
      <c r="Y914"/>
      <c r="Z914"/>
      <c r="AA914"/>
      <c r="AB914"/>
      <c r="AC914"/>
      <c r="AD914"/>
      <c r="AE914"/>
      <c r="AF914"/>
      <c r="AG914"/>
      <c r="AH914"/>
      <c r="AI914"/>
      <c r="AJ914"/>
      <c r="AK914"/>
      <c r="AL914"/>
      <c r="AM914"/>
      <c r="AN914"/>
      <c r="AO914"/>
    </row>
    <row r="915" spans="1:41" ht="20.100000000000001" customHeight="1">
      <c r="A915"/>
      <c r="B915"/>
      <c r="D915" s="912"/>
      <c r="E915" s="667"/>
      <c r="F915" s="667"/>
      <c r="G915" s="667"/>
      <c r="H915" s="667"/>
      <c r="I915" s="667"/>
      <c r="J915" s="667"/>
      <c r="K915" s="667"/>
      <c r="L915" s="667"/>
      <c r="M915" s="667"/>
      <c r="N915" s="667"/>
      <c r="O915" s="667"/>
      <c r="P915" s="667"/>
      <c r="Q915" s="667"/>
      <c r="R915" s="268"/>
      <c r="S915" s="324"/>
      <c r="T915" s="324"/>
      <c r="U915" s="324"/>
      <c r="V915" s="324"/>
      <c r="W915" s="186"/>
      <c r="Y915"/>
      <c r="Z915"/>
      <c r="AA915"/>
      <c r="AB915"/>
      <c r="AC915"/>
      <c r="AD915"/>
      <c r="AE915"/>
      <c r="AF915"/>
      <c r="AG915"/>
      <c r="AH915"/>
      <c r="AI915"/>
      <c r="AJ915"/>
      <c r="AK915"/>
      <c r="AL915"/>
      <c r="AM915"/>
      <c r="AN915"/>
      <c r="AO915"/>
    </row>
    <row r="916" spans="1:41" ht="20.100000000000001" customHeight="1">
      <c r="A916"/>
      <c r="B916"/>
      <c r="D916" s="912"/>
      <c r="E916" s="911"/>
      <c r="F916" s="911"/>
      <c r="G916" s="911"/>
      <c r="H916" s="266"/>
      <c r="I916" s="266"/>
      <c r="J916" s="266"/>
      <c r="K916" s="266"/>
      <c r="L916" s="266"/>
      <c r="M916" s="266"/>
      <c r="N916" s="266"/>
      <c r="O916" s="266"/>
      <c r="P916" s="667"/>
      <c r="Q916" s="612"/>
      <c r="R916" s="268"/>
      <c r="S916" s="324"/>
      <c r="T916" s="324"/>
      <c r="U916" s="324"/>
      <c r="V916" s="324"/>
      <c r="W916" s="186"/>
      <c r="Y916"/>
      <c r="Z916"/>
      <c r="AA916"/>
      <c r="AB916"/>
      <c r="AC916"/>
      <c r="AD916"/>
      <c r="AE916"/>
      <c r="AF916"/>
      <c r="AG916"/>
      <c r="AH916"/>
      <c r="AI916"/>
      <c r="AJ916"/>
      <c r="AK916"/>
      <c r="AL916"/>
      <c r="AM916"/>
      <c r="AN916"/>
      <c r="AO916"/>
    </row>
    <row r="917" spans="1:41" ht="20.100000000000001" customHeight="1">
      <c r="A917"/>
      <c r="B917"/>
      <c r="D917" s="912"/>
      <c r="E917" s="641"/>
      <c r="F917" s="641"/>
      <c r="G917" s="641"/>
      <c r="H917" s="266"/>
      <c r="I917" s="266"/>
      <c r="J917" s="266"/>
      <c r="K917" s="266"/>
      <c r="L917" s="266"/>
      <c r="M917" s="266"/>
      <c r="N917" s="266"/>
      <c r="O917" s="266"/>
      <c r="P917" s="266"/>
      <c r="Q917" s="612"/>
      <c r="R917" s="268"/>
      <c r="S917" s="171"/>
      <c r="T917" s="171"/>
      <c r="U917" s="171"/>
      <c r="V917" s="171"/>
      <c r="W917" s="99"/>
      <c r="Y917"/>
      <c r="Z917"/>
      <c r="AA917"/>
      <c r="AB917"/>
      <c r="AC917"/>
      <c r="AD917"/>
      <c r="AE917"/>
      <c r="AF917"/>
      <c r="AG917"/>
      <c r="AH917"/>
      <c r="AI917"/>
      <c r="AJ917"/>
      <c r="AK917"/>
      <c r="AL917"/>
      <c r="AM917"/>
      <c r="AN917"/>
      <c r="AO917"/>
    </row>
    <row r="918" spans="1:41" ht="15">
      <c r="A918"/>
      <c r="B918"/>
      <c r="F918" s="171"/>
      <c r="G918" s="171"/>
      <c r="R918" s="659"/>
      <c r="S918" s="171"/>
      <c r="T918" s="171"/>
      <c r="U918" s="171"/>
      <c r="V918" s="171"/>
      <c r="W918" s="99"/>
      <c r="Y918"/>
      <c r="Z918"/>
      <c r="AA918"/>
      <c r="AB918"/>
      <c r="AC918"/>
      <c r="AD918"/>
      <c r="AE918"/>
      <c r="AF918"/>
      <c r="AG918"/>
      <c r="AH918"/>
      <c r="AI918"/>
      <c r="AJ918"/>
      <c r="AK918"/>
      <c r="AL918"/>
      <c r="AM918"/>
      <c r="AN918"/>
      <c r="AO918"/>
    </row>
    <row r="919" spans="1:41" ht="15">
      <c r="A919"/>
      <c r="B919"/>
      <c r="F919" s="171"/>
      <c r="G919" s="171"/>
      <c r="R919" s="659"/>
      <c r="S919" s="171"/>
      <c r="T919" s="171"/>
      <c r="U919" s="171"/>
      <c r="V919" s="171"/>
      <c r="W919" s="99"/>
      <c r="Y919"/>
      <c r="Z919"/>
      <c r="AA919"/>
      <c r="AB919"/>
      <c r="AC919"/>
      <c r="AD919"/>
      <c r="AE919"/>
      <c r="AF919"/>
      <c r="AG919"/>
      <c r="AH919"/>
      <c r="AI919"/>
      <c r="AJ919"/>
      <c r="AK919"/>
      <c r="AL919"/>
      <c r="AM919"/>
      <c r="AN919"/>
      <c r="AO919"/>
    </row>
    <row r="920" spans="1:41" ht="15">
      <c r="A920"/>
      <c r="B920"/>
      <c r="F920" s="171"/>
      <c r="G920" s="171"/>
      <c r="R920" s="659"/>
      <c r="S920" s="171"/>
      <c r="T920" s="171"/>
      <c r="U920" s="171"/>
      <c r="V920" s="171"/>
      <c r="W920" s="99"/>
      <c r="Y920"/>
      <c r="Z920"/>
      <c r="AA920"/>
      <c r="AB920"/>
      <c r="AC920"/>
      <c r="AD920"/>
      <c r="AE920"/>
      <c r="AF920"/>
      <c r="AG920"/>
      <c r="AH920"/>
      <c r="AI920"/>
      <c r="AJ920"/>
      <c r="AK920"/>
      <c r="AL920"/>
      <c r="AM920"/>
      <c r="AN920"/>
      <c r="AO920"/>
    </row>
    <row r="921" spans="1:41" ht="18" customHeight="1">
      <c r="A921"/>
      <c r="B921"/>
      <c r="D921" s="1002"/>
      <c r="E921" s="1002"/>
      <c r="F921" s="1002"/>
      <c r="G921" s="1002"/>
      <c r="H921" s="1002"/>
      <c r="I921" s="1002"/>
      <c r="J921" s="1002"/>
      <c r="K921" s="1002"/>
      <c r="L921" s="1002"/>
      <c r="M921" s="1002"/>
      <c r="N921" s="1002"/>
      <c r="O921" s="1002"/>
      <c r="P921" s="1002"/>
      <c r="Q921" s="1002"/>
      <c r="R921" s="1002"/>
      <c r="S921" s="171"/>
      <c r="T921" s="171"/>
      <c r="U921" s="171"/>
      <c r="V921" s="171"/>
      <c r="W921" s="99"/>
      <c r="Y921"/>
      <c r="Z921"/>
      <c r="AA921"/>
      <c r="AB921"/>
      <c r="AC921"/>
      <c r="AD921"/>
      <c r="AE921"/>
      <c r="AF921"/>
      <c r="AG921"/>
      <c r="AH921"/>
      <c r="AI921"/>
      <c r="AJ921"/>
      <c r="AK921"/>
      <c r="AL921"/>
      <c r="AM921"/>
      <c r="AN921"/>
      <c r="AO921"/>
    </row>
    <row r="922" spans="1:41" ht="15">
      <c r="A922"/>
      <c r="B922"/>
      <c r="D922" s="1001"/>
      <c r="E922" s="1001"/>
      <c r="F922" s="1001"/>
      <c r="G922" s="1001"/>
      <c r="H922" s="1001"/>
      <c r="I922" s="1001"/>
      <c r="J922" s="1001"/>
      <c r="K922" s="1001"/>
      <c r="L922" s="1001"/>
      <c r="M922" s="1001"/>
      <c r="N922" s="1001"/>
      <c r="O922" s="1001"/>
      <c r="P922" s="1001"/>
      <c r="Q922" s="1001"/>
      <c r="R922" s="1001"/>
      <c r="S922" s="171"/>
      <c r="T922" s="171"/>
      <c r="U922" s="171"/>
      <c r="V922" s="171"/>
      <c r="W922" s="99"/>
      <c r="Y922"/>
      <c r="Z922"/>
      <c r="AA922"/>
      <c r="AB922"/>
      <c r="AC922"/>
      <c r="AD922"/>
      <c r="AE922"/>
      <c r="AF922"/>
      <c r="AG922"/>
      <c r="AH922"/>
      <c r="AI922"/>
      <c r="AJ922"/>
      <c r="AK922"/>
      <c r="AL922"/>
      <c r="AM922"/>
      <c r="AN922"/>
      <c r="AO922"/>
    </row>
    <row r="923" spans="1:41" ht="15">
      <c r="A923"/>
      <c r="B923"/>
      <c r="R923" s="659"/>
      <c r="S923" s="171"/>
      <c r="T923" s="171"/>
      <c r="U923" s="171"/>
      <c r="V923" s="171"/>
      <c r="W923" s="99"/>
      <c r="Y923"/>
      <c r="Z923"/>
      <c r="AA923"/>
      <c r="AB923"/>
      <c r="AC923"/>
      <c r="AD923"/>
      <c r="AE923"/>
      <c r="AF923"/>
      <c r="AG923"/>
      <c r="AH923"/>
      <c r="AI923"/>
      <c r="AJ923"/>
      <c r="AK923"/>
      <c r="AL923"/>
      <c r="AM923"/>
      <c r="AN923"/>
      <c r="AO923"/>
    </row>
    <row r="924" spans="1:41" ht="15">
      <c r="A924"/>
      <c r="B924"/>
      <c r="F924" s="171"/>
      <c r="G924" s="171"/>
      <c r="R924" s="659"/>
      <c r="S924" s="171"/>
      <c r="T924" s="171"/>
      <c r="U924" s="171"/>
      <c r="V924" s="171"/>
      <c r="W924" s="99"/>
      <c r="Y924"/>
      <c r="Z924"/>
      <c r="AA924"/>
      <c r="AB924"/>
      <c r="AC924"/>
      <c r="AD924"/>
      <c r="AE924"/>
      <c r="AF924"/>
      <c r="AG924"/>
      <c r="AH924"/>
      <c r="AI924"/>
      <c r="AJ924"/>
      <c r="AK924"/>
      <c r="AL924"/>
      <c r="AM924"/>
      <c r="AN924"/>
      <c r="AO924"/>
    </row>
    <row r="925" spans="1:41" ht="15">
      <c r="A925"/>
      <c r="B925"/>
      <c r="F925" s="171"/>
      <c r="G925" s="171"/>
      <c r="R925" s="659"/>
      <c r="S925" s="171"/>
      <c r="T925" s="171"/>
      <c r="U925" s="171"/>
      <c r="V925" s="171"/>
      <c r="W925" s="99"/>
      <c r="Y925"/>
      <c r="Z925"/>
      <c r="AA925"/>
      <c r="AB925"/>
      <c r="AC925"/>
      <c r="AD925"/>
      <c r="AE925"/>
      <c r="AF925"/>
      <c r="AG925"/>
      <c r="AH925"/>
      <c r="AI925"/>
      <c r="AJ925"/>
      <c r="AK925"/>
      <c r="AL925"/>
      <c r="AM925"/>
      <c r="AN925"/>
      <c r="AO925"/>
    </row>
    <row r="926" spans="1:41" ht="15">
      <c r="A926"/>
      <c r="B926"/>
      <c r="F926" s="171"/>
      <c r="G926" s="171"/>
      <c r="R926" s="659"/>
      <c r="S926" s="171"/>
      <c r="T926" s="171"/>
      <c r="U926" s="171"/>
      <c r="V926" s="171"/>
      <c r="W926" s="99"/>
      <c r="Y926"/>
      <c r="Z926"/>
      <c r="AA926"/>
      <c r="AB926"/>
      <c r="AC926"/>
      <c r="AD926"/>
      <c r="AE926"/>
      <c r="AF926"/>
      <c r="AG926"/>
      <c r="AH926"/>
      <c r="AI926"/>
      <c r="AJ926"/>
      <c r="AK926"/>
      <c r="AL926"/>
      <c r="AM926"/>
      <c r="AN926"/>
      <c r="AO926"/>
    </row>
    <row r="927" spans="1:41" ht="15">
      <c r="A927"/>
      <c r="B927"/>
      <c r="F927" s="171"/>
      <c r="G927" s="171"/>
      <c r="R927" s="659"/>
      <c r="S927" s="171"/>
      <c r="T927" s="171"/>
      <c r="U927" s="171"/>
      <c r="V927" s="171"/>
      <c r="W927" s="99"/>
      <c r="Y927"/>
      <c r="Z927"/>
      <c r="AA927"/>
      <c r="AB927"/>
      <c r="AC927"/>
      <c r="AD927"/>
      <c r="AE927"/>
      <c r="AF927"/>
      <c r="AG927"/>
      <c r="AH927"/>
      <c r="AI927"/>
      <c r="AJ927"/>
      <c r="AK927"/>
      <c r="AL927"/>
      <c r="AM927"/>
      <c r="AN927"/>
      <c r="AO927"/>
    </row>
    <row r="928" spans="1:41" ht="15">
      <c r="A928"/>
      <c r="B928"/>
      <c r="F928" s="171"/>
      <c r="G928" s="171"/>
      <c r="R928" s="659"/>
      <c r="S928" s="171"/>
      <c r="T928" s="171"/>
      <c r="U928" s="171"/>
      <c r="V928" s="171"/>
      <c r="W928" s="99"/>
      <c r="Y928"/>
      <c r="Z928"/>
      <c r="AA928"/>
      <c r="AB928"/>
      <c r="AC928"/>
      <c r="AD928"/>
      <c r="AE928"/>
      <c r="AF928"/>
      <c r="AG928"/>
      <c r="AH928"/>
      <c r="AI928"/>
      <c r="AJ928"/>
      <c r="AK928"/>
      <c r="AL928"/>
      <c r="AM928"/>
      <c r="AN928"/>
      <c r="AO928"/>
    </row>
    <row r="929" spans="1:41" ht="15">
      <c r="A929"/>
      <c r="B929"/>
      <c r="F929" s="171"/>
      <c r="G929" s="171"/>
      <c r="R929" s="659"/>
      <c r="S929" s="171"/>
      <c r="T929" s="171"/>
      <c r="U929" s="171"/>
      <c r="V929" s="171"/>
      <c r="W929" s="99"/>
      <c r="Y929"/>
      <c r="Z929"/>
      <c r="AA929"/>
      <c r="AB929"/>
      <c r="AC929"/>
      <c r="AD929"/>
      <c r="AE929"/>
      <c r="AF929"/>
      <c r="AG929"/>
      <c r="AH929"/>
      <c r="AI929"/>
      <c r="AJ929"/>
      <c r="AK929"/>
      <c r="AL929"/>
      <c r="AM929"/>
      <c r="AN929"/>
      <c r="AO929"/>
    </row>
    <row r="930" spans="1:41" ht="15">
      <c r="A930"/>
      <c r="B930"/>
      <c r="F930" s="171"/>
      <c r="G930" s="171"/>
      <c r="R930" s="659"/>
      <c r="S930" s="171"/>
      <c r="T930" s="171"/>
      <c r="U930" s="171"/>
      <c r="V930" s="171"/>
      <c r="W930" s="99"/>
      <c r="Y930"/>
      <c r="Z930"/>
      <c r="AA930"/>
      <c r="AB930"/>
      <c r="AC930"/>
      <c r="AD930"/>
      <c r="AE930"/>
      <c r="AF930"/>
      <c r="AG930"/>
      <c r="AH930"/>
      <c r="AI930"/>
      <c r="AJ930"/>
      <c r="AK930"/>
      <c r="AL930"/>
      <c r="AM930"/>
      <c r="AN930"/>
      <c r="AO930"/>
    </row>
    <row r="931" spans="1:41" ht="15">
      <c r="A931"/>
      <c r="B931"/>
      <c r="F931" s="171"/>
      <c r="G931" s="171"/>
      <c r="R931" s="659"/>
      <c r="S931" s="171"/>
      <c r="T931" s="171"/>
      <c r="U931" s="171"/>
      <c r="V931" s="171"/>
      <c r="W931" s="99"/>
      <c r="Y931"/>
      <c r="Z931"/>
      <c r="AA931"/>
      <c r="AB931"/>
      <c r="AC931"/>
      <c r="AD931"/>
      <c r="AE931"/>
      <c r="AF931"/>
      <c r="AG931"/>
      <c r="AH931"/>
      <c r="AI931"/>
      <c r="AJ931"/>
      <c r="AK931"/>
      <c r="AL931"/>
      <c r="AM931"/>
      <c r="AN931"/>
      <c r="AO931"/>
    </row>
    <row r="932" spans="1:41" ht="15">
      <c r="A932"/>
      <c r="B932"/>
      <c r="F932" s="171"/>
      <c r="G932" s="171"/>
      <c r="R932" s="659"/>
      <c r="S932" s="171"/>
      <c r="T932" s="171"/>
      <c r="U932" s="171"/>
      <c r="V932" s="171"/>
      <c r="W932" s="99"/>
      <c r="Y932"/>
      <c r="Z932"/>
      <c r="AA932"/>
      <c r="AB932"/>
      <c r="AC932"/>
      <c r="AD932"/>
      <c r="AE932"/>
      <c r="AF932"/>
      <c r="AG932"/>
      <c r="AH932"/>
      <c r="AI932"/>
      <c r="AJ932"/>
      <c r="AK932"/>
      <c r="AL932"/>
      <c r="AM932"/>
      <c r="AN932"/>
      <c r="AO932"/>
    </row>
    <row r="933" spans="1:41" ht="15">
      <c r="A933"/>
      <c r="B933"/>
      <c r="F933" s="171"/>
      <c r="G933" s="171"/>
      <c r="R933" s="659"/>
      <c r="S933" s="171"/>
      <c r="T933" s="171"/>
      <c r="U933" s="171"/>
      <c r="V933" s="171"/>
      <c r="W933" s="99"/>
      <c r="Y933"/>
      <c r="Z933"/>
      <c r="AA933"/>
      <c r="AB933"/>
      <c r="AC933"/>
      <c r="AD933"/>
      <c r="AE933"/>
      <c r="AF933"/>
      <c r="AG933"/>
      <c r="AH933"/>
      <c r="AI933"/>
      <c r="AJ933"/>
      <c r="AK933"/>
      <c r="AL933"/>
      <c r="AM933"/>
      <c r="AN933"/>
      <c r="AO933"/>
    </row>
    <row r="934" spans="1:41" ht="15">
      <c r="A934"/>
      <c r="B934"/>
      <c r="F934" s="171"/>
      <c r="G934" s="171"/>
      <c r="R934" s="659"/>
      <c r="S934" s="171"/>
      <c r="T934" s="171"/>
      <c r="U934" s="171"/>
      <c r="V934" s="171"/>
      <c r="W934" s="99"/>
      <c r="Y934"/>
      <c r="Z934"/>
      <c r="AA934"/>
      <c r="AB934"/>
      <c r="AC934"/>
      <c r="AD934"/>
      <c r="AE934"/>
      <c r="AF934"/>
      <c r="AG934"/>
      <c r="AH934"/>
      <c r="AI934"/>
      <c r="AJ934"/>
      <c r="AK934"/>
      <c r="AL934"/>
      <c r="AM934"/>
      <c r="AN934"/>
      <c r="AO934"/>
    </row>
    <row r="935" spans="1:41" ht="15">
      <c r="A935"/>
      <c r="B935"/>
      <c r="F935" s="171"/>
      <c r="G935" s="171"/>
      <c r="R935" s="659"/>
      <c r="S935" s="171"/>
      <c r="T935" s="171"/>
      <c r="U935" s="171"/>
      <c r="V935" s="171"/>
      <c r="W935" s="99"/>
      <c r="Y935"/>
      <c r="Z935"/>
      <c r="AA935"/>
      <c r="AB935"/>
      <c r="AC935"/>
      <c r="AD935"/>
      <c r="AE935"/>
      <c r="AF935"/>
      <c r="AG935"/>
      <c r="AH935"/>
      <c r="AI935"/>
      <c r="AJ935"/>
      <c r="AK935"/>
      <c r="AL935"/>
      <c r="AM935"/>
      <c r="AN935"/>
      <c r="AO935"/>
    </row>
    <row r="936" spans="1:41" ht="15">
      <c r="A936"/>
      <c r="B936"/>
      <c r="C936" s="137"/>
      <c r="D936" s="30"/>
      <c r="E936" s="30"/>
      <c r="F936" s="10"/>
      <c r="G936" s="10"/>
      <c r="H936" s="15"/>
      <c r="I936" s="15"/>
      <c r="J936" s="15"/>
      <c r="K936" s="15"/>
      <c r="L936" s="15"/>
      <c r="M936" s="15"/>
      <c r="N936" s="15"/>
      <c r="O936" s="15"/>
      <c r="P936" s="15"/>
      <c r="Q936" s="71"/>
      <c r="R936" s="84"/>
      <c r="S936" s="10"/>
      <c r="T936" s="10"/>
      <c r="U936" s="10"/>
      <c r="V936" s="10"/>
      <c r="W936" s="138"/>
      <c r="Y936"/>
      <c r="Z936"/>
      <c r="AA936"/>
      <c r="AB936"/>
      <c r="AC936"/>
      <c r="AD936"/>
      <c r="AE936"/>
      <c r="AF936"/>
      <c r="AG936"/>
      <c r="AH936"/>
      <c r="AI936"/>
      <c r="AJ936"/>
      <c r="AK936"/>
      <c r="AL936"/>
      <c r="AM936"/>
      <c r="AN936"/>
      <c r="AO936"/>
    </row>
    <row r="937" spans="1:41" ht="15">
      <c r="A937"/>
      <c r="B937"/>
      <c r="C937" s="137"/>
      <c r="D937" s="30"/>
      <c r="E937" s="30"/>
      <c r="F937" s="10"/>
      <c r="G937" s="10"/>
      <c r="H937" s="15"/>
      <c r="I937" s="15"/>
      <c r="J937" s="15"/>
      <c r="K937" s="15"/>
      <c r="L937" s="15"/>
      <c r="M937" s="15"/>
      <c r="N937" s="15"/>
      <c r="O937" s="15"/>
      <c r="P937" s="15"/>
      <c r="Q937" s="71"/>
      <c r="R937" s="84"/>
      <c r="S937" s="10"/>
      <c r="T937" s="10"/>
      <c r="U937" s="10"/>
      <c r="V937" s="10"/>
      <c r="W937" s="138"/>
      <c r="Y937"/>
      <c r="Z937"/>
      <c r="AA937"/>
      <c r="AB937"/>
      <c r="AC937"/>
      <c r="AD937"/>
      <c r="AE937"/>
      <c r="AF937"/>
      <c r="AG937"/>
      <c r="AH937"/>
      <c r="AI937"/>
      <c r="AJ937"/>
      <c r="AK937"/>
      <c r="AL937"/>
      <c r="AM937"/>
      <c r="AN937"/>
      <c r="AO937"/>
    </row>
    <row r="938" spans="1:41" ht="15">
      <c r="A938"/>
      <c r="B938"/>
      <c r="C938" s="137"/>
      <c r="D938" s="30"/>
      <c r="E938" s="30"/>
      <c r="F938" s="10"/>
      <c r="G938" s="10"/>
      <c r="H938" s="15"/>
      <c r="I938" s="15"/>
      <c r="J938" s="15"/>
      <c r="K938" s="15"/>
      <c r="L938" s="15"/>
      <c r="M938" s="15"/>
      <c r="N938" s="15"/>
      <c r="O938" s="15"/>
      <c r="P938" s="15"/>
      <c r="Q938" s="71"/>
      <c r="R938" s="84"/>
      <c r="S938" s="10"/>
      <c r="T938" s="10"/>
      <c r="U938" s="10"/>
      <c r="V938" s="10"/>
      <c r="W938" s="138"/>
      <c r="Y938"/>
      <c r="Z938"/>
      <c r="AA938"/>
      <c r="AB938"/>
      <c r="AC938"/>
      <c r="AD938"/>
      <c r="AE938"/>
      <c r="AF938"/>
      <c r="AG938"/>
      <c r="AH938"/>
      <c r="AI938"/>
      <c r="AJ938"/>
      <c r="AK938"/>
      <c r="AL938"/>
      <c r="AM938"/>
      <c r="AN938"/>
      <c r="AO938"/>
    </row>
    <row r="939" spans="1:41" ht="15">
      <c r="A939"/>
      <c r="B939"/>
      <c r="C939" s="137"/>
      <c r="D939" s="30"/>
      <c r="E939" s="30"/>
      <c r="F939" s="10"/>
      <c r="G939" s="10"/>
      <c r="H939" s="15"/>
      <c r="I939" s="15"/>
      <c r="J939" s="15"/>
      <c r="K939" s="15"/>
      <c r="L939" s="15"/>
      <c r="M939" s="15"/>
      <c r="N939" s="15"/>
      <c r="O939" s="15"/>
      <c r="P939" s="15"/>
      <c r="Q939" s="71"/>
      <c r="R939" s="84"/>
      <c r="S939" s="10"/>
      <c r="T939" s="10"/>
      <c r="U939" s="10"/>
      <c r="V939" s="10"/>
      <c r="W939" s="138"/>
      <c r="Y939"/>
      <c r="Z939"/>
      <c r="AA939"/>
      <c r="AB939"/>
      <c r="AC939"/>
      <c r="AD939"/>
      <c r="AE939"/>
      <c r="AF939"/>
      <c r="AG939"/>
      <c r="AH939"/>
      <c r="AI939"/>
      <c r="AJ939"/>
      <c r="AK939"/>
      <c r="AL939"/>
      <c r="AM939"/>
      <c r="AN939"/>
      <c r="AO939"/>
    </row>
    <row r="940" spans="1:41" ht="15">
      <c r="A940"/>
      <c r="B940"/>
      <c r="C940" s="137"/>
      <c r="D940" s="30"/>
      <c r="E940" s="30"/>
      <c r="F940" s="10"/>
      <c r="G940" s="10"/>
      <c r="H940" s="15"/>
      <c r="I940" s="15"/>
      <c r="J940" s="15"/>
      <c r="K940" s="15"/>
      <c r="L940" s="15"/>
      <c r="M940" s="15"/>
      <c r="N940" s="15"/>
      <c r="O940" s="15"/>
      <c r="P940" s="15"/>
      <c r="Q940" s="71"/>
      <c r="R940" s="84"/>
      <c r="S940" s="10"/>
      <c r="T940" s="10"/>
      <c r="U940" s="10"/>
      <c r="V940" s="10"/>
      <c r="W940" s="138"/>
      <c r="Y940"/>
      <c r="Z940"/>
      <c r="AA940"/>
      <c r="AB940"/>
      <c r="AC940"/>
      <c r="AD940"/>
      <c r="AE940"/>
      <c r="AF940"/>
      <c r="AG940"/>
      <c r="AH940"/>
      <c r="AI940"/>
      <c r="AJ940"/>
      <c r="AK940"/>
      <c r="AL940"/>
      <c r="AM940"/>
      <c r="AN940"/>
      <c r="AO940"/>
    </row>
    <row r="941" spans="1:41" ht="15">
      <c r="A941"/>
      <c r="B941"/>
      <c r="C941" s="137"/>
      <c r="D941" s="30"/>
      <c r="E941" s="30"/>
      <c r="F941" s="10"/>
      <c r="G941" s="10"/>
      <c r="H941" s="15"/>
      <c r="I941" s="15"/>
      <c r="J941" s="15"/>
      <c r="K941" s="15"/>
      <c r="L941" s="15"/>
      <c r="M941" s="15"/>
      <c r="N941" s="15"/>
      <c r="O941" s="15"/>
      <c r="P941" s="15"/>
      <c r="Q941" s="71"/>
      <c r="R941" s="84"/>
      <c r="S941" s="10"/>
      <c r="T941" s="10"/>
      <c r="U941" s="10"/>
      <c r="V941" s="10"/>
      <c r="W941" s="138"/>
      <c r="Y941"/>
      <c r="Z941"/>
      <c r="AA941"/>
      <c r="AB941"/>
      <c r="AC941"/>
      <c r="AD941"/>
      <c r="AE941"/>
      <c r="AF941"/>
      <c r="AG941"/>
      <c r="AH941"/>
      <c r="AI941"/>
      <c r="AJ941"/>
      <c r="AK941"/>
      <c r="AL941"/>
      <c r="AM941"/>
      <c r="AN941"/>
      <c r="AO941"/>
    </row>
    <row r="942" spans="1:41" ht="15">
      <c r="A942"/>
      <c r="B942"/>
      <c r="C942" s="137"/>
      <c r="D942" s="30"/>
      <c r="E942" s="30"/>
      <c r="F942" s="10"/>
      <c r="G942" s="10"/>
      <c r="H942" s="15"/>
      <c r="I942" s="15"/>
      <c r="J942" s="15"/>
      <c r="K942" s="15"/>
      <c r="L942" s="15"/>
      <c r="M942" s="15"/>
      <c r="N942" s="15"/>
      <c r="O942" s="15"/>
      <c r="P942" s="15"/>
      <c r="Q942" s="71"/>
      <c r="R942" s="84"/>
      <c r="S942" s="10"/>
      <c r="T942" s="10"/>
      <c r="U942" s="10"/>
      <c r="V942" s="10"/>
      <c r="W942" s="138"/>
      <c r="Y942"/>
      <c r="Z942"/>
      <c r="AA942"/>
      <c r="AB942"/>
      <c r="AC942"/>
      <c r="AD942"/>
      <c r="AE942"/>
      <c r="AF942"/>
      <c r="AG942"/>
      <c r="AH942"/>
      <c r="AI942"/>
      <c r="AJ942"/>
      <c r="AK942"/>
      <c r="AL942"/>
      <c r="AM942"/>
      <c r="AN942"/>
      <c r="AO942"/>
    </row>
    <row r="943" spans="1:41" ht="15">
      <c r="A943"/>
      <c r="B943"/>
      <c r="C943" s="137"/>
      <c r="D943" s="30"/>
      <c r="E943" s="30"/>
      <c r="F943" s="10"/>
      <c r="G943" s="10"/>
      <c r="H943" s="15"/>
      <c r="I943" s="15"/>
      <c r="J943" s="15"/>
      <c r="K943" s="15"/>
      <c r="L943" s="15"/>
      <c r="M943" s="15"/>
      <c r="N943" s="15"/>
      <c r="O943" s="15"/>
      <c r="P943" s="15"/>
      <c r="Q943" s="71"/>
      <c r="R943" s="84"/>
      <c r="S943" s="10"/>
      <c r="T943" s="10"/>
      <c r="U943" s="10"/>
      <c r="V943" s="10"/>
      <c r="W943" s="138"/>
      <c r="Y943"/>
      <c r="Z943"/>
      <c r="AA943"/>
      <c r="AB943"/>
      <c r="AC943"/>
      <c r="AD943"/>
      <c r="AE943"/>
      <c r="AF943"/>
      <c r="AG943"/>
      <c r="AH943"/>
      <c r="AI943"/>
      <c r="AJ943"/>
      <c r="AK943"/>
      <c r="AL943"/>
      <c r="AM943"/>
      <c r="AN943"/>
      <c r="AO943"/>
    </row>
    <row r="944" spans="1:41" ht="15">
      <c r="A944"/>
      <c r="B944"/>
      <c r="C944" s="137"/>
      <c r="D944" s="30"/>
      <c r="E944" s="30"/>
      <c r="F944" s="10"/>
      <c r="G944" s="10"/>
      <c r="H944" s="15"/>
      <c r="I944" s="15"/>
      <c r="J944" s="15"/>
      <c r="K944" s="15"/>
      <c r="L944" s="15"/>
      <c r="M944" s="15"/>
      <c r="N944" s="15"/>
      <c r="O944" s="15"/>
      <c r="P944" s="15"/>
      <c r="Q944" s="71"/>
      <c r="R944" s="84"/>
      <c r="S944" s="10"/>
      <c r="T944" s="10"/>
      <c r="U944" s="10"/>
      <c r="V944" s="10"/>
      <c r="W944" s="138"/>
      <c r="Y944"/>
      <c r="Z944"/>
      <c r="AA944"/>
      <c r="AB944"/>
      <c r="AC944"/>
      <c r="AD944"/>
      <c r="AE944"/>
      <c r="AF944"/>
      <c r="AG944"/>
      <c r="AH944"/>
      <c r="AI944"/>
      <c r="AJ944"/>
      <c r="AK944"/>
      <c r="AL944"/>
      <c r="AM944"/>
      <c r="AN944"/>
      <c r="AO944"/>
    </row>
    <row r="945" spans="1:41" ht="15">
      <c r="A945"/>
      <c r="B945"/>
      <c r="C945" s="137"/>
      <c r="D945" s="30"/>
      <c r="E945" s="30"/>
      <c r="F945" s="10"/>
      <c r="G945" s="10"/>
      <c r="H945" s="15"/>
      <c r="I945" s="15"/>
      <c r="J945" s="15"/>
      <c r="K945" s="15"/>
      <c r="L945" s="15"/>
      <c r="M945" s="15"/>
      <c r="N945" s="15"/>
      <c r="O945" s="15"/>
      <c r="P945" s="15"/>
      <c r="Q945" s="71"/>
      <c r="R945" s="84"/>
      <c r="S945" s="10"/>
      <c r="T945" s="10"/>
      <c r="U945" s="10"/>
      <c r="V945" s="10"/>
      <c r="W945" s="138"/>
      <c r="Y945"/>
      <c r="Z945"/>
      <c r="AA945"/>
      <c r="AB945"/>
      <c r="AC945"/>
      <c r="AD945"/>
      <c r="AE945"/>
      <c r="AF945"/>
      <c r="AG945"/>
      <c r="AH945"/>
      <c r="AI945"/>
      <c r="AJ945"/>
      <c r="AK945"/>
      <c r="AL945"/>
      <c r="AM945"/>
      <c r="AN945"/>
      <c r="AO945"/>
    </row>
    <row r="946" spans="1:41" ht="15">
      <c r="A946"/>
      <c r="B946"/>
      <c r="C946" s="137"/>
      <c r="D946" s="30"/>
      <c r="E946" s="30"/>
      <c r="F946" s="10"/>
      <c r="G946" s="10"/>
      <c r="H946" s="15"/>
      <c r="I946" s="15"/>
      <c r="J946" s="15"/>
      <c r="K946" s="15"/>
      <c r="L946" s="15"/>
      <c r="M946" s="15"/>
      <c r="N946" s="15"/>
      <c r="O946" s="15"/>
      <c r="P946" s="15"/>
      <c r="Q946" s="71"/>
      <c r="R946" s="84"/>
      <c r="S946" s="10"/>
      <c r="T946" s="10"/>
      <c r="U946" s="10"/>
      <c r="V946" s="10"/>
      <c r="W946" s="138"/>
      <c r="Y946"/>
      <c r="Z946"/>
      <c r="AA946"/>
      <c r="AB946"/>
      <c r="AC946"/>
      <c r="AD946"/>
      <c r="AE946"/>
      <c r="AF946"/>
      <c r="AG946"/>
      <c r="AH946"/>
      <c r="AI946"/>
      <c r="AJ946"/>
      <c r="AK946"/>
      <c r="AL946"/>
      <c r="AM946"/>
      <c r="AN946"/>
      <c r="AO946"/>
    </row>
    <row r="947" spans="1:41" ht="15">
      <c r="A947"/>
      <c r="B947"/>
      <c r="C947" s="137"/>
      <c r="D947" s="30"/>
      <c r="E947" s="30"/>
      <c r="F947" s="10"/>
      <c r="G947" s="10"/>
      <c r="H947" s="15"/>
      <c r="I947" s="15"/>
      <c r="J947" s="15"/>
      <c r="K947" s="15"/>
      <c r="L947" s="15"/>
      <c r="M947" s="15"/>
      <c r="N947" s="15"/>
      <c r="O947" s="15"/>
      <c r="P947" s="15"/>
      <c r="Q947" s="71"/>
      <c r="R947" s="84"/>
      <c r="S947" s="10"/>
      <c r="T947" s="10"/>
      <c r="U947" s="10"/>
      <c r="V947" s="10"/>
      <c r="W947" s="138"/>
      <c r="Y947"/>
      <c r="Z947"/>
      <c r="AA947"/>
      <c r="AB947"/>
      <c r="AC947"/>
      <c r="AD947"/>
      <c r="AE947"/>
      <c r="AF947"/>
      <c r="AG947"/>
      <c r="AH947"/>
      <c r="AI947"/>
      <c r="AJ947"/>
      <c r="AK947"/>
      <c r="AL947"/>
      <c r="AM947"/>
      <c r="AN947"/>
      <c r="AO947"/>
    </row>
    <row r="948" spans="1:41" ht="15">
      <c r="A948"/>
      <c r="B948"/>
      <c r="C948" s="137"/>
      <c r="D948" s="30"/>
      <c r="E948" s="30"/>
      <c r="F948" s="10"/>
      <c r="G948" s="10"/>
      <c r="H948" s="15"/>
      <c r="I948" s="15"/>
      <c r="J948" s="15"/>
      <c r="K948" s="15"/>
      <c r="L948" s="15"/>
      <c r="M948" s="15"/>
      <c r="N948" s="15"/>
      <c r="O948" s="15"/>
      <c r="P948" s="15"/>
      <c r="Q948" s="71"/>
      <c r="R948" s="84"/>
      <c r="S948" s="10"/>
      <c r="T948" s="10"/>
      <c r="U948" s="10"/>
      <c r="V948" s="10"/>
      <c r="W948" s="138"/>
      <c r="Y948"/>
      <c r="Z948"/>
      <c r="AA948"/>
      <c r="AB948"/>
      <c r="AC948"/>
      <c r="AD948"/>
      <c r="AE948"/>
      <c r="AF948"/>
      <c r="AG948"/>
      <c r="AH948"/>
      <c r="AI948"/>
      <c r="AJ948"/>
      <c r="AK948"/>
      <c r="AL948"/>
      <c r="AM948"/>
      <c r="AN948"/>
      <c r="AO948"/>
    </row>
    <row r="949" spans="1:41" ht="15">
      <c r="A949"/>
      <c r="B949"/>
      <c r="C949" s="137"/>
      <c r="D949" s="30"/>
      <c r="E949" s="30"/>
      <c r="F949" s="10"/>
      <c r="G949" s="10"/>
      <c r="H949" s="15"/>
      <c r="I949" s="15"/>
      <c r="J949" s="15"/>
      <c r="K949" s="15"/>
      <c r="L949" s="15"/>
      <c r="M949" s="15"/>
      <c r="N949" s="15"/>
      <c r="O949" s="15"/>
      <c r="P949" s="15"/>
      <c r="Q949" s="71"/>
      <c r="R949" s="84"/>
      <c r="S949" s="10"/>
      <c r="T949" s="10"/>
      <c r="U949" s="10"/>
      <c r="V949" s="10"/>
      <c r="W949" s="138"/>
      <c r="Y949"/>
      <c r="Z949"/>
      <c r="AA949"/>
      <c r="AB949"/>
      <c r="AC949"/>
      <c r="AD949"/>
      <c r="AE949"/>
      <c r="AF949"/>
      <c r="AG949"/>
      <c r="AH949"/>
      <c r="AI949"/>
      <c r="AJ949"/>
      <c r="AK949"/>
      <c r="AL949"/>
      <c r="AM949"/>
      <c r="AN949"/>
      <c r="AO949"/>
    </row>
    <row r="950" spans="1:41" ht="15">
      <c r="A950"/>
      <c r="B950"/>
      <c r="C950" s="137"/>
      <c r="D950" s="30"/>
      <c r="E950" s="30"/>
      <c r="F950" s="10"/>
      <c r="G950" s="10"/>
      <c r="H950" s="15"/>
      <c r="I950" s="15"/>
      <c r="J950" s="15"/>
      <c r="K950" s="15"/>
      <c r="L950" s="15"/>
      <c r="M950" s="15"/>
      <c r="N950" s="15"/>
      <c r="O950" s="15"/>
      <c r="P950" s="15"/>
      <c r="Q950" s="71"/>
      <c r="R950" s="84"/>
      <c r="S950" s="10"/>
      <c r="T950" s="10"/>
      <c r="U950" s="10"/>
      <c r="V950" s="10"/>
      <c r="W950" s="138"/>
      <c r="Y950"/>
      <c r="Z950"/>
      <c r="AA950"/>
      <c r="AB950"/>
      <c r="AC950"/>
      <c r="AD950"/>
      <c r="AE950"/>
      <c r="AF950"/>
      <c r="AG950"/>
      <c r="AH950"/>
      <c r="AI950"/>
      <c r="AJ950"/>
      <c r="AK950"/>
      <c r="AL950"/>
      <c r="AM950"/>
      <c r="AN950"/>
      <c r="AO950"/>
    </row>
    <row r="951" spans="1:41" ht="15">
      <c r="A951"/>
      <c r="B951"/>
      <c r="C951" s="137"/>
      <c r="D951" s="30"/>
      <c r="E951" s="30"/>
      <c r="F951" s="10"/>
      <c r="G951" s="10"/>
      <c r="H951" s="15"/>
      <c r="I951" s="15"/>
      <c r="J951" s="15"/>
      <c r="K951" s="15"/>
      <c r="L951" s="15"/>
      <c r="M951" s="15"/>
      <c r="N951" s="15"/>
      <c r="O951" s="15"/>
      <c r="P951" s="15"/>
      <c r="Q951" s="71"/>
      <c r="R951" s="84"/>
      <c r="S951" s="10"/>
      <c r="T951" s="10"/>
      <c r="U951" s="10"/>
      <c r="V951" s="10"/>
      <c r="W951" s="138"/>
      <c r="Y951"/>
      <c r="Z951"/>
      <c r="AA951"/>
      <c r="AB951"/>
      <c r="AC951"/>
      <c r="AD951"/>
      <c r="AE951"/>
      <c r="AF951"/>
      <c r="AG951"/>
      <c r="AH951"/>
      <c r="AI951"/>
      <c r="AJ951"/>
      <c r="AK951"/>
      <c r="AL951"/>
      <c r="AM951"/>
      <c r="AN951"/>
      <c r="AO951"/>
    </row>
    <row r="952" spans="1:41" ht="15">
      <c r="A952"/>
      <c r="B952"/>
      <c r="C952" s="137"/>
      <c r="D952" s="30"/>
      <c r="E952" s="30"/>
      <c r="F952" s="10"/>
      <c r="G952" s="10"/>
      <c r="H952" s="15"/>
      <c r="I952" s="15"/>
      <c r="J952" s="15"/>
      <c r="K952" s="15"/>
      <c r="L952" s="15"/>
      <c r="M952" s="15"/>
      <c r="N952" s="15"/>
      <c r="O952" s="15"/>
      <c r="P952" s="15"/>
      <c r="Q952" s="71"/>
      <c r="R952" s="84"/>
      <c r="S952" s="10"/>
      <c r="T952" s="10"/>
      <c r="U952" s="10"/>
      <c r="V952" s="10"/>
      <c r="W952" s="138"/>
      <c r="Y952"/>
      <c r="Z952"/>
      <c r="AA952"/>
      <c r="AB952"/>
      <c r="AC952"/>
      <c r="AD952"/>
      <c r="AE952"/>
      <c r="AF952"/>
      <c r="AG952"/>
      <c r="AH952"/>
      <c r="AI952"/>
      <c r="AJ952"/>
      <c r="AK952"/>
      <c r="AL952"/>
      <c r="AM952"/>
      <c r="AN952"/>
      <c r="AO952"/>
    </row>
    <row r="953" spans="1:41" ht="15">
      <c r="A953"/>
      <c r="B953"/>
      <c r="C953" s="137"/>
      <c r="D953" s="30"/>
      <c r="E953" s="30"/>
      <c r="F953" s="10"/>
      <c r="G953" s="10"/>
      <c r="H953" s="15"/>
      <c r="I953" s="15"/>
      <c r="J953" s="15"/>
      <c r="K953" s="15"/>
      <c r="L953" s="15"/>
      <c r="M953" s="15"/>
      <c r="N953" s="15"/>
      <c r="O953" s="15"/>
      <c r="P953" s="15"/>
      <c r="Q953" s="71"/>
      <c r="R953" s="84"/>
      <c r="S953" s="10"/>
      <c r="T953" s="10"/>
      <c r="U953" s="10"/>
      <c r="V953" s="10"/>
      <c r="W953" s="138"/>
      <c r="Y953"/>
      <c r="Z953"/>
      <c r="AA953"/>
      <c r="AB953"/>
      <c r="AC953"/>
      <c r="AD953"/>
      <c r="AE953"/>
      <c r="AF953"/>
      <c r="AG953"/>
      <c r="AH953"/>
      <c r="AI953"/>
      <c r="AJ953"/>
      <c r="AK953"/>
      <c r="AL953"/>
      <c r="AM953"/>
      <c r="AN953"/>
      <c r="AO953"/>
    </row>
    <row r="954" spans="1:41" ht="15">
      <c r="A954"/>
      <c r="B954"/>
      <c r="C954" s="137"/>
      <c r="D954" s="30"/>
      <c r="E954" s="30"/>
      <c r="F954" s="10"/>
      <c r="G954" s="10"/>
      <c r="H954" s="15"/>
      <c r="I954" s="15"/>
      <c r="J954" s="15"/>
      <c r="K954" s="15"/>
      <c r="L954" s="15"/>
      <c r="M954" s="15"/>
      <c r="N954" s="15"/>
      <c r="O954" s="15"/>
      <c r="P954" s="15"/>
      <c r="Q954" s="71"/>
      <c r="R954" s="84"/>
      <c r="S954" s="10"/>
      <c r="T954" s="10"/>
      <c r="U954" s="10"/>
      <c r="V954" s="10"/>
      <c r="W954" s="138"/>
      <c r="Y954"/>
      <c r="Z954"/>
      <c r="AA954"/>
      <c r="AB954"/>
      <c r="AC954"/>
      <c r="AD954"/>
      <c r="AE954"/>
      <c r="AF954"/>
      <c r="AG954"/>
      <c r="AH954"/>
      <c r="AI954"/>
      <c r="AJ954"/>
      <c r="AK954"/>
      <c r="AL954"/>
      <c r="AM954"/>
      <c r="AN954"/>
      <c r="AO954"/>
    </row>
    <row r="955" spans="1:41" ht="15">
      <c r="A955"/>
      <c r="B955"/>
      <c r="C955" s="137"/>
      <c r="D955" s="30"/>
      <c r="E955" s="30"/>
      <c r="F955" s="10"/>
      <c r="G955" s="10"/>
      <c r="H955" s="15"/>
      <c r="I955" s="15"/>
      <c r="J955" s="15"/>
      <c r="K955" s="15"/>
      <c r="L955" s="15"/>
      <c r="M955" s="15"/>
      <c r="N955" s="15"/>
      <c r="O955" s="15"/>
      <c r="P955" s="15"/>
      <c r="Q955" s="71"/>
      <c r="R955" s="84"/>
      <c r="S955" s="10"/>
      <c r="T955" s="10"/>
      <c r="U955" s="10"/>
      <c r="V955" s="10"/>
      <c r="W955" s="138"/>
      <c r="Y955"/>
      <c r="Z955"/>
      <c r="AA955"/>
      <c r="AB955"/>
      <c r="AC955"/>
      <c r="AD955"/>
      <c r="AE955"/>
      <c r="AF955"/>
      <c r="AG955"/>
      <c r="AH955"/>
      <c r="AI955"/>
      <c r="AJ955"/>
      <c r="AK955"/>
      <c r="AL955"/>
      <c r="AM955"/>
      <c r="AN955"/>
      <c r="AO955"/>
    </row>
    <row r="956" spans="1:41" ht="15">
      <c r="A956"/>
      <c r="B956"/>
      <c r="C956" s="137"/>
      <c r="D956" s="30"/>
      <c r="E956" s="30"/>
      <c r="F956" s="10"/>
      <c r="G956" s="10"/>
      <c r="H956" s="15"/>
      <c r="I956" s="15"/>
      <c r="J956" s="15"/>
      <c r="K956" s="15"/>
      <c r="L956" s="15"/>
      <c r="M956" s="15"/>
      <c r="N956" s="15"/>
      <c r="O956" s="15"/>
      <c r="P956" s="15"/>
      <c r="Q956" s="71"/>
      <c r="R956" s="84"/>
      <c r="S956" s="10"/>
      <c r="T956" s="10"/>
      <c r="U956" s="10"/>
      <c r="V956" s="10"/>
      <c r="W956" s="138"/>
      <c r="Y956"/>
      <c r="Z956"/>
      <c r="AA956"/>
      <c r="AB956"/>
      <c r="AC956"/>
      <c r="AD956"/>
      <c r="AE956"/>
      <c r="AF956"/>
      <c r="AG956"/>
      <c r="AH956"/>
      <c r="AI956"/>
      <c r="AJ956"/>
      <c r="AK956"/>
      <c r="AL956"/>
      <c r="AM956"/>
      <c r="AN956"/>
      <c r="AO956"/>
    </row>
    <row r="957" spans="1:41" ht="15">
      <c r="A957"/>
      <c r="B957"/>
      <c r="C957" s="137"/>
      <c r="D957" s="30"/>
      <c r="E957" s="30"/>
      <c r="F957" s="10"/>
      <c r="G957" s="10"/>
      <c r="H957" s="15"/>
      <c r="I957" s="15"/>
      <c r="J957" s="15"/>
      <c r="K957" s="15"/>
      <c r="L957" s="15"/>
      <c r="M957" s="15"/>
      <c r="N957" s="15"/>
      <c r="O957" s="15"/>
      <c r="P957" s="15"/>
      <c r="Q957" s="71"/>
      <c r="R957" s="84"/>
      <c r="S957" s="10"/>
      <c r="T957" s="10"/>
      <c r="U957" s="10"/>
      <c r="V957" s="10"/>
      <c r="W957" s="138"/>
      <c r="Y957"/>
      <c r="Z957"/>
      <c r="AA957"/>
      <c r="AB957"/>
      <c r="AC957"/>
      <c r="AD957"/>
      <c r="AE957"/>
      <c r="AF957"/>
      <c r="AG957"/>
      <c r="AH957"/>
      <c r="AI957"/>
      <c r="AJ957"/>
      <c r="AK957"/>
      <c r="AL957"/>
      <c r="AM957"/>
      <c r="AN957"/>
      <c r="AO957"/>
    </row>
    <row r="958" spans="1:41" ht="15">
      <c r="A958"/>
      <c r="B958"/>
      <c r="C958" s="137"/>
      <c r="D958" s="30"/>
      <c r="E958" s="30"/>
      <c r="F958" s="10"/>
      <c r="G958" s="10"/>
      <c r="H958" s="15"/>
      <c r="I958" s="15"/>
      <c r="J958" s="15"/>
      <c r="K958" s="15"/>
      <c r="L958" s="15"/>
      <c r="M958" s="15"/>
      <c r="N958" s="15"/>
      <c r="O958" s="15"/>
      <c r="P958" s="15"/>
      <c r="Q958" s="71"/>
      <c r="R958" s="84"/>
      <c r="S958" s="10"/>
      <c r="T958" s="10"/>
      <c r="U958" s="10"/>
      <c r="V958" s="10"/>
      <c r="W958" s="138"/>
      <c r="Y958"/>
      <c r="Z958"/>
      <c r="AA958"/>
      <c r="AB958"/>
      <c r="AC958"/>
      <c r="AD958"/>
      <c r="AE958"/>
      <c r="AF958"/>
      <c r="AG958"/>
      <c r="AH958"/>
      <c r="AI958"/>
      <c r="AJ958"/>
      <c r="AK958"/>
      <c r="AL958"/>
      <c r="AM958"/>
      <c r="AN958"/>
      <c r="AO958"/>
    </row>
    <row r="959" spans="1:41" ht="15">
      <c r="A959"/>
      <c r="B959"/>
      <c r="C959" s="137"/>
      <c r="D959" s="30"/>
      <c r="E959" s="30"/>
      <c r="F959" s="10"/>
      <c r="G959" s="10"/>
      <c r="H959" s="15"/>
      <c r="I959" s="15"/>
      <c r="J959" s="15"/>
      <c r="K959" s="15"/>
      <c r="L959" s="15"/>
      <c r="M959" s="15"/>
      <c r="N959" s="15"/>
      <c r="O959" s="15"/>
      <c r="P959" s="15"/>
      <c r="Q959" s="71"/>
      <c r="R959" s="84"/>
      <c r="S959" s="10"/>
      <c r="T959" s="10"/>
      <c r="U959" s="10"/>
      <c r="V959" s="10"/>
      <c r="W959" s="138"/>
      <c r="Y959"/>
      <c r="Z959"/>
      <c r="AA959"/>
      <c r="AB959"/>
      <c r="AC959"/>
      <c r="AD959"/>
      <c r="AE959"/>
      <c r="AF959"/>
      <c r="AG959"/>
      <c r="AH959"/>
      <c r="AI959"/>
      <c r="AJ959"/>
      <c r="AK959"/>
      <c r="AL959"/>
      <c r="AM959"/>
      <c r="AN959"/>
      <c r="AO959"/>
    </row>
    <row r="960" spans="1:41" ht="15">
      <c r="A960"/>
      <c r="B960"/>
      <c r="C960" s="137"/>
      <c r="D960" s="30"/>
      <c r="E960" s="30"/>
      <c r="F960" s="10"/>
      <c r="G960" s="10"/>
      <c r="H960" s="15"/>
      <c r="I960" s="15"/>
      <c r="J960" s="15"/>
      <c r="K960" s="15"/>
      <c r="L960" s="15"/>
      <c r="M960" s="15"/>
      <c r="N960" s="15"/>
      <c r="O960" s="15"/>
      <c r="P960" s="15"/>
      <c r="Q960" s="71"/>
      <c r="R960" s="84"/>
      <c r="S960" s="10"/>
      <c r="T960" s="10"/>
      <c r="U960" s="10"/>
      <c r="V960" s="10"/>
      <c r="W960" s="138"/>
      <c r="Y960"/>
      <c r="Z960"/>
      <c r="AA960"/>
      <c r="AB960"/>
      <c r="AC960"/>
      <c r="AD960"/>
      <c r="AE960"/>
      <c r="AF960"/>
      <c r="AG960"/>
      <c r="AH960"/>
      <c r="AI960"/>
      <c r="AJ960"/>
      <c r="AK960"/>
      <c r="AL960"/>
      <c r="AM960"/>
      <c r="AN960"/>
      <c r="AO960"/>
    </row>
    <row r="961" spans="1:41" ht="15">
      <c r="A961"/>
      <c r="B961"/>
      <c r="C961" s="137"/>
      <c r="D961" s="30"/>
      <c r="E961" s="30"/>
      <c r="F961" s="10"/>
      <c r="G961" s="10"/>
      <c r="H961" s="15"/>
      <c r="I961" s="15"/>
      <c r="J961" s="15"/>
      <c r="K961" s="15"/>
      <c r="L961" s="15"/>
      <c r="M961" s="15"/>
      <c r="N961" s="15"/>
      <c r="O961" s="15"/>
      <c r="P961" s="15"/>
      <c r="Q961" s="71"/>
      <c r="R961" s="84"/>
      <c r="S961" s="10"/>
      <c r="T961" s="10"/>
      <c r="U961" s="10"/>
      <c r="V961" s="10"/>
      <c r="W961" s="138"/>
      <c r="Y961"/>
      <c r="Z961"/>
      <c r="AA961"/>
      <c r="AB961"/>
      <c r="AC961"/>
      <c r="AD961"/>
      <c r="AE961"/>
      <c r="AF961"/>
      <c r="AG961"/>
      <c r="AH961"/>
      <c r="AI961"/>
      <c r="AJ961"/>
      <c r="AK961"/>
      <c r="AL961"/>
      <c r="AM961"/>
      <c r="AN961"/>
      <c r="AO961"/>
    </row>
    <row r="962" spans="1:41" ht="15">
      <c r="A962"/>
      <c r="B962"/>
      <c r="C962" s="137"/>
      <c r="D962" s="30"/>
      <c r="E962" s="30"/>
      <c r="F962" s="10"/>
      <c r="G962" s="10"/>
      <c r="H962" s="15"/>
      <c r="I962" s="15"/>
      <c r="J962" s="15"/>
      <c r="K962" s="15"/>
      <c r="L962" s="15"/>
      <c r="M962" s="15"/>
      <c r="N962" s="15"/>
      <c r="O962" s="15"/>
      <c r="P962" s="15"/>
      <c r="Q962" s="71"/>
      <c r="R962" s="84"/>
      <c r="S962" s="10"/>
      <c r="T962" s="10"/>
      <c r="U962" s="10"/>
      <c r="V962" s="10"/>
      <c r="W962" s="138"/>
      <c r="Y962"/>
      <c r="Z962"/>
      <c r="AA962"/>
      <c r="AB962"/>
      <c r="AC962"/>
      <c r="AD962"/>
      <c r="AE962"/>
      <c r="AF962"/>
      <c r="AG962"/>
      <c r="AH962"/>
      <c r="AI962"/>
      <c r="AJ962"/>
      <c r="AK962"/>
      <c r="AL962"/>
      <c r="AM962"/>
      <c r="AN962"/>
      <c r="AO962"/>
    </row>
    <row r="963" spans="1:41" ht="15">
      <c r="A963"/>
      <c r="B963"/>
      <c r="C963" s="137"/>
      <c r="D963" s="30"/>
      <c r="E963" s="30"/>
      <c r="F963" s="10"/>
      <c r="G963" s="10"/>
      <c r="H963" s="15"/>
      <c r="I963" s="15"/>
      <c r="J963" s="15"/>
      <c r="K963" s="15"/>
      <c r="L963" s="15"/>
      <c r="M963" s="15"/>
      <c r="N963" s="15"/>
      <c r="O963" s="15"/>
      <c r="P963" s="15"/>
      <c r="Q963" s="71"/>
      <c r="R963" s="84"/>
      <c r="S963" s="10"/>
      <c r="T963" s="10"/>
      <c r="U963" s="10"/>
      <c r="V963" s="10"/>
      <c r="W963" s="138"/>
      <c r="Y963"/>
      <c r="Z963"/>
      <c r="AA963"/>
      <c r="AB963"/>
      <c r="AC963"/>
      <c r="AD963"/>
      <c r="AE963"/>
      <c r="AF963"/>
      <c r="AG963"/>
      <c r="AH963"/>
      <c r="AI963"/>
      <c r="AJ963"/>
      <c r="AK963"/>
      <c r="AL963"/>
      <c r="AM963"/>
      <c r="AN963"/>
      <c r="AO963"/>
    </row>
    <row r="964" spans="1:41" ht="15">
      <c r="A964"/>
      <c r="B964"/>
      <c r="C964" s="137"/>
      <c r="D964" s="30"/>
      <c r="E964" s="30"/>
      <c r="F964" s="10"/>
      <c r="G964" s="10"/>
      <c r="H964" s="15"/>
      <c r="I964" s="15"/>
      <c r="J964" s="15"/>
      <c r="K964" s="15"/>
      <c r="L964" s="15"/>
      <c r="M964" s="15"/>
      <c r="N964" s="15"/>
      <c r="O964" s="15"/>
      <c r="P964" s="15"/>
      <c r="Q964" s="71"/>
      <c r="R964" s="84"/>
      <c r="S964" s="10"/>
      <c r="T964" s="10"/>
      <c r="U964" s="10"/>
      <c r="V964" s="10"/>
      <c r="W964" s="138"/>
      <c r="Y964"/>
      <c r="Z964"/>
      <c r="AA964"/>
      <c r="AB964"/>
      <c r="AC964"/>
      <c r="AD964"/>
      <c r="AE964"/>
      <c r="AF964"/>
      <c r="AG964"/>
      <c r="AH964"/>
      <c r="AI964"/>
      <c r="AJ964"/>
      <c r="AK964"/>
      <c r="AL964"/>
      <c r="AM964"/>
      <c r="AN964"/>
      <c r="AO964"/>
    </row>
    <row r="965" spans="1:41" ht="15">
      <c r="A965"/>
      <c r="B965"/>
      <c r="C965" s="137"/>
      <c r="D965" s="30"/>
      <c r="E965" s="30"/>
      <c r="F965" s="10"/>
      <c r="G965" s="10"/>
      <c r="H965" s="15"/>
      <c r="I965" s="15"/>
      <c r="J965" s="15"/>
      <c r="K965" s="15"/>
      <c r="L965" s="15"/>
      <c r="M965" s="15"/>
      <c r="N965" s="15"/>
      <c r="O965" s="15"/>
      <c r="P965" s="15"/>
      <c r="Q965" s="71"/>
      <c r="R965" s="84"/>
      <c r="S965" s="10"/>
      <c r="T965" s="10"/>
      <c r="U965" s="10"/>
      <c r="V965" s="10"/>
      <c r="W965" s="138"/>
      <c r="Y965"/>
      <c r="Z965"/>
      <c r="AA965"/>
      <c r="AB965"/>
      <c r="AC965"/>
      <c r="AD965"/>
      <c r="AE965"/>
      <c r="AF965"/>
      <c r="AG965"/>
      <c r="AH965"/>
      <c r="AI965"/>
      <c r="AJ965"/>
      <c r="AK965"/>
      <c r="AL965"/>
      <c r="AM965"/>
      <c r="AN965"/>
      <c r="AO965"/>
    </row>
    <row r="966" spans="1:41" ht="15">
      <c r="A966"/>
      <c r="B966"/>
      <c r="C966" s="137"/>
      <c r="D966" s="30"/>
      <c r="E966" s="30"/>
      <c r="F966" s="10"/>
      <c r="G966" s="10"/>
      <c r="H966" s="15"/>
      <c r="I966" s="15"/>
      <c r="J966" s="15"/>
      <c r="K966" s="15"/>
      <c r="L966" s="15"/>
      <c r="M966" s="15"/>
      <c r="N966" s="15"/>
      <c r="O966" s="15"/>
      <c r="P966" s="15"/>
      <c r="Q966" s="71"/>
      <c r="R966" s="84"/>
      <c r="S966" s="10"/>
      <c r="T966" s="10"/>
      <c r="U966" s="10"/>
      <c r="V966" s="10"/>
      <c r="W966" s="138"/>
      <c r="Y966"/>
      <c r="Z966"/>
      <c r="AA966"/>
      <c r="AB966"/>
      <c r="AC966"/>
      <c r="AD966"/>
      <c r="AE966"/>
      <c r="AF966"/>
      <c r="AG966"/>
      <c r="AH966"/>
      <c r="AI966"/>
      <c r="AJ966"/>
      <c r="AK966"/>
      <c r="AL966"/>
      <c r="AM966"/>
      <c r="AN966"/>
      <c r="AO966"/>
    </row>
    <row r="967" spans="1:41" ht="15">
      <c r="A967"/>
      <c r="B967"/>
      <c r="C967" s="137"/>
      <c r="D967" s="30"/>
      <c r="E967" s="30"/>
      <c r="F967" s="10"/>
      <c r="G967" s="10"/>
      <c r="H967" s="15"/>
      <c r="I967" s="15"/>
      <c r="J967" s="15"/>
      <c r="K967" s="15"/>
      <c r="L967" s="15"/>
      <c r="M967" s="15"/>
      <c r="N967" s="15"/>
      <c r="O967" s="15"/>
      <c r="P967" s="15"/>
      <c r="Q967" s="71"/>
      <c r="R967" s="84"/>
      <c r="S967" s="10"/>
      <c r="T967" s="10"/>
      <c r="U967" s="10"/>
      <c r="V967" s="10"/>
      <c r="W967" s="138"/>
      <c r="Y967"/>
      <c r="Z967"/>
      <c r="AA967"/>
      <c r="AB967"/>
      <c r="AC967"/>
      <c r="AD967"/>
      <c r="AE967"/>
      <c r="AF967"/>
      <c r="AG967"/>
      <c r="AH967"/>
      <c r="AI967"/>
      <c r="AJ967"/>
      <c r="AK967"/>
      <c r="AL967"/>
      <c r="AM967"/>
      <c r="AN967"/>
      <c r="AO967"/>
    </row>
    <row r="968" spans="1:41" ht="15">
      <c r="A968"/>
      <c r="B968"/>
      <c r="C968" s="137"/>
      <c r="D968" s="30"/>
      <c r="E968" s="30"/>
      <c r="F968" s="10"/>
      <c r="G968" s="10"/>
      <c r="H968" s="15"/>
      <c r="I968" s="15"/>
      <c r="J968" s="15"/>
      <c r="K968" s="15"/>
      <c r="L968" s="15"/>
      <c r="M968" s="15"/>
      <c r="N968" s="15"/>
      <c r="O968" s="15"/>
      <c r="P968" s="15"/>
      <c r="Q968" s="71"/>
      <c r="R968" s="84"/>
      <c r="S968" s="10"/>
      <c r="T968" s="10"/>
      <c r="U968" s="10"/>
      <c r="V968" s="10"/>
      <c r="W968" s="138"/>
      <c r="Y968"/>
      <c r="Z968"/>
      <c r="AA968"/>
      <c r="AB968"/>
      <c r="AC968"/>
      <c r="AD968"/>
      <c r="AE968"/>
      <c r="AF968"/>
      <c r="AG968"/>
      <c r="AH968"/>
      <c r="AI968"/>
      <c r="AJ968"/>
      <c r="AK968"/>
      <c r="AL968"/>
      <c r="AM968"/>
      <c r="AN968"/>
      <c r="AO968"/>
    </row>
    <row r="969" spans="1:41" ht="15">
      <c r="A969"/>
      <c r="B969"/>
      <c r="C969" s="137"/>
      <c r="D969" s="30"/>
      <c r="E969" s="30"/>
      <c r="F969" s="10"/>
      <c r="G969" s="10"/>
      <c r="H969" s="15"/>
      <c r="I969" s="15"/>
      <c r="J969" s="15"/>
      <c r="K969" s="15"/>
      <c r="L969" s="15"/>
      <c r="M969" s="15"/>
      <c r="N969" s="15"/>
      <c r="O969" s="15"/>
      <c r="P969" s="15"/>
      <c r="Q969" s="71"/>
      <c r="R969" s="84"/>
      <c r="S969" s="10"/>
      <c r="T969" s="10"/>
      <c r="U969" s="10"/>
      <c r="V969" s="10"/>
      <c r="W969" s="138"/>
      <c r="Y969"/>
      <c r="Z969"/>
      <c r="AA969"/>
      <c r="AB969"/>
      <c r="AC969"/>
      <c r="AD969"/>
      <c r="AE969"/>
      <c r="AF969"/>
      <c r="AG969"/>
      <c r="AH969"/>
      <c r="AI969"/>
      <c r="AJ969"/>
      <c r="AK969"/>
      <c r="AL969"/>
      <c r="AM969"/>
      <c r="AN969"/>
      <c r="AO969"/>
    </row>
    <row r="970" spans="1:41" ht="15">
      <c r="A970"/>
      <c r="B970"/>
      <c r="C970" s="137"/>
      <c r="D970" s="30"/>
      <c r="E970" s="30"/>
      <c r="F970" s="10"/>
      <c r="G970" s="10"/>
      <c r="H970" s="15"/>
      <c r="I970" s="15"/>
      <c r="J970" s="15"/>
      <c r="K970" s="15"/>
      <c r="L970" s="15"/>
      <c r="M970" s="15"/>
      <c r="N970" s="15"/>
      <c r="O970" s="15"/>
      <c r="P970" s="15"/>
      <c r="Q970" s="71"/>
      <c r="R970" s="84"/>
      <c r="S970" s="10"/>
      <c r="T970" s="10"/>
      <c r="U970" s="10"/>
      <c r="V970" s="10"/>
      <c r="W970" s="138"/>
      <c r="Y970"/>
      <c r="Z970"/>
      <c r="AA970"/>
      <c r="AB970"/>
      <c r="AC970"/>
      <c r="AD970"/>
      <c r="AE970"/>
      <c r="AF970"/>
      <c r="AG970"/>
      <c r="AH970"/>
      <c r="AI970"/>
      <c r="AJ970"/>
      <c r="AK970"/>
      <c r="AL970"/>
      <c r="AM970"/>
      <c r="AN970"/>
      <c r="AO970"/>
    </row>
    <row r="971" spans="1:41" ht="15">
      <c r="A971"/>
      <c r="B971"/>
      <c r="C971" s="137"/>
      <c r="D971" s="30"/>
      <c r="E971" s="30"/>
      <c r="F971" s="10"/>
      <c r="G971" s="10"/>
      <c r="H971" s="15"/>
      <c r="I971" s="15"/>
      <c r="J971" s="15"/>
      <c r="K971" s="15"/>
      <c r="L971" s="15"/>
      <c r="M971" s="15"/>
      <c r="N971" s="15"/>
      <c r="O971" s="15"/>
      <c r="P971" s="15"/>
      <c r="Q971" s="71"/>
      <c r="R971" s="84"/>
      <c r="S971" s="10"/>
      <c r="T971" s="10"/>
      <c r="U971" s="10"/>
      <c r="V971" s="10"/>
      <c r="W971" s="138"/>
      <c r="Y971"/>
      <c r="Z971"/>
      <c r="AA971"/>
      <c r="AB971"/>
      <c r="AC971"/>
      <c r="AD971"/>
      <c r="AE971"/>
      <c r="AF971"/>
      <c r="AG971"/>
      <c r="AH971"/>
      <c r="AI971"/>
      <c r="AJ971"/>
      <c r="AK971"/>
      <c r="AL971"/>
      <c r="AM971"/>
      <c r="AN971"/>
      <c r="AO971"/>
    </row>
    <row r="972" spans="1:41" ht="15">
      <c r="A972"/>
      <c r="B972"/>
      <c r="C972" s="137"/>
      <c r="D972" s="30"/>
      <c r="E972" s="30"/>
      <c r="F972" s="10"/>
      <c r="G972" s="10"/>
      <c r="H972" s="15"/>
      <c r="I972" s="15"/>
      <c r="J972" s="15"/>
      <c r="K972" s="15"/>
      <c r="L972" s="15"/>
      <c r="M972" s="15"/>
      <c r="N972" s="15"/>
      <c r="O972" s="15"/>
      <c r="P972" s="15"/>
      <c r="Q972" s="71"/>
      <c r="R972" s="84"/>
      <c r="S972" s="10"/>
      <c r="T972" s="10"/>
      <c r="U972" s="10"/>
      <c r="V972" s="10"/>
      <c r="W972" s="138"/>
      <c r="Y972"/>
      <c r="Z972"/>
      <c r="AA972"/>
      <c r="AB972"/>
      <c r="AC972"/>
      <c r="AD972"/>
      <c r="AE972"/>
      <c r="AF972"/>
      <c r="AG972"/>
      <c r="AH972"/>
      <c r="AI972"/>
      <c r="AJ972"/>
      <c r="AK972"/>
      <c r="AL972"/>
      <c r="AM972"/>
      <c r="AN972"/>
      <c r="AO972"/>
    </row>
    <row r="973" spans="1:41" ht="15">
      <c r="A973"/>
      <c r="B973"/>
      <c r="C973" s="137"/>
      <c r="D973" s="30"/>
      <c r="E973" s="30"/>
      <c r="F973" s="10"/>
      <c r="G973" s="10"/>
      <c r="H973" s="15"/>
      <c r="I973" s="15"/>
      <c r="J973" s="15"/>
      <c r="K973" s="15"/>
      <c r="L973" s="15"/>
      <c r="M973" s="15"/>
      <c r="N973" s="15"/>
      <c r="O973" s="15"/>
      <c r="P973" s="15"/>
      <c r="Q973" s="71"/>
      <c r="R973" s="84"/>
      <c r="S973" s="10"/>
      <c r="T973" s="10"/>
      <c r="U973" s="10"/>
      <c r="V973" s="10"/>
      <c r="W973" s="138"/>
      <c r="Y973"/>
      <c r="Z973"/>
      <c r="AA973"/>
      <c r="AB973"/>
      <c r="AC973"/>
      <c r="AD973"/>
      <c r="AE973"/>
      <c r="AF973"/>
      <c r="AG973"/>
      <c r="AH973"/>
      <c r="AI973"/>
      <c r="AJ973"/>
      <c r="AK973"/>
      <c r="AL973"/>
      <c r="AM973"/>
      <c r="AN973"/>
      <c r="AO973"/>
    </row>
    <row r="974" spans="1:41" ht="15">
      <c r="A974"/>
      <c r="B974"/>
      <c r="C974" s="137"/>
      <c r="D974" s="30"/>
      <c r="E974" s="30"/>
      <c r="F974" s="10"/>
      <c r="G974" s="10"/>
      <c r="H974" s="15"/>
      <c r="I974" s="15"/>
      <c r="J974" s="15"/>
      <c r="K974" s="15"/>
      <c r="L974" s="15"/>
      <c r="M974" s="15"/>
      <c r="N974" s="15"/>
      <c r="O974" s="15"/>
      <c r="P974" s="15"/>
      <c r="Q974" s="71"/>
      <c r="R974" s="84"/>
      <c r="S974" s="10"/>
      <c r="T974" s="10"/>
      <c r="U974" s="10"/>
      <c r="V974" s="10"/>
      <c r="W974" s="138"/>
      <c r="Y974"/>
      <c r="Z974"/>
      <c r="AA974"/>
      <c r="AB974"/>
      <c r="AC974"/>
      <c r="AD974"/>
      <c r="AE974"/>
      <c r="AF974"/>
      <c r="AG974"/>
      <c r="AH974"/>
      <c r="AI974"/>
      <c r="AJ974"/>
      <c r="AK974"/>
      <c r="AL974"/>
      <c r="AM974"/>
      <c r="AN974"/>
      <c r="AO974"/>
    </row>
    <row r="975" spans="1:41" ht="15">
      <c r="A975"/>
      <c r="B975"/>
      <c r="C975" s="137"/>
      <c r="D975" s="30"/>
      <c r="E975" s="30"/>
      <c r="F975" s="10"/>
      <c r="G975" s="10"/>
      <c r="H975" s="15"/>
      <c r="I975" s="15"/>
      <c r="J975" s="15"/>
      <c r="K975" s="15"/>
      <c r="L975" s="15"/>
      <c r="M975" s="15"/>
      <c r="N975" s="15"/>
      <c r="O975" s="15"/>
      <c r="P975" s="15"/>
      <c r="Q975" s="71"/>
      <c r="R975" s="84"/>
      <c r="S975" s="10"/>
      <c r="T975" s="10"/>
      <c r="U975" s="10"/>
      <c r="V975" s="10"/>
      <c r="W975" s="138"/>
      <c r="Y975"/>
      <c r="Z975"/>
      <c r="AA975"/>
      <c r="AB975"/>
      <c r="AC975"/>
      <c r="AD975"/>
      <c r="AE975"/>
      <c r="AF975"/>
      <c r="AG975"/>
      <c r="AH975"/>
      <c r="AI975"/>
      <c r="AJ975"/>
      <c r="AK975"/>
      <c r="AL975"/>
      <c r="AM975"/>
      <c r="AN975"/>
      <c r="AO975"/>
    </row>
    <row r="976" spans="1:41" ht="15">
      <c r="A976"/>
      <c r="B976"/>
      <c r="C976" s="137"/>
      <c r="D976" s="30"/>
      <c r="E976" s="30"/>
      <c r="F976" s="10"/>
      <c r="G976" s="10"/>
      <c r="H976" s="15"/>
      <c r="I976" s="15"/>
      <c r="J976" s="15"/>
      <c r="K976" s="15"/>
      <c r="L976" s="15"/>
      <c r="M976" s="15"/>
      <c r="N976" s="15"/>
      <c r="O976" s="15"/>
      <c r="P976" s="15"/>
      <c r="Q976" s="71"/>
      <c r="R976" s="84"/>
      <c r="S976" s="10"/>
      <c r="T976" s="10"/>
      <c r="U976" s="10"/>
      <c r="V976" s="10"/>
      <c r="W976" s="138"/>
      <c r="Y976"/>
      <c r="Z976"/>
      <c r="AA976"/>
      <c r="AB976"/>
      <c r="AC976"/>
      <c r="AD976"/>
      <c r="AE976"/>
      <c r="AF976"/>
      <c r="AG976"/>
      <c r="AH976"/>
      <c r="AI976"/>
      <c r="AJ976"/>
      <c r="AK976"/>
      <c r="AL976"/>
      <c r="AM976"/>
      <c r="AN976"/>
      <c r="AO976"/>
    </row>
    <row r="977" spans="1:41" ht="15">
      <c r="A977"/>
      <c r="B977"/>
      <c r="C977" s="137"/>
      <c r="D977" s="30"/>
      <c r="E977" s="30"/>
      <c r="F977" s="10"/>
      <c r="G977" s="10"/>
      <c r="H977" s="15"/>
      <c r="I977" s="15"/>
      <c r="J977" s="15"/>
      <c r="K977" s="15"/>
      <c r="L977" s="15"/>
      <c r="M977" s="15"/>
      <c r="N977" s="15"/>
      <c r="O977" s="15"/>
      <c r="P977" s="15"/>
      <c r="Q977" s="71"/>
      <c r="R977" s="84"/>
      <c r="S977" s="10"/>
      <c r="T977" s="10"/>
      <c r="U977" s="10"/>
      <c r="V977" s="10"/>
      <c r="W977" s="138"/>
      <c r="Y977"/>
      <c r="Z977"/>
      <c r="AA977"/>
      <c r="AB977"/>
      <c r="AC977"/>
      <c r="AD977"/>
      <c r="AE977"/>
      <c r="AF977"/>
      <c r="AG977"/>
      <c r="AH977"/>
      <c r="AI977"/>
      <c r="AJ977"/>
      <c r="AK977"/>
      <c r="AL977"/>
      <c r="AM977"/>
      <c r="AN977"/>
      <c r="AO977"/>
    </row>
    <row r="978" spans="1:41" ht="15">
      <c r="A978"/>
      <c r="B978"/>
      <c r="C978" s="137"/>
      <c r="D978" s="30"/>
      <c r="E978" s="30"/>
      <c r="F978" s="10"/>
      <c r="G978" s="10"/>
      <c r="H978" s="15"/>
      <c r="I978" s="15"/>
      <c r="J978" s="15"/>
      <c r="K978" s="15"/>
      <c r="L978" s="15"/>
      <c r="M978" s="15"/>
      <c r="N978" s="15"/>
      <c r="O978" s="15"/>
      <c r="P978" s="15"/>
      <c r="Q978" s="71"/>
      <c r="R978" s="84"/>
      <c r="S978" s="10"/>
      <c r="T978" s="10"/>
      <c r="U978" s="10"/>
      <c r="V978" s="10"/>
      <c r="W978" s="138"/>
      <c r="Y978"/>
      <c r="Z978"/>
      <c r="AA978"/>
      <c r="AB978"/>
      <c r="AC978"/>
      <c r="AD978"/>
      <c r="AE978"/>
      <c r="AF978"/>
      <c r="AG978"/>
      <c r="AH978"/>
      <c r="AI978"/>
      <c r="AJ978"/>
      <c r="AK978"/>
      <c r="AL978"/>
      <c r="AM978"/>
      <c r="AN978"/>
      <c r="AO978"/>
    </row>
    <row r="979" spans="1:41" ht="15">
      <c r="A979"/>
      <c r="B979"/>
      <c r="C979" s="137"/>
      <c r="D979" s="30"/>
      <c r="E979" s="30"/>
      <c r="F979" s="10"/>
      <c r="G979" s="10"/>
      <c r="H979" s="15"/>
      <c r="I979" s="15"/>
      <c r="J979" s="15"/>
      <c r="K979" s="15"/>
      <c r="L979" s="15"/>
      <c r="M979" s="15"/>
      <c r="N979" s="15"/>
      <c r="O979" s="15"/>
      <c r="P979" s="15"/>
      <c r="Q979" s="71"/>
      <c r="R979" s="84"/>
      <c r="S979" s="10"/>
      <c r="T979" s="10"/>
      <c r="U979" s="10"/>
      <c r="V979" s="10"/>
      <c r="W979" s="138"/>
      <c r="Y979"/>
      <c r="Z979"/>
      <c r="AA979"/>
      <c r="AB979"/>
      <c r="AC979"/>
      <c r="AD979"/>
      <c r="AE979"/>
      <c r="AF979"/>
      <c r="AG979"/>
      <c r="AH979"/>
      <c r="AI979"/>
      <c r="AJ979"/>
      <c r="AK979"/>
      <c r="AL979"/>
      <c r="AM979"/>
      <c r="AN979"/>
      <c r="AO979"/>
    </row>
    <row r="980" spans="1:41" ht="15">
      <c r="A980"/>
      <c r="B980"/>
      <c r="C980" s="137"/>
      <c r="D980" s="30"/>
      <c r="E980" s="30"/>
      <c r="F980" s="10"/>
      <c r="G980" s="10"/>
      <c r="H980" s="15"/>
      <c r="I980" s="15"/>
      <c r="J980" s="15"/>
      <c r="K980" s="15"/>
      <c r="L980" s="15"/>
      <c r="M980" s="15"/>
      <c r="N980" s="15"/>
      <c r="O980" s="15"/>
      <c r="P980" s="15"/>
      <c r="Q980" s="71"/>
      <c r="R980" s="84"/>
      <c r="S980" s="10"/>
      <c r="T980" s="10"/>
      <c r="U980" s="10"/>
      <c r="V980" s="10"/>
      <c r="W980" s="138"/>
      <c r="Y980"/>
      <c r="Z980"/>
      <c r="AA980"/>
      <c r="AB980"/>
      <c r="AC980"/>
      <c r="AD980"/>
      <c r="AE980"/>
      <c r="AF980"/>
      <c r="AG980"/>
      <c r="AH980"/>
      <c r="AI980"/>
      <c r="AJ980"/>
      <c r="AK980"/>
      <c r="AL980"/>
      <c r="AM980"/>
      <c r="AN980"/>
      <c r="AO980"/>
    </row>
    <row r="981" spans="1:41" ht="15">
      <c r="A981"/>
      <c r="B981"/>
      <c r="C981" s="137"/>
      <c r="D981" s="30"/>
      <c r="E981" s="30"/>
      <c r="F981" s="10"/>
      <c r="G981" s="10"/>
      <c r="H981" s="15"/>
      <c r="I981" s="15"/>
      <c r="J981" s="15"/>
      <c r="K981" s="15"/>
      <c r="L981" s="15"/>
      <c r="M981" s="15"/>
      <c r="N981" s="15"/>
      <c r="O981" s="15"/>
      <c r="P981" s="15"/>
      <c r="Q981" s="71"/>
      <c r="R981" s="84"/>
      <c r="S981" s="10"/>
      <c r="T981" s="10"/>
      <c r="U981" s="10"/>
      <c r="V981" s="10"/>
      <c r="W981" s="138"/>
      <c r="Y981"/>
      <c r="Z981"/>
      <c r="AA981"/>
      <c r="AB981"/>
      <c r="AC981"/>
      <c r="AD981"/>
      <c r="AE981"/>
      <c r="AF981"/>
      <c r="AG981"/>
      <c r="AH981"/>
      <c r="AI981"/>
      <c r="AJ981"/>
      <c r="AK981"/>
      <c r="AL981"/>
      <c r="AM981"/>
      <c r="AN981"/>
      <c r="AO981"/>
    </row>
    <row r="982" spans="1:41" ht="15">
      <c r="A982"/>
      <c r="B982"/>
      <c r="C982" s="137"/>
      <c r="D982" s="30"/>
      <c r="E982" s="30"/>
      <c r="F982" s="10"/>
      <c r="G982" s="10"/>
      <c r="H982" s="15"/>
      <c r="I982" s="15"/>
      <c r="J982" s="15"/>
      <c r="K982" s="15"/>
      <c r="L982" s="15"/>
      <c r="M982" s="15"/>
      <c r="N982" s="15"/>
      <c r="O982" s="15"/>
      <c r="P982" s="15"/>
      <c r="Q982" s="71"/>
      <c r="R982" s="84"/>
      <c r="S982" s="10"/>
      <c r="T982" s="10"/>
      <c r="U982" s="10"/>
      <c r="V982" s="10"/>
      <c r="W982" s="138"/>
      <c r="Y982"/>
      <c r="Z982"/>
      <c r="AA982"/>
      <c r="AB982"/>
      <c r="AC982"/>
      <c r="AD982"/>
      <c r="AE982"/>
      <c r="AF982"/>
      <c r="AG982"/>
      <c r="AH982"/>
      <c r="AI982"/>
      <c r="AJ982"/>
      <c r="AK982"/>
      <c r="AL982"/>
      <c r="AM982"/>
      <c r="AN982"/>
      <c r="AO982"/>
    </row>
    <row r="983" spans="1:41" ht="15">
      <c r="A983"/>
      <c r="B983"/>
      <c r="C983" s="137"/>
      <c r="D983" s="30"/>
      <c r="E983" s="30"/>
      <c r="F983" s="10"/>
      <c r="G983" s="10"/>
      <c r="H983" s="15"/>
      <c r="I983" s="15"/>
      <c r="J983" s="15"/>
      <c r="K983" s="15"/>
      <c r="L983" s="15"/>
      <c r="M983" s="15"/>
      <c r="N983" s="15"/>
      <c r="O983" s="15"/>
      <c r="P983" s="15"/>
      <c r="Q983" s="71"/>
      <c r="R983" s="84"/>
      <c r="S983" s="10"/>
      <c r="T983" s="10"/>
      <c r="U983" s="10"/>
      <c r="V983" s="10"/>
      <c r="W983" s="138"/>
      <c r="Y983"/>
      <c r="Z983"/>
      <c r="AA983"/>
      <c r="AB983"/>
      <c r="AC983"/>
      <c r="AD983"/>
      <c r="AE983"/>
      <c r="AF983"/>
      <c r="AG983"/>
      <c r="AH983"/>
      <c r="AI983"/>
      <c r="AJ983"/>
      <c r="AK983"/>
      <c r="AL983"/>
      <c r="AM983"/>
      <c r="AN983"/>
      <c r="AO983"/>
    </row>
    <row r="984" spans="1:41" ht="15">
      <c r="A984"/>
      <c r="B984"/>
      <c r="C984" s="137"/>
      <c r="D984" s="30"/>
      <c r="E984" s="30"/>
      <c r="F984" s="10"/>
      <c r="G984" s="10"/>
      <c r="H984" s="15"/>
      <c r="I984" s="15"/>
      <c r="J984" s="15"/>
      <c r="K984" s="15"/>
      <c r="L984" s="15"/>
      <c r="M984" s="15"/>
      <c r="N984" s="15"/>
      <c r="O984" s="15"/>
      <c r="P984" s="15"/>
      <c r="Q984" s="71"/>
      <c r="R984" s="84"/>
      <c r="S984" s="10"/>
      <c r="T984" s="10"/>
      <c r="U984" s="10"/>
      <c r="V984" s="10"/>
      <c r="W984" s="138"/>
      <c r="Y984"/>
      <c r="Z984"/>
      <c r="AA984"/>
      <c r="AB984"/>
      <c r="AC984"/>
      <c r="AD984"/>
      <c r="AE984"/>
      <c r="AF984"/>
      <c r="AG984"/>
      <c r="AH984"/>
      <c r="AI984"/>
      <c r="AJ984"/>
      <c r="AK984"/>
      <c r="AL984"/>
      <c r="AM984"/>
      <c r="AN984"/>
      <c r="AO984"/>
    </row>
    <row r="985" spans="1:41" ht="15">
      <c r="A985"/>
      <c r="B985"/>
      <c r="C985" s="137"/>
      <c r="D985" s="30"/>
      <c r="E985" s="30"/>
      <c r="F985" s="10"/>
      <c r="G985" s="10"/>
      <c r="H985" s="15"/>
      <c r="I985" s="15"/>
      <c r="J985" s="15"/>
      <c r="K985" s="15"/>
      <c r="L985" s="15"/>
      <c r="M985" s="15"/>
      <c r="N985" s="15"/>
      <c r="O985" s="15"/>
      <c r="P985" s="15"/>
      <c r="Q985" s="71"/>
      <c r="R985" s="84"/>
      <c r="S985" s="10"/>
      <c r="T985" s="10"/>
      <c r="U985" s="10"/>
      <c r="V985" s="10"/>
      <c r="W985" s="138"/>
      <c r="Y985"/>
      <c r="Z985"/>
      <c r="AA985"/>
      <c r="AB985"/>
      <c r="AC985"/>
      <c r="AD985"/>
      <c r="AE985"/>
      <c r="AF985"/>
      <c r="AG985"/>
      <c r="AH985"/>
      <c r="AI985"/>
      <c r="AJ985"/>
      <c r="AK985"/>
      <c r="AL985"/>
      <c r="AM985"/>
      <c r="AN985"/>
      <c r="AO985"/>
    </row>
    <row r="986" spans="1:41" ht="15">
      <c r="A986"/>
      <c r="B986"/>
      <c r="C986" s="137"/>
      <c r="D986" s="30"/>
      <c r="E986" s="30"/>
      <c r="F986" s="10"/>
      <c r="G986" s="10"/>
      <c r="H986" s="15"/>
      <c r="I986" s="15"/>
      <c r="J986" s="15"/>
      <c r="K986" s="15"/>
      <c r="L986" s="15"/>
      <c r="M986" s="15"/>
      <c r="N986" s="15"/>
      <c r="O986" s="15"/>
      <c r="P986" s="15"/>
      <c r="Q986" s="71"/>
      <c r="R986" s="84"/>
      <c r="S986" s="10"/>
      <c r="T986" s="10"/>
      <c r="U986" s="10"/>
      <c r="V986" s="10"/>
      <c r="W986" s="138"/>
      <c r="Y986"/>
      <c r="Z986"/>
      <c r="AA986"/>
      <c r="AB986"/>
      <c r="AC986"/>
      <c r="AD986"/>
      <c r="AE986"/>
      <c r="AF986"/>
      <c r="AG986"/>
      <c r="AH986"/>
      <c r="AI986"/>
      <c r="AJ986"/>
      <c r="AK986"/>
      <c r="AL986"/>
      <c r="AM986"/>
      <c r="AN986"/>
      <c r="AO986"/>
    </row>
    <row r="987" spans="1:41" ht="15">
      <c r="A987"/>
      <c r="B987"/>
      <c r="C987" s="137"/>
      <c r="D987" s="30"/>
      <c r="E987" s="30"/>
      <c r="F987" s="10"/>
      <c r="G987" s="10"/>
      <c r="H987" s="15"/>
      <c r="I987" s="15"/>
      <c r="J987" s="15"/>
      <c r="K987" s="15"/>
      <c r="L987" s="15"/>
      <c r="M987" s="15"/>
      <c r="N987" s="15"/>
      <c r="O987" s="15"/>
      <c r="P987" s="15"/>
      <c r="Q987" s="71"/>
      <c r="R987" s="84"/>
      <c r="S987" s="10"/>
      <c r="T987" s="10"/>
      <c r="U987" s="10"/>
      <c r="V987" s="10"/>
      <c r="W987" s="138"/>
      <c r="Y987"/>
      <c r="Z987"/>
      <c r="AA987"/>
      <c r="AB987"/>
      <c r="AC987"/>
      <c r="AD987"/>
      <c r="AE987"/>
      <c r="AF987"/>
      <c r="AG987"/>
      <c r="AH987"/>
      <c r="AI987"/>
      <c r="AJ987"/>
      <c r="AK987"/>
      <c r="AL987"/>
      <c r="AM987"/>
      <c r="AN987"/>
      <c r="AO987"/>
    </row>
    <row r="988" spans="1:41" ht="15">
      <c r="A988"/>
      <c r="B988"/>
      <c r="C988" s="137"/>
      <c r="D988" s="30"/>
      <c r="E988" s="30"/>
      <c r="F988" s="10"/>
      <c r="G988" s="10"/>
      <c r="H988" s="15"/>
      <c r="I988" s="15"/>
      <c r="J988" s="15"/>
      <c r="K988" s="15"/>
      <c r="L988" s="15"/>
      <c r="M988" s="15"/>
      <c r="N988" s="15"/>
      <c r="O988" s="15"/>
      <c r="P988" s="15"/>
      <c r="Q988" s="71"/>
      <c r="R988" s="84"/>
      <c r="S988" s="10"/>
      <c r="T988" s="10"/>
      <c r="U988" s="10"/>
      <c r="V988" s="10"/>
      <c r="W988" s="138"/>
      <c r="Y988"/>
      <c r="Z988"/>
      <c r="AA988"/>
      <c r="AB988"/>
      <c r="AC988"/>
      <c r="AD988"/>
      <c r="AE988"/>
      <c r="AF988"/>
      <c r="AG988"/>
      <c r="AH988"/>
      <c r="AI988"/>
      <c r="AJ988"/>
      <c r="AK988"/>
      <c r="AL988"/>
      <c r="AM988"/>
      <c r="AN988"/>
      <c r="AO988"/>
    </row>
    <row r="989" spans="1:41" ht="15">
      <c r="A989"/>
      <c r="B989"/>
      <c r="C989" s="137"/>
      <c r="D989" s="30"/>
      <c r="E989" s="30"/>
      <c r="F989" s="10"/>
      <c r="G989" s="10"/>
      <c r="H989" s="15"/>
      <c r="I989" s="15"/>
      <c r="J989" s="15"/>
      <c r="K989" s="15"/>
      <c r="L989" s="15"/>
      <c r="M989" s="15"/>
      <c r="N989" s="15"/>
      <c r="O989" s="15"/>
      <c r="P989" s="15"/>
      <c r="Q989" s="71"/>
      <c r="R989" s="84"/>
      <c r="S989" s="10"/>
      <c r="T989" s="10"/>
      <c r="U989" s="10"/>
      <c r="V989" s="10"/>
      <c r="W989" s="138"/>
      <c r="Y989"/>
      <c r="Z989"/>
      <c r="AA989"/>
      <c r="AB989"/>
      <c r="AC989"/>
      <c r="AD989"/>
      <c r="AE989"/>
      <c r="AF989"/>
      <c r="AG989"/>
      <c r="AH989"/>
      <c r="AI989"/>
      <c r="AJ989"/>
      <c r="AK989"/>
      <c r="AL989"/>
      <c r="AM989"/>
      <c r="AN989"/>
      <c r="AO989"/>
    </row>
    <row r="990" spans="1:41" ht="15">
      <c r="A990"/>
      <c r="B990"/>
      <c r="C990" s="137"/>
      <c r="D990" s="30"/>
      <c r="E990" s="30"/>
      <c r="F990" s="10"/>
      <c r="G990" s="10"/>
      <c r="H990" s="15"/>
      <c r="I990" s="15"/>
      <c r="J990" s="15"/>
      <c r="K990" s="15"/>
      <c r="L990" s="15"/>
      <c r="M990" s="15"/>
      <c r="N990" s="15"/>
      <c r="O990" s="15"/>
      <c r="P990" s="15"/>
      <c r="Q990" s="71"/>
      <c r="R990" s="84"/>
      <c r="S990" s="10"/>
      <c r="T990" s="10"/>
      <c r="U990" s="10"/>
      <c r="V990" s="10"/>
      <c r="W990" s="138"/>
      <c r="Y990"/>
      <c r="Z990"/>
      <c r="AA990"/>
      <c r="AB990"/>
      <c r="AC990"/>
      <c r="AD990"/>
      <c r="AE990"/>
      <c r="AF990"/>
      <c r="AG990"/>
      <c r="AH990"/>
      <c r="AI990"/>
      <c r="AJ990"/>
      <c r="AK990"/>
      <c r="AL990"/>
      <c r="AM990"/>
      <c r="AN990"/>
      <c r="AO990"/>
    </row>
    <row r="991" spans="1:41" ht="15">
      <c r="A991"/>
      <c r="B991"/>
      <c r="C991" s="137"/>
      <c r="D991" s="30"/>
      <c r="E991" s="30"/>
      <c r="F991" s="10"/>
      <c r="G991" s="10"/>
      <c r="H991" s="15"/>
      <c r="I991" s="15"/>
      <c r="J991" s="15"/>
      <c r="K991" s="15"/>
      <c r="L991" s="15"/>
      <c r="M991" s="15"/>
      <c r="N991" s="15"/>
      <c r="O991" s="15"/>
      <c r="P991" s="15"/>
      <c r="Q991" s="71"/>
      <c r="R991" s="84"/>
      <c r="S991" s="10"/>
      <c r="T991" s="10"/>
      <c r="U991" s="10"/>
      <c r="V991" s="10"/>
      <c r="W991" s="138"/>
      <c r="Y991"/>
      <c r="Z991"/>
      <c r="AA991"/>
      <c r="AB991"/>
      <c r="AC991"/>
      <c r="AD991"/>
      <c r="AE991"/>
      <c r="AF991"/>
      <c r="AG991"/>
      <c r="AH991"/>
      <c r="AI991"/>
      <c r="AJ991"/>
      <c r="AK991"/>
      <c r="AL991"/>
      <c r="AM991"/>
      <c r="AN991"/>
      <c r="AO991"/>
    </row>
    <row r="992" spans="1:41" ht="15">
      <c r="A992"/>
      <c r="B992"/>
      <c r="C992" s="137"/>
      <c r="D992" s="30"/>
      <c r="E992" s="30"/>
      <c r="F992" s="10"/>
      <c r="G992" s="10"/>
      <c r="H992" s="15"/>
      <c r="I992" s="15"/>
      <c r="J992" s="15"/>
      <c r="K992" s="15"/>
      <c r="L992" s="15"/>
      <c r="M992" s="15"/>
      <c r="N992" s="15"/>
      <c r="O992" s="15"/>
      <c r="P992" s="15"/>
      <c r="Q992" s="71"/>
      <c r="R992" s="84"/>
      <c r="S992" s="10"/>
      <c r="T992" s="10"/>
      <c r="U992" s="10"/>
      <c r="V992" s="10"/>
      <c r="W992" s="138"/>
      <c r="Y992"/>
      <c r="Z992"/>
      <c r="AA992"/>
      <c r="AB992"/>
      <c r="AC992"/>
      <c r="AD992"/>
      <c r="AE992"/>
      <c r="AF992"/>
      <c r="AG992"/>
      <c r="AH992"/>
      <c r="AI992"/>
      <c r="AJ992"/>
      <c r="AK992"/>
      <c r="AL992"/>
      <c r="AM992"/>
      <c r="AN992"/>
      <c r="AO992"/>
    </row>
    <row r="993" spans="1:41" ht="15">
      <c r="A993"/>
      <c r="B993"/>
      <c r="C993" s="137"/>
      <c r="D993" s="30"/>
      <c r="E993" s="30"/>
      <c r="F993" s="10"/>
      <c r="G993" s="10"/>
      <c r="H993" s="15"/>
      <c r="I993" s="15"/>
      <c r="J993" s="15"/>
      <c r="K993" s="15"/>
      <c r="L993" s="15"/>
      <c r="M993" s="15"/>
      <c r="N993" s="15"/>
      <c r="O993" s="15"/>
      <c r="P993" s="15"/>
      <c r="Q993" s="71"/>
      <c r="R993" s="84"/>
      <c r="S993" s="10"/>
      <c r="T993" s="10"/>
      <c r="U993" s="10"/>
      <c r="V993" s="10"/>
      <c r="W993" s="138"/>
      <c r="Y993"/>
      <c r="Z993"/>
      <c r="AA993"/>
      <c r="AB993"/>
      <c r="AC993"/>
      <c r="AD993"/>
      <c r="AE993"/>
      <c r="AF993"/>
      <c r="AG993"/>
      <c r="AH993"/>
      <c r="AI993"/>
      <c r="AJ993"/>
      <c r="AK993"/>
      <c r="AL993"/>
      <c r="AM993"/>
      <c r="AN993"/>
      <c r="AO993"/>
    </row>
    <row r="994" spans="1:41" ht="15">
      <c r="A994"/>
      <c r="B994"/>
      <c r="C994" s="137"/>
      <c r="D994" s="30"/>
      <c r="E994" s="30"/>
      <c r="F994" s="10"/>
      <c r="G994" s="10"/>
      <c r="H994" s="15"/>
      <c r="I994" s="15"/>
      <c r="J994" s="15"/>
      <c r="K994" s="15"/>
      <c r="L994" s="15"/>
      <c r="M994" s="15"/>
      <c r="N994" s="15"/>
      <c r="O994" s="15"/>
      <c r="P994" s="15"/>
      <c r="Q994" s="71"/>
      <c r="R994" s="84"/>
      <c r="S994" s="10"/>
      <c r="T994" s="10"/>
      <c r="U994" s="10"/>
      <c r="V994" s="10"/>
      <c r="W994" s="138"/>
      <c r="Y994"/>
      <c r="Z994"/>
      <c r="AA994"/>
      <c r="AB994"/>
      <c r="AC994"/>
      <c r="AD994"/>
      <c r="AE994"/>
      <c r="AF994"/>
      <c r="AG994"/>
      <c r="AH994"/>
      <c r="AI994"/>
      <c r="AJ994"/>
      <c r="AK994"/>
      <c r="AL994"/>
      <c r="AM994"/>
      <c r="AN994"/>
      <c r="AO994"/>
    </row>
    <row r="995" spans="1:41" ht="15">
      <c r="A995"/>
      <c r="B995"/>
      <c r="C995" s="137"/>
      <c r="D995" s="30"/>
      <c r="E995" s="30"/>
      <c r="F995" s="10"/>
      <c r="G995" s="10"/>
      <c r="H995" s="15"/>
      <c r="I995" s="15"/>
      <c r="J995" s="15"/>
      <c r="K995" s="15"/>
      <c r="L995" s="15"/>
      <c r="M995" s="15"/>
      <c r="N995" s="15"/>
      <c r="O995" s="15"/>
      <c r="P995" s="15"/>
      <c r="Q995" s="71"/>
      <c r="R995" s="84"/>
      <c r="S995" s="10"/>
      <c r="T995" s="10"/>
      <c r="U995" s="10"/>
      <c r="V995" s="10"/>
      <c r="W995" s="138"/>
      <c r="Y995"/>
      <c r="Z995"/>
      <c r="AA995"/>
      <c r="AB995"/>
      <c r="AC995"/>
      <c r="AD995"/>
      <c r="AE995"/>
      <c r="AF995"/>
      <c r="AG995"/>
      <c r="AH995"/>
      <c r="AI995"/>
      <c r="AJ995"/>
      <c r="AK995"/>
      <c r="AL995"/>
      <c r="AM995"/>
      <c r="AN995"/>
      <c r="AO995"/>
    </row>
    <row r="996" spans="1:41" ht="15">
      <c r="A996"/>
      <c r="B996"/>
      <c r="C996" s="137"/>
      <c r="D996" s="30"/>
      <c r="E996" s="30"/>
      <c r="F996" s="10"/>
      <c r="G996" s="10"/>
      <c r="H996" s="15"/>
      <c r="I996" s="15"/>
      <c r="J996" s="15"/>
      <c r="K996" s="15"/>
      <c r="L996" s="15"/>
      <c r="M996" s="15"/>
      <c r="N996" s="15"/>
      <c r="O996" s="15"/>
      <c r="P996" s="15"/>
      <c r="Q996" s="71"/>
      <c r="R996" s="84"/>
      <c r="S996" s="10"/>
      <c r="T996" s="10"/>
      <c r="U996" s="10"/>
      <c r="V996" s="10"/>
      <c r="W996" s="138"/>
      <c r="Y996"/>
      <c r="Z996"/>
      <c r="AA996"/>
      <c r="AB996"/>
      <c r="AC996"/>
      <c r="AD996"/>
      <c r="AE996"/>
      <c r="AF996"/>
      <c r="AG996"/>
      <c r="AH996"/>
      <c r="AI996"/>
      <c r="AJ996"/>
      <c r="AK996"/>
      <c r="AL996"/>
      <c r="AM996"/>
      <c r="AN996"/>
      <c r="AO996"/>
    </row>
    <row r="997" spans="1:41" ht="15">
      <c r="A997"/>
      <c r="B997"/>
      <c r="C997" s="137"/>
      <c r="D997" s="30"/>
      <c r="E997" s="30"/>
      <c r="F997" s="10"/>
      <c r="G997" s="10"/>
      <c r="H997" s="15"/>
      <c r="I997" s="15"/>
      <c r="J997" s="15"/>
      <c r="K997" s="15"/>
      <c r="L997" s="15"/>
      <c r="M997" s="15"/>
      <c r="N997" s="15"/>
      <c r="O997" s="15"/>
      <c r="P997" s="15"/>
      <c r="Q997" s="71"/>
      <c r="R997" s="84"/>
      <c r="S997" s="10"/>
      <c r="T997" s="10"/>
      <c r="U997" s="10"/>
      <c r="V997" s="10"/>
      <c r="W997" s="138"/>
      <c r="Y997"/>
      <c r="Z997"/>
      <c r="AA997"/>
      <c r="AB997"/>
      <c r="AC997"/>
      <c r="AD997"/>
      <c r="AE997"/>
      <c r="AF997"/>
      <c r="AG997"/>
      <c r="AH997"/>
      <c r="AI997"/>
      <c r="AJ997"/>
      <c r="AK997"/>
      <c r="AL997"/>
      <c r="AM997"/>
      <c r="AN997"/>
      <c r="AO997"/>
    </row>
    <row r="998" spans="1:41" ht="15">
      <c r="A998"/>
      <c r="B998"/>
      <c r="C998" s="137"/>
      <c r="D998" s="30"/>
      <c r="E998" s="30"/>
      <c r="F998" s="10"/>
      <c r="G998" s="10"/>
      <c r="H998" s="15"/>
      <c r="I998" s="15"/>
      <c r="J998" s="15"/>
      <c r="K998" s="15"/>
      <c r="L998" s="15"/>
      <c r="M998" s="15"/>
      <c r="N998" s="15"/>
      <c r="O998" s="15"/>
      <c r="P998" s="15"/>
      <c r="Q998" s="71"/>
      <c r="R998" s="84"/>
      <c r="S998" s="10"/>
      <c r="T998" s="10"/>
      <c r="U998" s="10"/>
      <c r="V998" s="10"/>
      <c r="W998" s="138"/>
      <c r="Y998"/>
      <c r="Z998"/>
      <c r="AA998"/>
      <c r="AB998"/>
      <c r="AC998"/>
      <c r="AD998"/>
      <c r="AE998"/>
      <c r="AF998"/>
      <c r="AG998"/>
      <c r="AH998"/>
      <c r="AI998"/>
      <c r="AJ998"/>
      <c r="AK998"/>
      <c r="AL998"/>
      <c r="AM998"/>
      <c r="AN998"/>
      <c r="AO998"/>
    </row>
    <row r="999" spans="1:41" ht="15">
      <c r="A999"/>
      <c r="B999"/>
      <c r="C999" s="137"/>
      <c r="D999" s="30"/>
      <c r="E999" s="30"/>
      <c r="F999" s="10"/>
      <c r="G999" s="10"/>
      <c r="H999" s="15"/>
      <c r="I999" s="15"/>
      <c r="J999" s="15"/>
      <c r="K999" s="15"/>
      <c r="L999" s="15"/>
      <c r="M999" s="15"/>
      <c r="N999" s="15"/>
      <c r="O999" s="15"/>
      <c r="P999" s="15"/>
      <c r="Q999" s="71"/>
      <c r="R999" s="84"/>
      <c r="S999" s="10"/>
      <c r="T999" s="10"/>
      <c r="U999" s="10"/>
      <c r="V999" s="10"/>
      <c r="W999" s="138"/>
      <c r="Y999"/>
      <c r="Z999"/>
      <c r="AA999"/>
      <c r="AB999"/>
      <c r="AC999"/>
      <c r="AD999"/>
      <c r="AE999"/>
      <c r="AF999"/>
      <c r="AG999"/>
      <c r="AH999"/>
      <c r="AI999"/>
      <c r="AJ999"/>
      <c r="AK999"/>
      <c r="AL999"/>
      <c r="AM999"/>
      <c r="AN999"/>
      <c r="AO999"/>
    </row>
    <row r="1000" spans="1:41" ht="15">
      <c r="A1000"/>
      <c r="B1000"/>
      <c r="C1000" s="137"/>
      <c r="D1000" s="30"/>
      <c r="E1000" s="30"/>
      <c r="F1000" s="10"/>
      <c r="G1000" s="10"/>
      <c r="H1000" s="15"/>
      <c r="I1000" s="15"/>
      <c r="J1000" s="15"/>
      <c r="K1000" s="15"/>
      <c r="L1000" s="15"/>
      <c r="M1000" s="15"/>
      <c r="N1000" s="15"/>
      <c r="O1000" s="15"/>
      <c r="P1000" s="15"/>
      <c r="Q1000" s="71"/>
      <c r="R1000" s="84"/>
      <c r="S1000" s="10"/>
      <c r="T1000" s="10"/>
      <c r="U1000" s="10"/>
      <c r="V1000" s="10"/>
      <c r="W1000" s="138"/>
      <c r="Y1000"/>
      <c r="Z1000"/>
      <c r="AA1000"/>
      <c r="AB1000"/>
      <c r="AC1000"/>
      <c r="AD1000"/>
      <c r="AE1000"/>
      <c r="AF1000"/>
      <c r="AG1000"/>
      <c r="AH1000"/>
      <c r="AI1000"/>
      <c r="AJ1000"/>
      <c r="AK1000"/>
      <c r="AL1000"/>
      <c r="AM1000"/>
      <c r="AN1000"/>
      <c r="AO1000"/>
    </row>
    <row r="1001" spans="1:41" ht="15">
      <c r="A1001"/>
      <c r="B1001"/>
      <c r="C1001" s="137"/>
      <c r="D1001" s="30"/>
      <c r="E1001" s="30"/>
      <c r="F1001" s="10"/>
      <c r="G1001" s="10"/>
      <c r="H1001" s="15"/>
      <c r="I1001" s="15"/>
      <c r="J1001" s="15"/>
      <c r="K1001" s="15"/>
      <c r="L1001" s="15"/>
      <c r="M1001" s="15"/>
      <c r="N1001" s="15"/>
      <c r="O1001" s="15"/>
      <c r="P1001" s="15"/>
      <c r="Q1001" s="71"/>
      <c r="R1001" s="84"/>
      <c r="S1001" s="10"/>
      <c r="T1001" s="10"/>
      <c r="U1001" s="10"/>
      <c r="V1001" s="10"/>
      <c r="W1001" s="138"/>
      <c r="Y1001"/>
      <c r="Z1001"/>
      <c r="AA1001"/>
      <c r="AB1001"/>
      <c r="AC1001"/>
      <c r="AD1001"/>
      <c r="AE1001"/>
      <c r="AF1001"/>
      <c r="AG1001"/>
      <c r="AH1001"/>
      <c r="AI1001"/>
      <c r="AJ1001"/>
      <c r="AK1001"/>
      <c r="AL1001"/>
      <c r="AM1001"/>
      <c r="AN1001"/>
      <c r="AO1001"/>
    </row>
    <row r="1002" spans="1:41" ht="15">
      <c r="A1002"/>
      <c r="B1002"/>
      <c r="C1002" s="137"/>
      <c r="D1002" s="30"/>
      <c r="E1002" s="30"/>
      <c r="F1002" s="10"/>
      <c r="G1002" s="10"/>
      <c r="H1002" s="15"/>
      <c r="I1002" s="15"/>
      <c r="J1002" s="15"/>
      <c r="K1002" s="15"/>
      <c r="L1002" s="15"/>
      <c r="M1002" s="15"/>
      <c r="N1002" s="15"/>
      <c r="O1002" s="15"/>
      <c r="P1002" s="15"/>
      <c r="Q1002" s="71"/>
      <c r="R1002" s="84"/>
      <c r="S1002" s="10"/>
      <c r="T1002" s="10"/>
      <c r="U1002" s="10"/>
      <c r="V1002" s="10"/>
      <c r="W1002" s="138"/>
      <c r="Y1002"/>
      <c r="Z1002"/>
      <c r="AA1002"/>
      <c r="AB1002"/>
      <c r="AC1002"/>
      <c r="AD1002"/>
      <c r="AE1002"/>
      <c r="AF1002"/>
      <c r="AG1002"/>
      <c r="AH1002"/>
      <c r="AI1002"/>
      <c r="AJ1002"/>
      <c r="AK1002"/>
      <c r="AL1002"/>
      <c r="AM1002"/>
      <c r="AN1002"/>
      <c r="AO1002"/>
    </row>
    <row r="1003" spans="1:41" ht="15">
      <c r="A1003"/>
      <c r="B1003"/>
      <c r="C1003" s="137"/>
      <c r="D1003" s="30"/>
      <c r="E1003" s="30"/>
      <c r="F1003" s="10"/>
      <c r="G1003" s="10"/>
      <c r="H1003" s="15"/>
      <c r="I1003" s="15"/>
      <c r="J1003" s="15"/>
      <c r="K1003" s="15"/>
      <c r="L1003" s="15"/>
      <c r="M1003" s="15"/>
      <c r="N1003" s="15"/>
      <c r="O1003" s="15"/>
      <c r="P1003" s="15"/>
      <c r="Q1003" s="71"/>
      <c r="R1003" s="84"/>
      <c r="S1003" s="10"/>
      <c r="T1003" s="10"/>
      <c r="U1003" s="10"/>
      <c r="V1003" s="10"/>
      <c r="W1003" s="138"/>
      <c r="Y1003"/>
      <c r="Z1003"/>
      <c r="AA1003"/>
      <c r="AB1003"/>
      <c r="AC1003"/>
      <c r="AD1003"/>
      <c r="AE1003"/>
      <c r="AF1003"/>
      <c r="AG1003"/>
      <c r="AH1003"/>
      <c r="AI1003"/>
      <c r="AJ1003"/>
      <c r="AK1003"/>
      <c r="AL1003"/>
      <c r="AM1003"/>
      <c r="AN1003"/>
      <c r="AO1003"/>
    </row>
    <row r="1004" spans="1:41" ht="15">
      <c r="A1004"/>
      <c r="B1004"/>
      <c r="C1004" s="137"/>
      <c r="D1004" s="30"/>
      <c r="E1004" s="30"/>
      <c r="F1004" s="10"/>
      <c r="G1004" s="10"/>
      <c r="H1004" s="15"/>
      <c r="I1004" s="15"/>
      <c r="J1004" s="15"/>
      <c r="K1004" s="15"/>
      <c r="L1004" s="15"/>
      <c r="M1004" s="15"/>
      <c r="N1004" s="15"/>
      <c r="O1004" s="15"/>
      <c r="P1004" s="15"/>
      <c r="Q1004" s="71"/>
      <c r="R1004" s="84"/>
      <c r="S1004" s="10"/>
      <c r="T1004" s="10"/>
      <c r="U1004" s="10"/>
      <c r="V1004" s="10"/>
      <c r="W1004" s="138"/>
      <c r="Y1004"/>
      <c r="Z1004"/>
      <c r="AA1004"/>
      <c r="AB1004"/>
      <c r="AC1004"/>
      <c r="AD1004"/>
      <c r="AE1004"/>
      <c r="AF1004"/>
      <c r="AG1004"/>
      <c r="AH1004"/>
      <c r="AI1004"/>
      <c r="AJ1004"/>
      <c r="AK1004"/>
      <c r="AL1004"/>
      <c r="AM1004"/>
      <c r="AN1004"/>
      <c r="AO1004"/>
    </row>
    <row r="1005" spans="1:41" ht="15">
      <c r="A1005"/>
      <c r="B1005"/>
      <c r="C1005" s="137"/>
      <c r="D1005" s="30"/>
      <c r="E1005" s="30"/>
      <c r="F1005" s="10"/>
      <c r="G1005" s="10"/>
      <c r="H1005" s="15"/>
      <c r="I1005" s="15"/>
      <c r="J1005" s="15"/>
      <c r="K1005" s="15"/>
      <c r="L1005" s="15"/>
      <c r="M1005" s="15"/>
      <c r="N1005" s="15"/>
      <c r="O1005" s="15"/>
      <c r="P1005" s="15"/>
      <c r="Q1005" s="71"/>
      <c r="R1005" s="84"/>
      <c r="S1005" s="10"/>
      <c r="T1005" s="10"/>
      <c r="U1005" s="10"/>
      <c r="V1005" s="10"/>
      <c r="W1005" s="138"/>
      <c r="Y1005"/>
      <c r="Z1005"/>
      <c r="AA1005"/>
      <c r="AB1005"/>
      <c r="AC1005"/>
      <c r="AD1005"/>
      <c r="AE1005"/>
      <c r="AF1005"/>
      <c r="AG1005"/>
      <c r="AH1005"/>
      <c r="AI1005"/>
      <c r="AJ1005"/>
      <c r="AK1005"/>
      <c r="AL1005"/>
      <c r="AM1005"/>
      <c r="AN1005"/>
      <c r="AO1005"/>
    </row>
    <row r="1006" spans="1:41" ht="15">
      <c r="A1006"/>
      <c r="B1006"/>
      <c r="C1006" s="137"/>
      <c r="D1006" s="30"/>
      <c r="E1006" s="30"/>
      <c r="F1006" s="10"/>
      <c r="G1006" s="10"/>
      <c r="H1006" s="15"/>
      <c r="I1006" s="15"/>
      <c r="J1006" s="15"/>
      <c r="K1006" s="15"/>
      <c r="L1006" s="15"/>
      <c r="M1006" s="15"/>
      <c r="N1006" s="15"/>
      <c r="O1006" s="15"/>
      <c r="P1006" s="15"/>
      <c r="Q1006" s="71"/>
      <c r="R1006" s="84"/>
      <c r="S1006" s="10"/>
      <c r="T1006" s="10"/>
      <c r="U1006" s="10"/>
      <c r="V1006" s="10"/>
      <c r="W1006" s="138"/>
      <c r="Y1006"/>
      <c r="Z1006"/>
      <c r="AA1006"/>
      <c r="AB1006"/>
      <c r="AC1006"/>
      <c r="AD1006"/>
      <c r="AE1006"/>
      <c r="AF1006"/>
      <c r="AG1006"/>
      <c r="AH1006"/>
      <c r="AI1006"/>
      <c r="AJ1006"/>
      <c r="AK1006"/>
      <c r="AL1006"/>
      <c r="AM1006"/>
      <c r="AN1006"/>
      <c r="AO1006"/>
    </row>
    <row r="1007" spans="1:41" ht="15">
      <c r="A1007"/>
      <c r="B1007"/>
      <c r="C1007" s="137"/>
      <c r="D1007" s="30"/>
      <c r="E1007" s="30"/>
      <c r="F1007" s="10"/>
      <c r="G1007" s="10"/>
      <c r="H1007" s="15"/>
      <c r="I1007" s="15"/>
      <c r="J1007" s="15"/>
      <c r="K1007" s="15"/>
      <c r="L1007" s="15"/>
      <c r="M1007" s="15"/>
      <c r="N1007" s="15"/>
      <c r="O1007" s="15"/>
      <c r="P1007" s="15"/>
      <c r="Q1007" s="71"/>
      <c r="R1007" s="84"/>
      <c r="S1007" s="10"/>
      <c r="T1007" s="10"/>
      <c r="U1007" s="10"/>
      <c r="V1007" s="10"/>
      <c r="W1007" s="138"/>
      <c r="Y1007"/>
      <c r="Z1007"/>
      <c r="AA1007"/>
      <c r="AB1007"/>
      <c r="AC1007"/>
      <c r="AD1007"/>
      <c r="AE1007"/>
      <c r="AF1007"/>
      <c r="AG1007"/>
      <c r="AH1007"/>
      <c r="AI1007"/>
      <c r="AJ1007"/>
      <c r="AK1007"/>
      <c r="AL1007"/>
      <c r="AM1007"/>
      <c r="AN1007"/>
      <c r="AO1007"/>
    </row>
    <row r="1008" spans="1:41" ht="15">
      <c r="A1008"/>
      <c r="B1008"/>
      <c r="C1008" s="137"/>
      <c r="D1008" s="30"/>
      <c r="E1008" s="30"/>
      <c r="F1008" s="10"/>
      <c r="G1008" s="10"/>
      <c r="H1008" s="15"/>
      <c r="I1008" s="15"/>
      <c r="J1008" s="15"/>
      <c r="K1008" s="15"/>
      <c r="L1008" s="15"/>
      <c r="M1008" s="15"/>
      <c r="N1008" s="15"/>
      <c r="O1008" s="15"/>
      <c r="P1008" s="15"/>
      <c r="Q1008" s="71"/>
      <c r="R1008" s="84"/>
      <c r="S1008" s="10"/>
      <c r="T1008" s="10"/>
      <c r="U1008" s="10"/>
      <c r="V1008" s="10"/>
      <c r="W1008" s="138"/>
      <c r="Y1008"/>
      <c r="Z1008"/>
      <c r="AA1008"/>
      <c r="AB1008"/>
      <c r="AC1008"/>
      <c r="AD1008"/>
      <c r="AE1008"/>
      <c r="AF1008"/>
      <c r="AG1008"/>
      <c r="AH1008"/>
      <c r="AI1008"/>
      <c r="AJ1008"/>
      <c r="AK1008"/>
      <c r="AL1008"/>
      <c r="AM1008"/>
      <c r="AN1008"/>
      <c r="AO1008"/>
    </row>
    <row r="1009" spans="1:41" ht="15">
      <c r="A1009"/>
      <c r="B1009"/>
      <c r="C1009" s="137"/>
      <c r="D1009" s="30"/>
      <c r="E1009" s="30"/>
      <c r="F1009" s="10"/>
      <c r="G1009" s="10"/>
      <c r="H1009" s="15"/>
      <c r="I1009" s="15"/>
      <c r="J1009" s="15"/>
      <c r="K1009" s="15"/>
      <c r="L1009" s="15"/>
      <c r="M1009" s="15"/>
      <c r="N1009" s="15"/>
      <c r="O1009" s="15"/>
      <c r="P1009" s="15"/>
      <c r="Q1009" s="71"/>
      <c r="R1009" s="84"/>
      <c r="S1009" s="10"/>
      <c r="T1009" s="10"/>
      <c r="U1009" s="10"/>
      <c r="V1009" s="10"/>
      <c r="W1009" s="138"/>
      <c r="Y1009"/>
      <c r="Z1009"/>
      <c r="AA1009"/>
      <c r="AB1009"/>
      <c r="AC1009"/>
      <c r="AD1009"/>
      <c r="AE1009"/>
      <c r="AF1009"/>
      <c r="AG1009"/>
      <c r="AH1009"/>
      <c r="AI1009"/>
      <c r="AJ1009"/>
      <c r="AK1009"/>
      <c r="AL1009"/>
      <c r="AM1009"/>
      <c r="AN1009"/>
      <c r="AO1009"/>
    </row>
    <row r="1010" spans="1:41" ht="15">
      <c r="A1010"/>
      <c r="B1010"/>
      <c r="C1010" s="137"/>
      <c r="D1010" s="30"/>
      <c r="E1010" s="30"/>
      <c r="F1010" s="10"/>
      <c r="G1010" s="10"/>
      <c r="H1010" s="15"/>
      <c r="I1010" s="15"/>
      <c r="J1010" s="15"/>
      <c r="K1010" s="15"/>
      <c r="L1010" s="15"/>
      <c r="M1010" s="15"/>
      <c r="N1010" s="15"/>
      <c r="O1010" s="15"/>
      <c r="P1010" s="15"/>
      <c r="Q1010" s="71"/>
      <c r="R1010" s="84"/>
      <c r="S1010" s="10"/>
      <c r="T1010" s="10"/>
      <c r="U1010" s="10"/>
      <c r="V1010" s="10"/>
      <c r="W1010" s="138"/>
      <c r="Y1010"/>
      <c r="Z1010"/>
      <c r="AA1010"/>
      <c r="AB1010"/>
      <c r="AC1010"/>
      <c r="AD1010"/>
      <c r="AE1010"/>
      <c r="AF1010"/>
      <c r="AG1010"/>
      <c r="AH1010"/>
      <c r="AI1010"/>
      <c r="AJ1010"/>
      <c r="AK1010"/>
      <c r="AL1010"/>
      <c r="AM1010"/>
      <c r="AN1010"/>
      <c r="AO1010"/>
    </row>
    <row r="1011" spans="1:41" ht="15">
      <c r="A1011"/>
      <c r="B1011"/>
      <c r="C1011" s="137"/>
      <c r="D1011" s="30"/>
      <c r="E1011" s="30"/>
      <c r="F1011" s="10"/>
      <c r="G1011" s="10"/>
      <c r="H1011" s="15"/>
      <c r="I1011" s="15"/>
      <c r="J1011" s="15"/>
      <c r="K1011" s="15"/>
      <c r="L1011" s="15"/>
      <c r="M1011" s="15"/>
      <c r="N1011" s="15"/>
      <c r="O1011" s="15"/>
      <c r="P1011" s="15"/>
      <c r="Q1011" s="71"/>
      <c r="R1011" s="84"/>
      <c r="S1011" s="10"/>
      <c r="T1011" s="10"/>
      <c r="U1011" s="10"/>
      <c r="V1011" s="10"/>
      <c r="W1011" s="138"/>
      <c r="Y1011"/>
      <c r="Z1011"/>
      <c r="AA1011"/>
      <c r="AB1011"/>
      <c r="AC1011"/>
      <c r="AD1011"/>
      <c r="AE1011"/>
      <c r="AF1011"/>
      <c r="AG1011"/>
      <c r="AH1011"/>
      <c r="AI1011"/>
      <c r="AJ1011"/>
      <c r="AK1011"/>
      <c r="AL1011"/>
      <c r="AM1011"/>
      <c r="AN1011"/>
      <c r="AO1011"/>
    </row>
    <row r="1012" spans="1:41" ht="15">
      <c r="A1012"/>
      <c r="B1012"/>
      <c r="C1012" s="137"/>
      <c r="D1012" s="30"/>
      <c r="E1012" s="30"/>
      <c r="F1012" s="10"/>
      <c r="G1012" s="10"/>
      <c r="H1012" s="15"/>
      <c r="I1012" s="15"/>
      <c r="J1012" s="15"/>
      <c r="K1012" s="15"/>
      <c r="L1012" s="15"/>
      <c r="M1012" s="15"/>
      <c r="N1012" s="15"/>
      <c r="O1012" s="15"/>
      <c r="P1012" s="15"/>
      <c r="Q1012" s="71"/>
      <c r="R1012" s="84"/>
      <c r="S1012" s="10"/>
      <c r="T1012" s="10"/>
      <c r="U1012" s="10"/>
      <c r="V1012" s="10"/>
      <c r="W1012" s="138"/>
      <c r="Y1012"/>
      <c r="Z1012"/>
      <c r="AA1012"/>
      <c r="AB1012"/>
      <c r="AC1012"/>
      <c r="AD1012"/>
      <c r="AE1012"/>
      <c r="AF1012"/>
      <c r="AG1012"/>
      <c r="AH1012"/>
      <c r="AI1012"/>
      <c r="AJ1012"/>
      <c r="AK1012"/>
      <c r="AL1012"/>
      <c r="AM1012"/>
      <c r="AN1012"/>
      <c r="AO1012"/>
    </row>
    <row r="1013" spans="1:41" ht="15">
      <c r="A1013"/>
      <c r="B1013"/>
      <c r="C1013" s="137"/>
      <c r="D1013" s="30"/>
      <c r="E1013" s="30"/>
      <c r="F1013" s="10"/>
      <c r="G1013" s="10"/>
      <c r="H1013" s="15"/>
      <c r="I1013" s="15"/>
      <c r="J1013" s="15"/>
      <c r="K1013" s="15"/>
      <c r="L1013" s="15"/>
      <c r="M1013" s="15"/>
      <c r="N1013" s="15"/>
      <c r="O1013" s="15"/>
      <c r="P1013" s="15"/>
      <c r="Q1013" s="71"/>
      <c r="R1013" s="84"/>
      <c r="S1013" s="10"/>
      <c r="T1013" s="10"/>
      <c r="U1013" s="10"/>
      <c r="V1013" s="10"/>
      <c r="W1013" s="138"/>
      <c r="Y1013"/>
      <c r="Z1013"/>
      <c r="AA1013"/>
      <c r="AB1013"/>
      <c r="AC1013"/>
      <c r="AD1013"/>
      <c r="AE1013"/>
      <c r="AF1013"/>
      <c r="AG1013"/>
      <c r="AH1013"/>
      <c r="AI1013"/>
      <c r="AJ1013"/>
      <c r="AK1013"/>
      <c r="AL1013"/>
      <c r="AM1013"/>
      <c r="AN1013"/>
      <c r="AO1013"/>
    </row>
    <row r="1014" spans="1:41" ht="15">
      <c r="A1014"/>
      <c r="B1014"/>
      <c r="C1014" s="137"/>
      <c r="D1014" s="30"/>
      <c r="E1014" s="30"/>
      <c r="F1014" s="10"/>
      <c r="G1014" s="10"/>
      <c r="H1014" s="15"/>
      <c r="I1014" s="15"/>
      <c r="J1014" s="15"/>
      <c r="K1014" s="15"/>
      <c r="L1014" s="15"/>
      <c r="M1014" s="15"/>
      <c r="N1014" s="15"/>
      <c r="O1014" s="15"/>
      <c r="P1014" s="15"/>
      <c r="Q1014" s="71"/>
      <c r="R1014" s="84"/>
      <c r="S1014" s="10"/>
      <c r="T1014" s="10"/>
      <c r="U1014" s="10"/>
      <c r="V1014" s="10"/>
      <c r="W1014" s="138"/>
      <c r="Y1014"/>
      <c r="Z1014"/>
      <c r="AA1014"/>
      <c r="AB1014"/>
      <c r="AC1014"/>
      <c r="AD1014"/>
      <c r="AE1014"/>
      <c r="AF1014"/>
      <c r="AG1014"/>
      <c r="AH1014"/>
      <c r="AI1014"/>
      <c r="AJ1014"/>
      <c r="AK1014"/>
      <c r="AL1014"/>
      <c r="AM1014"/>
      <c r="AN1014"/>
      <c r="AO1014"/>
    </row>
    <row r="1015" spans="1:41" ht="15">
      <c r="A1015"/>
      <c r="B1015"/>
      <c r="C1015" s="137"/>
      <c r="D1015" s="30"/>
      <c r="E1015" s="30"/>
      <c r="F1015" s="10"/>
      <c r="G1015" s="10"/>
      <c r="H1015" s="15"/>
      <c r="I1015" s="15"/>
      <c r="J1015" s="15"/>
      <c r="K1015" s="15"/>
      <c r="L1015" s="15"/>
      <c r="M1015" s="15"/>
      <c r="N1015" s="15"/>
      <c r="O1015" s="15"/>
      <c r="P1015" s="15"/>
      <c r="Q1015" s="71"/>
      <c r="R1015" s="84"/>
      <c r="S1015" s="10"/>
      <c r="T1015" s="10"/>
      <c r="U1015" s="10"/>
      <c r="V1015" s="10"/>
      <c r="W1015" s="138"/>
      <c r="Y1015"/>
      <c r="Z1015"/>
      <c r="AA1015"/>
      <c r="AB1015"/>
      <c r="AC1015"/>
      <c r="AD1015"/>
      <c r="AE1015"/>
      <c r="AF1015"/>
      <c r="AG1015"/>
      <c r="AH1015"/>
      <c r="AI1015"/>
      <c r="AJ1015"/>
      <c r="AK1015"/>
      <c r="AL1015"/>
      <c r="AM1015"/>
      <c r="AN1015"/>
      <c r="AO1015"/>
    </row>
    <row r="1016" spans="1:41" ht="15">
      <c r="A1016"/>
      <c r="B1016"/>
      <c r="C1016" s="137"/>
      <c r="D1016" s="30"/>
      <c r="E1016" s="30"/>
      <c r="F1016" s="10"/>
      <c r="G1016" s="10"/>
      <c r="H1016" s="15"/>
      <c r="I1016" s="15"/>
      <c r="J1016" s="15"/>
      <c r="K1016" s="15"/>
      <c r="L1016" s="15"/>
      <c r="M1016" s="15"/>
      <c r="N1016" s="15"/>
      <c r="O1016" s="15"/>
      <c r="P1016" s="15"/>
      <c r="Q1016" s="71"/>
      <c r="R1016" s="84"/>
      <c r="S1016" s="10"/>
      <c r="T1016" s="10"/>
      <c r="U1016" s="10"/>
      <c r="V1016" s="10"/>
      <c r="W1016" s="138"/>
      <c r="Y1016"/>
      <c r="Z1016"/>
      <c r="AA1016"/>
      <c r="AB1016"/>
      <c r="AC1016"/>
      <c r="AD1016"/>
      <c r="AE1016"/>
      <c r="AF1016"/>
      <c r="AG1016"/>
      <c r="AH1016"/>
      <c r="AI1016"/>
      <c r="AJ1016"/>
      <c r="AK1016"/>
      <c r="AL1016"/>
      <c r="AM1016"/>
      <c r="AN1016"/>
      <c r="AO1016"/>
    </row>
    <row r="1017" spans="1:41" ht="15">
      <c r="A1017"/>
      <c r="B1017"/>
      <c r="C1017" s="137"/>
      <c r="D1017" s="30"/>
      <c r="E1017" s="30"/>
      <c r="F1017" s="10"/>
      <c r="G1017" s="10"/>
      <c r="H1017" s="15"/>
      <c r="I1017" s="15"/>
      <c r="J1017" s="15"/>
      <c r="K1017" s="15"/>
      <c r="L1017" s="15"/>
      <c r="M1017" s="15"/>
      <c r="N1017" s="15"/>
      <c r="O1017" s="15"/>
      <c r="P1017" s="15"/>
      <c r="Q1017" s="71"/>
      <c r="R1017" s="84"/>
      <c r="S1017" s="10"/>
      <c r="T1017" s="10"/>
      <c r="U1017" s="10"/>
      <c r="V1017" s="10"/>
      <c r="W1017" s="138"/>
      <c r="Y1017"/>
      <c r="Z1017"/>
      <c r="AA1017"/>
      <c r="AB1017"/>
      <c r="AC1017"/>
      <c r="AD1017"/>
      <c r="AE1017"/>
      <c r="AF1017"/>
      <c r="AG1017"/>
      <c r="AH1017"/>
      <c r="AI1017"/>
      <c r="AJ1017"/>
      <c r="AK1017"/>
      <c r="AL1017"/>
      <c r="AM1017"/>
      <c r="AN1017"/>
      <c r="AO1017"/>
    </row>
    <row r="1018" spans="1:41" ht="15">
      <c r="A1018"/>
      <c r="B1018"/>
      <c r="C1018" s="137"/>
      <c r="D1018" s="30"/>
      <c r="E1018" s="30"/>
      <c r="F1018" s="10"/>
      <c r="G1018" s="10"/>
      <c r="H1018" s="15"/>
      <c r="I1018" s="15"/>
      <c r="J1018" s="15"/>
      <c r="K1018" s="15"/>
      <c r="L1018" s="15"/>
      <c r="M1018" s="15"/>
      <c r="N1018" s="15"/>
      <c r="O1018" s="15"/>
      <c r="P1018" s="15"/>
      <c r="Q1018" s="71"/>
      <c r="R1018" s="84"/>
      <c r="S1018" s="10"/>
      <c r="T1018" s="10"/>
      <c r="U1018" s="10"/>
      <c r="V1018" s="10"/>
      <c r="W1018" s="138"/>
      <c r="Y1018"/>
      <c r="Z1018"/>
      <c r="AA1018"/>
      <c r="AB1018"/>
      <c r="AC1018"/>
      <c r="AD1018"/>
      <c r="AE1018"/>
      <c r="AF1018"/>
      <c r="AG1018"/>
      <c r="AH1018"/>
      <c r="AI1018"/>
      <c r="AJ1018"/>
      <c r="AK1018"/>
      <c r="AL1018"/>
      <c r="AM1018"/>
      <c r="AN1018"/>
      <c r="AO1018"/>
    </row>
    <row r="1019" spans="1:41" ht="15">
      <c r="A1019"/>
      <c r="B1019"/>
      <c r="C1019" s="137"/>
      <c r="D1019" s="30"/>
      <c r="E1019" s="30"/>
      <c r="F1019" s="10"/>
      <c r="G1019" s="10"/>
      <c r="H1019" s="15"/>
      <c r="I1019" s="15"/>
      <c r="J1019" s="15"/>
      <c r="K1019" s="15"/>
      <c r="L1019" s="15"/>
      <c r="M1019" s="15"/>
      <c r="N1019" s="15"/>
      <c r="O1019" s="15"/>
      <c r="P1019" s="15"/>
      <c r="Q1019" s="71"/>
      <c r="R1019" s="84"/>
      <c r="S1019" s="10"/>
      <c r="T1019" s="10"/>
      <c r="U1019" s="10"/>
      <c r="V1019" s="10"/>
      <c r="W1019" s="138"/>
      <c r="Y1019"/>
      <c r="Z1019"/>
      <c r="AA1019"/>
      <c r="AB1019"/>
      <c r="AC1019"/>
      <c r="AD1019"/>
      <c r="AE1019"/>
      <c r="AF1019"/>
      <c r="AG1019"/>
      <c r="AH1019"/>
      <c r="AI1019"/>
      <c r="AJ1019"/>
      <c r="AK1019"/>
      <c r="AL1019"/>
      <c r="AM1019"/>
      <c r="AN1019"/>
      <c r="AO1019"/>
    </row>
    <row r="1020" spans="1:41" ht="15">
      <c r="A1020"/>
      <c r="B1020"/>
      <c r="C1020" s="137"/>
      <c r="D1020" s="30"/>
      <c r="E1020" s="30"/>
      <c r="F1020" s="10"/>
      <c r="G1020" s="10"/>
      <c r="H1020" s="15"/>
      <c r="I1020" s="15"/>
      <c r="J1020" s="15"/>
      <c r="K1020" s="15"/>
      <c r="L1020" s="15"/>
      <c r="M1020" s="15"/>
      <c r="N1020" s="15"/>
      <c r="O1020" s="15"/>
      <c r="P1020" s="15"/>
      <c r="Q1020" s="71"/>
      <c r="R1020" s="84"/>
      <c r="S1020" s="10"/>
      <c r="T1020" s="10"/>
      <c r="U1020" s="10"/>
      <c r="V1020" s="10"/>
      <c r="W1020" s="138"/>
      <c r="Y1020"/>
      <c r="Z1020"/>
      <c r="AA1020"/>
      <c r="AB1020"/>
      <c r="AC1020"/>
      <c r="AD1020"/>
      <c r="AE1020"/>
      <c r="AF1020"/>
      <c r="AG1020"/>
      <c r="AH1020"/>
      <c r="AI1020"/>
      <c r="AJ1020"/>
      <c r="AK1020"/>
      <c r="AL1020"/>
      <c r="AM1020"/>
      <c r="AN1020"/>
      <c r="AO1020"/>
    </row>
    <row r="1021" spans="1:41" ht="15">
      <c r="A1021"/>
      <c r="B1021"/>
      <c r="C1021" s="137"/>
      <c r="D1021" s="30"/>
      <c r="E1021" s="30"/>
      <c r="F1021" s="10"/>
      <c r="G1021" s="10"/>
      <c r="H1021" s="15"/>
      <c r="I1021" s="15"/>
      <c r="J1021" s="15"/>
      <c r="K1021" s="15"/>
      <c r="L1021" s="15"/>
      <c r="M1021" s="15"/>
      <c r="N1021" s="15"/>
      <c r="O1021" s="15"/>
      <c r="P1021" s="15"/>
      <c r="Q1021" s="71"/>
      <c r="R1021" s="84"/>
      <c r="S1021" s="10"/>
      <c r="T1021" s="10"/>
      <c r="U1021" s="10"/>
      <c r="V1021" s="10"/>
      <c r="W1021" s="138"/>
      <c r="Y1021"/>
      <c r="Z1021"/>
      <c r="AA1021"/>
      <c r="AB1021"/>
      <c r="AC1021"/>
      <c r="AD1021"/>
      <c r="AE1021"/>
      <c r="AF1021"/>
      <c r="AG1021"/>
      <c r="AH1021"/>
      <c r="AI1021"/>
      <c r="AJ1021"/>
      <c r="AK1021"/>
      <c r="AL1021"/>
      <c r="AM1021"/>
      <c r="AN1021"/>
      <c r="AO1021"/>
    </row>
    <row r="1022" spans="1:41" ht="15">
      <c r="A1022"/>
      <c r="B1022"/>
      <c r="C1022" s="137"/>
      <c r="D1022" s="30"/>
      <c r="E1022" s="30"/>
      <c r="F1022" s="10"/>
      <c r="G1022" s="10"/>
      <c r="H1022" s="15"/>
      <c r="I1022" s="15"/>
      <c r="J1022" s="15"/>
      <c r="K1022" s="15"/>
      <c r="L1022" s="15"/>
      <c r="M1022" s="15"/>
      <c r="N1022" s="15"/>
      <c r="O1022" s="15"/>
      <c r="P1022" s="15"/>
      <c r="Q1022" s="71"/>
      <c r="R1022" s="84"/>
      <c r="S1022" s="10"/>
      <c r="T1022" s="10"/>
      <c r="U1022" s="10"/>
      <c r="V1022" s="10"/>
      <c r="W1022" s="138"/>
      <c r="Y1022"/>
      <c r="Z1022"/>
      <c r="AA1022"/>
      <c r="AB1022"/>
      <c r="AC1022"/>
      <c r="AD1022"/>
      <c r="AE1022"/>
      <c r="AF1022"/>
      <c r="AG1022"/>
      <c r="AH1022"/>
      <c r="AI1022"/>
      <c r="AJ1022"/>
      <c r="AK1022"/>
      <c r="AL1022"/>
      <c r="AM1022"/>
      <c r="AN1022"/>
      <c r="AO1022"/>
    </row>
    <row r="1023" spans="1:41" ht="15">
      <c r="A1023"/>
      <c r="B1023"/>
      <c r="C1023" s="137"/>
      <c r="D1023" s="30"/>
      <c r="E1023" s="30"/>
      <c r="F1023" s="10"/>
      <c r="G1023" s="10"/>
      <c r="H1023" s="15"/>
      <c r="I1023" s="15"/>
      <c r="J1023" s="15"/>
      <c r="K1023" s="15"/>
      <c r="L1023" s="15"/>
      <c r="M1023" s="15"/>
      <c r="N1023" s="15"/>
      <c r="O1023" s="15"/>
      <c r="P1023" s="15"/>
      <c r="Q1023" s="71"/>
      <c r="R1023" s="84"/>
      <c r="S1023" s="10"/>
      <c r="T1023" s="10"/>
      <c r="U1023" s="10"/>
      <c r="V1023" s="10"/>
      <c r="W1023" s="138"/>
      <c r="Y1023"/>
      <c r="Z1023"/>
      <c r="AA1023"/>
      <c r="AB1023"/>
      <c r="AC1023"/>
      <c r="AD1023"/>
      <c r="AE1023"/>
      <c r="AF1023"/>
      <c r="AG1023"/>
      <c r="AH1023"/>
      <c r="AI1023"/>
      <c r="AJ1023"/>
      <c r="AK1023"/>
      <c r="AL1023"/>
      <c r="AM1023"/>
      <c r="AN1023"/>
      <c r="AO1023"/>
    </row>
    <row r="1024" spans="1:41" ht="15">
      <c r="A1024"/>
      <c r="B1024"/>
      <c r="C1024" s="137"/>
      <c r="D1024" s="30"/>
      <c r="E1024" s="30"/>
      <c r="F1024" s="10"/>
      <c r="G1024" s="10"/>
      <c r="H1024" s="15"/>
      <c r="I1024" s="15"/>
      <c r="J1024" s="15"/>
      <c r="K1024" s="15"/>
      <c r="L1024" s="15"/>
      <c r="M1024" s="15"/>
      <c r="N1024" s="15"/>
      <c r="O1024" s="15"/>
      <c r="P1024" s="15"/>
      <c r="Q1024" s="71"/>
      <c r="R1024" s="84"/>
      <c r="S1024" s="10"/>
      <c r="T1024" s="10"/>
      <c r="U1024" s="10"/>
      <c r="V1024" s="10"/>
      <c r="W1024" s="138"/>
      <c r="Y1024"/>
      <c r="Z1024"/>
      <c r="AA1024"/>
      <c r="AB1024"/>
      <c r="AC1024"/>
      <c r="AD1024"/>
      <c r="AE1024"/>
      <c r="AF1024"/>
      <c r="AG1024"/>
      <c r="AH1024"/>
      <c r="AI1024"/>
      <c r="AJ1024"/>
      <c r="AK1024"/>
      <c r="AL1024"/>
      <c r="AM1024"/>
      <c r="AN1024"/>
      <c r="AO1024"/>
    </row>
    <row r="1025" spans="1:41" ht="15">
      <c r="A1025"/>
      <c r="B1025"/>
      <c r="C1025" s="137"/>
      <c r="D1025" s="30"/>
      <c r="E1025" s="30"/>
      <c r="F1025" s="10"/>
      <c r="G1025" s="10"/>
      <c r="H1025" s="15"/>
      <c r="I1025" s="15"/>
      <c r="J1025" s="15"/>
      <c r="K1025" s="15"/>
      <c r="L1025" s="15"/>
      <c r="M1025" s="15"/>
      <c r="N1025" s="15"/>
      <c r="O1025" s="15"/>
      <c r="P1025" s="15"/>
      <c r="Q1025" s="71"/>
      <c r="R1025" s="84"/>
      <c r="S1025" s="10"/>
      <c r="T1025" s="10"/>
      <c r="U1025" s="10"/>
      <c r="V1025" s="10"/>
      <c r="W1025" s="138"/>
      <c r="Y1025"/>
      <c r="Z1025"/>
      <c r="AA1025"/>
      <c r="AB1025"/>
      <c r="AC1025"/>
      <c r="AD1025"/>
      <c r="AE1025"/>
      <c r="AF1025"/>
      <c r="AG1025"/>
      <c r="AH1025"/>
      <c r="AI1025"/>
      <c r="AJ1025"/>
      <c r="AK1025"/>
      <c r="AL1025"/>
      <c r="AM1025"/>
      <c r="AN1025"/>
      <c r="AO1025"/>
    </row>
    <row r="1026" spans="1:41" ht="15">
      <c r="A1026"/>
      <c r="B1026"/>
      <c r="C1026" s="137"/>
      <c r="D1026" s="30"/>
      <c r="E1026" s="30"/>
      <c r="F1026" s="10"/>
      <c r="G1026" s="10"/>
      <c r="H1026" s="15"/>
      <c r="I1026" s="15"/>
      <c r="J1026" s="15"/>
      <c r="K1026" s="15"/>
      <c r="L1026" s="15"/>
      <c r="M1026" s="15"/>
      <c r="N1026" s="15"/>
      <c r="O1026" s="15"/>
      <c r="P1026" s="15"/>
      <c r="Q1026" s="71"/>
      <c r="R1026" s="84"/>
      <c r="S1026" s="10"/>
      <c r="T1026" s="10"/>
      <c r="U1026" s="10"/>
      <c r="V1026" s="10"/>
      <c r="W1026" s="138"/>
      <c r="Y1026"/>
      <c r="Z1026"/>
      <c r="AA1026"/>
      <c r="AB1026"/>
      <c r="AC1026"/>
      <c r="AD1026"/>
      <c r="AE1026"/>
      <c r="AF1026"/>
      <c r="AG1026"/>
      <c r="AH1026"/>
      <c r="AI1026"/>
      <c r="AJ1026"/>
      <c r="AK1026"/>
      <c r="AL1026"/>
      <c r="AM1026"/>
      <c r="AN1026"/>
      <c r="AO1026"/>
    </row>
    <row r="1027" spans="1:41" ht="15">
      <c r="A1027"/>
      <c r="B1027"/>
      <c r="C1027" s="137"/>
      <c r="D1027" s="30"/>
      <c r="E1027" s="30"/>
      <c r="F1027" s="10"/>
      <c r="G1027" s="10"/>
      <c r="H1027" s="15"/>
      <c r="I1027" s="15"/>
      <c r="J1027" s="15"/>
      <c r="K1027" s="15"/>
      <c r="L1027" s="15"/>
      <c r="M1027" s="15"/>
      <c r="N1027" s="15"/>
      <c r="O1027" s="15"/>
      <c r="P1027" s="15"/>
      <c r="Q1027" s="71"/>
      <c r="R1027" s="84"/>
      <c r="S1027" s="10"/>
      <c r="T1027" s="10"/>
      <c r="U1027" s="10"/>
      <c r="V1027" s="10"/>
      <c r="W1027" s="138"/>
      <c r="Y1027"/>
      <c r="Z1027"/>
      <c r="AA1027"/>
      <c r="AB1027"/>
      <c r="AC1027"/>
      <c r="AD1027"/>
      <c r="AE1027"/>
      <c r="AF1027"/>
      <c r="AG1027"/>
      <c r="AH1027"/>
      <c r="AI1027"/>
      <c r="AJ1027"/>
      <c r="AK1027"/>
      <c r="AL1027"/>
      <c r="AM1027"/>
      <c r="AN1027"/>
      <c r="AO1027"/>
    </row>
    <row r="1028" spans="1:41" ht="15">
      <c r="A1028"/>
      <c r="B1028"/>
      <c r="C1028" s="137"/>
      <c r="D1028" s="30"/>
      <c r="E1028" s="30"/>
      <c r="F1028" s="10"/>
      <c r="G1028" s="10"/>
      <c r="H1028" s="15"/>
      <c r="I1028" s="15"/>
      <c r="J1028" s="15"/>
      <c r="K1028" s="15"/>
      <c r="L1028" s="15"/>
      <c r="M1028" s="15"/>
      <c r="N1028" s="15"/>
      <c r="O1028" s="15"/>
      <c r="P1028" s="15"/>
      <c r="Q1028" s="71"/>
      <c r="R1028" s="84"/>
      <c r="S1028" s="10"/>
      <c r="T1028" s="10"/>
      <c r="U1028" s="10"/>
      <c r="V1028" s="10"/>
      <c r="W1028" s="138"/>
      <c r="Y1028"/>
      <c r="Z1028"/>
      <c r="AA1028"/>
      <c r="AB1028"/>
      <c r="AC1028"/>
      <c r="AD1028"/>
      <c r="AE1028"/>
      <c r="AF1028"/>
      <c r="AG1028"/>
      <c r="AH1028"/>
      <c r="AI1028"/>
      <c r="AJ1028"/>
      <c r="AK1028"/>
      <c r="AL1028"/>
      <c r="AM1028"/>
      <c r="AN1028"/>
      <c r="AO1028"/>
    </row>
    <row r="1029" spans="1:41" ht="15">
      <c r="A1029"/>
      <c r="B1029"/>
      <c r="C1029" s="137"/>
      <c r="D1029" s="30"/>
      <c r="E1029" s="30"/>
      <c r="F1029" s="10"/>
      <c r="G1029" s="10"/>
      <c r="H1029" s="15"/>
      <c r="I1029" s="15"/>
      <c r="J1029" s="15"/>
      <c r="K1029" s="15"/>
      <c r="L1029" s="15"/>
      <c r="M1029" s="15"/>
      <c r="N1029" s="15"/>
      <c r="O1029" s="15"/>
      <c r="P1029" s="15"/>
      <c r="Q1029" s="71"/>
      <c r="R1029" s="84"/>
      <c r="S1029" s="10"/>
      <c r="T1029" s="10"/>
      <c r="U1029" s="10"/>
      <c r="V1029" s="10"/>
      <c r="W1029" s="138"/>
      <c r="Y1029"/>
      <c r="Z1029"/>
      <c r="AA1029"/>
      <c r="AB1029"/>
      <c r="AC1029"/>
      <c r="AD1029"/>
      <c r="AE1029"/>
      <c r="AF1029"/>
      <c r="AG1029"/>
      <c r="AH1029"/>
      <c r="AI1029"/>
      <c r="AJ1029"/>
      <c r="AK1029"/>
      <c r="AL1029"/>
      <c r="AM1029"/>
      <c r="AN1029"/>
      <c r="AO1029"/>
    </row>
    <row r="1030" spans="1:41" ht="15">
      <c r="A1030"/>
      <c r="B1030"/>
      <c r="C1030" s="137"/>
      <c r="D1030" s="30"/>
      <c r="E1030" s="30"/>
      <c r="F1030" s="10"/>
      <c r="G1030" s="10"/>
      <c r="H1030" s="15"/>
      <c r="I1030" s="15"/>
      <c r="J1030" s="15"/>
      <c r="K1030" s="15"/>
      <c r="L1030" s="15"/>
      <c r="M1030" s="15"/>
      <c r="N1030" s="15"/>
      <c r="O1030" s="15"/>
      <c r="P1030" s="15"/>
      <c r="Q1030" s="71"/>
      <c r="R1030" s="84"/>
      <c r="S1030" s="10"/>
      <c r="T1030" s="10"/>
      <c r="U1030" s="10"/>
      <c r="V1030" s="10"/>
      <c r="W1030" s="138"/>
      <c r="Y1030"/>
      <c r="Z1030"/>
      <c r="AA1030"/>
      <c r="AB1030"/>
      <c r="AC1030"/>
      <c r="AD1030"/>
      <c r="AE1030"/>
      <c r="AF1030"/>
      <c r="AG1030"/>
      <c r="AH1030"/>
      <c r="AI1030"/>
      <c r="AJ1030"/>
      <c r="AK1030"/>
      <c r="AL1030"/>
      <c r="AM1030"/>
      <c r="AN1030"/>
      <c r="AO1030"/>
    </row>
    <row r="1031" spans="1:41" ht="15">
      <c r="A1031"/>
      <c r="B1031"/>
      <c r="C1031" s="137"/>
      <c r="D1031" s="30"/>
      <c r="E1031" s="30"/>
      <c r="F1031" s="10"/>
      <c r="G1031" s="10"/>
      <c r="H1031" s="15"/>
      <c r="I1031" s="15"/>
      <c r="J1031" s="15"/>
      <c r="K1031" s="15"/>
      <c r="L1031" s="15"/>
      <c r="M1031" s="15"/>
      <c r="N1031" s="15"/>
      <c r="O1031" s="15"/>
      <c r="P1031" s="15"/>
      <c r="Q1031" s="71"/>
      <c r="R1031" s="84"/>
      <c r="S1031" s="10"/>
      <c r="T1031" s="10"/>
      <c r="U1031" s="10"/>
      <c r="V1031" s="10"/>
      <c r="W1031" s="138"/>
      <c r="Y1031"/>
      <c r="Z1031"/>
      <c r="AA1031"/>
      <c r="AB1031"/>
      <c r="AC1031"/>
      <c r="AD1031"/>
      <c r="AE1031"/>
      <c r="AF1031"/>
      <c r="AG1031"/>
      <c r="AH1031"/>
      <c r="AI1031"/>
      <c r="AJ1031"/>
      <c r="AK1031"/>
      <c r="AL1031"/>
      <c r="AM1031"/>
      <c r="AN1031"/>
      <c r="AO1031"/>
    </row>
    <row r="1032" spans="1:41" ht="15">
      <c r="A1032"/>
      <c r="B1032"/>
      <c r="C1032" s="137"/>
      <c r="D1032" s="30"/>
      <c r="E1032" s="30"/>
      <c r="F1032" s="10"/>
      <c r="G1032" s="10"/>
      <c r="H1032" s="15"/>
      <c r="I1032" s="15"/>
      <c r="J1032" s="15"/>
      <c r="K1032" s="15"/>
      <c r="L1032" s="15"/>
      <c r="M1032" s="15"/>
      <c r="N1032" s="15"/>
      <c r="O1032" s="15"/>
      <c r="P1032" s="15"/>
      <c r="Q1032" s="71"/>
      <c r="R1032" s="84"/>
      <c r="S1032" s="10"/>
      <c r="T1032" s="10"/>
      <c r="U1032" s="10"/>
      <c r="V1032" s="10"/>
      <c r="W1032" s="138"/>
      <c r="Y1032"/>
      <c r="Z1032"/>
      <c r="AA1032"/>
      <c r="AB1032"/>
      <c r="AC1032"/>
      <c r="AD1032"/>
      <c r="AE1032"/>
      <c r="AF1032"/>
      <c r="AG1032"/>
      <c r="AH1032"/>
      <c r="AI1032"/>
      <c r="AJ1032"/>
      <c r="AK1032"/>
      <c r="AL1032"/>
      <c r="AM1032"/>
      <c r="AN1032"/>
      <c r="AO1032"/>
    </row>
    <row r="1033" spans="1:41" ht="15">
      <c r="A1033"/>
      <c r="B1033"/>
      <c r="C1033" s="137"/>
      <c r="D1033" s="30"/>
      <c r="E1033" s="30"/>
      <c r="F1033" s="10"/>
      <c r="G1033" s="10"/>
      <c r="H1033" s="15"/>
      <c r="I1033" s="15"/>
      <c r="J1033" s="15"/>
      <c r="K1033" s="15"/>
      <c r="L1033" s="15"/>
      <c r="M1033" s="15"/>
      <c r="N1033" s="15"/>
      <c r="O1033" s="15"/>
      <c r="P1033" s="15"/>
      <c r="Q1033" s="71"/>
      <c r="R1033" s="84"/>
      <c r="S1033" s="10"/>
      <c r="T1033" s="10"/>
      <c r="U1033" s="10"/>
      <c r="V1033" s="10"/>
      <c r="W1033" s="138"/>
      <c r="Y1033"/>
      <c r="Z1033"/>
      <c r="AA1033"/>
      <c r="AB1033"/>
      <c r="AC1033"/>
      <c r="AD1033"/>
      <c r="AE1033"/>
      <c r="AF1033"/>
      <c r="AG1033"/>
      <c r="AH1033"/>
      <c r="AI1033"/>
      <c r="AJ1033"/>
      <c r="AK1033"/>
      <c r="AL1033"/>
      <c r="AM1033"/>
      <c r="AN1033"/>
      <c r="AO1033"/>
    </row>
    <row r="1034" spans="1:41" ht="15">
      <c r="A1034"/>
      <c r="B1034"/>
      <c r="C1034" s="137"/>
      <c r="D1034" s="30"/>
      <c r="E1034" s="30"/>
      <c r="F1034" s="10"/>
      <c r="G1034" s="10"/>
      <c r="H1034" s="15"/>
      <c r="I1034" s="15"/>
      <c r="J1034" s="15"/>
      <c r="K1034" s="15"/>
      <c r="L1034" s="15"/>
      <c r="M1034" s="15"/>
      <c r="N1034" s="15"/>
      <c r="O1034" s="15"/>
      <c r="P1034" s="15"/>
      <c r="Q1034" s="71"/>
      <c r="R1034" s="84"/>
      <c r="S1034" s="10"/>
      <c r="T1034" s="10"/>
      <c r="U1034" s="10"/>
      <c r="V1034" s="10"/>
      <c r="W1034" s="138"/>
      <c r="Y1034"/>
      <c r="Z1034"/>
      <c r="AA1034"/>
      <c r="AB1034"/>
      <c r="AC1034"/>
      <c r="AD1034"/>
      <c r="AE1034"/>
      <c r="AF1034"/>
      <c r="AG1034"/>
      <c r="AH1034"/>
      <c r="AI1034"/>
      <c r="AJ1034"/>
      <c r="AK1034"/>
      <c r="AL1034"/>
      <c r="AM1034"/>
      <c r="AN1034"/>
      <c r="AO1034"/>
    </row>
    <row r="1035" spans="1:41" ht="15">
      <c r="A1035"/>
      <c r="B1035"/>
      <c r="C1035" s="137"/>
      <c r="D1035" s="30"/>
      <c r="E1035" s="30"/>
      <c r="F1035" s="10"/>
      <c r="G1035" s="10"/>
      <c r="H1035" s="15"/>
      <c r="I1035" s="15"/>
      <c r="J1035" s="15"/>
      <c r="K1035" s="15"/>
      <c r="L1035" s="15"/>
      <c r="M1035" s="15"/>
      <c r="N1035" s="15"/>
      <c r="O1035" s="15"/>
      <c r="P1035" s="15"/>
      <c r="Q1035" s="71"/>
      <c r="R1035" s="84"/>
      <c r="S1035" s="10"/>
      <c r="T1035" s="10"/>
      <c r="U1035" s="10"/>
      <c r="V1035" s="10"/>
      <c r="W1035" s="138"/>
      <c r="Y1035"/>
      <c r="Z1035"/>
      <c r="AA1035"/>
      <c r="AB1035"/>
      <c r="AC1035"/>
      <c r="AD1035"/>
      <c r="AE1035"/>
      <c r="AF1035"/>
      <c r="AG1035"/>
      <c r="AH1035"/>
      <c r="AI1035"/>
      <c r="AJ1035"/>
      <c r="AK1035"/>
      <c r="AL1035"/>
      <c r="AM1035"/>
      <c r="AN1035"/>
      <c r="AO1035"/>
    </row>
    <row r="1036" spans="1:41" ht="15">
      <c r="A1036"/>
      <c r="B1036"/>
      <c r="C1036" s="137"/>
      <c r="D1036" s="30"/>
      <c r="E1036" s="30"/>
      <c r="F1036" s="10"/>
      <c r="G1036" s="10"/>
      <c r="H1036" s="15"/>
      <c r="I1036" s="15"/>
      <c r="J1036" s="15"/>
      <c r="K1036" s="15"/>
      <c r="L1036" s="15"/>
      <c r="M1036" s="15"/>
      <c r="N1036" s="15"/>
      <c r="O1036" s="15"/>
      <c r="P1036" s="15"/>
      <c r="Q1036" s="71"/>
      <c r="R1036" s="84"/>
      <c r="S1036" s="10"/>
      <c r="T1036" s="10"/>
      <c r="U1036" s="10"/>
      <c r="V1036" s="10"/>
      <c r="W1036" s="138"/>
      <c r="Y1036"/>
      <c r="Z1036"/>
      <c r="AA1036"/>
      <c r="AB1036"/>
      <c r="AC1036"/>
      <c r="AD1036"/>
      <c r="AE1036"/>
      <c r="AF1036"/>
      <c r="AG1036"/>
      <c r="AH1036"/>
      <c r="AI1036"/>
      <c r="AJ1036"/>
      <c r="AK1036"/>
      <c r="AL1036"/>
      <c r="AM1036"/>
      <c r="AN1036"/>
      <c r="AO1036"/>
    </row>
    <row r="1037" spans="1:41" ht="15">
      <c r="A1037"/>
      <c r="B1037"/>
      <c r="C1037" s="137"/>
      <c r="D1037" s="30"/>
      <c r="E1037" s="30"/>
      <c r="F1037" s="10"/>
      <c r="G1037" s="10"/>
      <c r="H1037" s="15"/>
      <c r="I1037" s="15"/>
      <c r="J1037" s="15"/>
      <c r="K1037" s="15"/>
      <c r="L1037" s="15"/>
      <c r="M1037" s="15"/>
      <c r="N1037" s="15"/>
      <c r="O1037" s="15"/>
      <c r="P1037" s="15"/>
      <c r="Q1037" s="71"/>
      <c r="R1037" s="84"/>
      <c r="S1037" s="10"/>
      <c r="T1037" s="10"/>
      <c r="U1037" s="10"/>
      <c r="V1037" s="10"/>
      <c r="W1037" s="138"/>
      <c r="Y1037"/>
      <c r="Z1037"/>
      <c r="AA1037"/>
      <c r="AB1037"/>
      <c r="AC1037"/>
      <c r="AD1037"/>
      <c r="AE1037"/>
      <c r="AF1037"/>
      <c r="AG1037"/>
      <c r="AH1037"/>
      <c r="AI1037"/>
      <c r="AJ1037"/>
      <c r="AK1037"/>
      <c r="AL1037"/>
      <c r="AM1037"/>
      <c r="AN1037"/>
      <c r="AO1037"/>
    </row>
    <row r="1038" spans="1:41" ht="15">
      <c r="A1038"/>
      <c r="B1038"/>
      <c r="C1038" s="137"/>
      <c r="D1038" s="30"/>
      <c r="E1038" s="30"/>
      <c r="F1038" s="10"/>
      <c r="G1038" s="10"/>
      <c r="H1038" s="15"/>
      <c r="I1038" s="15"/>
      <c r="J1038" s="15"/>
      <c r="K1038" s="15"/>
      <c r="L1038" s="15"/>
      <c r="M1038" s="15"/>
      <c r="N1038" s="15"/>
      <c r="O1038" s="15"/>
      <c r="P1038" s="15"/>
      <c r="Q1038" s="71"/>
      <c r="R1038" s="84"/>
      <c r="S1038" s="10"/>
      <c r="T1038" s="10"/>
      <c r="U1038" s="10"/>
      <c r="V1038" s="10"/>
      <c r="W1038" s="138"/>
      <c r="Y1038"/>
      <c r="Z1038"/>
      <c r="AA1038"/>
      <c r="AB1038"/>
      <c r="AC1038"/>
      <c r="AD1038"/>
      <c r="AE1038"/>
      <c r="AF1038"/>
      <c r="AG1038"/>
      <c r="AH1038"/>
      <c r="AI1038"/>
      <c r="AJ1038"/>
      <c r="AK1038"/>
      <c r="AL1038"/>
      <c r="AM1038"/>
      <c r="AN1038"/>
      <c r="AO1038"/>
    </row>
    <row r="1039" spans="1:41" ht="15">
      <c r="A1039"/>
      <c r="B1039"/>
      <c r="C1039" s="137"/>
      <c r="D1039" s="30"/>
      <c r="E1039" s="30"/>
      <c r="F1039" s="10"/>
      <c r="G1039" s="10"/>
      <c r="H1039" s="15"/>
      <c r="I1039" s="15"/>
      <c r="J1039" s="15"/>
      <c r="K1039" s="15"/>
      <c r="L1039" s="15"/>
      <c r="M1039" s="15"/>
      <c r="N1039" s="15"/>
      <c r="O1039" s="15"/>
      <c r="P1039" s="15"/>
      <c r="Q1039" s="71"/>
      <c r="R1039" s="84"/>
      <c r="S1039" s="10"/>
      <c r="T1039" s="10"/>
      <c r="U1039" s="10"/>
      <c r="V1039" s="10"/>
      <c r="W1039" s="138"/>
      <c r="Y1039"/>
      <c r="Z1039"/>
      <c r="AA1039"/>
      <c r="AB1039"/>
      <c r="AC1039"/>
      <c r="AD1039"/>
      <c r="AE1039"/>
      <c r="AF1039"/>
      <c r="AG1039"/>
      <c r="AH1039"/>
      <c r="AI1039"/>
      <c r="AJ1039"/>
      <c r="AK1039"/>
      <c r="AL1039"/>
      <c r="AM1039"/>
      <c r="AN1039"/>
      <c r="AO1039"/>
    </row>
    <row r="1040" spans="1:41" ht="15">
      <c r="A1040"/>
      <c r="B1040"/>
      <c r="C1040" s="137"/>
      <c r="D1040" s="30"/>
      <c r="E1040" s="30"/>
      <c r="F1040" s="10"/>
      <c r="G1040" s="10"/>
      <c r="H1040" s="15"/>
      <c r="I1040" s="15"/>
      <c r="J1040" s="15"/>
      <c r="K1040" s="15"/>
      <c r="L1040" s="15"/>
      <c r="M1040" s="15"/>
      <c r="N1040" s="15"/>
      <c r="O1040" s="15"/>
      <c r="P1040" s="15"/>
      <c r="Q1040" s="71"/>
      <c r="R1040" s="84"/>
      <c r="S1040" s="10"/>
      <c r="T1040" s="10"/>
      <c r="U1040" s="10"/>
      <c r="V1040" s="10"/>
      <c r="W1040" s="138"/>
      <c r="Y1040"/>
      <c r="Z1040"/>
      <c r="AA1040"/>
      <c r="AB1040"/>
      <c r="AC1040"/>
      <c r="AD1040"/>
      <c r="AE1040"/>
      <c r="AF1040"/>
      <c r="AG1040"/>
      <c r="AH1040"/>
      <c r="AI1040"/>
      <c r="AJ1040"/>
      <c r="AK1040"/>
      <c r="AL1040"/>
      <c r="AM1040"/>
      <c r="AN1040"/>
      <c r="AO1040"/>
    </row>
    <row r="1041" spans="1:41" ht="15">
      <c r="A1041"/>
      <c r="B1041"/>
      <c r="C1041" s="137"/>
      <c r="D1041" s="30"/>
      <c r="E1041" s="30"/>
      <c r="F1041" s="10"/>
      <c r="G1041" s="10"/>
      <c r="H1041" s="15"/>
      <c r="I1041" s="15"/>
      <c r="J1041" s="15"/>
      <c r="K1041" s="15"/>
      <c r="L1041" s="15"/>
      <c r="M1041" s="15"/>
      <c r="N1041" s="15"/>
      <c r="O1041" s="15"/>
      <c r="P1041" s="15"/>
      <c r="Q1041" s="71"/>
      <c r="R1041" s="84"/>
      <c r="S1041" s="10"/>
      <c r="T1041" s="10"/>
      <c r="U1041" s="10"/>
      <c r="V1041" s="10"/>
      <c r="W1041" s="138"/>
      <c r="Y1041"/>
      <c r="Z1041"/>
      <c r="AA1041"/>
      <c r="AB1041"/>
      <c r="AC1041"/>
      <c r="AD1041"/>
      <c r="AE1041"/>
      <c r="AF1041"/>
      <c r="AG1041"/>
      <c r="AH1041"/>
      <c r="AI1041"/>
      <c r="AJ1041"/>
      <c r="AK1041"/>
      <c r="AL1041"/>
      <c r="AM1041"/>
      <c r="AN1041"/>
      <c r="AO1041"/>
    </row>
    <row r="1042" spans="1:41" ht="15">
      <c r="A1042"/>
      <c r="B1042"/>
      <c r="C1042" s="137"/>
      <c r="D1042" s="30"/>
      <c r="E1042" s="30"/>
      <c r="F1042" s="10"/>
      <c r="G1042" s="10"/>
      <c r="H1042" s="15"/>
      <c r="I1042" s="15"/>
      <c r="J1042" s="15"/>
      <c r="K1042" s="15"/>
      <c r="L1042" s="15"/>
      <c r="M1042" s="15"/>
      <c r="N1042" s="15"/>
      <c r="O1042" s="15"/>
      <c r="P1042" s="15"/>
      <c r="Q1042" s="71"/>
      <c r="R1042" s="84"/>
      <c r="S1042" s="10"/>
      <c r="T1042" s="10"/>
      <c r="U1042" s="10"/>
      <c r="V1042" s="10"/>
      <c r="W1042" s="138"/>
      <c r="Y1042"/>
      <c r="Z1042"/>
      <c r="AA1042"/>
      <c r="AB1042"/>
      <c r="AC1042"/>
      <c r="AD1042"/>
      <c r="AE1042"/>
      <c r="AF1042"/>
      <c r="AG1042"/>
      <c r="AH1042"/>
      <c r="AI1042"/>
      <c r="AJ1042"/>
      <c r="AK1042"/>
      <c r="AL1042"/>
      <c r="AM1042"/>
      <c r="AN1042"/>
      <c r="AO1042"/>
    </row>
    <row r="1043" spans="1:41" ht="15">
      <c r="A1043"/>
      <c r="B1043"/>
      <c r="C1043" s="137"/>
      <c r="D1043" s="30"/>
      <c r="E1043" s="30"/>
      <c r="F1043" s="10"/>
      <c r="G1043" s="10"/>
      <c r="H1043" s="15"/>
      <c r="I1043" s="15"/>
      <c r="J1043" s="15"/>
      <c r="K1043" s="15"/>
      <c r="L1043" s="15"/>
      <c r="M1043" s="15"/>
      <c r="N1043" s="15"/>
      <c r="O1043" s="15"/>
      <c r="P1043" s="15"/>
      <c r="Q1043" s="71"/>
      <c r="R1043" s="84"/>
      <c r="S1043" s="10"/>
      <c r="T1043" s="10"/>
      <c r="U1043" s="10"/>
      <c r="V1043" s="10"/>
      <c r="W1043" s="138"/>
      <c r="Y1043"/>
      <c r="Z1043"/>
      <c r="AA1043"/>
      <c r="AB1043"/>
      <c r="AC1043"/>
      <c r="AD1043"/>
      <c r="AE1043"/>
      <c r="AF1043"/>
      <c r="AG1043"/>
      <c r="AH1043"/>
      <c r="AI1043"/>
      <c r="AJ1043"/>
      <c r="AK1043"/>
      <c r="AL1043"/>
      <c r="AM1043"/>
      <c r="AN1043"/>
      <c r="AO1043"/>
    </row>
    <row r="1044" spans="1:41" ht="15">
      <c r="A1044"/>
      <c r="B1044"/>
      <c r="C1044" s="137"/>
      <c r="D1044" s="30"/>
      <c r="E1044" s="30"/>
      <c r="F1044" s="10"/>
      <c r="G1044" s="10"/>
      <c r="H1044" s="15"/>
      <c r="I1044" s="15"/>
      <c r="J1044" s="15"/>
      <c r="K1044" s="15"/>
      <c r="L1044" s="15"/>
      <c r="M1044" s="15"/>
      <c r="N1044" s="15"/>
      <c r="O1044" s="15"/>
      <c r="P1044" s="15"/>
      <c r="Q1044" s="71"/>
      <c r="R1044" s="84"/>
      <c r="S1044" s="10"/>
      <c r="T1044" s="10"/>
      <c r="U1044" s="10"/>
      <c r="V1044" s="10"/>
      <c r="W1044" s="138"/>
      <c r="Y1044"/>
      <c r="Z1044"/>
      <c r="AA1044"/>
      <c r="AB1044"/>
      <c r="AC1044"/>
      <c r="AD1044"/>
      <c r="AE1044"/>
      <c r="AF1044"/>
      <c r="AG1044"/>
      <c r="AH1044"/>
      <c r="AI1044"/>
      <c r="AJ1044"/>
      <c r="AK1044"/>
      <c r="AL1044"/>
      <c r="AM1044"/>
      <c r="AN1044"/>
      <c r="AO1044"/>
    </row>
    <row r="1045" spans="1:41" ht="15">
      <c r="A1045"/>
      <c r="B1045"/>
      <c r="C1045" s="137"/>
      <c r="D1045" s="30"/>
      <c r="E1045" s="30"/>
      <c r="F1045" s="10"/>
      <c r="G1045" s="10"/>
      <c r="H1045" s="15"/>
      <c r="I1045" s="15"/>
      <c r="J1045" s="15"/>
      <c r="K1045" s="15"/>
      <c r="L1045" s="15"/>
      <c r="M1045" s="15"/>
      <c r="N1045" s="15"/>
      <c r="O1045" s="15"/>
      <c r="P1045" s="15"/>
      <c r="Q1045" s="71"/>
      <c r="R1045" s="84"/>
      <c r="S1045" s="10"/>
      <c r="T1045" s="10"/>
      <c r="U1045" s="10"/>
      <c r="V1045" s="10"/>
      <c r="W1045" s="138"/>
      <c r="Y1045"/>
      <c r="Z1045"/>
      <c r="AA1045"/>
      <c r="AB1045"/>
      <c r="AC1045"/>
      <c r="AD1045"/>
      <c r="AE1045"/>
      <c r="AF1045"/>
      <c r="AG1045"/>
      <c r="AH1045"/>
      <c r="AI1045"/>
      <c r="AJ1045"/>
      <c r="AK1045"/>
      <c r="AL1045"/>
      <c r="AM1045"/>
      <c r="AN1045"/>
      <c r="AO1045"/>
    </row>
    <row r="1046" spans="1:41" ht="15">
      <c r="A1046"/>
      <c r="B1046"/>
      <c r="C1046" s="137"/>
      <c r="D1046" s="30"/>
      <c r="E1046" s="30"/>
      <c r="F1046" s="10"/>
      <c r="G1046" s="10"/>
      <c r="H1046" s="15"/>
      <c r="I1046" s="15"/>
      <c r="J1046" s="15"/>
      <c r="K1046" s="15"/>
      <c r="L1046" s="15"/>
      <c r="M1046" s="15"/>
      <c r="N1046" s="15"/>
      <c r="O1046" s="15"/>
      <c r="P1046" s="15"/>
      <c r="Q1046" s="71"/>
      <c r="R1046" s="84"/>
      <c r="S1046" s="10"/>
      <c r="T1046" s="10"/>
      <c r="U1046" s="10"/>
      <c r="V1046" s="10"/>
      <c r="W1046" s="138"/>
      <c r="Y1046"/>
      <c r="Z1046"/>
      <c r="AA1046"/>
      <c r="AB1046"/>
      <c r="AC1046"/>
      <c r="AD1046"/>
      <c r="AE1046"/>
      <c r="AF1046"/>
      <c r="AG1046"/>
      <c r="AH1046"/>
      <c r="AI1046"/>
      <c r="AJ1046"/>
      <c r="AK1046"/>
      <c r="AL1046"/>
      <c r="AM1046"/>
      <c r="AN1046"/>
      <c r="AO1046"/>
    </row>
    <row r="1047" spans="1:41" ht="15">
      <c r="A1047"/>
      <c r="B1047"/>
      <c r="C1047" s="137"/>
      <c r="D1047" s="30"/>
      <c r="E1047" s="30"/>
      <c r="F1047" s="10"/>
      <c r="G1047" s="10"/>
      <c r="H1047" s="15"/>
      <c r="I1047" s="15"/>
      <c r="J1047" s="15"/>
      <c r="K1047" s="15"/>
      <c r="L1047" s="15"/>
      <c r="M1047" s="15"/>
      <c r="N1047" s="15"/>
      <c r="O1047" s="15"/>
      <c r="P1047" s="15"/>
      <c r="Q1047" s="71"/>
      <c r="R1047" s="84"/>
      <c r="S1047" s="10"/>
      <c r="T1047" s="10"/>
      <c r="U1047" s="10"/>
      <c r="V1047" s="10"/>
      <c r="W1047" s="138"/>
      <c r="Y1047"/>
      <c r="Z1047"/>
      <c r="AA1047"/>
      <c r="AB1047"/>
      <c r="AC1047"/>
      <c r="AD1047"/>
      <c r="AE1047"/>
      <c r="AF1047"/>
      <c r="AG1047"/>
      <c r="AH1047"/>
      <c r="AI1047"/>
      <c r="AJ1047"/>
      <c r="AK1047"/>
      <c r="AL1047"/>
      <c r="AM1047"/>
      <c r="AN1047"/>
      <c r="AO1047"/>
    </row>
    <row r="1048" spans="1:41" ht="15">
      <c r="A1048"/>
      <c r="B1048"/>
      <c r="C1048" s="137"/>
      <c r="D1048" s="30"/>
      <c r="E1048" s="30"/>
      <c r="F1048" s="10"/>
      <c r="G1048" s="10"/>
      <c r="H1048" s="15"/>
      <c r="I1048" s="15"/>
      <c r="J1048" s="15"/>
      <c r="K1048" s="15"/>
      <c r="L1048" s="15"/>
      <c r="M1048" s="15"/>
      <c r="N1048" s="15"/>
      <c r="O1048" s="15"/>
      <c r="P1048" s="15"/>
      <c r="Q1048" s="71"/>
      <c r="R1048" s="84"/>
      <c r="S1048" s="10"/>
      <c r="T1048" s="10"/>
      <c r="U1048" s="10"/>
      <c r="V1048" s="10"/>
      <c r="W1048" s="138"/>
      <c r="Y1048"/>
      <c r="Z1048"/>
      <c r="AA1048"/>
      <c r="AB1048"/>
      <c r="AC1048"/>
      <c r="AD1048"/>
      <c r="AE1048"/>
      <c r="AF1048"/>
      <c r="AG1048"/>
      <c r="AH1048"/>
      <c r="AI1048"/>
      <c r="AJ1048"/>
      <c r="AK1048"/>
      <c r="AL1048"/>
      <c r="AM1048"/>
      <c r="AN1048"/>
      <c r="AO1048"/>
    </row>
    <row r="1049" spans="1:41" ht="15">
      <c r="A1049"/>
      <c r="B1049"/>
      <c r="C1049" s="137"/>
      <c r="D1049" s="30"/>
      <c r="E1049" s="30"/>
      <c r="F1049" s="10"/>
      <c r="G1049" s="10"/>
      <c r="H1049" s="15"/>
      <c r="I1049" s="15"/>
      <c r="J1049" s="15"/>
      <c r="K1049" s="15"/>
      <c r="L1049" s="15"/>
      <c r="M1049" s="15"/>
      <c r="N1049" s="15"/>
      <c r="O1049" s="15"/>
      <c r="P1049" s="15"/>
      <c r="Q1049" s="71"/>
      <c r="R1049" s="84"/>
      <c r="S1049" s="10"/>
      <c r="T1049" s="10"/>
      <c r="U1049" s="10"/>
      <c r="V1049" s="10"/>
      <c r="W1049" s="138"/>
      <c r="Y1049"/>
      <c r="Z1049"/>
      <c r="AA1049"/>
      <c r="AB1049"/>
      <c r="AC1049"/>
      <c r="AD1049"/>
      <c r="AE1049"/>
      <c r="AF1049"/>
      <c r="AG1049"/>
      <c r="AH1049"/>
      <c r="AI1049"/>
      <c r="AJ1049"/>
      <c r="AK1049"/>
      <c r="AL1049"/>
      <c r="AM1049"/>
      <c r="AN1049"/>
      <c r="AO1049"/>
    </row>
    <row r="1050" spans="1:41" ht="15">
      <c r="A1050"/>
      <c r="B1050"/>
      <c r="C1050" s="137"/>
      <c r="D1050" s="30"/>
      <c r="E1050" s="30"/>
      <c r="F1050" s="10"/>
      <c r="G1050" s="10"/>
      <c r="H1050" s="15"/>
      <c r="I1050" s="15"/>
      <c r="J1050" s="15"/>
      <c r="K1050" s="15"/>
      <c r="L1050" s="15"/>
      <c r="M1050" s="15"/>
      <c r="N1050" s="15"/>
      <c r="O1050" s="15"/>
      <c r="P1050" s="15"/>
      <c r="Q1050" s="71"/>
      <c r="R1050" s="84"/>
      <c r="S1050" s="10"/>
      <c r="T1050" s="10"/>
      <c r="U1050" s="10"/>
      <c r="V1050" s="10"/>
      <c r="W1050" s="138"/>
      <c r="Y1050"/>
      <c r="Z1050"/>
      <c r="AA1050"/>
      <c r="AB1050"/>
      <c r="AC1050"/>
      <c r="AD1050"/>
      <c r="AE1050"/>
      <c r="AF1050"/>
      <c r="AG1050"/>
      <c r="AH1050"/>
      <c r="AI1050"/>
      <c r="AJ1050"/>
      <c r="AK1050"/>
      <c r="AL1050"/>
      <c r="AM1050"/>
      <c r="AN1050"/>
      <c r="AO1050"/>
    </row>
    <row r="1051" spans="1:41" ht="15">
      <c r="A1051"/>
      <c r="B1051"/>
      <c r="C1051" s="137"/>
      <c r="D1051" s="30"/>
      <c r="E1051" s="30"/>
      <c r="F1051" s="10"/>
      <c r="G1051" s="10"/>
      <c r="H1051" s="15"/>
      <c r="I1051" s="15"/>
      <c r="J1051" s="15"/>
      <c r="K1051" s="15"/>
      <c r="L1051" s="15"/>
      <c r="M1051" s="15"/>
      <c r="N1051" s="15"/>
      <c r="O1051" s="15"/>
      <c r="P1051" s="15"/>
      <c r="Q1051" s="71"/>
      <c r="R1051" s="84"/>
      <c r="S1051" s="10"/>
      <c r="T1051" s="10"/>
      <c r="U1051" s="10"/>
      <c r="V1051" s="10"/>
      <c r="W1051" s="138"/>
      <c r="Y1051"/>
      <c r="Z1051"/>
      <c r="AA1051"/>
      <c r="AB1051"/>
      <c r="AC1051"/>
      <c r="AD1051"/>
      <c r="AE1051"/>
      <c r="AF1051"/>
      <c r="AG1051"/>
      <c r="AH1051"/>
      <c r="AI1051"/>
      <c r="AJ1051"/>
      <c r="AK1051"/>
      <c r="AL1051"/>
      <c r="AM1051"/>
      <c r="AN1051"/>
      <c r="AO1051"/>
    </row>
    <row r="1052" spans="1:41" ht="15">
      <c r="A1052"/>
      <c r="B1052"/>
      <c r="C1052" s="137"/>
      <c r="D1052" s="30"/>
      <c r="E1052" s="30"/>
      <c r="F1052" s="10"/>
      <c r="G1052" s="10"/>
      <c r="H1052" s="15"/>
      <c r="I1052" s="15"/>
      <c r="J1052" s="15"/>
      <c r="K1052" s="15"/>
      <c r="L1052" s="15"/>
      <c r="M1052" s="15"/>
      <c r="N1052" s="15"/>
      <c r="O1052" s="15"/>
      <c r="P1052" s="15"/>
      <c r="Q1052" s="71"/>
      <c r="R1052" s="84"/>
      <c r="S1052" s="10"/>
      <c r="T1052" s="10"/>
      <c r="U1052" s="10"/>
      <c r="V1052" s="10"/>
      <c r="W1052" s="138"/>
      <c r="Y1052"/>
      <c r="Z1052"/>
      <c r="AA1052"/>
      <c r="AB1052"/>
      <c r="AC1052"/>
      <c r="AD1052"/>
      <c r="AE1052"/>
      <c r="AF1052"/>
      <c r="AG1052"/>
      <c r="AH1052"/>
      <c r="AI1052"/>
      <c r="AJ1052"/>
      <c r="AK1052"/>
      <c r="AL1052"/>
      <c r="AM1052"/>
      <c r="AN1052"/>
      <c r="AO1052"/>
    </row>
    <row r="1053" spans="1:41" ht="15">
      <c r="A1053"/>
      <c r="B1053"/>
      <c r="C1053" s="137"/>
      <c r="D1053" s="30"/>
      <c r="E1053" s="30"/>
      <c r="F1053" s="10"/>
      <c r="G1053" s="10"/>
      <c r="H1053" s="15"/>
      <c r="I1053" s="15"/>
      <c r="J1053" s="15"/>
      <c r="K1053" s="15"/>
      <c r="L1053" s="15"/>
      <c r="M1053" s="15"/>
      <c r="N1053" s="15"/>
      <c r="O1053" s="15"/>
      <c r="P1053" s="15"/>
      <c r="Q1053" s="71"/>
      <c r="R1053" s="84"/>
      <c r="S1053" s="10"/>
      <c r="T1053" s="10"/>
      <c r="U1053" s="10"/>
      <c r="V1053" s="10"/>
      <c r="W1053" s="138"/>
      <c r="Y1053"/>
      <c r="Z1053"/>
      <c r="AA1053"/>
      <c r="AB1053"/>
      <c r="AC1053"/>
      <c r="AD1053"/>
      <c r="AE1053"/>
      <c r="AF1053"/>
      <c r="AG1053"/>
      <c r="AH1053"/>
      <c r="AI1053"/>
      <c r="AJ1053"/>
      <c r="AK1053"/>
      <c r="AL1053"/>
      <c r="AM1053"/>
      <c r="AN1053"/>
      <c r="AO1053"/>
    </row>
    <row r="1054" spans="1:41" ht="15">
      <c r="A1054"/>
      <c r="B1054"/>
      <c r="C1054" s="137"/>
      <c r="D1054" s="30"/>
      <c r="E1054" s="30"/>
      <c r="F1054" s="10"/>
      <c r="G1054" s="10"/>
      <c r="H1054" s="15"/>
      <c r="I1054" s="15"/>
      <c r="J1054" s="15"/>
      <c r="K1054" s="15"/>
      <c r="L1054" s="15"/>
      <c r="M1054" s="15"/>
      <c r="N1054" s="15"/>
      <c r="O1054" s="15"/>
      <c r="P1054" s="15"/>
      <c r="Q1054" s="71"/>
      <c r="R1054" s="84"/>
      <c r="S1054" s="10"/>
      <c r="T1054" s="10"/>
      <c r="U1054" s="10"/>
      <c r="V1054" s="10"/>
      <c r="W1054" s="138"/>
      <c r="Y1054"/>
      <c r="Z1054"/>
      <c r="AA1054"/>
      <c r="AB1054"/>
      <c r="AC1054"/>
      <c r="AD1054"/>
      <c r="AE1054"/>
      <c r="AF1054"/>
      <c r="AG1054"/>
      <c r="AH1054"/>
      <c r="AI1054"/>
      <c r="AJ1054"/>
      <c r="AK1054"/>
      <c r="AL1054"/>
      <c r="AM1054"/>
      <c r="AN1054"/>
      <c r="AO1054"/>
    </row>
    <row r="1055" spans="1:41" ht="15">
      <c r="A1055"/>
      <c r="B1055"/>
      <c r="C1055" s="137"/>
      <c r="D1055" s="30"/>
      <c r="E1055" s="30"/>
      <c r="F1055" s="10"/>
      <c r="G1055" s="10"/>
      <c r="H1055" s="15"/>
      <c r="I1055" s="15"/>
      <c r="J1055" s="15"/>
      <c r="K1055" s="15"/>
      <c r="L1055" s="15"/>
      <c r="M1055" s="15"/>
      <c r="N1055" s="15"/>
      <c r="O1055" s="15"/>
      <c r="P1055" s="15"/>
      <c r="Q1055" s="71"/>
      <c r="R1055" s="84"/>
      <c r="S1055" s="10"/>
      <c r="T1055" s="10"/>
      <c r="U1055" s="10"/>
      <c r="V1055" s="10"/>
      <c r="W1055" s="138"/>
      <c r="Y1055"/>
      <c r="Z1055"/>
      <c r="AA1055"/>
      <c r="AB1055"/>
      <c r="AC1055"/>
      <c r="AD1055"/>
      <c r="AE1055"/>
      <c r="AF1055"/>
      <c r="AG1055"/>
      <c r="AH1055"/>
      <c r="AI1055"/>
      <c r="AJ1055"/>
      <c r="AK1055"/>
      <c r="AL1055"/>
      <c r="AM1055"/>
      <c r="AN1055"/>
      <c r="AO1055"/>
    </row>
    <row r="1056" spans="1:41" ht="15">
      <c r="A1056"/>
      <c r="B1056"/>
      <c r="C1056" s="137"/>
      <c r="D1056" s="30"/>
      <c r="E1056" s="30"/>
      <c r="F1056" s="10"/>
      <c r="G1056" s="10"/>
      <c r="H1056" s="15"/>
      <c r="I1056" s="15"/>
      <c r="J1056" s="15"/>
      <c r="K1056" s="15"/>
      <c r="L1056" s="15"/>
      <c r="M1056" s="15"/>
      <c r="N1056" s="15"/>
      <c r="O1056" s="15"/>
      <c r="P1056" s="15"/>
      <c r="Q1056" s="71"/>
      <c r="R1056" s="84"/>
      <c r="S1056" s="10"/>
      <c r="T1056" s="10"/>
      <c r="U1056" s="10"/>
      <c r="V1056" s="10"/>
      <c r="W1056" s="138"/>
      <c r="Y1056"/>
      <c r="Z1056"/>
      <c r="AA1056"/>
      <c r="AB1056"/>
      <c r="AC1056"/>
      <c r="AD1056"/>
      <c r="AE1056"/>
      <c r="AF1056"/>
      <c r="AG1056"/>
      <c r="AH1056"/>
      <c r="AI1056"/>
      <c r="AJ1056"/>
      <c r="AK1056"/>
      <c r="AL1056"/>
      <c r="AM1056"/>
      <c r="AN1056"/>
      <c r="AO1056"/>
    </row>
    <row r="1057" spans="1:41" ht="15">
      <c r="A1057"/>
      <c r="B1057"/>
      <c r="C1057" s="137"/>
      <c r="D1057" s="30"/>
      <c r="E1057" s="30"/>
      <c r="F1057" s="10"/>
      <c r="G1057" s="10"/>
      <c r="H1057" s="15"/>
      <c r="I1057" s="15"/>
      <c r="J1057" s="15"/>
      <c r="K1057" s="15"/>
      <c r="L1057" s="15"/>
      <c r="M1057" s="15"/>
      <c r="N1057" s="15"/>
      <c r="O1057" s="15"/>
      <c r="P1057" s="15"/>
      <c r="Q1057" s="71"/>
      <c r="R1057" s="84"/>
      <c r="S1057" s="10"/>
      <c r="T1057" s="10"/>
      <c r="U1057" s="10"/>
      <c r="V1057" s="10"/>
      <c r="W1057" s="138"/>
      <c r="Y1057"/>
      <c r="Z1057"/>
      <c r="AA1057"/>
      <c r="AB1057"/>
      <c r="AC1057"/>
      <c r="AD1057"/>
      <c r="AE1057"/>
      <c r="AF1057"/>
      <c r="AG1057"/>
      <c r="AH1057"/>
      <c r="AI1057"/>
      <c r="AJ1057"/>
      <c r="AK1057"/>
      <c r="AL1057"/>
      <c r="AM1057"/>
      <c r="AN1057"/>
      <c r="AO1057"/>
    </row>
    <row r="1058" spans="1:41" ht="15">
      <c r="A1058"/>
      <c r="B1058"/>
      <c r="C1058" s="137"/>
      <c r="D1058" s="30"/>
      <c r="E1058" s="30"/>
      <c r="F1058" s="10"/>
      <c r="G1058" s="10"/>
      <c r="H1058" s="15"/>
      <c r="I1058" s="15"/>
      <c r="J1058" s="15"/>
      <c r="K1058" s="15"/>
      <c r="L1058" s="15"/>
      <c r="M1058" s="15"/>
      <c r="N1058" s="15"/>
      <c r="O1058" s="15"/>
      <c r="P1058" s="15"/>
      <c r="Q1058" s="71"/>
      <c r="R1058" s="84"/>
      <c r="S1058" s="10"/>
      <c r="T1058" s="10"/>
      <c r="U1058" s="10"/>
      <c r="V1058" s="10"/>
      <c r="W1058" s="138"/>
      <c r="Y1058"/>
      <c r="Z1058"/>
      <c r="AA1058"/>
      <c r="AB1058"/>
      <c r="AC1058"/>
      <c r="AD1058"/>
      <c r="AE1058"/>
      <c r="AF1058"/>
      <c r="AG1058"/>
      <c r="AH1058"/>
      <c r="AI1058"/>
      <c r="AJ1058"/>
      <c r="AK1058"/>
      <c r="AL1058"/>
      <c r="AM1058"/>
      <c r="AN1058"/>
      <c r="AO1058"/>
    </row>
    <row r="1059" spans="1:41" ht="15">
      <c r="A1059"/>
      <c r="B1059"/>
      <c r="C1059" s="137"/>
      <c r="D1059" s="30"/>
      <c r="E1059" s="30"/>
      <c r="F1059" s="10"/>
      <c r="G1059" s="10"/>
      <c r="H1059" s="15"/>
      <c r="I1059" s="15"/>
      <c r="J1059" s="15"/>
      <c r="K1059" s="15"/>
      <c r="L1059" s="15"/>
      <c r="M1059" s="15"/>
      <c r="N1059" s="15"/>
      <c r="O1059" s="15"/>
      <c r="P1059" s="15"/>
      <c r="Q1059" s="71"/>
      <c r="R1059" s="84"/>
      <c r="S1059" s="10"/>
      <c r="T1059" s="10"/>
      <c r="U1059" s="10"/>
      <c r="V1059" s="10"/>
      <c r="W1059" s="138"/>
      <c r="Y1059"/>
      <c r="Z1059"/>
      <c r="AA1059"/>
      <c r="AB1059"/>
      <c r="AC1059"/>
      <c r="AD1059"/>
      <c r="AE1059"/>
      <c r="AF1059"/>
      <c r="AG1059"/>
      <c r="AH1059"/>
      <c r="AI1059"/>
      <c r="AJ1059"/>
      <c r="AK1059"/>
      <c r="AL1059"/>
      <c r="AM1059"/>
      <c r="AN1059"/>
      <c r="AO1059"/>
    </row>
    <row r="1060" spans="1:41" ht="15">
      <c r="A1060"/>
      <c r="B1060"/>
      <c r="C1060" s="137"/>
      <c r="D1060" s="30"/>
      <c r="E1060" s="30"/>
      <c r="F1060" s="10"/>
      <c r="G1060" s="10"/>
      <c r="H1060" s="15"/>
      <c r="I1060" s="15"/>
      <c r="J1060" s="15"/>
      <c r="K1060" s="15"/>
      <c r="L1060" s="15"/>
      <c r="M1060" s="15"/>
      <c r="N1060" s="15"/>
      <c r="O1060" s="15"/>
      <c r="P1060" s="15"/>
      <c r="Q1060" s="71"/>
      <c r="R1060" s="84"/>
      <c r="S1060" s="10"/>
      <c r="T1060" s="10"/>
      <c r="U1060" s="10"/>
      <c r="V1060" s="10"/>
      <c r="W1060" s="138"/>
      <c r="Y1060"/>
      <c r="Z1060"/>
      <c r="AA1060"/>
      <c r="AB1060"/>
      <c r="AC1060"/>
      <c r="AD1060"/>
      <c r="AE1060"/>
      <c r="AF1060"/>
      <c r="AG1060"/>
      <c r="AH1060"/>
      <c r="AI1060"/>
      <c r="AJ1060"/>
      <c r="AK1060"/>
      <c r="AL1060"/>
      <c r="AM1060"/>
      <c r="AN1060"/>
      <c r="AO1060"/>
    </row>
    <row r="1061" spans="1:41" ht="15">
      <c r="A1061"/>
      <c r="B1061"/>
      <c r="C1061" s="137"/>
      <c r="D1061" s="30"/>
      <c r="E1061" s="30"/>
      <c r="F1061" s="10"/>
      <c r="G1061" s="10"/>
      <c r="H1061" s="15"/>
      <c r="I1061" s="15"/>
      <c r="J1061" s="15"/>
      <c r="K1061" s="15"/>
      <c r="L1061" s="15"/>
      <c r="M1061" s="15"/>
      <c r="N1061" s="15"/>
      <c r="O1061" s="15"/>
      <c r="P1061" s="15"/>
      <c r="Q1061" s="71"/>
      <c r="R1061" s="84"/>
      <c r="S1061" s="10"/>
      <c r="T1061" s="10"/>
      <c r="U1061" s="10"/>
      <c r="V1061" s="10"/>
      <c r="W1061" s="138"/>
      <c r="Y1061"/>
      <c r="Z1061"/>
      <c r="AA1061"/>
      <c r="AB1061"/>
      <c r="AC1061"/>
      <c r="AD1061"/>
      <c r="AE1061"/>
      <c r="AF1061"/>
      <c r="AG1061"/>
      <c r="AH1061"/>
      <c r="AI1061"/>
      <c r="AJ1061"/>
      <c r="AK1061"/>
      <c r="AL1061"/>
      <c r="AM1061"/>
      <c r="AN1061"/>
      <c r="AO1061"/>
    </row>
    <row r="1062" spans="1:41" ht="15">
      <c r="A1062"/>
      <c r="B1062"/>
      <c r="C1062" s="137"/>
      <c r="D1062" s="30"/>
      <c r="E1062" s="30"/>
      <c r="F1062" s="10"/>
      <c r="G1062" s="10"/>
      <c r="H1062" s="15"/>
      <c r="I1062" s="15"/>
      <c r="J1062" s="15"/>
      <c r="K1062" s="15"/>
      <c r="L1062" s="15"/>
      <c r="M1062" s="15"/>
      <c r="N1062" s="15"/>
      <c r="O1062" s="15"/>
      <c r="P1062" s="15"/>
      <c r="Q1062" s="71"/>
      <c r="R1062" s="84"/>
      <c r="S1062" s="10"/>
      <c r="T1062" s="10"/>
      <c r="U1062" s="10"/>
      <c r="V1062" s="10"/>
      <c r="W1062" s="138"/>
      <c r="Y1062"/>
      <c r="Z1062"/>
      <c r="AA1062"/>
      <c r="AB1062"/>
      <c r="AC1062"/>
      <c r="AD1062"/>
      <c r="AE1062"/>
      <c r="AF1062"/>
      <c r="AG1062"/>
      <c r="AH1062"/>
      <c r="AI1062"/>
      <c r="AJ1062"/>
      <c r="AK1062"/>
      <c r="AL1062"/>
      <c r="AM1062"/>
      <c r="AN1062"/>
      <c r="AO1062"/>
    </row>
    <row r="1063" spans="1:41" ht="15">
      <c r="A1063"/>
      <c r="B1063"/>
      <c r="C1063" s="137"/>
      <c r="D1063" s="30"/>
      <c r="E1063" s="30"/>
      <c r="F1063" s="10"/>
      <c r="G1063" s="10"/>
      <c r="H1063" s="15"/>
      <c r="I1063" s="15"/>
      <c r="J1063" s="15"/>
      <c r="K1063" s="15"/>
      <c r="L1063" s="15"/>
      <c r="M1063" s="15"/>
      <c r="N1063" s="15"/>
      <c r="O1063" s="15"/>
      <c r="P1063" s="15"/>
      <c r="Q1063" s="71"/>
      <c r="R1063" s="84"/>
      <c r="S1063" s="10"/>
      <c r="T1063" s="10"/>
      <c r="U1063" s="10"/>
      <c r="V1063" s="10"/>
      <c r="W1063" s="138"/>
      <c r="Y1063"/>
      <c r="Z1063"/>
      <c r="AA1063"/>
      <c r="AB1063"/>
      <c r="AC1063"/>
      <c r="AD1063"/>
      <c r="AE1063"/>
      <c r="AF1063"/>
      <c r="AG1063"/>
      <c r="AH1063"/>
      <c r="AI1063"/>
      <c r="AJ1063"/>
      <c r="AK1063"/>
      <c r="AL1063"/>
      <c r="AM1063"/>
      <c r="AN1063"/>
      <c r="AO1063"/>
    </row>
    <row r="1064" spans="1:41" ht="15">
      <c r="A1064"/>
      <c r="B1064"/>
      <c r="C1064" s="137"/>
      <c r="D1064" s="30"/>
      <c r="E1064" s="30"/>
      <c r="F1064" s="10"/>
      <c r="G1064" s="10"/>
      <c r="H1064" s="15"/>
      <c r="I1064" s="15"/>
      <c r="J1064" s="15"/>
      <c r="K1064" s="15"/>
      <c r="L1064" s="15"/>
      <c r="M1064" s="15"/>
      <c r="N1064" s="15"/>
      <c r="O1064" s="15"/>
      <c r="P1064" s="15"/>
      <c r="Q1064" s="71"/>
      <c r="R1064" s="84"/>
      <c r="S1064" s="10"/>
      <c r="T1064" s="10"/>
      <c r="U1064" s="10"/>
      <c r="V1064" s="10"/>
      <c r="W1064" s="138"/>
      <c r="Y1064"/>
      <c r="Z1064"/>
      <c r="AA1064"/>
      <c r="AB1064"/>
      <c r="AC1064"/>
      <c r="AD1064"/>
      <c r="AE1064"/>
      <c r="AF1064"/>
      <c r="AG1064"/>
      <c r="AH1064"/>
      <c r="AI1064"/>
      <c r="AJ1064"/>
      <c r="AK1064"/>
      <c r="AL1064"/>
      <c r="AM1064"/>
      <c r="AN1064"/>
      <c r="AO1064"/>
    </row>
    <row r="1065" spans="1:41" ht="15">
      <c r="A1065"/>
      <c r="B1065"/>
      <c r="C1065" s="137"/>
      <c r="D1065" s="30"/>
      <c r="E1065" s="30"/>
      <c r="F1065" s="10"/>
      <c r="G1065" s="10"/>
      <c r="H1065" s="15"/>
      <c r="I1065" s="15"/>
      <c r="J1065" s="15"/>
      <c r="K1065" s="15"/>
      <c r="L1065" s="15"/>
      <c r="M1065" s="15"/>
      <c r="N1065" s="15"/>
      <c r="O1065" s="15"/>
      <c r="P1065" s="15"/>
      <c r="Q1065" s="71"/>
      <c r="R1065" s="84"/>
      <c r="S1065" s="10"/>
      <c r="T1065" s="10"/>
      <c r="U1065" s="10"/>
      <c r="V1065" s="10"/>
      <c r="W1065" s="138"/>
      <c r="Y1065"/>
      <c r="Z1065"/>
      <c r="AA1065"/>
      <c r="AB1065"/>
      <c r="AC1065"/>
      <c r="AD1065"/>
      <c r="AE1065"/>
      <c r="AF1065"/>
      <c r="AG1065"/>
      <c r="AH1065"/>
      <c r="AI1065"/>
      <c r="AJ1065"/>
      <c r="AK1065"/>
      <c r="AL1065"/>
      <c r="AM1065"/>
      <c r="AN1065"/>
      <c r="AO1065"/>
    </row>
    <row r="1066" spans="1:41" ht="15">
      <c r="A1066"/>
      <c r="B1066"/>
      <c r="C1066" s="137"/>
      <c r="D1066" s="30"/>
      <c r="E1066" s="30"/>
      <c r="F1066" s="10"/>
      <c r="G1066" s="10"/>
      <c r="H1066" s="15"/>
      <c r="I1066" s="15"/>
      <c r="J1066" s="15"/>
      <c r="K1066" s="15"/>
      <c r="L1066" s="15"/>
      <c r="M1066" s="15"/>
      <c r="N1066" s="15"/>
      <c r="O1066" s="15"/>
      <c r="P1066" s="15"/>
      <c r="Q1066" s="71"/>
      <c r="R1066" s="84"/>
      <c r="S1066" s="10"/>
      <c r="T1066" s="10"/>
      <c r="U1066" s="10"/>
      <c r="V1066" s="10"/>
      <c r="W1066" s="138"/>
      <c r="Y1066"/>
      <c r="Z1066"/>
      <c r="AA1066"/>
      <c r="AB1066"/>
      <c r="AC1066"/>
      <c r="AD1066"/>
      <c r="AE1066"/>
      <c r="AF1066"/>
      <c r="AG1066"/>
      <c r="AH1066"/>
      <c r="AI1066"/>
      <c r="AJ1066"/>
      <c r="AK1066"/>
      <c r="AL1066"/>
      <c r="AM1066"/>
      <c r="AN1066"/>
      <c r="AO1066"/>
    </row>
    <row r="1067" spans="1:41" ht="15">
      <c r="A1067"/>
      <c r="B1067"/>
      <c r="C1067" s="137"/>
      <c r="D1067" s="30"/>
      <c r="E1067" s="30"/>
      <c r="F1067" s="10"/>
      <c r="G1067" s="10"/>
      <c r="H1067" s="15"/>
      <c r="I1067" s="15"/>
      <c r="J1067" s="15"/>
      <c r="K1067" s="15"/>
      <c r="L1067" s="15"/>
      <c r="M1067" s="15"/>
      <c r="N1067" s="15"/>
      <c r="O1067" s="15"/>
      <c r="P1067" s="15"/>
      <c r="Q1067" s="71"/>
      <c r="R1067" s="84"/>
      <c r="S1067" s="10"/>
      <c r="T1067" s="10"/>
      <c r="U1067" s="10"/>
      <c r="V1067" s="10"/>
      <c r="W1067" s="138"/>
      <c r="Y1067"/>
      <c r="Z1067"/>
      <c r="AA1067"/>
      <c r="AB1067"/>
      <c r="AC1067"/>
      <c r="AD1067"/>
      <c r="AE1067"/>
      <c r="AF1067"/>
      <c r="AG1067"/>
      <c r="AH1067"/>
      <c r="AI1067"/>
      <c r="AJ1067"/>
      <c r="AK1067"/>
      <c r="AL1067"/>
      <c r="AM1067"/>
      <c r="AN1067"/>
      <c r="AO1067"/>
    </row>
    <row r="1068" spans="1:41" ht="15">
      <c r="A1068"/>
      <c r="B1068"/>
      <c r="C1068" s="137"/>
      <c r="D1068" s="30"/>
      <c r="E1068" s="30"/>
      <c r="F1068" s="10"/>
      <c r="G1068" s="10"/>
      <c r="H1068" s="15"/>
      <c r="I1068" s="15"/>
      <c r="J1068" s="15"/>
      <c r="K1068" s="15"/>
      <c r="L1068" s="15"/>
      <c r="M1068" s="15"/>
      <c r="N1068" s="15"/>
      <c r="O1068" s="15"/>
      <c r="P1068" s="15"/>
      <c r="Q1068" s="71"/>
      <c r="R1068" s="84"/>
      <c r="S1068" s="10"/>
      <c r="T1068" s="10"/>
      <c r="U1068" s="10"/>
      <c r="V1068" s="10"/>
      <c r="W1068" s="138"/>
      <c r="Y1068"/>
      <c r="Z1068"/>
      <c r="AA1068"/>
      <c r="AB1068"/>
      <c r="AC1068"/>
      <c r="AD1068"/>
      <c r="AE1068"/>
      <c r="AF1068"/>
      <c r="AG1068"/>
      <c r="AH1068"/>
      <c r="AI1068"/>
      <c r="AJ1068"/>
      <c r="AK1068"/>
      <c r="AL1068"/>
      <c r="AM1068"/>
      <c r="AN1068"/>
      <c r="AO1068"/>
    </row>
    <row r="1069" spans="1:41" ht="15">
      <c r="A1069"/>
      <c r="B1069"/>
      <c r="C1069" s="137"/>
      <c r="D1069" s="30"/>
      <c r="E1069" s="30"/>
      <c r="F1069" s="10"/>
      <c r="G1069" s="10"/>
      <c r="H1069" s="15"/>
      <c r="I1069" s="15"/>
      <c r="J1069" s="15"/>
      <c r="K1069" s="15"/>
      <c r="L1069" s="15"/>
      <c r="M1069" s="15"/>
      <c r="N1069" s="15"/>
      <c r="O1069" s="15"/>
      <c r="P1069" s="15"/>
      <c r="Q1069" s="71"/>
      <c r="R1069" s="84"/>
      <c r="S1069" s="10"/>
      <c r="T1069" s="10"/>
      <c r="U1069" s="10"/>
      <c r="V1069" s="10"/>
      <c r="W1069" s="138"/>
      <c r="Y1069"/>
      <c r="Z1069"/>
      <c r="AA1069"/>
      <c r="AB1069"/>
      <c r="AC1069"/>
      <c r="AD1069"/>
      <c r="AE1069"/>
      <c r="AF1069"/>
      <c r="AG1069"/>
      <c r="AH1069"/>
      <c r="AI1069"/>
      <c r="AJ1069"/>
      <c r="AK1069"/>
      <c r="AL1069"/>
      <c r="AM1069"/>
      <c r="AN1069"/>
      <c r="AO1069"/>
    </row>
    <row r="1070" spans="1:41" ht="15">
      <c r="A1070"/>
      <c r="B1070"/>
      <c r="C1070" s="137"/>
      <c r="D1070" s="30"/>
      <c r="E1070" s="30"/>
      <c r="F1070" s="10"/>
      <c r="G1070" s="10"/>
      <c r="H1070" s="15"/>
      <c r="I1070" s="15"/>
      <c r="J1070" s="15"/>
      <c r="K1070" s="15"/>
      <c r="L1070" s="15"/>
      <c r="M1070" s="15"/>
      <c r="N1070" s="15"/>
      <c r="O1070" s="15"/>
      <c r="P1070" s="15"/>
      <c r="Q1070" s="71"/>
      <c r="R1070" s="84"/>
      <c r="S1070" s="10"/>
      <c r="T1070" s="10"/>
      <c r="U1070" s="10"/>
      <c r="V1070" s="10"/>
      <c r="W1070" s="138"/>
      <c r="Y1070"/>
      <c r="Z1070"/>
      <c r="AA1070"/>
      <c r="AB1070"/>
      <c r="AC1070"/>
      <c r="AD1070"/>
      <c r="AE1070"/>
      <c r="AF1070"/>
      <c r="AG1070"/>
      <c r="AH1070"/>
      <c r="AI1070"/>
      <c r="AJ1070"/>
      <c r="AK1070"/>
      <c r="AL1070"/>
      <c r="AM1070"/>
      <c r="AN1070"/>
      <c r="AO1070"/>
    </row>
    <row r="1071" spans="1:41" ht="15">
      <c r="A1071"/>
      <c r="B1071"/>
      <c r="C1071" s="137"/>
      <c r="D1071" s="30"/>
      <c r="E1071" s="30"/>
      <c r="F1071" s="10"/>
      <c r="G1071" s="10"/>
      <c r="H1071" s="15"/>
      <c r="I1071" s="15"/>
      <c r="J1071" s="15"/>
      <c r="K1071" s="15"/>
      <c r="L1071" s="15"/>
      <c r="M1071" s="15"/>
      <c r="N1071" s="15"/>
      <c r="O1071" s="15"/>
      <c r="P1071" s="15"/>
      <c r="Q1071" s="71"/>
      <c r="R1071" s="84"/>
      <c r="S1071" s="10"/>
      <c r="T1071" s="10"/>
      <c r="U1071" s="10"/>
      <c r="V1071" s="10"/>
      <c r="W1071" s="138"/>
      <c r="Y1071"/>
      <c r="Z1071"/>
      <c r="AA1071"/>
      <c r="AB1071"/>
      <c r="AC1071"/>
      <c r="AD1071"/>
      <c r="AE1071"/>
      <c r="AF1071"/>
      <c r="AG1071"/>
      <c r="AH1071"/>
      <c r="AI1071"/>
      <c r="AJ1071"/>
      <c r="AK1071"/>
      <c r="AL1071"/>
      <c r="AM1071"/>
      <c r="AN1071"/>
      <c r="AO1071"/>
    </row>
    <row r="1072" spans="1:41" ht="15">
      <c r="A1072"/>
      <c r="B1072"/>
      <c r="C1072" s="137"/>
      <c r="D1072" s="30"/>
      <c r="E1072" s="30"/>
      <c r="F1072" s="10"/>
      <c r="G1072" s="10"/>
      <c r="H1072" s="15"/>
      <c r="I1072" s="15"/>
      <c r="J1072" s="15"/>
      <c r="K1072" s="15"/>
      <c r="L1072" s="15"/>
      <c r="M1072" s="15"/>
      <c r="N1072" s="15"/>
      <c r="O1072" s="15"/>
      <c r="P1072" s="15"/>
      <c r="Q1072" s="71"/>
      <c r="R1072" s="84"/>
      <c r="S1072" s="10"/>
      <c r="T1072" s="10"/>
      <c r="U1072" s="10"/>
      <c r="V1072" s="10"/>
      <c r="W1072" s="138"/>
      <c r="Y1072"/>
      <c r="Z1072"/>
      <c r="AA1072"/>
      <c r="AB1072"/>
      <c r="AC1072"/>
      <c r="AD1072"/>
      <c r="AE1072"/>
      <c r="AF1072"/>
      <c r="AG1072"/>
      <c r="AH1072"/>
      <c r="AI1072"/>
      <c r="AJ1072"/>
      <c r="AK1072"/>
      <c r="AL1072"/>
      <c r="AM1072"/>
      <c r="AN1072"/>
      <c r="AO1072"/>
    </row>
    <row r="1073" spans="1:41" ht="15">
      <c r="A1073"/>
      <c r="B1073"/>
      <c r="C1073" s="137"/>
      <c r="D1073" s="30"/>
      <c r="E1073" s="30"/>
      <c r="F1073" s="10"/>
      <c r="G1073" s="10"/>
      <c r="H1073" s="15"/>
      <c r="I1073" s="15"/>
      <c r="J1073" s="15"/>
      <c r="K1073" s="15"/>
      <c r="L1073" s="15"/>
      <c r="M1073" s="15"/>
      <c r="N1073" s="15"/>
      <c r="O1073" s="15"/>
      <c r="P1073" s="15"/>
      <c r="Q1073" s="71"/>
      <c r="R1073" s="84"/>
      <c r="S1073" s="10"/>
      <c r="T1073" s="10"/>
      <c r="U1073" s="10"/>
      <c r="V1073" s="10"/>
      <c r="W1073" s="138"/>
      <c r="Y1073"/>
      <c r="Z1073"/>
      <c r="AA1073"/>
      <c r="AB1073"/>
      <c r="AC1073"/>
      <c r="AD1073"/>
      <c r="AE1073"/>
      <c r="AF1073"/>
      <c r="AG1073"/>
      <c r="AH1073"/>
      <c r="AI1073"/>
      <c r="AJ1073"/>
      <c r="AK1073"/>
      <c r="AL1073"/>
      <c r="AM1073"/>
      <c r="AN1073"/>
      <c r="AO1073"/>
    </row>
    <row r="1074" spans="1:41" ht="15">
      <c r="A1074"/>
      <c r="B1074"/>
      <c r="C1074" s="137"/>
      <c r="D1074" s="30"/>
      <c r="E1074" s="30"/>
      <c r="F1074" s="10"/>
      <c r="G1074" s="10"/>
      <c r="H1074" s="15"/>
      <c r="I1074" s="15"/>
      <c r="J1074" s="15"/>
      <c r="K1074" s="15"/>
      <c r="L1074" s="15"/>
      <c r="M1074" s="15"/>
      <c r="N1074" s="15"/>
      <c r="O1074" s="15"/>
      <c r="P1074" s="15"/>
      <c r="Q1074" s="71"/>
      <c r="R1074" s="84"/>
      <c r="S1074" s="10"/>
      <c r="T1074" s="10"/>
      <c r="U1074" s="10"/>
      <c r="V1074" s="10"/>
      <c r="W1074" s="138"/>
      <c r="Y1074"/>
      <c r="Z1074"/>
      <c r="AA1074"/>
      <c r="AB1074"/>
      <c r="AC1074"/>
      <c r="AD1074"/>
      <c r="AE1074"/>
      <c r="AF1074"/>
      <c r="AG1074"/>
      <c r="AH1074"/>
      <c r="AI1074"/>
      <c r="AJ1074"/>
      <c r="AK1074"/>
      <c r="AL1074"/>
      <c r="AM1074"/>
      <c r="AN1074"/>
      <c r="AO1074"/>
    </row>
    <row r="1075" spans="1:41" ht="15">
      <c r="A1075"/>
      <c r="B1075"/>
      <c r="C1075" s="137"/>
      <c r="D1075" s="30"/>
      <c r="E1075" s="30"/>
      <c r="F1075" s="10"/>
      <c r="G1075" s="10"/>
      <c r="H1075" s="15"/>
      <c r="I1075" s="15"/>
      <c r="J1075" s="15"/>
      <c r="K1075" s="15"/>
      <c r="L1075" s="15"/>
      <c r="M1075" s="15"/>
      <c r="N1075" s="15"/>
      <c r="O1075" s="15"/>
      <c r="P1075" s="15"/>
      <c r="Q1075" s="71"/>
      <c r="R1075" s="84"/>
      <c r="S1075" s="10"/>
      <c r="T1075" s="10"/>
      <c r="U1075" s="10"/>
      <c r="V1075" s="10"/>
      <c r="W1075" s="138"/>
      <c r="Y1075"/>
      <c r="Z1075"/>
      <c r="AA1075"/>
      <c r="AB1075"/>
      <c r="AC1075"/>
      <c r="AD1075"/>
      <c r="AE1075"/>
      <c r="AF1075"/>
      <c r="AG1075"/>
      <c r="AH1075"/>
      <c r="AI1075"/>
      <c r="AJ1075"/>
      <c r="AK1075"/>
      <c r="AL1075"/>
      <c r="AM1075"/>
      <c r="AN1075"/>
      <c r="AO1075"/>
    </row>
    <row r="1076" spans="1:41" ht="15">
      <c r="A1076"/>
      <c r="B1076"/>
      <c r="C1076" s="137"/>
      <c r="D1076" s="30"/>
      <c r="E1076" s="30"/>
      <c r="F1076" s="10"/>
      <c r="G1076" s="10"/>
      <c r="H1076" s="15"/>
      <c r="I1076" s="15"/>
      <c r="J1076" s="15"/>
      <c r="K1076" s="15"/>
      <c r="L1076" s="15"/>
      <c r="M1076" s="15"/>
      <c r="N1076" s="15"/>
      <c r="O1076" s="15"/>
      <c r="P1076" s="15"/>
      <c r="Q1076" s="71"/>
      <c r="R1076" s="84"/>
      <c r="S1076" s="10"/>
      <c r="T1076" s="10"/>
      <c r="U1076" s="10"/>
      <c r="V1076" s="10"/>
      <c r="W1076" s="138"/>
      <c r="Y1076"/>
      <c r="Z1076"/>
      <c r="AA1076"/>
      <c r="AB1076"/>
      <c r="AC1076"/>
      <c r="AD1076"/>
      <c r="AE1076"/>
      <c r="AF1076"/>
      <c r="AG1076"/>
      <c r="AH1076"/>
      <c r="AI1076"/>
      <c r="AJ1076"/>
      <c r="AK1076"/>
      <c r="AL1076"/>
      <c r="AM1076"/>
      <c r="AN1076"/>
      <c r="AO1076"/>
    </row>
    <row r="1077" spans="1:41" ht="15">
      <c r="A1077"/>
      <c r="B1077"/>
      <c r="C1077" s="137"/>
      <c r="D1077" s="30"/>
      <c r="E1077" s="30"/>
      <c r="F1077" s="10"/>
      <c r="G1077" s="10"/>
      <c r="H1077" s="15"/>
      <c r="I1077" s="15"/>
      <c r="J1077" s="15"/>
      <c r="K1077" s="15"/>
      <c r="L1077" s="15"/>
      <c r="M1077" s="15"/>
      <c r="N1077" s="15"/>
      <c r="O1077" s="15"/>
      <c r="P1077" s="15"/>
      <c r="Q1077" s="71"/>
      <c r="R1077" s="84"/>
      <c r="S1077" s="10"/>
      <c r="T1077" s="10"/>
      <c r="U1077" s="10"/>
      <c r="V1077" s="10"/>
      <c r="W1077" s="138"/>
      <c r="Y1077"/>
      <c r="Z1077"/>
      <c r="AA1077"/>
      <c r="AB1077"/>
      <c r="AC1077"/>
      <c r="AD1077"/>
      <c r="AE1077"/>
      <c r="AF1077"/>
      <c r="AG1077"/>
      <c r="AH1077"/>
      <c r="AI1077"/>
      <c r="AJ1077"/>
      <c r="AK1077"/>
      <c r="AL1077"/>
      <c r="AM1077"/>
      <c r="AN1077"/>
      <c r="AO1077"/>
    </row>
    <row r="1078" spans="1:41" ht="15">
      <c r="A1078"/>
      <c r="B1078"/>
      <c r="C1078" s="137"/>
      <c r="D1078" s="30"/>
      <c r="E1078" s="30"/>
      <c r="F1078" s="10"/>
      <c r="G1078" s="10"/>
      <c r="H1078" s="15"/>
      <c r="I1078" s="15"/>
      <c r="J1078" s="15"/>
      <c r="K1078" s="15"/>
      <c r="L1078" s="15"/>
      <c r="M1078" s="15"/>
      <c r="N1078" s="15"/>
      <c r="O1078" s="15"/>
      <c r="P1078" s="15"/>
      <c r="Q1078" s="71"/>
      <c r="R1078" s="84"/>
      <c r="S1078" s="10"/>
      <c r="T1078" s="10"/>
      <c r="U1078" s="10"/>
      <c r="V1078" s="10"/>
      <c r="W1078" s="138"/>
      <c r="Y1078"/>
      <c r="Z1078"/>
      <c r="AA1078"/>
      <c r="AB1078"/>
      <c r="AC1078"/>
      <c r="AD1078"/>
      <c r="AE1078"/>
      <c r="AF1078"/>
      <c r="AG1078"/>
      <c r="AH1078"/>
      <c r="AI1078"/>
      <c r="AJ1078"/>
      <c r="AK1078"/>
      <c r="AL1078"/>
      <c r="AM1078"/>
      <c r="AN1078"/>
      <c r="AO1078"/>
    </row>
    <row r="1079" spans="1:41" ht="15">
      <c r="A1079"/>
      <c r="B1079"/>
      <c r="C1079" s="137"/>
      <c r="D1079" s="30"/>
      <c r="E1079" s="30"/>
      <c r="F1079" s="10"/>
      <c r="G1079" s="10"/>
      <c r="H1079" s="15"/>
      <c r="I1079" s="15"/>
      <c r="J1079" s="15"/>
      <c r="K1079" s="15"/>
      <c r="L1079" s="15"/>
      <c r="M1079" s="15"/>
      <c r="N1079" s="15"/>
      <c r="O1079" s="15"/>
      <c r="P1079" s="15"/>
      <c r="Q1079" s="71"/>
      <c r="R1079" s="84"/>
      <c r="S1079" s="10"/>
      <c r="T1079" s="10"/>
      <c r="U1079" s="10"/>
      <c r="V1079" s="10"/>
      <c r="W1079" s="138"/>
      <c r="Y1079"/>
      <c r="Z1079"/>
      <c r="AA1079"/>
      <c r="AB1079"/>
      <c r="AC1079"/>
      <c r="AD1079"/>
      <c r="AE1079"/>
      <c r="AF1079"/>
      <c r="AG1079"/>
      <c r="AH1079"/>
      <c r="AI1079"/>
      <c r="AJ1079"/>
      <c r="AK1079"/>
      <c r="AL1079"/>
      <c r="AM1079"/>
      <c r="AN1079"/>
      <c r="AO1079"/>
    </row>
    <row r="1080" spans="1:41" ht="15">
      <c r="A1080"/>
      <c r="B1080"/>
      <c r="C1080" s="137"/>
      <c r="D1080" s="30"/>
      <c r="E1080" s="30"/>
      <c r="F1080" s="10"/>
      <c r="G1080" s="10"/>
      <c r="H1080" s="15"/>
      <c r="I1080" s="15"/>
      <c r="J1080" s="15"/>
      <c r="K1080" s="15"/>
      <c r="L1080" s="15"/>
      <c r="M1080" s="15"/>
      <c r="N1080" s="15"/>
      <c r="O1080" s="15"/>
      <c r="P1080" s="15"/>
      <c r="Q1080" s="71"/>
      <c r="R1080" s="84"/>
      <c r="S1080" s="10"/>
      <c r="T1080" s="10"/>
      <c r="U1080" s="10"/>
      <c r="V1080" s="10"/>
      <c r="W1080" s="138"/>
      <c r="Y1080"/>
      <c r="Z1080"/>
      <c r="AA1080"/>
      <c r="AB1080"/>
      <c r="AC1080"/>
      <c r="AD1080"/>
      <c r="AE1080"/>
      <c r="AF1080"/>
      <c r="AG1080"/>
      <c r="AH1080"/>
      <c r="AI1080"/>
      <c r="AJ1080"/>
      <c r="AK1080"/>
      <c r="AL1080"/>
      <c r="AM1080"/>
      <c r="AN1080"/>
      <c r="AO1080"/>
    </row>
    <row r="1081" spans="1:41" ht="15">
      <c r="A1081"/>
      <c r="B1081"/>
      <c r="C1081" s="137"/>
      <c r="D1081" s="30"/>
      <c r="E1081" s="30"/>
      <c r="F1081" s="10"/>
      <c r="G1081" s="10"/>
      <c r="H1081" s="15"/>
      <c r="I1081" s="15"/>
      <c r="J1081" s="15"/>
      <c r="K1081" s="15"/>
      <c r="L1081" s="15"/>
      <c r="M1081" s="15"/>
      <c r="N1081" s="15"/>
      <c r="O1081" s="15"/>
      <c r="P1081" s="15"/>
      <c r="Q1081" s="71"/>
      <c r="R1081" s="84"/>
      <c r="S1081" s="10"/>
      <c r="T1081" s="10"/>
      <c r="U1081" s="10"/>
      <c r="V1081" s="10"/>
      <c r="W1081" s="138"/>
      <c r="Y1081"/>
      <c r="Z1081"/>
      <c r="AA1081"/>
      <c r="AB1081"/>
      <c r="AC1081"/>
      <c r="AD1081"/>
      <c r="AE1081"/>
      <c r="AF1081"/>
      <c r="AG1081"/>
      <c r="AH1081"/>
      <c r="AI1081"/>
      <c r="AJ1081"/>
      <c r="AK1081"/>
      <c r="AL1081"/>
      <c r="AM1081"/>
      <c r="AN1081"/>
      <c r="AO1081"/>
    </row>
    <row r="1082" spans="1:41" ht="15">
      <c r="A1082"/>
      <c r="B1082"/>
      <c r="C1082" s="137"/>
      <c r="D1082" s="30"/>
      <c r="E1082" s="30"/>
      <c r="F1082" s="10"/>
      <c r="G1082" s="10"/>
      <c r="H1082" s="15"/>
      <c r="I1082" s="15"/>
      <c r="J1082" s="15"/>
      <c r="K1082" s="15"/>
      <c r="L1082" s="15"/>
      <c r="M1082" s="15"/>
      <c r="N1082" s="15"/>
      <c r="O1082" s="15"/>
      <c r="P1082" s="15"/>
      <c r="Q1082" s="71"/>
      <c r="R1082" s="84"/>
      <c r="S1082" s="10"/>
      <c r="T1082" s="10"/>
      <c r="U1082" s="10"/>
      <c r="V1082" s="10"/>
      <c r="W1082" s="138"/>
      <c r="Y1082"/>
      <c r="Z1082"/>
      <c r="AA1082"/>
      <c r="AB1082"/>
      <c r="AC1082"/>
      <c r="AD1082"/>
      <c r="AE1082"/>
      <c r="AF1082"/>
      <c r="AG1082"/>
      <c r="AH1082"/>
      <c r="AI1082"/>
      <c r="AJ1082"/>
      <c r="AK1082"/>
      <c r="AL1082"/>
      <c r="AM1082"/>
      <c r="AN1082"/>
      <c r="AO1082"/>
    </row>
    <row r="1083" spans="1:41" ht="15">
      <c r="A1083"/>
      <c r="B1083"/>
      <c r="C1083" s="137"/>
      <c r="D1083" s="30"/>
      <c r="E1083" s="30"/>
      <c r="F1083" s="10"/>
      <c r="G1083" s="10"/>
      <c r="H1083" s="15"/>
      <c r="I1083" s="15"/>
      <c r="J1083" s="15"/>
      <c r="K1083" s="15"/>
      <c r="L1083" s="15"/>
      <c r="M1083" s="15"/>
      <c r="N1083" s="15"/>
      <c r="O1083" s="15"/>
      <c r="P1083" s="15"/>
      <c r="Q1083" s="71"/>
      <c r="R1083" s="84"/>
      <c r="S1083" s="10"/>
      <c r="T1083" s="10"/>
      <c r="U1083" s="10"/>
      <c r="V1083" s="10"/>
      <c r="W1083" s="138"/>
      <c r="Y1083"/>
      <c r="Z1083"/>
      <c r="AA1083"/>
      <c r="AB1083"/>
      <c r="AC1083"/>
      <c r="AD1083"/>
      <c r="AE1083"/>
      <c r="AF1083"/>
      <c r="AG1083"/>
      <c r="AH1083"/>
      <c r="AI1083"/>
      <c r="AJ1083"/>
      <c r="AK1083"/>
      <c r="AL1083"/>
      <c r="AM1083"/>
      <c r="AN1083"/>
      <c r="AO1083"/>
    </row>
    <row r="1084" spans="1:41" ht="15">
      <c r="A1084"/>
      <c r="B1084"/>
      <c r="C1084" s="137"/>
      <c r="D1084" s="30"/>
      <c r="E1084" s="30"/>
      <c r="F1084" s="10"/>
      <c r="G1084" s="10"/>
      <c r="H1084" s="15"/>
      <c r="I1084" s="15"/>
      <c r="J1084" s="15"/>
      <c r="K1084" s="15"/>
      <c r="L1084" s="15"/>
      <c r="M1084" s="15"/>
      <c r="N1084" s="15"/>
      <c r="O1084" s="15"/>
      <c r="P1084" s="15"/>
      <c r="Q1084" s="71"/>
      <c r="R1084" s="84"/>
      <c r="S1084" s="10"/>
      <c r="T1084" s="10"/>
      <c r="U1084" s="10"/>
      <c r="V1084" s="10"/>
      <c r="W1084" s="138"/>
      <c r="Y1084"/>
      <c r="Z1084"/>
      <c r="AA1084"/>
      <c r="AB1084"/>
      <c r="AC1084"/>
      <c r="AD1084"/>
      <c r="AE1084"/>
      <c r="AF1084"/>
      <c r="AG1084"/>
      <c r="AH1084"/>
      <c r="AI1084"/>
      <c r="AJ1084"/>
      <c r="AK1084"/>
      <c r="AL1084"/>
      <c r="AM1084"/>
      <c r="AN1084"/>
      <c r="AO1084"/>
    </row>
    <row r="1085" spans="1:41" ht="15">
      <c r="A1085"/>
      <c r="B1085"/>
      <c r="C1085" s="137"/>
      <c r="D1085" s="30"/>
      <c r="E1085" s="30"/>
      <c r="F1085" s="10"/>
      <c r="G1085" s="10"/>
      <c r="H1085" s="15"/>
      <c r="I1085" s="15"/>
      <c r="J1085" s="15"/>
      <c r="K1085" s="15"/>
      <c r="L1085" s="15"/>
      <c r="M1085" s="15"/>
      <c r="N1085" s="15"/>
      <c r="O1085" s="15"/>
      <c r="P1085" s="15"/>
      <c r="Q1085" s="71"/>
      <c r="R1085" s="84"/>
      <c r="S1085" s="10"/>
      <c r="T1085" s="10"/>
      <c r="U1085" s="10"/>
      <c r="V1085" s="10"/>
      <c r="W1085" s="138"/>
      <c r="Y1085"/>
      <c r="Z1085"/>
      <c r="AA1085"/>
      <c r="AB1085"/>
      <c r="AC1085"/>
      <c r="AD1085"/>
      <c r="AE1085"/>
      <c r="AF1085"/>
      <c r="AG1085"/>
      <c r="AH1085"/>
      <c r="AI1085"/>
      <c r="AJ1085"/>
      <c r="AK1085"/>
      <c r="AL1085"/>
      <c r="AM1085"/>
      <c r="AN1085"/>
      <c r="AO1085"/>
    </row>
    <row r="1086" spans="1:41" ht="15">
      <c r="A1086"/>
      <c r="B1086"/>
      <c r="C1086" s="137"/>
      <c r="D1086" s="30"/>
      <c r="E1086" s="30"/>
      <c r="F1086" s="10"/>
      <c r="G1086" s="10"/>
      <c r="H1086" s="15"/>
      <c r="I1086" s="15"/>
      <c r="J1086" s="15"/>
      <c r="K1086" s="15"/>
      <c r="L1086" s="15"/>
      <c r="M1086" s="15"/>
      <c r="N1086" s="15"/>
      <c r="O1086" s="15"/>
      <c r="P1086" s="15"/>
      <c r="Q1086" s="71"/>
      <c r="R1086" s="84"/>
      <c r="S1086" s="10"/>
      <c r="T1086" s="10"/>
      <c r="U1086" s="10"/>
      <c r="V1086" s="10"/>
      <c r="W1086" s="138"/>
      <c r="Y1086"/>
      <c r="Z1086"/>
      <c r="AA1086"/>
      <c r="AB1086"/>
      <c r="AC1086"/>
      <c r="AD1086"/>
      <c r="AE1086"/>
      <c r="AF1086"/>
      <c r="AG1086"/>
      <c r="AH1086"/>
      <c r="AI1086"/>
      <c r="AJ1086"/>
      <c r="AK1086"/>
      <c r="AL1086"/>
      <c r="AM1086"/>
      <c r="AN1086"/>
      <c r="AO1086"/>
    </row>
    <row r="1087" spans="1:41" ht="15">
      <c r="A1087"/>
      <c r="B1087"/>
      <c r="C1087" s="137"/>
      <c r="D1087" s="30"/>
      <c r="E1087" s="30"/>
      <c r="F1087" s="10"/>
      <c r="G1087" s="10"/>
      <c r="H1087" s="15"/>
      <c r="I1087" s="15"/>
      <c r="J1087" s="15"/>
      <c r="K1087" s="15"/>
      <c r="L1087" s="15"/>
      <c r="M1087" s="15"/>
      <c r="N1087" s="15"/>
      <c r="O1087" s="15"/>
      <c r="P1087" s="15"/>
      <c r="Q1087" s="71"/>
      <c r="R1087" s="84"/>
      <c r="S1087" s="10"/>
      <c r="T1087" s="10"/>
      <c r="U1087" s="10"/>
      <c r="V1087" s="10"/>
      <c r="W1087" s="138"/>
      <c r="Y1087"/>
      <c r="Z1087"/>
      <c r="AA1087"/>
      <c r="AB1087"/>
      <c r="AC1087"/>
      <c r="AD1087"/>
      <c r="AE1087"/>
      <c r="AF1087"/>
      <c r="AG1087"/>
      <c r="AH1087"/>
      <c r="AI1087"/>
      <c r="AJ1087"/>
      <c r="AK1087"/>
      <c r="AL1087"/>
      <c r="AM1087"/>
      <c r="AN1087"/>
      <c r="AO1087"/>
    </row>
    <row r="1088" spans="1:41" ht="15">
      <c r="A1088"/>
      <c r="B1088"/>
      <c r="C1088" s="137"/>
      <c r="D1088" s="30"/>
      <c r="E1088" s="30"/>
      <c r="F1088" s="10"/>
      <c r="G1088" s="10"/>
      <c r="H1088" s="15"/>
      <c r="I1088" s="15"/>
      <c r="J1088" s="15"/>
      <c r="K1088" s="15"/>
      <c r="L1088" s="15"/>
      <c r="M1088" s="15"/>
      <c r="N1088" s="15"/>
      <c r="O1088" s="15"/>
      <c r="P1088" s="15"/>
      <c r="Q1088" s="71"/>
      <c r="R1088" s="84"/>
      <c r="S1088" s="10"/>
      <c r="T1088" s="10"/>
      <c r="U1088" s="10"/>
      <c r="V1088" s="10"/>
      <c r="W1088" s="138"/>
      <c r="Y1088"/>
      <c r="Z1088"/>
      <c r="AA1088"/>
      <c r="AB1088"/>
      <c r="AC1088"/>
      <c r="AD1088"/>
      <c r="AE1088"/>
      <c r="AF1088"/>
      <c r="AG1088"/>
      <c r="AH1088"/>
      <c r="AI1088"/>
      <c r="AJ1088"/>
      <c r="AK1088"/>
      <c r="AL1088"/>
      <c r="AM1088"/>
      <c r="AN1088"/>
      <c r="AO1088"/>
    </row>
    <row r="1089" spans="1:41" ht="15">
      <c r="A1089"/>
      <c r="B1089"/>
      <c r="C1089" s="137"/>
      <c r="D1089" s="30"/>
      <c r="E1089" s="30"/>
      <c r="F1089" s="10"/>
      <c r="G1089" s="10"/>
      <c r="H1089" s="15"/>
      <c r="I1089" s="15"/>
      <c r="J1089" s="15"/>
      <c r="K1089" s="15"/>
      <c r="L1089" s="15"/>
      <c r="M1089" s="15"/>
      <c r="N1089" s="15"/>
      <c r="O1089" s="15"/>
      <c r="P1089" s="15"/>
      <c r="Q1089" s="71"/>
      <c r="R1089" s="84"/>
      <c r="S1089" s="10"/>
      <c r="T1089" s="10"/>
      <c r="U1089" s="10"/>
      <c r="V1089" s="10"/>
      <c r="W1089" s="138"/>
      <c r="Y1089"/>
      <c r="Z1089"/>
      <c r="AA1089"/>
      <c r="AB1089"/>
      <c r="AC1089"/>
      <c r="AD1089"/>
      <c r="AE1089"/>
      <c r="AF1089"/>
      <c r="AG1089"/>
      <c r="AH1089"/>
      <c r="AI1089"/>
      <c r="AJ1089"/>
      <c r="AK1089"/>
      <c r="AL1089"/>
      <c r="AM1089"/>
      <c r="AN1089"/>
      <c r="AO1089"/>
    </row>
    <row r="1090" spans="1:41" ht="15">
      <c r="A1090"/>
      <c r="B1090"/>
      <c r="C1090" s="137"/>
      <c r="D1090" s="30"/>
      <c r="E1090" s="30"/>
      <c r="F1090" s="10"/>
      <c r="G1090" s="10"/>
      <c r="H1090" s="15"/>
      <c r="I1090" s="15"/>
      <c r="J1090" s="15"/>
      <c r="K1090" s="15"/>
      <c r="L1090" s="15"/>
      <c r="M1090" s="15"/>
      <c r="N1090" s="15"/>
      <c r="O1090" s="15"/>
      <c r="P1090" s="15"/>
      <c r="Q1090" s="71"/>
      <c r="R1090" s="84"/>
      <c r="S1090" s="10"/>
      <c r="T1090" s="10"/>
      <c r="U1090" s="10"/>
      <c r="V1090" s="10"/>
      <c r="W1090" s="138"/>
      <c r="Y1090"/>
      <c r="Z1090"/>
      <c r="AA1090"/>
      <c r="AB1090"/>
      <c r="AC1090"/>
      <c r="AD1090"/>
      <c r="AE1090"/>
      <c r="AF1090"/>
      <c r="AG1090"/>
      <c r="AH1090"/>
      <c r="AI1090"/>
      <c r="AJ1090"/>
      <c r="AK1090"/>
      <c r="AL1090"/>
      <c r="AM1090"/>
      <c r="AN1090"/>
      <c r="AO1090"/>
    </row>
    <row r="1091" spans="1:41" ht="15">
      <c r="A1091"/>
      <c r="B1091"/>
      <c r="C1091" s="137"/>
      <c r="D1091" s="30"/>
      <c r="E1091" s="30"/>
      <c r="F1091" s="10"/>
      <c r="G1091" s="10"/>
      <c r="H1091" s="15"/>
      <c r="I1091" s="15"/>
      <c r="J1091" s="15"/>
      <c r="K1091" s="15"/>
      <c r="L1091" s="15"/>
      <c r="M1091" s="15"/>
      <c r="N1091" s="15"/>
      <c r="O1091" s="15"/>
      <c r="P1091" s="15"/>
      <c r="Q1091" s="71"/>
      <c r="R1091" s="84"/>
      <c r="S1091" s="10"/>
      <c r="T1091" s="10"/>
      <c r="U1091" s="10"/>
      <c r="V1091" s="10"/>
      <c r="W1091" s="138"/>
      <c r="Y1091"/>
      <c r="Z1091"/>
      <c r="AA1091"/>
      <c r="AB1091"/>
      <c r="AC1091"/>
      <c r="AD1091"/>
      <c r="AE1091"/>
      <c r="AF1091"/>
      <c r="AG1091"/>
      <c r="AH1091"/>
      <c r="AI1091"/>
      <c r="AJ1091"/>
      <c r="AK1091"/>
      <c r="AL1091"/>
      <c r="AM1091"/>
      <c r="AN1091"/>
      <c r="AO1091"/>
    </row>
    <row r="1092" spans="1:41" ht="15">
      <c r="A1092"/>
      <c r="B1092"/>
      <c r="C1092" s="137"/>
      <c r="D1092" s="30"/>
      <c r="E1092" s="30"/>
      <c r="F1092" s="10"/>
      <c r="G1092" s="10"/>
      <c r="H1092" s="15"/>
      <c r="I1092" s="15"/>
      <c r="J1092" s="15"/>
      <c r="K1092" s="15"/>
      <c r="L1092" s="15"/>
      <c r="M1092" s="15"/>
      <c r="N1092" s="15"/>
      <c r="O1092" s="15"/>
      <c r="P1092" s="15"/>
      <c r="Q1092" s="71"/>
      <c r="R1092" s="84"/>
      <c r="S1092" s="10"/>
      <c r="T1092" s="10"/>
      <c r="U1092" s="10"/>
      <c r="V1092" s="10"/>
      <c r="W1092" s="138"/>
      <c r="Y1092"/>
      <c r="Z1092"/>
      <c r="AA1092"/>
      <c r="AB1092"/>
      <c r="AC1092"/>
      <c r="AD1092"/>
      <c r="AE1092"/>
      <c r="AF1092"/>
      <c r="AG1092"/>
      <c r="AH1092"/>
      <c r="AI1092"/>
      <c r="AJ1092"/>
      <c r="AK1092"/>
      <c r="AL1092"/>
      <c r="AM1092"/>
      <c r="AN1092"/>
      <c r="AO1092"/>
    </row>
    <row r="1093" spans="1:41" ht="15">
      <c r="A1093"/>
      <c r="B1093"/>
      <c r="C1093" s="137"/>
      <c r="D1093" s="30"/>
      <c r="E1093" s="30"/>
      <c r="F1093" s="10"/>
      <c r="G1093" s="10"/>
      <c r="H1093" s="15"/>
      <c r="I1093" s="15"/>
      <c r="J1093" s="15"/>
      <c r="K1093" s="15"/>
      <c r="L1093" s="15"/>
      <c r="M1093" s="15"/>
      <c r="N1093" s="15"/>
      <c r="O1093" s="15"/>
      <c r="P1093" s="15"/>
      <c r="Q1093" s="71"/>
      <c r="R1093" s="84"/>
      <c r="S1093" s="10"/>
      <c r="T1093" s="10"/>
      <c r="U1093" s="10"/>
      <c r="V1093" s="10"/>
      <c r="W1093" s="138"/>
      <c r="Y1093"/>
      <c r="Z1093"/>
      <c r="AA1093"/>
      <c r="AB1093"/>
      <c r="AC1093"/>
      <c r="AD1093"/>
      <c r="AE1093"/>
      <c r="AF1093"/>
      <c r="AG1093"/>
      <c r="AH1093"/>
      <c r="AI1093"/>
      <c r="AJ1093"/>
      <c r="AK1093"/>
      <c r="AL1093"/>
      <c r="AM1093"/>
      <c r="AN1093"/>
      <c r="AO1093"/>
    </row>
    <row r="1094" spans="1:41" ht="15">
      <c r="A1094"/>
      <c r="B1094"/>
      <c r="C1094" s="137"/>
      <c r="D1094" s="30"/>
      <c r="E1094" s="30"/>
      <c r="F1094" s="10"/>
      <c r="G1094" s="10"/>
      <c r="H1094" s="15"/>
      <c r="I1094" s="15"/>
      <c r="J1094" s="15"/>
      <c r="K1094" s="15"/>
      <c r="L1094" s="15"/>
      <c r="M1094" s="15"/>
      <c r="N1094" s="15"/>
      <c r="O1094" s="15"/>
      <c r="P1094" s="15"/>
      <c r="Q1094" s="71"/>
      <c r="R1094" s="84"/>
      <c r="S1094" s="10"/>
      <c r="T1094" s="10"/>
      <c r="U1094" s="10"/>
      <c r="V1094" s="10"/>
      <c r="W1094" s="138"/>
      <c r="Y1094"/>
      <c r="Z1094"/>
      <c r="AA1094"/>
      <c r="AB1094"/>
      <c r="AC1094"/>
      <c r="AD1094"/>
      <c r="AE1094"/>
      <c r="AF1094"/>
      <c r="AG1094"/>
      <c r="AH1094"/>
      <c r="AI1094"/>
      <c r="AJ1094"/>
      <c r="AK1094"/>
      <c r="AL1094"/>
      <c r="AM1094"/>
      <c r="AN1094"/>
      <c r="AO1094"/>
    </row>
    <row r="1095" spans="1:41" ht="15">
      <c r="A1095"/>
      <c r="B1095"/>
      <c r="C1095" s="137"/>
      <c r="D1095" s="30"/>
      <c r="E1095" s="30"/>
      <c r="F1095" s="10"/>
      <c r="G1095" s="10"/>
      <c r="H1095" s="15"/>
      <c r="I1095" s="15"/>
      <c r="J1095" s="15"/>
      <c r="K1095" s="15"/>
      <c r="L1095" s="15"/>
      <c r="M1095" s="15"/>
      <c r="N1095" s="15"/>
      <c r="O1095" s="15"/>
      <c r="P1095" s="15"/>
      <c r="Q1095" s="71"/>
      <c r="R1095" s="84"/>
      <c r="S1095" s="10"/>
      <c r="T1095" s="10"/>
      <c r="U1095" s="10"/>
      <c r="V1095" s="10"/>
      <c r="W1095" s="138"/>
      <c r="Y1095"/>
      <c r="Z1095"/>
      <c r="AA1095"/>
      <c r="AB1095"/>
      <c r="AC1095"/>
      <c r="AD1095"/>
      <c r="AE1095"/>
      <c r="AF1095"/>
      <c r="AG1095"/>
      <c r="AH1095"/>
      <c r="AI1095"/>
      <c r="AJ1095"/>
      <c r="AK1095"/>
      <c r="AL1095"/>
      <c r="AM1095"/>
      <c r="AN1095"/>
      <c r="AO1095"/>
    </row>
    <row r="1096" spans="1:41" ht="15">
      <c r="A1096"/>
      <c r="B1096"/>
      <c r="C1096" s="137"/>
      <c r="D1096" s="30"/>
      <c r="E1096" s="30"/>
      <c r="F1096" s="10"/>
      <c r="G1096" s="10"/>
      <c r="H1096" s="15"/>
      <c r="I1096" s="15"/>
      <c r="J1096" s="15"/>
      <c r="K1096" s="15"/>
      <c r="L1096" s="15"/>
      <c r="M1096" s="15"/>
      <c r="N1096" s="15"/>
      <c r="O1096" s="15"/>
      <c r="P1096" s="15"/>
      <c r="Q1096" s="71"/>
      <c r="R1096" s="84"/>
      <c r="S1096" s="10"/>
      <c r="T1096" s="10"/>
      <c r="U1096" s="10"/>
      <c r="V1096" s="10"/>
      <c r="W1096" s="138"/>
      <c r="Y1096"/>
      <c r="Z1096"/>
      <c r="AA1096"/>
      <c r="AB1096"/>
      <c r="AC1096"/>
      <c r="AD1096"/>
      <c r="AE1096"/>
      <c r="AF1096"/>
      <c r="AG1096"/>
      <c r="AH1096"/>
      <c r="AI1096"/>
      <c r="AJ1096"/>
      <c r="AK1096"/>
      <c r="AL1096"/>
      <c r="AM1096"/>
      <c r="AN1096"/>
      <c r="AO1096"/>
    </row>
    <row r="1097" spans="1:41" ht="15">
      <c r="A1097"/>
      <c r="B1097"/>
      <c r="C1097" s="137"/>
      <c r="D1097" s="30"/>
      <c r="E1097" s="30"/>
      <c r="F1097" s="10"/>
      <c r="G1097" s="10"/>
      <c r="H1097" s="15"/>
      <c r="I1097" s="15"/>
      <c r="J1097" s="15"/>
      <c r="K1097" s="15"/>
      <c r="L1097" s="15"/>
      <c r="M1097" s="15"/>
      <c r="N1097" s="15"/>
      <c r="O1097" s="15"/>
      <c r="P1097" s="15"/>
      <c r="Q1097" s="71"/>
      <c r="R1097" s="84"/>
      <c r="S1097" s="10"/>
      <c r="T1097" s="10"/>
      <c r="U1097" s="10"/>
      <c r="V1097" s="10"/>
      <c r="W1097" s="138"/>
      <c r="Y1097"/>
      <c r="Z1097"/>
      <c r="AA1097"/>
      <c r="AB1097"/>
      <c r="AC1097"/>
      <c r="AD1097"/>
      <c r="AE1097"/>
      <c r="AF1097"/>
      <c r="AG1097"/>
      <c r="AH1097"/>
      <c r="AI1097"/>
      <c r="AJ1097"/>
      <c r="AK1097"/>
      <c r="AL1097"/>
      <c r="AM1097"/>
      <c r="AN1097"/>
      <c r="AO1097"/>
    </row>
    <row r="1098" spans="1:41" ht="15">
      <c r="A1098"/>
      <c r="B1098"/>
      <c r="C1098" s="137"/>
      <c r="D1098" s="30"/>
      <c r="E1098" s="30"/>
      <c r="F1098" s="10"/>
      <c r="G1098" s="10"/>
      <c r="H1098" s="15"/>
      <c r="I1098" s="15"/>
      <c r="J1098" s="15"/>
      <c r="K1098" s="15"/>
      <c r="L1098" s="15"/>
      <c r="M1098" s="15"/>
      <c r="N1098" s="15"/>
      <c r="O1098" s="15"/>
      <c r="P1098" s="15"/>
      <c r="Q1098" s="71"/>
      <c r="R1098" s="84"/>
      <c r="S1098" s="10"/>
      <c r="T1098" s="10"/>
      <c r="U1098" s="10"/>
      <c r="V1098" s="10"/>
      <c r="W1098" s="138"/>
      <c r="Y1098"/>
      <c r="Z1098"/>
      <c r="AA1098"/>
      <c r="AB1098"/>
      <c r="AC1098"/>
      <c r="AD1098"/>
      <c r="AE1098"/>
      <c r="AF1098"/>
      <c r="AG1098"/>
      <c r="AH1098"/>
      <c r="AI1098"/>
      <c r="AJ1098"/>
      <c r="AK1098"/>
      <c r="AL1098"/>
      <c r="AM1098"/>
      <c r="AN1098"/>
      <c r="AO1098"/>
    </row>
    <row r="1099" spans="1:41" ht="15">
      <c r="A1099"/>
      <c r="B1099"/>
      <c r="C1099" s="137"/>
      <c r="D1099" s="30"/>
      <c r="E1099" s="30"/>
      <c r="F1099" s="10"/>
      <c r="G1099" s="10"/>
      <c r="H1099" s="15"/>
      <c r="I1099" s="15"/>
      <c r="J1099" s="15"/>
      <c r="K1099" s="15"/>
      <c r="L1099" s="15"/>
      <c r="M1099" s="15"/>
      <c r="N1099" s="15"/>
      <c r="O1099" s="15"/>
      <c r="P1099" s="15"/>
      <c r="Q1099" s="71"/>
      <c r="R1099" s="84"/>
      <c r="S1099" s="10"/>
      <c r="T1099" s="10"/>
      <c r="U1099" s="10"/>
      <c r="V1099" s="10"/>
      <c r="W1099" s="138"/>
      <c r="Y1099"/>
      <c r="Z1099"/>
      <c r="AA1099"/>
      <c r="AB1099"/>
      <c r="AC1099"/>
      <c r="AD1099"/>
      <c r="AE1099"/>
      <c r="AF1099"/>
      <c r="AG1099"/>
      <c r="AH1099"/>
      <c r="AI1099"/>
      <c r="AJ1099"/>
      <c r="AK1099"/>
      <c r="AL1099"/>
      <c r="AM1099"/>
      <c r="AN1099"/>
      <c r="AO1099"/>
    </row>
    <row r="1100" spans="1:41" ht="15">
      <c r="A1100"/>
      <c r="B1100"/>
      <c r="C1100" s="137"/>
      <c r="D1100" s="30"/>
      <c r="E1100" s="30"/>
      <c r="F1100" s="10"/>
      <c r="G1100" s="10"/>
      <c r="H1100" s="15"/>
      <c r="I1100" s="15"/>
      <c r="J1100" s="15"/>
      <c r="K1100" s="15"/>
      <c r="L1100" s="15"/>
      <c r="M1100" s="15"/>
      <c r="N1100" s="15"/>
      <c r="O1100" s="15"/>
      <c r="P1100" s="15"/>
      <c r="Q1100" s="71"/>
      <c r="R1100" s="84"/>
      <c r="S1100" s="10"/>
      <c r="T1100" s="10"/>
      <c r="U1100" s="10"/>
      <c r="V1100" s="10"/>
      <c r="W1100" s="138"/>
      <c r="Y1100"/>
      <c r="Z1100"/>
      <c r="AA1100"/>
      <c r="AB1100"/>
      <c r="AC1100"/>
      <c r="AD1100"/>
      <c r="AE1100"/>
      <c r="AF1100"/>
      <c r="AG1100"/>
      <c r="AH1100"/>
      <c r="AI1100"/>
      <c r="AJ1100"/>
      <c r="AK1100"/>
      <c r="AL1100"/>
      <c r="AM1100"/>
      <c r="AN1100"/>
      <c r="AO1100"/>
    </row>
    <row r="1101" spans="1:41" ht="15">
      <c r="A1101"/>
      <c r="B1101"/>
      <c r="C1101" s="137"/>
      <c r="D1101" s="30"/>
      <c r="E1101" s="30"/>
      <c r="F1101" s="10"/>
      <c r="G1101" s="10"/>
      <c r="H1101" s="15"/>
      <c r="I1101" s="15"/>
      <c r="J1101" s="15"/>
      <c r="K1101" s="15"/>
      <c r="L1101" s="15"/>
      <c r="M1101" s="15"/>
      <c r="N1101" s="15"/>
      <c r="O1101" s="15"/>
      <c r="P1101" s="15"/>
      <c r="Q1101" s="71"/>
      <c r="R1101" s="84"/>
      <c r="S1101" s="10"/>
      <c r="T1101" s="10"/>
      <c r="U1101" s="10"/>
      <c r="V1101" s="10"/>
      <c r="W1101" s="138"/>
      <c r="Y1101"/>
      <c r="Z1101"/>
      <c r="AA1101"/>
      <c r="AB1101"/>
      <c r="AC1101"/>
      <c r="AD1101"/>
      <c r="AE1101"/>
      <c r="AF1101"/>
      <c r="AG1101"/>
      <c r="AH1101"/>
      <c r="AI1101"/>
      <c r="AJ1101"/>
      <c r="AK1101"/>
      <c r="AL1101"/>
      <c r="AM1101"/>
      <c r="AN1101"/>
      <c r="AO1101"/>
    </row>
    <row r="1102" spans="1:41" ht="15">
      <c r="A1102"/>
      <c r="B1102"/>
      <c r="C1102" s="137"/>
      <c r="D1102" s="30"/>
      <c r="E1102" s="30"/>
      <c r="F1102" s="10"/>
      <c r="G1102" s="10"/>
      <c r="H1102" s="15"/>
      <c r="I1102" s="15"/>
      <c r="J1102" s="15"/>
      <c r="K1102" s="15"/>
      <c r="L1102" s="15"/>
      <c r="M1102" s="15"/>
      <c r="N1102" s="15"/>
      <c r="O1102" s="15"/>
      <c r="P1102" s="15"/>
      <c r="Q1102" s="71"/>
      <c r="R1102" s="84"/>
      <c r="S1102" s="10"/>
      <c r="T1102" s="10"/>
      <c r="U1102" s="10"/>
      <c r="V1102" s="10"/>
      <c r="W1102" s="138"/>
      <c r="Y1102"/>
      <c r="Z1102"/>
      <c r="AA1102"/>
      <c r="AB1102"/>
      <c r="AC1102"/>
      <c r="AD1102"/>
      <c r="AE1102"/>
      <c r="AF1102"/>
      <c r="AG1102"/>
      <c r="AH1102"/>
      <c r="AI1102"/>
      <c r="AJ1102"/>
      <c r="AK1102"/>
      <c r="AL1102"/>
      <c r="AM1102"/>
      <c r="AN1102"/>
      <c r="AO1102"/>
    </row>
    <row r="1103" spans="1:41" ht="15">
      <c r="A1103"/>
      <c r="B1103"/>
      <c r="C1103" s="137"/>
      <c r="D1103" s="30"/>
      <c r="E1103" s="30"/>
      <c r="F1103" s="10"/>
      <c r="G1103" s="10"/>
      <c r="H1103" s="15"/>
      <c r="I1103" s="15"/>
      <c r="J1103" s="15"/>
      <c r="K1103" s="15"/>
      <c r="L1103" s="15"/>
      <c r="M1103" s="15"/>
      <c r="N1103" s="15"/>
      <c r="O1103" s="15"/>
      <c r="P1103" s="15"/>
      <c r="Q1103" s="71"/>
      <c r="R1103" s="84"/>
      <c r="S1103" s="10"/>
      <c r="T1103" s="10"/>
      <c r="U1103" s="10"/>
      <c r="V1103" s="10"/>
      <c r="W1103" s="138"/>
      <c r="Y1103"/>
      <c r="Z1103"/>
      <c r="AA1103"/>
      <c r="AB1103"/>
      <c r="AC1103"/>
      <c r="AD1103"/>
      <c r="AE1103"/>
      <c r="AF1103"/>
      <c r="AG1103"/>
      <c r="AH1103"/>
      <c r="AI1103"/>
      <c r="AJ1103"/>
      <c r="AK1103"/>
      <c r="AL1103"/>
      <c r="AM1103"/>
      <c r="AN1103"/>
      <c r="AO1103"/>
    </row>
    <row r="1104" spans="1:41" ht="15">
      <c r="A1104"/>
      <c r="B1104"/>
      <c r="C1104" s="137"/>
      <c r="D1104" s="30"/>
      <c r="E1104" s="30"/>
      <c r="F1104" s="10"/>
      <c r="G1104" s="10"/>
      <c r="H1104" s="15"/>
      <c r="I1104" s="15"/>
      <c r="J1104" s="15"/>
      <c r="K1104" s="15"/>
      <c r="L1104" s="15"/>
      <c r="M1104" s="15"/>
      <c r="N1104" s="15"/>
      <c r="O1104" s="15"/>
      <c r="P1104" s="15"/>
      <c r="Q1104" s="71"/>
      <c r="R1104" s="84"/>
      <c r="S1104" s="10"/>
      <c r="T1104" s="10"/>
      <c r="U1104" s="10"/>
      <c r="V1104" s="10"/>
      <c r="W1104" s="138"/>
      <c r="Y1104"/>
      <c r="Z1104"/>
      <c r="AA1104"/>
      <c r="AB1104"/>
      <c r="AC1104"/>
      <c r="AD1104"/>
      <c r="AE1104"/>
      <c r="AF1104"/>
      <c r="AG1104"/>
      <c r="AH1104"/>
      <c r="AI1104"/>
      <c r="AJ1104"/>
      <c r="AK1104"/>
      <c r="AL1104"/>
      <c r="AM1104"/>
      <c r="AN1104"/>
      <c r="AO1104"/>
    </row>
    <row r="1105" spans="1:41" ht="15">
      <c r="A1105"/>
      <c r="B1105"/>
      <c r="C1105" s="137"/>
      <c r="D1105" s="30"/>
      <c r="E1105" s="30"/>
      <c r="F1105" s="10"/>
      <c r="G1105" s="10"/>
      <c r="H1105" s="15"/>
      <c r="I1105" s="15"/>
      <c r="J1105" s="15"/>
      <c r="K1105" s="15"/>
      <c r="L1105" s="15"/>
      <c r="M1105" s="15"/>
      <c r="N1105" s="15"/>
      <c r="O1105" s="15"/>
      <c r="P1105" s="15"/>
      <c r="Q1105" s="71"/>
      <c r="R1105" s="84"/>
      <c r="S1105" s="10"/>
      <c r="T1105" s="10"/>
      <c r="U1105" s="10"/>
      <c r="V1105" s="10"/>
      <c r="W1105" s="138"/>
      <c r="Y1105"/>
      <c r="Z1105"/>
      <c r="AA1105"/>
      <c r="AB1105"/>
      <c r="AC1105"/>
      <c r="AD1105"/>
      <c r="AE1105"/>
      <c r="AF1105"/>
      <c r="AG1105"/>
      <c r="AH1105"/>
      <c r="AI1105"/>
      <c r="AJ1105"/>
      <c r="AK1105"/>
      <c r="AL1105"/>
      <c r="AM1105"/>
      <c r="AN1105"/>
      <c r="AO1105"/>
    </row>
    <row r="1106" spans="1:41" ht="15">
      <c r="A1106"/>
      <c r="B1106"/>
      <c r="C1106" s="137"/>
      <c r="D1106" s="30"/>
      <c r="E1106" s="30"/>
      <c r="F1106" s="10"/>
      <c r="G1106" s="10"/>
      <c r="H1106" s="15"/>
      <c r="I1106" s="15"/>
      <c r="J1106" s="15"/>
      <c r="K1106" s="15"/>
      <c r="L1106" s="15"/>
      <c r="M1106" s="15"/>
      <c r="N1106" s="15"/>
      <c r="O1106" s="15"/>
      <c r="P1106" s="15"/>
      <c r="Q1106" s="71"/>
      <c r="R1106" s="84"/>
      <c r="S1106" s="10"/>
      <c r="T1106" s="10"/>
      <c r="U1106" s="10"/>
      <c r="V1106" s="10"/>
      <c r="W1106" s="138"/>
      <c r="Y1106"/>
      <c r="Z1106"/>
      <c r="AA1106"/>
      <c r="AB1106"/>
      <c r="AC1106"/>
      <c r="AD1106"/>
      <c r="AE1106"/>
      <c r="AF1106"/>
      <c r="AG1106"/>
      <c r="AH1106"/>
      <c r="AI1106"/>
      <c r="AJ1106"/>
      <c r="AK1106"/>
      <c r="AL1106"/>
      <c r="AM1106"/>
      <c r="AN1106"/>
      <c r="AO1106"/>
    </row>
    <row r="1107" spans="1:41" ht="15">
      <c r="A1107"/>
      <c r="B1107"/>
      <c r="C1107" s="137"/>
      <c r="D1107" s="30"/>
      <c r="E1107" s="30"/>
      <c r="F1107" s="10"/>
      <c r="G1107" s="10"/>
      <c r="H1107" s="15"/>
      <c r="I1107" s="15"/>
      <c r="J1107" s="15"/>
      <c r="K1107" s="15"/>
      <c r="L1107" s="15"/>
      <c r="M1107" s="15"/>
      <c r="N1107" s="15"/>
      <c r="O1107" s="15"/>
      <c r="P1107" s="15"/>
      <c r="Q1107" s="71"/>
      <c r="R1107" s="84"/>
      <c r="S1107" s="10"/>
      <c r="T1107" s="10"/>
      <c r="U1107" s="10"/>
      <c r="V1107" s="10"/>
      <c r="W1107" s="138"/>
      <c r="Y1107"/>
      <c r="Z1107"/>
      <c r="AA1107"/>
      <c r="AB1107"/>
      <c r="AC1107"/>
      <c r="AD1107"/>
      <c r="AE1107"/>
      <c r="AF1107"/>
      <c r="AG1107"/>
      <c r="AH1107"/>
      <c r="AI1107"/>
      <c r="AJ1107"/>
      <c r="AK1107"/>
      <c r="AL1107"/>
      <c r="AM1107"/>
      <c r="AN1107"/>
      <c r="AO1107"/>
    </row>
    <row r="1108" spans="1:41" ht="15">
      <c r="A1108"/>
      <c r="B1108"/>
      <c r="C1108" s="137"/>
      <c r="D1108" s="30"/>
      <c r="E1108" s="30"/>
      <c r="F1108" s="10"/>
      <c r="G1108" s="10"/>
      <c r="H1108" s="15"/>
      <c r="I1108" s="15"/>
      <c r="J1108" s="15"/>
      <c r="K1108" s="15"/>
      <c r="L1108" s="15"/>
      <c r="M1108" s="15"/>
      <c r="N1108" s="15"/>
      <c r="O1108" s="15"/>
      <c r="P1108" s="15"/>
      <c r="Q1108" s="71"/>
      <c r="R1108" s="84"/>
      <c r="S1108" s="10"/>
      <c r="T1108" s="10"/>
      <c r="U1108" s="10"/>
      <c r="V1108" s="10"/>
      <c r="W1108" s="138"/>
      <c r="Y1108"/>
      <c r="Z1108"/>
      <c r="AA1108"/>
      <c r="AB1108"/>
      <c r="AC1108"/>
      <c r="AD1108"/>
      <c r="AE1108"/>
      <c r="AF1108"/>
      <c r="AG1108"/>
      <c r="AH1108"/>
      <c r="AI1108"/>
      <c r="AJ1108"/>
      <c r="AK1108"/>
      <c r="AL1108"/>
      <c r="AM1108"/>
      <c r="AN1108"/>
      <c r="AO1108"/>
    </row>
    <row r="1109" spans="1:41" ht="15">
      <c r="A1109"/>
      <c r="B1109"/>
      <c r="C1109" s="137"/>
      <c r="D1109" s="30"/>
      <c r="E1109" s="30"/>
      <c r="F1109" s="10"/>
      <c r="G1109" s="10"/>
      <c r="H1109" s="15"/>
      <c r="I1109" s="15"/>
      <c r="J1109" s="15"/>
      <c r="K1109" s="15"/>
      <c r="L1109" s="15"/>
      <c r="M1109" s="15"/>
      <c r="N1109" s="15"/>
      <c r="O1109" s="15"/>
      <c r="P1109" s="15"/>
      <c r="Q1109" s="71"/>
      <c r="R1109" s="84"/>
      <c r="S1109" s="10"/>
      <c r="T1109" s="10"/>
      <c r="U1109" s="10"/>
      <c r="V1109" s="10"/>
      <c r="W1109" s="138"/>
      <c r="Y1109"/>
      <c r="Z1109"/>
      <c r="AA1109"/>
      <c r="AB1109"/>
      <c r="AC1109"/>
      <c r="AD1109"/>
      <c r="AE1109"/>
      <c r="AF1109"/>
      <c r="AG1109"/>
      <c r="AH1109"/>
      <c r="AI1109"/>
      <c r="AJ1109"/>
      <c r="AK1109"/>
      <c r="AL1109"/>
      <c r="AM1109"/>
      <c r="AN1109"/>
      <c r="AO1109"/>
    </row>
    <row r="1110" spans="1:41" ht="15">
      <c r="A1110"/>
      <c r="B1110"/>
      <c r="C1110" s="137"/>
      <c r="D1110" s="30"/>
      <c r="E1110" s="30"/>
      <c r="F1110" s="10"/>
      <c r="G1110" s="10"/>
      <c r="H1110" s="15"/>
      <c r="I1110" s="15"/>
      <c r="J1110" s="15"/>
      <c r="K1110" s="15"/>
      <c r="L1110" s="15"/>
      <c r="M1110" s="15"/>
      <c r="N1110" s="15"/>
      <c r="O1110" s="15"/>
      <c r="P1110" s="15"/>
      <c r="Q1110" s="71"/>
      <c r="R1110" s="84"/>
      <c r="S1110" s="10"/>
      <c r="T1110" s="10"/>
      <c r="U1110" s="10"/>
      <c r="V1110" s="10"/>
      <c r="W1110" s="138"/>
      <c r="Y1110"/>
      <c r="Z1110"/>
      <c r="AA1110"/>
      <c r="AB1110"/>
      <c r="AC1110"/>
      <c r="AD1110"/>
      <c r="AE1110"/>
      <c r="AF1110"/>
      <c r="AG1110"/>
      <c r="AH1110"/>
      <c r="AI1110"/>
      <c r="AJ1110"/>
      <c r="AK1110"/>
      <c r="AL1110"/>
      <c r="AM1110"/>
      <c r="AN1110"/>
      <c r="AO1110"/>
    </row>
    <row r="1111" spans="1:41" ht="15">
      <c r="A1111"/>
      <c r="B1111"/>
      <c r="C1111" s="137"/>
      <c r="D1111" s="30"/>
      <c r="E1111" s="30"/>
      <c r="F1111" s="10"/>
      <c r="G1111" s="10"/>
      <c r="H1111" s="15"/>
      <c r="I1111" s="15"/>
      <c r="J1111" s="15"/>
      <c r="K1111" s="15"/>
      <c r="L1111" s="15"/>
      <c r="M1111" s="15"/>
      <c r="N1111" s="15"/>
      <c r="O1111" s="15"/>
      <c r="P1111" s="15"/>
      <c r="Q1111" s="71"/>
      <c r="R1111" s="84"/>
      <c r="S1111" s="10"/>
      <c r="T1111" s="10"/>
      <c r="U1111" s="10"/>
      <c r="V1111" s="10"/>
      <c r="W1111" s="138"/>
      <c r="Y1111"/>
      <c r="Z1111"/>
      <c r="AA1111"/>
      <c r="AB1111"/>
      <c r="AC1111"/>
      <c r="AD1111"/>
      <c r="AE1111"/>
      <c r="AF1111"/>
      <c r="AG1111"/>
      <c r="AH1111"/>
      <c r="AI1111"/>
      <c r="AJ1111"/>
      <c r="AK1111"/>
      <c r="AL1111"/>
      <c r="AM1111"/>
      <c r="AN1111"/>
      <c r="AO1111"/>
    </row>
    <row r="1112" spans="1:41" ht="15">
      <c r="A1112"/>
      <c r="B1112"/>
      <c r="C1112" s="137"/>
      <c r="D1112" s="30"/>
      <c r="E1112" s="30"/>
      <c r="F1112" s="10"/>
      <c r="G1112" s="10"/>
      <c r="H1112" s="15"/>
      <c r="I1112" s="15"/>
      <c r="J1112" s="15"/>
      <c r="K1112" s="15"/>
      <c r="L1112" s="15"/>
      <c r="M1112" s="15"/>
      <c r="N1112" s="15"/>
      <c r="O1112" s="15"/>
      <c r="P1112" s="15"/>
      <c r="Q1112" s="71"/>
      <c r="R1112" s="84"/>
      <c r="S1112" s="10"/>
      <c r="T1112" s="10"/>
      <c r="U1112" s="10"/>
      <c r="V1112" s="10"/>
      <c r="W1112" s="138"/>
      <c r="Y1112"/>
      <c r="Z1112"/>
      <c r="AA1112"/>
      <c r="AB1112"/>
      <c r="AC1112"/>
      <c r="AD1112"/>
      <c r="AE1112"/>
      <c r="AF1112"/>
      <c r="AG1112"/>
      <c r="AH1112"/>
      <c r="AI1112"/>
      <c r="AJ1112"/>
      <c r="AK1112"/>
      <c r="AL1112"/>
      <c r="AM1112"/>
      <c r="AN1112"/>
      <c r="AO1112"/>
    </row>
    <row r="1113" spans="1:41" ht="15">
      <c r="A1113"/>
      <c r="B1113"/>
      <c r="C1113" s="137"/>
      <c r="D1113" s="30"/>
      <c r="E1113" s="30"/>
      <c r="F1113" s="10"/>
      <c r="G1113" s="10"/>
      <c r="H1113" s="15"/>
      <c r="I1113" s="15"/>
      <c r="J1113" s="15"/>
      <c r="K1113" s="15"/>
      <c r="L1113" s="15"/>
      <c r="M1113" s="15"/>
      <c r="N1113" s="15"/>
      <c r="O1113" s="15"/>
      <c r="P1113" s="15"/>
      <c r="Q1113" s="71"/>
      <c r="R1113" s="84"/>
      <c r="S1113" s="10"/>
      <c r="T1113" s="10"/>
      <c r="U1113" s="10"/>
      <c r="V1113" s="10"/>
      <c r="W1113" s="138"/>
      <c r="Y1113"/>
      <c r="Z1113"/>
      <c r="AA1113"/>
      <c r="AB1113"/>
      <c r="AC1113"/>
      <c r="AD1113"/>
      <c r="AE1113"/>
      <c r="AF1113"/>
      <c r="AG1113"/>
      <c r="AH1113"/>
      <c r="AI1113"/>
      <c r="AJ1113"/>
      <c r="AK1113"/>
      <c r="AL1113"/>
      <c r="AM1113"/>
      <c r="AN1113"/>
      <c r="AO1113"/>
    </row>
    <row r="1114" spans="1:41" ht="15">
      <c r="A1114"/>
      <c r="B1114"/>
      <c r="C1114" s="137"/>
      <c r="D1114" s="30"/>
      <c r="E1114" s="30"/>
      <c r="F1114" s="10"/>
      <c r="G1114" s="10"/>
      <c r="H1114" s="15"/>
      <c r="I1114" s="15"/>
      <c r="J1114" s="15"/>
      <c r="K1114" s="15"/>
      <c r="L1114" s="15"/>
      <c r="M1114" s="15"/>
      <c r="N1114" s="15"/>
      <c r="O1114" s="15"/>
      <c r="P1114" s="15"/>
      <c r="Q1114" s="71"/>
      <c r="R1114" s="84"/>
      <c r="S1114" s="10"/>
      <c r="T1114" s="10"/>
      <c r="U1114" s="10"/>
      <c r="V1114" s="10"/>
      <c r="W1114" s="138"/>
      <c r="Y1114"/>
      <c r="Z1114"/>
      <c r="AA1114"/>
      <c r="AB1114"/>
      <c r="AC1114"/>
      <c r="AD1114"/>
      <c r="AE1114"/>
      <c r="AF1114"/>
      <c r="AG1114"/>
      <c r="AH1114"/>
      <c r="AI1114"/>
      <c r="AJ1114"/>
      <c r="AK1114"/>
      <c r="AL1114"/>
      <c r="AM1114"/>
      <c r="AN1114"/>
      <c r="AO1114"/>
    </row>
    <row r="1115" spans="1:41" ht="15">
      <c r="A1115"/>
      <c r="B1115"/>
      <c r="C1115" s="137"/>
      <c r="D1115" s="30"/>
      <c r="E1115" s="30"/>
      <c r="F1115" s="10"/>
      <c r="G1115" s="10"/>
      <c r="H1115" s="15"/>
      <c r="I1115" s="15"/>
      <c r="J1115" s="15"/>
      <c r="K1115" s="15"/>
      <c r="L1115" s="15"/>
      <c r="M1115" s="15"/>
      <c r="N1115" s="15"/>
      <c r="O1115" s="15"/>
      <c r="P1115" s="15"/>
      <c r="Q1115" s="71"/>
      <c r="R1115" s="84"/>
      <c r="S1115" s="10"/>
      <c r="T1115" s="10"/>
      <c r="U1115" s="10"/>
      <c r="V1115" s="10"/>
      <c r="W1115" s="138"/>
      <c r="Y1115"/>
      <c r="Z1115"/>
      <c r="AA1115"/>
      <c r="AB1115"/>
      <c r="AC1115"/>
      <c r="AD1115"/>
      <c r="AE1115"/>
      <c r="AF1115"/>
      <c r="AG1115"/>
      <c r="AH1115"/>
      <c r="AI1115"/>
      <c r="AJ1115"/>
      <c r="AK1115"/>
      <c r="AL1115"/>
      <c r="AM1115"/>
      <c r="AN1115"/>
      <c r="AO1115"/>
    </row>
    <row r="1116" spans="1:41" ht="15">
      <c r="A1116"/>
      <c r="B1116"/>
      <c r="C1116" s="137"/>
      <c r="D1116" s="30"/>
      <c r="E1116" s="30"/>
      <c r="F1116" s="10"/>
      <c r="G1116" s="10"/>
      <c r="H1116" s="15"/>
      <c r="I1116" s="15"/>
      <c r="J1116" s="15"/>
      <c r="K1116" s="15"/>
      <c r="L1116" s="15"/>
      <c r="M1116" s="15"/>
      <c r="N1116" s="15"/>
      <c r="O1116" s="15"/>
      <c r="P1116" s="15"/>
      <c r="Q1116" s="71"/>
      <c r="R1116" s="84"/>
      <c r="S1116" s="10"/>
      <c r="T1116" s="10"/>
      <c r="U1116" s="10"/>
      <c r="V1116" s="10"/>
      <c r="W1116" s="138"/>
      <c r="Y1116"/>
      <c r="Z1116"/>
      <c r="AA1116"/>
      <c r="AB1116"/>
      <c r="AC1116"/>
      <c r="AD1116"/>
      <c r="AE1116"/>
      <c r="AF1116"/>
      <c r="AG1116"/>
      <c r="AH1116"/>
      <c r="AI1116"/>
      <c r="AJ1116"/>
      <c r="AK1116"/>
      <c r="AL1116"/>
      <c r="AM1116"/>
      <c r="AN1116"/>
      <c r="AO1116"/>
    </row>
    <row r="1117" spans="1:41" ht="15">
      <c r="A1117"/>
      <c r="B1117"/>
      <c r="C1117" s="137"/>
      <c r="D1117" s="30"/>
      <c r="E1117" s="30"/>
      <c r="F1117" s="10"/>
      <c r="G1117" s="10"/>
      <c r="H1117" s="15"/>
      <c r="I1117" s="15"/>
      <c r="J1117" s="15"/>
      <c r="K1117" s="15"/>
      <c r="L1117" s="15"/>
      <c r="M1117" s="15"/>
      <c r="N1117" s="15"/>
      <c r="O1117" s="15"/>
      <c r="P1117" s="15"/>
      <c r="Q1117" s="71"/>
      <c r="R1117" s="84"/>
      <c r="S1117" s="10"/>
      <c r="T1117" s="10"/>
      <c r="U1117" s="10"/>
      <c r="V1117" s="10"/>
      <c r="W1117" s="138"/>
      <c r="Y1117"/>
      <c r="Z1117"/>
      <c r="AA1117"/>
      <c r="AB1117"/>
      <c r="AC1117"/>
      <c r="AD1117"/>
      <c r="AE1117"/>
      <c r="AF1117"/>
      <c r="AG1117"/>
      <c r="AH1117"/>
      <c r="AI1117"/>
      <c r="AJ1117"/>
      <c r="AK1117"/>
      <c r="AL1117"/>
      <c r="AM1117"/>
      <c r="AN1117"/>
      <c r="AO1117"/>
    </row>
    <row r="1118" spans="1:41" ht="15">
      <c r="A1118"/>
      <c r="B1118"/>
      <c r="C1118" s="137"/>
      <c r="D1118" s="30"/>
      <c r="E1118" s="30"/>
      <c r="F1118" s="10"/>
      <c r="G1118" s="10"/>
      <c r="H1118" s="15"/>
      <c r="I1118" s="15"/>
      <c r="J1118" s="15"/>
      <c r="K1118" s="15"/>
      <c r="L1118" s="15"/>
      <c r="M1118" s="15"/>
      <c r="N1118" s="15"/>
      <c r="O1118" s="15"/>
      <c r="P1118" s="15"/>
      <c r="Q1118" s="71"/>
      <c r="R1118" s="84"/>
      <c r="S1118" s="10"/>
      <c r="T1118" s="10"/>
      <c r="U1118" s="10"/>
      <c r="V1118" s="10"/>
      <c r="W1118" s="138"/>
      <c r="Y1118"/>
      <c r="Z1118"/>
      <c r="AA1118"/>
      <c r="AB1118"/>
      <c r="AC1118"/>
      <c r="AD1118"/>
      <c r="AE1118"/>
      <c r="AF1118"/>
      <c r="AG1118"/>
      <c r="AH1118"/>
      <c r="AI1118"/>
      <c r="AJ1118"/>
      <c r="AK1118"/>
      <c r="AL1118"/>
      <c r="AM1118"/>
      <c r="AN1118"/>
      <c r="AO1118"/>
    </row>
    <row r="1119" spans="1:41" ht="15">
      <c r="A1119"/>
      <c r="B1119"/>
      <c r="C1119" s="137"/>
      <c r="D1119" s="30"/>
      <c r="E1119" s="30"/>
      <c r="F1119" s="10"/>
      <c r="G1119" s="10"/>
      <c r="H1119" s="15"/>
      <c r="I1119" s="15"/>
      <c r="J1119" s="15"/>
      <c r="K1119" s="15"/>
      <c r="L1119" s="15"/>
      <c r="M1119" s="15"/>
      <c r="N1119" s="15"/>
      <c r="O1119" s="15"/>
      <c r="P1119" s="15"/>
      <c r="Q1119" s="71"/>
      <c r="R1119" s="84"/>
      <c r="S1119" s="10"/>
      <c r="T1119" s="10"/>
      <c r="U1119" s="10"/>
      <c r="V1119" s="10"/>
      <c r="W1119" s="138"/>
      <c r="Y1119"/>
      <c r="Z1119"/>
      <c r="AA1119"/>
      <c r="AB1119"/>
      <c r="AC1119"/>
      <c r="AD1119"/>
      <c r="AE1119"/>
      <c r="AF1119"/>
      <c r="AG1119"/>
      <c r="AH1119"/>
      <c r="AI1119"/>
      <c r="AJ1119"/>
      <c r="AK1119"/>
      <c r="AL1119"/>
      <c r="AM1119"/>
      <c r="AN1119"/>
      <c r="AO1119"/>
    </row>
    <row r="1120" spans="1:41" ht="15">
      <c r="A1120"/>
      <c r="B1120"/>
      <c r="C1120" s="137"/>
      <c r="D1120" s="30"/>
      <c r="E1120" s="30"/>
      <c r="F1120" s="10"/>
      <c r="G1120" s="10"/>
      <c r="H1120" s="15"/>
      <c r="I1120" s="15"/>
      <c r="J1120" s="15"/>
      <c r="K1120" s="15"/>
      <c r="L1120" s="15"/>
      <c r="M1120" s="15"/>
      <c r="N1120" s="15"/>
      <c r="O1120" s="15"/>
      <c r="P1120" s="15"/>
      <c r="Q1120" s="71"/>
      <c r="R1120" s="84"/>
      <c r="S1120" s="10"/>
      <c r="T1120" s="10"/>
      <c r="U1120" s="10"/>
      <c r="V1120" s="10"/>
      <c r="W1120" s="138"/>
      <c r="Y1120"/>
      <c r="Z1120"/>
      <c r="AA1120"/>
      <c r="AB1120"/>
      <c r="AC1120"/>
      <c r="AD1120"/>
      <c r="AE1120"/>
      <c r="AF1120"/>
      <c r="AG1120"/>
      <c r="AH1120"/>
      <c r="AI1120"/>
      <c r="AJ1120"/>
      <c r="AK1120"/>
      <c r="AL1120"/>
      <c r="AM1120"/>
      <c r="AN1120"/>
      <c r="AO1120"/>
    </row>
    <row r="1121" spans="1:41" ht="15">
      <c r="A1121"/>
      <c r="B1121"/>
      <c r="C1121" s="137"/>
      <c r="D1121" s="30"/>
      <c r="E1121" s="30"/>
      <c r="F1121" s="10"/>
      <c r="G1121" s="10"/>
      <c r="H1121" s="15"/>
      <c r="I1121" s="15"/>
      <c r="J1121" s="15"/>
      <c r="K1121" s="15"/>
      <c r="L1121" s="15"/>
      <c r="M1121" s="15"/>
      <c r="N1121" s="15"/>
      <c r="O1121" s="15"/>
      <c r="P1121" s="15"/>
      <c r="Q1121" s="71"/>
      <c r="R1121" s="84"/>
      <c r="S1121" s="10"/>
      <c r="T1121" s="10"/>
      <c r="U1121" s="10"/>
      <c r="V1121" s="10"/>
      <c r="W1121" s="138"/>
      <c r="Y1121"/>
      <c r="Z1121"/>
      <c r="AA1121"/>
      <c r="AB1121"/>
      <c r="AC1121"/>
      <c r="AD1121"/>
      <c r="AE1121"/>
      <c r="AF1121"/>
      <c r="AG1121"/>
      <c r="AH1121"/>
      <c r="AI1121"/>
      <c r="AJ1121"/>
      <c r="AK1121"/>
      <c r="AL1121"/>
      <c r="AM1121"/>
      <c r="AN1121"/>
      <c r="AO1121"/>
    </row>
    <row r="1122" spans="1:41" ht="15">
      <c r="A1122"/>
      <c r="B1122"/>
      <c r="C1122" s="137"/>
      <c r="D1122" s="30"/>
      <c r="E1122" s="30"/>
      <c r="F1122" s="10"/>
      <c r="G1122" s="10"/>
      <c r="H1122" s="15"/>
      <c r="I1122" s="15"/>
      <c r="J1122" s="15"/>
      <c r="K1122" s="15"/>
      <c r="L1122" s="15"/>
      <c r="M1122" s="15"/>
      <c r="N1122" s="15"/>
      <c r="O1122" s="15"/>
      <c r="P1122" s="15"/>
      <c r="Q1122" s="71"/>
      <c r="R1122" s="84"/>
      <c r="S1122" s="10"/>
      <c r="T1122" s="10"/>
      <c r="U1122" s="10"/>
      <c r="V1122" s="10"/>
      <c r="W1122" s="138"/>
      <c r="Y1122"/>
      <c r="Z1122"/>
      <c r="AA1122"/>
      <c r="AB1122"/>
      <c r="AC1122"/>
      <c r="AD1122"/>
      <c r="AE1122"/>
      <c r="AF1122"/>
      <c r="AG1122"/>
      <c r="AH1122"/>
      <c r="AI1122"/>
      <c r="AJ1122"/>
      <c r="AK1122"/>
      <c r="AL1122"/>
      <c r="AM1122"/>
      <c r="AN1122"/>
      <c r="AO1122"/>
    </row>
    <row r="1123" spans="1:41" ht="15">
      <c r="A1123"/>
      <c r="B1123"/>
      <c r="C1123" s="137"/>
      <c r="D1123" s="30"/>
      <c r="E1123" s="30"/>
      <c r="F1123" s="10"/>
      <c r="G1123" s="10"/>
      <c r="H1123" s="15"/>
      <c r="I1123" s="15"/>
      <c r="J1123" s="15"/>
      <c r="K1123" s="15"/>
      <c r="L1123" s="15"/>
      <c r="M1123" s="15"/>
      <c r="N1123" s="15"/>
      <c r="O1123" s="15"/>
      <c r="P1123" s="15"/>
      <c r="Q1123" s="71"/>
      <c r="R1123" s="84"/>
      <c r="S1123" s="10"/>
      <c r="T1123" s="10"/>
      <c r="U1123" s="10"/>
      <c r="V1123" s="10"/>
      <c r="W1123" s="138"/>
      <c r="Y1123"/>
      <c r="Z1123"/>
      <c r="AA1123"/>
      <c r="AB1123"/>
      <c r="AC1123"/>
      <c r="AD1123"/>
      <c r="AE1123"/>
      <c r="AF1123"/>
      <c r="AG1123"/>
      <c r="AH1123"/>
      <c r="AI1123"/>
      <c r="AJ1123"/>
      <c r="AK1123"/>
      <c r="AL1123"/>
      <c r="AM1123"/>
      <c r="AN1123"/>
      <c r="AO1123"/>
    </row>
    <row r="1124" spans="1:41" ht="15">
      <c r="A1124"/>
      <c r="B1124"/>
      <c r="C1124" s="137"/>
      <c r="D1124" s="30"/>
      <c r="E1124" s="30"/>
      <c r="F1124" s="10"/>
      <c r="G1124" s="10"/>
      <c r="H1124" s="15"/>
      <c r="I1124" s="15"/>
      <c r="J1124" s="15"/>
      <c r="K1124" s="15"/>
      <c r="L1124" s="15"/>
      <c r="M1124" s="15"/>
      <c r="N1124" s="15"/>
      <c r="O1124" s="15"/>
      <c r="P1124" s="15"/>
      <c r="Q1124" s="71"/>
      <c r="R1124" s="84"/>
      <c r="S1124" s="10"/>
      <c r="T1124" s="10"/>
      <c r="U1124" s="10"/>
      <c r="V1124" s="10"/>
      <c r="W1124" s="138"/>
      <c r="Y1124"/>
      <c r="Z1124"/>
      <c r="AA1124"/>
      <c r="AB1124"/>
      <c r="AC1124"/>
      <c r="AD1124"/>
      <c r="AE1124"/>
      <c r="AF1124"/>
      <c r="AG1124"/>
      <c r="AH1124"/>
      <c r="AI1124"/>
      <c r="AJ1124"/>
      <c r="AK1124"/>
      <c r="AL1124"/>
      <c r="AM1124"/>
      <c r="AN1124"/>
      <c r="AO1124"/>
    </row>
    <row r="1125" spans="1:41" ht="15">
      <c r="A1125"/>
      <c r="B1125"/>
      <c r="C1125" s="137"/>
      <c r="D1125" s="30"/>
      <c r="E1125" s="30"/>
      <c r="F1125" s="10"/>
      <c r="G1125" s="10"/>
      <c r="H1125" s="15"/>
      <c r="I1125" s="15"/>
      <c r="J1125" s="15"/>
      <c r="K1125" s="15"/>
      <c r="L1125" s="15"/>
      <c r="M1125" s="15"/>
      <c r="N1125" s="15"/>
      <c r="O1125" s="15"/>
      <c r="P1125" s="15"/>
      <c r="Q1125" s="71"/>
      <c r="R1125" s="84"/>
      <c r="S1125" s="10"/>
      <c r="T1125" s="10"/>
      <c r="U1125" s="10"/>
      <c r="V1125" s="10"/>
      <c r="W1125" s="138"/>
      <c r="Y1125"/>
      <c r="Z1125"/>
      <c r="AA1125"/>
      <c r="AB1125"/>
      <c r="AC1125"/>
      <c r="AD1125"/>
      <c r="AE1125"/>
      <c r="AF1125"/>
      <c r="AG1125"/>
      <c r="AH1125"/>
      <c r="AI1125"/>
      <c r="AJ1125"/>
      <c r="AK1125"/>
      <c r="AL1125"/>
      <c r="AM1125"/>
      <c r="AN1125"/>
      <c r="AO1125"/>
    </row>
    <row r="1126" spans="1:41" ht="15">
      <c r="A1126"/>
      <c r="B1126"/>
      <c r="C1126" s="137"/>
      <c r="D1126" s="30"/>
      <c r="E1126" s="30"/>
      <c r="F1126" s="10"/>
      <c r="G1126" s="10"/>
      <c r="H1126" s="15"/>
      <c r="I1126" s="15"/>
      <c r="J1126" s="15"/>
      <c r="K1126" s="15"/>
      <c r="L1126" s="15"/>
      <c r="M1126" s="15"/>
      <c r="N1126" s="15"/>
      <c r="O1126" s="15"/>
      <c r="P1126" s="15"/>
      <c r="Q1126" s="71"/>
      <c r="R1126" s="84"/>
      <c r="S1126" s="10"/>
      <c r="T1126" s="10"/>
      <c r="U1126" s="10"/>
      <c r="V1126" s="10"/>
      <c r="W1126" s="138"/>
      <c r="Y1126"/>
      <c r="Z1126"/>
      <c r="AA1126"/>
      <c r="AB1126"/>
      <c r="AC1126"/>
      <c r="AD1126"/>
      <c r="AE1126"/>
      <c r="AF1126"/>
      <c r="AG1126"/>
      <c r="AH1126"/>
      <c r="AI1126"/>
      <c r="AJ1126"/>
      <c r="AK1126"/>
      <c r="AL1126"/>
      <c r="AM1126"/>
      <c r="AN1126"/>
      <c r="AO1126"/>
    </row>
    <row r="1127" spans="1:41" ht="15">
      <c r="A1127"/>
      <c r="B1127"/>
      <c r="C1127" s="137"/>
      <c r="D1127" s="30"/>
      <c r="E1127" s="30"/>
      <c r="F1127" s="10"/>
      <c r="G1127" s="10"/>
      <c r="H1127" s="15"/>
      <c r="I1127" s="15"/>
      <c r="J1127" s="15"/>
      <c r="K1127" s="15"/>
      <c r="L1127" s="15"/>
      <c r="M1127" s="15"/>
      <c r="N1127" s="15"/>
      <c r="O1127" s="15"/>
      <c r="P1127" s="15"/>
      <c r="Q1127" s="71"/>
      <c r="R1127" s="84"/>
      <c r="S1127" s="10"/>
      <c r="T1127" s="10"/>
      <c r="U1127" s="10"/>
      <c r="V1127" s="10"/>
      <c r="W1127" s="138"/>
      <c r="Y1127"/>
      <c r="Z1127"/>
      <c r="AA1127"/>
      <c r="AB1127"/>
      <c r="AC1127"/>
      <c r="AD1127"/>
      <c r="AE1127"/>
      <c r="AF1127"/>
      <c r="AG1127"/>
      <c r="AH1127"/>
      <c r="AI1127"/>
      <c r="AJ1127"/>
      <c r="AK1127"/>
      <c r="AL1127"/>
      <c r="AM1127"/>
      <c r="AN1127"/>
      <c r="AO1127"/>
    </row>
    <row r="1128" spans="1:41" ht="15">
      <c r="A1128"/>
      <c r="B1128"/>
      <c r="C1128" s="137"/>
      <c r="D1128" s="30"/>
      <c r="E1128" s="30"/>
      <c r="F1128" s="10"/>
      <c r="G1128" s="10"/>
      <c r="H1128" s="15"/>
      <c r="I1128" s="15"/>
      <c r="J1128" s="15"/>
      <c r="K1128" s="15"/>
      <c r="L1128" s="15"/>
      <c r="M1128" s="15"/>
      <c r="N1128" s="15"/>
      <c r="O1128" s="15"/>
      <c r="P1128" s="15"/>
      <c r="Q1128" s="71"/>
      <c r="R1128" s="84"/>
      <c r="S1128" s="10"/>
      <c r="T1128" s="10"/>
      <c r="U1128" s="10"/>
      <c r="V1128" s="10"/>
      <c r="W1128" s="138"/>
      <c r="Y1128"/>
      <c r="Z1128"/>
      <c r="AA1128"/>
      <c r="AB1128"/>
      <c r="AC1128"/>
      <c r="AD1128"/>
      <c r="AE1128"/>
      <c r="AF1128"/>
      <c r="AG1128"/>
      <c r="AH1128"/>
      <c r="AI1128"/>
      <c r="AJ1128"/>
      <c r="AK1128"/>
      <c r="AL1128"/>
      <c r="AM1128"/>
      <c r="AN1128"/>
      <c r="AO1128"/>
    </row>
    <row r="1129" spans="1:41" ht="15">
      <c r="A1129"/>
      <c r="B1129"/>
      <c r="C1129" s="137"/>
      <c r="D1129" s="30"/>
      <c r="E1129" s="30"/>
      <c r="F1129" s="10"/>
      <c r="G1129" s="10"/>
      <c r="H1129" s="15"/>
      <c r="I1129" s="15"/>
      <c r="J1129" s="15"/>
      <c r="K1129" s="15"/>
      <c r="L1129" s="15"/>
      <c r="M1129" s="15"/>
      <c r="N1129" s="15"/>
      <c r="O1129" s="15"/>
      <c r="P1129" s="15"/>
      <c r="Q1129" s="71"/>
      <c r="R1129" s="84"/>
      <c r="S1129" s="10"/>
      <c r="T1129" s="10"/>
      <c r="U1129" s="10"/>
      <c r="V1129" s="10"/>
      <c r="W1129" s="138"/>
      <c r="Y1129"/>
      <c r="Z1129"/>
      <c r="AA1129"/>
      <c r="AB1129"/>
      <c r="AC1129"/>
      <c r="AD1129"/>
      <c r="AE1129"/>
      <c r="AF1129"/>
      <c r="AG1129"/>
      <c r="AH1129"/>
      <c r="AI1129"/>
      <c r="AJ1129"/>
      <c r="AK1129"/>
      <c r="AL1129"/>
      <c r="AM1129"/>
      <c r="AN1129"/>
      <c r="AO1129"/>
    </row>
    <row r="1130" spans="1:41" ht="15">
      <c r="A1130"/>
      <c r="B1130"/>
      <c r="C1130" s="137"/>
      <c r="D1130" s="30"/>
      <c r="E1130" s="30"/>
      <c r="F1130" s="10"/>
      <c r="G1130" s="10"/>
      <c r="H1130" s="15"/>
      <c r="I1130" s="15"/>
      <c r="J1130" s="15"/>
      <c r="K1130" s="15"/>
      <c r="L1130" s="15"/>
      <c r="M1130" s="15"/>
      <c r="N1130" s="15"/>
      <c r="O1130" s="15"/>
      <c r="P1130" s="15"/>
      <c r="Q1130" s="71"/>
      <c r="R1130" s="84"/>
      <c r="S1130" s="10"/>
      <c r="T1130" s="10"/>
      <c r="U1130" s="10"/>
      <c r="V1130" s="10"/>
      <c r="W1130" s="138"/>
      <c r="Y1130"/>
      <c r="Z1130"/>
      <c r="AA1130"/>
      <c r="AB1130"/>
      <c r="AC1130"/>
      <c r="AD1130"/>
      <c r="AE1130"/>
      <c r="AF1130"/>
      <c r="AG1130"/>
      <c r="AH1130"/>
      <c r="AI1130"/>
      <c r="AJ1130"/>
      <c r="AK1130"/>
      <c r="AL1130"/>
      <c r="AM1130"/>
      <c r="AN1130"/>
      <c r="AO1130"/>
    </row>
    <row r="1131" spans="1:41" ht="15">
      <c r="A1131"/>
      <c r="B1131"/>
      <c r="C1131" s="137"/>
      <c r="D1131" s="30"/>
      <c r="E1131" s="30"/>
      <c r="F1131" s="10"/>
      <c r="G1131" s="10"/>
      <c r="H1131" s="15"/>
      <c r="I1131" s="15"/>
      <c r="J1131" s="15"/>
      <c r="K1131" s="15"/>
      <c r="L1131" s="15"/>
      <c r="M1131" s="15"/>
      <c r="N1131" s="15"/>
      <c r="O1131" s="15"/>
      <c r="P1131" s="15"/>
      <c r="Q1131" s="71"/>
      <c r="R1131" s="84"/>
      <c r="S1131" s="10"/>
      <c r="T1131" s="10"/>
      <c r="U1131" s="10"/>
      <c r="V1131" s="10"/>
      <c r="W1131" s="138"/>
      <c r="Y1131"/>
      <c r="Z1131"/>
      <c r="AA1131"/>
      <c r="AB1131"/>
      <c r="AC1131"/>
      <c r="AD1131"/>
      <c r="AE1131"/>
      <c r="AF1131"/>
      <c r="AG1131"/>
      <c r="AH1131"/>
      <c r="AI1131"/>
      <c r="AJ1131"/>
      <c r="AK1131"/>
      <c r="AL1131"/>
      <c r="AM1131"/>
      <c r="AN1131"/>
      <c r="AO1131"/>
    </row>
    <row r="1132" spans="1:41" ht="15">
      <c r="A1132"/>
      <c r="B1132"/>
      <c r="C1132" s="137"/>
      <c r="D1132" s="30"/>
      <c r="E1132" s="30"/>
      <c r="F1132" s="10"/>
      <c r="G1132" s="10"/>
      <c r="H1132" s="15"/>
      <c r="I1132" s="15"/>
      <c r="J1132" s="15"/>
      <c r="K1132" s="15"/>
      <c r="L1132" s="15"/>
      <c r="M1132" s="15"/>
      <c r="N1132" s="15"/>
      <c r="O1132" s="15"/>
      <c r="P1132" s="15"/>
      <c r="Q1132" s="71"/>
      <c r="R1132" s="84"/>
      <c r="S1132" s="10"/>
      <c r="T1132" s="10"/>
      <c r="U1132" s="10"/>
      <c r="V1132" s="10"/>
      <c r="W1132" s="138"/>
      <c r="Y1132"/>
      <c r="Z1132"/>
      <c r="AA1132"/>
      <c r="AB1132"/>
      <c r="AC1132"/>
      <c r="AD1132"/>
      <c r="AE1132"/>
      <c r="AF1132"/>
      <c r="AG1132"/>
      <c r="AH1132"/>
      <c r="AI1132"/>
      <c r="AJ1132"/>
      <c r="AK1132"/>
      <c r="AL1132"/>
      <c r="AM1132"/>
      <c r="AN1132"/>
      <c r="AO1132"/>
    </row>
    <row r="1133" spans="1:41" ht="15">
      <c r="A1133"/>
      <c r="B1133"/>
      <c r="C1133" s="137"/>
      <c r="D1133" s="30"/>
      <c r="E1133" s="30"/>
      <c r="F1133" s="10"/>
      <c r="G1133" s="10"/>
      <c r="H1133" s="15"/>
      <c r="I1133" s="15"/>
      <c r="J1133" s="15"/>
      <c r="K1133" s="15"/>
      <c r="L1133" s="15"/>
      <c r="M1133" s="15"/>
      <c r="N1133" s="15"/>
      <c r="O1133" s="15"/>
      <c r="P1133" s="15"/>
      <c r="Q1133" s="71"/>
      <c r="R1133" s="84"/>
      <c r="S1133" s="10"/>
      <c r="T1133" s="10"/>
      <c r="U1133" s="10"/>
      <c r="V1133" s="10"/>
      <c r="W1133" s="138"/>
      <c r="Y1133"/>
      <c r="Z1133"/>
      <c r="AA1133"/>
      <c r="AB1133"/>
      <c r="AC1133"/>
      <c r="AD1133"/>
      <c r="AE1133"/>
      <c r="AF1133"/>
      <c r="AG1133"/>
      <c r="AH1133"/>
      <c r="AI1133"/>
      <c r="AJ1133"/>
      <c r="AK1133"/>
      <c r="AL1133"/>
      <c r="AM1133"/>
      <c r="AN1133"/>
      <c r="AO1133"/>
    </row>
    <row r="1134" spans="1:41" ht="15">
      <c r="A1134"/>
      <c r="B1134"/>
      <c r="C1134" s="137"/>
      <c r="D1134" s="30"/>
      <c r="E1134" s="30"/>
      <c r="F1134" s="10"/>
      <c r="G1134" s="10"/>
      <c r="H1134" s="15"/>
      <c r="I1134" s="15"/>
      <c r="J1134" s="15"/>
      <c r="K1134" s="15"/>
      <c r="L1134" s="15"/>
      <c r="M1134" s="15"/>
      <c r="N1134" s="15"/>
      <c r="O1134" s="15"/>
      <c r="P1134" s="15"/>
      <c r="Q1134" s="71"/>
      <c r="R1134" s="84"/>
      <c r="S1134" s="10"/>
      <c r="T1134" s="10"/>
      <c r="U1134" s="10"/>
      <c r="V1134" s="10"/>
      <c r="W1134" s="138"/>
      <c r="Y1134"/>
      <c r="Z1134"/>
      <c r="AA1134"/>
      <c r="AB1134"/>
      <c r="AC1134"/>
      <c r="AD1134"/>
      <c r="AE1134"/>
      <c r="AF1134"/>
      <c r="AG1134"/>
      <c r="AH1134"/>
      <c r="AI1134"/>
      <c r="AJ1134"/>
      <c r="AK1134"/>
      <c r="AL1134"/>
      <c r="AM1134"/>
      <c r="AN1134"/>
      <c r="AO1134"/>
    </row>
    <row r="1135" spans="1:41" ht="15">
      <c r="A1135"/>
      <c r="B1135"/>
      <c r="C1135" s="137"/>
      <c r="D1135" s="30"/>
      <c r="E1135" s="30"/>
      <c r="F1135" s="10"/>
      <c r="G1135" s="10"/>
      <c r="H1135" s="15"/>
      <c r="I1135" s="15"/>
      <c r="J1135" s="15"/>
      <c r="K1135" s="15"/>
      <c r="L1135" s="15"/>
      <c r="M1135" s="15"/>
      <c r="N1135" s="15"/>
      <c r="O1135" s="15"/>
      <c r="P1135" s="15"/>
      <c r="Q1135" s="71"/>
      <c r="R1135" s="84"/>
      <c r="S1135" s="10"/>
      <c r="T1135" s="10"/>
      <c r="U1135" s="10"/>
      <c r="V1135" s="10"/>
      <c r="W1135" s="138"/>
      <c r="Y1135"/>
      <c r="Z1135"/>
      <c r="AA1135"/>
      <c r="AB1135"/>
      <c r="AC1135"/>
      <c r="AD1135"/>
      <c r="AE1135"/>
      <c r="AF1135"/>
      <c r="AG1135"/>
      <c r="AH1135"/>
      <c r="AI1135"/>
      <c r="AJ1135"/>
      <c r="AK1135"/>
      <c r="AL1135"/>
      <c r="AM1135"/>
      <c r="AN1135"/>
      <c r="AO1135"/>
    </row>
    <row r="1136" spans="1:41" ht="15">
      <c r="A1136"/>
      <c r="B1136"/>
      <c r="C1136" s="137"/>
      <c r="D1136" s="30"/>
      <c r="E1136" s="30"/>
      <c r="F1136" s="10"/>
      <c r="G1136" s="10"/>
      <c r="H1136" s="15"/>
      <c r="I1136" s="15"/>
      <c r="J1136" s="15"/>
      <c r="K1136" s="15"/>
      <c r="L1136" s="15"/>
      <c r="M1136" s="15"/>
      <c r="N1136" s="15"/>
      <c r="O1136" s="15"/>
      <c r="P1136" s="15"/>
      <c r="Q1136" s="71"/>
      <c r="R1136" s="84"/>
      <c r="S1136" s="10"/>
      <c r="T1136" s="10"/>
      <c r="U1136" s="10"/>
      <c r="V1136" s="10"/>
      <c r="W1136" s="138"/>
      <c r="Y1136"/>
      <c r="Z1136"/>
      <c r="AA1136"/>
      <c r="AB1136"/>
      <c r="AC1136"/>
      <c r="AD1136"/>
      <c r="AE1136"/>
      <c r="AF1136"/>
      <c r="AG1136"/>
      <c r="AH1136"/>
      <c r="AI1136"/>
      <c r="AJ1136"/>
      <c r="AK1136"/>
      <c r="AL1136"/>
      <c r="AM1136"/>
      <c r="AN1136"/>
      <c r="AO1136"/>
    </row>
    <row r="1137" spans="1:41" ht="15">
      <c r="A1137"/>
      <c r="B1137"/>
      <c r="C1137" s="137"/>
      <c r="D1137" s="30"/>
      <c r="E1137" s="30"/>
      <c r="F1137" s="10"/>
      <c r="G1137" s="10"/>
      <c r="H1137" s="15"/>
      <c r="I1137" s="15"/>
      <c r="J1137" s="15"/>
      <c r="K1137" s="15"/>
      <c r="L1137" s="15"/>
      <c r="M1137" s="15"/>
      <c r="N1137" s="15"/>
      <c r="O1137" s="15"/>
      <c r="P1137" s="15"/>
      <c r="Q1137" s="71"/>
      <c r="R1137" s="84"/>
      <c r="S1137" s="10"/>
      <c r="T1137" s="10"/>
      <c r="U1137" s="10"/>
      <c r="V1137" s="10"/>
      <c r="W1137" s="138"/>
      <c r="Y1137"/>
      <c r="Z1137"/>
      <c r="AA1137"/>
      <c r="AB1137"/>
      <c r="AC1137"/>
      <c r="AD1137"/>
      <c r="AE1137"/>
      <c r="AF1137"/>
      <c r="AG1137"/>
      <c r="AH1137"/>
      <c r="AI1137"/>
      <c r="AJ1137"/>
      <c r="AK1137"/>
      <c r="AL1137"/>
      <c r="AM1137"/>
      <c r="AN1137"/>
      <c r="AO1137"/>
    </row>
    <row r="1138" spans="1:41" ht="15">
      <c r="A1138"/>
      <c r="B1138"/>
      <c r="C1138" s="137"/>
      <c r="D1138" s="30"/>
      <c r="E1138" s="30"/>
      <c r="F1138" s="10"/>
      <c r="G1138" s="10"/>
      <c r="H1138" s="15"/>
      <c r="I1138" s="15"/>
      <c r="J1138" s="15"/>
      <c r="K1138" s="15"/>
      <c r="L1138" s="15"/>
      <c r="M1138" s="15"/>
      <c r="N1138" s="15"/>
      <c r="O1138" s="15"/>
      <c r="P1138" s="15"/>
      <c r="Q1138" s="71"/>
      <c r="R1138" s="84"/>
      <c r="S1138" s="10"/>
      <c r="T1138" s="10"/>
      <c r="U1138" s="10"/>
      <c r="V1138" s="10"/>
      <c r="W1138" s="138"/>
      <c r="Y1138"/>
      <c r="Z1138"/>
      <c r="AA1138"/>
      <c r="AB1138"/>
      <c r="AC1138"/>
      <c r="AD1138"/>
      <c r="AE1138"/>
      <c r="AF1138"/>
      <c r="AG1138"/>
      <c r="AH1138"/>
      <c r="AI1138"/>
      <c r="AJ1138"/>
      <c r="AK1138"/>
      <c r="AL1138"/>
      <c r="AM1138"/>
      <c r="AN1138"/>
      <c r="AO1138"/>
    </row>
    <row r="1139" spans="1:41" ht="15">
      <c r="A1139"/>
      <c r="B1139"/>
      <c r="C1139" s="137"/>
      <c r="D1139" s="30"/>
      <c r="E1139" s="30"/>
      <c r="F1139" s="10"/>
      <c r="G1139" s="10"/>
      <c r="H1139" s="15"/>
      <c r="I1139" s="15"/>
      <c r="J1139" s="15"/>
      <c r="K1139" s="15"/>
      <c r="L1139" s="15"/>
      <c r="M1139" s="15"/>
      <c r="N1139" s="15"/>
      <c r="O1139" s="15"/>
      <c r="P1139" s="15"/>
      <c r="Q1139" s="71"/>
      <c r="R1139" s="84"/>
      <c r="S1139" s="10"/>
      <c r="T1139" s="10"/>
      <c r="U1139" s="10"/>
      <c r="V1139" s="10"/>
      <c r="W1139" s="138"/>
      <c r="Y1139"/>
      <c r="Z1139"/>
      <c r="AA1139"/>
      <c r="AB1139"/>
      <c r="AC1139"/>
      <c r="AD1139"/>
      <c r="AE1139"/>
      <c r="AF1139"/>
      <c r="AG1139"/>
      <c r="AH1139"/>
      <c r="AI1139"/>
      <c r="AJ1139"/>
      <c r="AK1139"/>
      <c r="AL1139"/>
      <c r="AM1139"/>
      <c r="AN1139"/>
      <c r="AO1139"/>
    </row>
    <row r="1140" spans="1:41" ht="15">
      <c r="A1140"/>
      <c r="B1140"/>
      <c r="C1140" s="137"/>
      <c r="D1140" s="30"/>
      <c r="E1140" s="30"/>
      <c r="F1140" s="10"/>
      <c r="G1140" s="10"/>
      <c r="H1140" s="15"/>
      <c r="I1140" s="15"/>
      <c r="J1140" s="15"/>
      <c r="K1140" s="15"/>
      <c r="L1140" s="15"/>
      <c r="M1140" s="15"/>
      <c r="N1140" s="15"/>
      <c r="O1140" s="15"/>
      <c r="P1140" s="15"/>
      <c r="Q1140" s="71"/>
      <c r="R1140" s="84"/>
      <c r="S1140" s="10"/>
      <c r="T1140" s="10"/>
      <c r="U1140" s="10"/>
      <c r="V1140" s="10"/>
      <c r="W1140" s="138"/>
      <c r="Y1140"/>
      <c r="Z1140"/>
      <c r="AA1140"/>
      <c r="AB1140"/>
      <c r="AC1140"/>
      <c r="AD1140"/>
      <c r="AE1140"/>
      <c r="AF1140"/>
      <c r="AG1140"/>
      <c r="AH1140"/>
      <c r="AI1140"/>
      <c r="AJ1140"/>
      <c r="AK1140"/>
      <c r="AL1140"/>
      <c r="AM1140"/>
      <c r="AN1140"/>
      <c r="AO1140"/>
    </row>
    <row r="1141" spans="1:41" ht="15">
      <c r="A1141"/>
      <c r="B1141"/>
      <c r="C1141" s="137"/>
      <c r="D1141" s="30"/>
      <c r="E1141" s="30"/>
      <c r="F1141" s="10"/>
      <c r="G1141" s="10"/>
      <c r="H1141" s="15"/>
      <c r="I1141" s="15"/>
      <c r="J1141" s="15"/>
      <c r="K1141" s="15"/>
      <c r="L1141" s="15"/>
      <c r="M1141" s="15"/>
      <c r="N1141" s="15"/>
      <c r="O1141" s="15"/>
      <c r="P1141" s="15"/>
      <c r="Q1141" s="71"/>
      <c r="R1141" s="84"/>
      <c r="S1141" s="10"/>
      <c r="T1141" s="10"/>
      <c r="U1141" s="10"/>
      <c r="V1141" s="10"/>
      <c r="W1141" s="138"/>
      <c r="Y1141"/>
      <c r="Z1141"/>
      <c r="AA1141"/>
      <c r="AB1141"/>
      <c r="AC1141"/>
      <c r="AD1141"/>
      <c r="AE1141"/>
      <c r="AF1141"/>
      <c r="AG1141"/>
      <c r="AH1141"/>
      <c r="AI1141"/>
      <c r="AJ1141"/>
      <c r="AK1141"/>
      <c r="AL1141"/>
      <c r="AM1141"/>
      <c r="AN1141"/>
      <c r="AO1141"/>
    </row>
    <row r="1142" spans="1:41" ht="15">
      <c r="A1142"/>
      <c r="B1142"/>
      <c r="C1142" s="137"/>
      <c r="D1142" s="30"/>
      <c r="E1142" s="30"/>
      <c r="F1142" s="10"/>
      <c r="G1142" s="10"/>
      <c r="H1142" s="15"/>
      <c r="I1142" s="15"/>
      <c r="J1142" s="15"/>
      <c r="K1142" s="15"/>
      <c r="L1142" s="15"/>
      <c r="M1142" s="15"/>
      <c r="N1142" s="15"/>
      <c r="O1142" s="15"/>
      <c r="P1142" s="15"/>
      <c r="Q1142" s="71"/>
      <c r="R1142" s="84"/>
      <c r="S1142" s="10"/>
      <c r="T1142" s="10"/>
      <c r="U1142" s="10"/>
      <c r="V1142" s="10"/>
      <c r="W1142" s="138"/>
      <c r="Y1142"/>
      <c r="Z1142"/>
      <c r="AA1142"/>
      <c r="AB1142"/>
      <c r="AC1142"/>
      <c r="AD1142"/>
      <c r="AE1142"/>
      <c r="AF1142"/>
      <c r="AG1142"/>
      <c r="AH1142"/>
      <c r="AI1142"/>
      <c r="AJ1142"/>
      <c r="AK1142"/>
      <c r="AL1142"/>
      <c r="AM1142"/>
      <c r="AN1142"/>
      <c r="AO1142"/>
    </row>
    <row r="1143" spans="1:41" ht="15">
      <c r="A1143"/>
      <c r="B1143"/>
      <c r="C1143" s="137"/>
      <c r="D1143" s="30"/>
      <c r="E1143" s="30"/>
      <c r="F1143" s="10"/>
      <c r="G1143" s="10"/>
      <c r="H1143" s="15"/>
      <c r="I1143" s="15"/>
      <c r="J1143" s="15"/>
      <c r="K1143" s="15"/>
      <c r="L1143" s="15"/>
      <c r="M1143" s="15"/>
      <c r="N1143" s="15"/>
      <c r="O1143" s="15"/>
      <c r="P1143" s="15"/>
      <c r="Q1143" s="71"/>
      <c r="R1143" s="84"/>
      <c r="S1143" s="10"/>
      <c r="T1143" s="10"/>
      <c r="U1143" s="10"/>
      <c r="V1143" s="10"/>
      <c r="W1143" s="138"/>
      <c r="Y1143"/>
      <c r="Z1143"/>
      <c r="AA1143"/>
      <c r="AB1143"/>
      <c r="AC1143"/>
      <c r="AD1143"/>
      <c r="AE1143"/>
      <c r="AF1143"/>
      <c r="AG1143"/>
      <c r="AH1143"/>
      <c r="AI1143"/>
      <c r="AJ1143"/>
      <c r="AK1143"/>
      <c r="AL1143"/>
      <c r="AM1143"/>
      <c r="AN1143"/>
      <c r="AO1143"/>
    </row>
    <row r="1144" spans="1:41" ht="15">
      <c r="A1144"/>
      <c r="B1144"/>
      <c r="C1144" s="137"/>
      <c r="D1144" s="30"/>
      <c r="E1144" s="30"/>
      <c r="F1144" s="10"/>
      <c r="G1144" s="10"/>
      <c r="H1144" s="15"/>
      <c r="I1144" s="15"/>
      <c r="J1144" s="15"/>
      <c r="K1144" s="15"/>
      <c r="L1144" s="15"/>
      <c r="M1144" s="15"/>
      <c r="N1144" s="15"/>
      <c r="O1144" s="15"/>
      <c r="P1144" s="15"/>
      <c r="Q1144" s="71"/>
      <c r="R1144" s="84"/>
      <c r="S1144" s="10"/>
      <c r="T1144" s="10"/>
      <c r="U1144" s="10"/>
      <c r="V1144" s="10"/>
      <c r="W1144" s="138"/>
      <c r="Y1144"/>
      <c r="Z1144"/>
      <c r="AA1144"/>
      <c r="AB1144"/>
      <c r="AC1144"/>
      <c r="AD1144"/>
      <c r="AE1144"/>
      <c r="AF1144"/>
      <c r="AG1144"/>
      <c r="AH1144"/>
      <c r="AI1144"/>
      <c r="AJ1144"/>
      <c r="AK1144"/>
      <c r="AL1144"/>
      <c r="AM1144"/>
      <c r="AN1144"/>
      <c r="AO1144"/>
    </row>
    <row r="1145" spans="1:41" ht="15">
      <c r="A1145"/>
      <c r="B1145"/>
      <c r="C1145" s="137"/>
      <c r="D1145" s="30"/>
      <c r="E1145" s="30"/>
      <c r="F1145" s="10"/>
      <c r="G1145" s="10"/>
      <c r="H1145" s="15"/>
      <c r="I1145" s="15"/>
      <c r="J1145" s="15"/>
      <c r="K1145" s="15"/>
      <c r="L1145" s="15"/>
      <c r="M1145" s="15"/>
      <c r="N1145" s="15"/>
      <c r="O1145" s="15"/>
      <c r="P1145" s="15"/>
      <c r="Q1145" s="71"/>
      <c r="R1145" s="84"/>
      <c r="S1145" s="10"/>
      <c r="T1145" s="10"/>
      <c r="U1145" s="10"/>
      <c r="V1145" s="10"/>
      <c r="W1145" s="138"/>
      <c r="Y1145"/>
      <c r="Z1145"/>
      <c r="AA1145"/>
      <c r="AB1145"/>
      <c r="AC1145"/>
      <c r="AD1145"/>
      <c r="AE1145"/>
      <c r="AF1145"/>
      <c r="AG1145"/>
      <c r="AH1145"/>
      <c r="AI1145"/>
      <c r="AJ1145"/>
      <c r="AK1145"/>
      <c r="AL1145"/>
      <c r="AM1145"/>
      <c r="AN1145"/>
      <c r="AO1145"/>
    </row>
    <row r="1146" spans="1:41" ht="15">
      <c r="A1146"/>
      <c r="B1146"/>
      <c r="C1146" s="137"/>
      <c r="D1146" s="30"/>
      <c r="E1146" s="30"/>
      <c r="F1146" s="10"/>
      <c r="G1146" s="10"/>
      <c r="H1146" s="15"/>
      <c r="I1146" s="15"/>
      <c r="J1146" s="15"/>
      <c r="K1146" s="15"/>
      <c r="L1146" s="15"/>
      <c r="M1146" s="15"/>
      <c r="N1146" s="15"/>
      <c r="O1146" s="15"/>
      <c r="P1146" s="15"/>
      <c r="Q1146" s="71"/>
      <c r="R1146" s="84"/>
      <c r="S1146" s="10"/>
      <c r="T1146" s="10"/>
      <c r="U1146" s="10"/>
      <c r="V1146" s="10"/>
      <c r="W1146" s="138"/>
      <c r="Y1146"/>
      <c r="Z1146"/>
      <c r="AA1146"/>
      <c r="AB1146"/>
      <c r="AC1146"/>
      <c r="AD1146"/>
      <c r="AE1146"/>
      <c r="AF1146"/>
      <c r="AG1146"/>
      <c r="AH1146"/>
      <c r="AI1146"/>
      <c r="AJ1146"/>
      <c r="AK1146"/>
      <c r="AL1146"/>
      <c r="AM1146"/>
      <c r="AN1146"/>
      <c r="AO1146"/>
    </row>
    <row r="1147" spans="1:41" ht="15">
      <c r="A1147"/>
      <c r="B1147"/>
      <c r="C1147" s="137"/>
      <c r="D1147" s="30"/>
      <c r="E1147" s="30"/>
      <c r="F1147" s="10"/>
      <c r="G1147" s="10"/>
      <c r="H1147" s="15"/>
      <c r="I1147" s="15"/>
      <c r="J1147" s="15"/>
      <c r="K1147" s="15"/>
      <c r="L1147" s="15"/>
      <c r="M1147" s="15"/>
      <c r="N1147" s="15"/>
      <c r="O1147" s="15"/>
      <c r="P1147" s="15"/>
      <c r="Q1147" s="71"/>
      <c r="R1147" s="84"/>
      <c r="S1147" s="10"/>
      <c r="T1147" s="10"/>
      <c r="U1147" s="10"/>
      <c r="V1147" s="10"/>
      <c r="W1147" s="138"/>
      <c r="Y1147"/>
      <c r="Z1147"/>
      <c r="AA1147"/>
      <c r="AB1147"/>
      <c r="AC1147"/>
      <c r="AD1147"/>
      <c r="AE1147"/>
      <c r="AF1147"/>
      <c r="AG1147"/>
      <c r="AH1147"/>
      <c r="AI1147"/>
      <c r="AJ1147"/>
      <c r="AK1147"/>
      <c r="AL1147"/>
      <c r="AM1147"/>
      <c r="AN1147"/>
      <c r="AO1147"/>
    </row>
    <row r="1148" spans="1:41" ht="15">
      <c r="A1148"/>
      <c r="B1148"/>
      <c r="C1148" s="137"/>
      <c r="D1148" s="30"/>
      <c r="E1148" s="30"/>
      <c r="F1148" s="10"/>
      <c r="G1148" s="10"/>
      <c r="H1148" s="15"/>
      <c r="I1148" s="15"/>
      <c r="J1148" s="15"/>
      <c r="K1148" s="15"/>
      <c r="L1148" s="15"/>
      <c r="M1148" s="15"/>
      <c r="N1148" s="15"/>
      <c r="O1148" s="15"/>
      <c r="P1148" s="15"/>
      <c r="Q1148" s="71"/>
      <c r="R1148" s="84"/>
      <c r="S1148" s="10"/>
      <c r="T1148" s="10"/>
      <c r="U1148" s="10"/>
      <c r="V1148" s="10"/>
      <c r="W1148" s="138"/>
      <c r="Y1148"/>
      <c r="Z1148"/>
      <c r="AA1148"/>
      <c r="AB1148"/>
      <c r="AC1148"/>
      <c r="AD1148"/>
      <c r="AE1148"/>
      <c r="AF1148"/>
      <c r="AG1148"/>
      <c r="AH1148"/>
      <c r="AI1148"/>
      <c r="AJ1148"/>
      <c r="AK1148"/>
      <c r="AL1148"/>
      <c r="AM1148"/>
      <c r="AN1148"/>
      <c r="AO1148"/>
    </row>
    <row r="1149" spans="1:41" ht="15">
      <c r="A1149"/>
      <c r="B1149"/>
      <c r="C1149" s="137"/>
      <c r="D1149" s="30"/>
      <c r="E1149" s="30"/>
      <c r="F1149" s="10"/>
      <c r="G1149" s="10"/>
      <c r="H1149" s="15"/>
      <c r="I1149" s="15"/>
      <c r="J1149" s="15"/>
      <c r="K1149" s="15"/>
      <c r="L1149" s="15"/>
      <c r="M1149" s="15"/>
      <c r="N1149" s="15"/>
      <c r="O1149" s="15"/>
      <c r="P1149" s="15"/>
      <c r="Q1149" s="71"/>
      <c r="R1149" s="84"/>
      <c r="S1149" s="10"/>
      <c r="T1149" s="10"/>
      <c r="U1149" s="10"/>
      <c r="V1149" s="10"/>
      <c r="W1149" s="138"/>
      <c r="Y1149"/>
      <c r="Z1149"/>
      <c r="AA1149"/>
      <c r="AB1149"/>
      <c r="AC1149"/>
      <c r="AD1149"/>
      <c r="AE1149"/>
      <c r="AF1149"/>
      <c r="AG1149"/>
      <c r="AH1149"/>
      <c r="AI1149"/>
      <c r="AJ1149"/>
      <c r="AK1149"/>
      <c r="AL1149"/>
      <c r="AM1149"/>
      <c r="AN1149"/>
      <c r="AO1149"/>
    </row>
    <row r="1150" spans="1:41" ht="15">
      <c r="A1150"/>
      <c r="B1150"/>
      <c r="C1150" s="137"/>
      <c r="D1150" s="30"/>
      <c r="E1150" s="30"/>
      <c r="F1150" s="10"/>
      <c r="G1150" s="10"/>
      <c r="H1150" s="15"/>
      <c r="I1150" s="15"/>
      <c r="J1150" s="15"/>
      <c r="K1150" s="15"/>
      <c r="L1150" s="15"/>
      <c r="M1150" s="15"/>
      <c r="N1150" s="15"/>
      <c r="O1150" s="15"/>
      <c r="P1150" s="15"/>
      <c r="Q1150" s="71"/>
      <c r="R1150" s="84"/>
      <c r="S1150" s="10"/>
      <c r="T1150" s="10"/>
      <c r="U1150" s="10"/>
      <c r="V1150" s="10"/>
      <c r="W1150" s="138"/>
      <c r="Y1150"/>
      <c r="Z1150"/>
      <c r="AA1150"/>
      <c r="AB1150"/>
      <c r="AC1150"/>
      <c r="AD1150"/>
      <c r="AE1150"/>
      <c r="AF1150"/>
      <c r="AG1150"/>
      <c r="AH1150"/>
      <c r="AI1150"/>
      <c r="AJ1150"/>
      <c r="AK1150"/>
      <c r="AL1150"/>
      <c r="AM1150"/>
      <c r="AN1150"/>
      <c r="AO1150"/>
    </row>
    <row r="1151" spans="1:41" ht="15">
      <c r="A1151"/>
      <c r="B1151"/>
      <c r="C1151" s="137"/>
      <c r="D1151" s="30"/>
      <c r="E1151" s="30"/>
      <c r="F1151" s="10"/>
      <c r="G1151" s="10"/>
      <c r="H1151" s="15"/>
      <c r="I1151" s="15"/>
      <c r="J1151" s="15"/>
      <c r="K1151" s="15"/>
      <c r="L1151" s="15"/>
      <c r="M1151" s="15"/>
      <c r="N1151" s="15"/>
      <c r="O1151" s="15"/>
      <c r="P1151" s="15"/>
      <c r="Q1151" s="71"/>
      <c r="R1151" s="84"/>
      <c r="S1151" s="10"/>
      <c r="T1151" s="10"/>
      <c r="U1151" s="10"/>
      <c r="V1151" s="10"/>
      <c r="W1151" s="138"/>
      <c r="Y1151"/>
      <c r="Z1151"/>
      <c r="AA1151"/>
      <c r="AB1151"/>
      <c r="AC1151"/>
      <c r="AD1151"/>
      <c r="AE1151"/>
      <c r="AF1151"/>
      <c r="AG1151"/>
      <c r="AH1151"/>
      <c r="AI1151"/>
      <c r="AJ1151"/>
      <c r="AK1151"/>
      <c r="AL1151"/>
      <c r="AM1151"/>
      <c r="AN1151"/>
      <c r="AO1151"/>
    </row>
    <row r="1152" spans="1:41" ht="15">
      <c r="A1152"/>
      <c r="B1152"/>
      <c r="C1152" s="137"/>
      <c r="D1152" s="30"/>
      <c r="E1152" s="30"/>
      <c r="F1152" s="10"/>
      <c r="G1152" s="10"/>
      <c r="H1152" s="15"/>
      <c r="I1152" s="15"/>
      <c r="J1152" s="15"/>
      <c r="K1152" s="15"/>
      <c r="L1152" s="15"/>
      <c r="M1152" s="15"/>
      <c r="N1152" s="15"/>
      <c r="O1152" s="15"/>
      <c r="P1152" s="15"/>
      <c r="Q1152" s="71"/>
      <c r="R1152" s="84"/>
      <c r="S1152" s="10"/>
      <c r="T1152" s="10"/>
      <c r="U1152" s="10"/>
      <c r="V1152" s="10"/>
      <c r="W1152" s="138"/>
      <c r="Y1152"/>
      <c r="Z1152"/>
      <c r="AA1152"/>
      <c r="AB1152"/>
      <c r="AC1152"/>
      <c r="AD1152"/>
      <c r="AE1152"/>
      <c r="AF1152"/>
      <c r="AG1152"/>
      <c r="AH1152"/>
      <c r="AI1152"/>
      <c r="AJ1152"/>
      <c r="AK1152"/>
      <c r="AL1152"/>
      <c r="AM1152"/>
      <c r="AN1152"/>
      <c r="AO1152"/>
    </row>
    <row r="1153" spans="1:41" ht="15">
      <c r="A1153"/>
      <c r="B1153"/>
      <c r="C1153" s="137"/>
      <c r="D1153" s="30"/>
      <c r="E1153" s="30"/>
      <c r="F1153" s="10"/>
      <c r="G1153" s="10"/>
      <c r="H1153" s="15"/>
      <c r="I1153" s="15"/>
      <c r="J1153" s="15"/>
      <c r="K1153" s="15"/>
      <c r="L1153" s="15"/>
      <c r="M1153" s="15"/>
      <c r="N1153" s="15"/>
      <c r="O1153" s="15"/>
      <c r="P1153" s="15"/>
      <c r="Q1153" s="71"/>
      <c r="R1153" s="84"/>
      <c r="S1153" s="10"/>
      <c r="T1153" s="10"/>
      <c r="U1153" s="10"/>
      <c r="V1153" s="10"/>
      <c r="W1153" s="138"/>
      <c r="Y1153"/>
      <c r="Z1153"/>
      <c r="AA1153"/>
      <c r="AB1153"/>
      <c r="AC1153"/>
      <c r="AD1153"/>
      <c r="AE1153"/>
      <c r="AF1153"/>
      <c r="AG1153"/>
      <c r="AH1153"/>
      <c r="AI1153"/>
      <c r="AJ1153"/>
      <c r="AK1153"/>
      <c r="AL1153"/>
      <c r="AM1153"/>
      <c r="AN1153"/>
      <c r="AO1153"/>
    </row>
    <row r="1154" spans="1:41" ht="15">
      <c r="A1154"/>
      <c r="B1154"/>
      <c r="C1154" s="137"/>
      <c r="D1154" s="30"/>
      <c r="E1154" s="30"/>
      <c r="F1154" s="10"/>
      <c r="G1154" s="10"/>
      <c r="H1154" s="15"/>
      <c r="I1154" s="15"/>
      <c r="J1154" s="15"/>
      <c r="K1154" s="15"/>
      <c r="L1154" s="15"/>
      <c r="M1154" s="15"/>
      <c r="N1154" s="15"/>
      <c r="O1154" s="15"/>
      <c r="P1154" s="15"/>
      <c r="Q1154" s="71"/>
      <c r="R1154" s="84"/>
      <c r="S1154" s="10"/>
      <c r="T1154" s="10"/>
      <c r="U1154" s="10"/>
      <c r="V1154" s="10"/>
      <c r="W1154" s="138"/>
      <c r="Y1154"/>
      <c r="Z1154"/>
      <c r="AA1154"/>
      <c r="AB1154"/>
      <c r="AC1154"/>
      <c r="AD1154"/>
      <c r="AE1154"/>
      <c r="AF1154"/>
      <c r="AG1154"/>
      <c r="AH1154"/>
      <c r="AI1154"/>
      <c r="AJ1154"/>
      <c r="AK1154"/>
      <c r="AL1154"/>
      <c r="AM1154"/>
      <c r="AN1154"/>
      <c r="AO1154"/>
    </row>
    <row r="1155" spans="1:41" ht="15">
      <c r="A1155"/>
      <c r="B1155"/>
      <c r="C1155" s="137"/>
      <c r="D1155" s="30"/>
      <c r="E1155" s="30"/>
      <c r="F1155" s="10"/>
      <c r="G1155" s="10"/>
      <c r="H1155" s="15"/>
      <c r="I1155" s="15"/>
      <c r="J1155" s="15"/>
      <c r="K1155" s="15"/>
      <c r="L1155" s="15"/>
      <c r="M1155" s="15"/>
      <c r="N1155" s="15"/>
      <c r="O1155" s="15"/>
      <c r="P1155" s="15"/>
      <c r="Q1155" s="71"/>
      <c r="R1155" s="84"/>
      <c r="S1155" s="10"/>
      <c r="T1155" s="10"/>
      <c r="U1155" s="10"/>
      <c r="V1155" s="10"/>
      <c r="W1155" s="138"/>
      <c r="Y1155"/>
      <c r="Z1155"/>
      <c r="AA1155"/>
      <c r="AB1155"/>
      <c r="AC1155"/>
      <c r="AD1155"/>
      <c r="AE1155"/>
      <c r="AF1155"/>
      <c r="AG1155"/>
      <c r="AH1155"/>
      <c r="AI1155"/>
      <c r="AJ1155"/>
      <c r="AK1155"/>
      <c r="AL1155"/>
      <c r="AM1155"/>
      <c r="AN1155"/>
      <c r="AO1155"/>
    </row>
    <row r="1156" spans="1:41" ht="15">
      <c r="A1156"/>
      <c r="B1156"/>
      <c r="C1156" s="137"/>
      <c r="D1156" s="30"/>
      <c r="E1156" s="30"/>
      <c r="F1156" s="10"/>
      <c r="G1156" s="10"/>
      <c r="H1156" s="15"/>
      <c r="I1156" s="15"/>
      <c r="J1156" s="15"/>
      <c r="K1156" s="15"/>
      <c r="L1156" s="15"/>
      <c r="M1156" s="15"/>
      <c r="N1156" s="15"/>
      <c r="O1156" s="15"/>
      <c r="P1156" s="15"/>
      <c r="Q1156" s="71"/>
      <c r="R1156" s="84"/>
      <c r="S1156" s="10"/>
      <c r="T1156" s="10"/>
      <c r="U1156" s="10"/>
      <c r="V1156" s="10"/>
      <c r="W1156" s="138"/>
      <c r="Y1156"/>
      <c r="Z1156"/>
      <c r="AA1156"/>
      <c r="AB1156"/>
      <c r="AC1156"/>
      <c r="AD1156"/>
      <c r="AE1156"/>
      <c r="AF1156"/>
      <c r="AG1156"/>
      <c r="AH1156"/>
      <c r="AI1156"/>
      <c r="AJ1156"/>
      <c r="AK1156"/>
      <c r="AL1156"/>
      <c r="AM1156"/>
      <c r="AN1156"/>
      <c r="AO1156"/>
    </row>
    <row r="1157" spans="1:41" ht="15">
      <c r="A1157"/>
      <c r="B1157"/>
      <c r="C1157" s="137"/>
      <c r="D1157" s="30"/>
      <c r="E1157" s="30"/>
      <c r="F1157" s="10"/>
      <c r="G1157" s="10"/>
      <c r="H1157" s="15"/>
      <c r="I1157" s="15"/>
      <c r="J1157" s="15"/>
      <c r="K1157" s="15"/>
      <c r="L1157" s="15"/>
      <c r="M1157" s="15"/>
      <c r="N1157" s="15"/>
      <c r="O1157" s="15"/>
      <c r="P1157" s="15"/>
      <c r="Q1157" s="71"/>
      <c r="R1157" s="84"/>
      <c r="S1157" s="10"/>
      <c r="T1157" s="10"/>
      <c r="U1157" s="10"/>
      <c r="V1157" s="10"/>
      <c r="W1157" s="138"/>
      <c r="Y1157"/>
      <c r="Z1157"/>
      <c r="AA1157"/>
      <c r="AB1157"/>
      <c r="AC1157"/>
      <c r="AD1157"/>
      <c r="AE1157"/>
      <c r="AF1157"/>
      <c r="AG1157"/>
      <c r="AH1157"/>
      <c r="AI1157"/>
      <c r="AJ1157"/>
      <c r="AK1157"/>
      <c r="AL1157"/>
      <c r="AM1157"/>
      <c r="AN1157"/>
      <c r="AO1157"/>
    </row>
    <row r="1158" spans="1:41" ht="15">
      <c r="A1158"/>
      <c r="B1158"/>
      <c r="C1158" s="137"/>
      <c r="D1158" s="30"/>
      <c r="E1158" s="30"/>
      <c r="F1158" s="10"/>
      <c r="G1158" s="10"/>
      <c r="H1158" s="15"/>
      <c r="I1158" s="15"/>
      <c r="J1158" s="15"/>
      <c r="K1158" s="15"/>
      <c r="L1158" s="15"/>
      <c r="M1158" s="15"/>
      <c r="N1158" s="15"/>
      <c r="O1158" s="15"/>
      <c r="P1158" s="15"/>
      <c r="Q1158" s="71"/>
      <c r="R1158" s="84"/>
      <c r="S1158" s="10"/>
      <c r="T1158" s="10"/>
      <c r="U1158" s="10"/>
      <c r="V1158" s="10"/>
      <c r="W1158" s="138"/>
      <c r="Y1158"/>
      <c r="Z1158"/>
      <c r="AA1158"/>
      <c r="AB1158"/>
      <c r="AC1158"/>
      <c r="AD1158"/>
      <c r="AE1158"/>
      <c r="AF1158"/>
      <c r="AG1158"/>
      <c r="AH1158"/>
      <c r="AI1158"/>
      <c r="AJ1158"/>
      <c r="AK1158"/>
      <c r="AL1158"/>
      <c r="AM1158"/>
      <c r="AN1158"/>
      <c r="AO1158"/>
    </row>
    <row r="1159" spans="1:41" ht="15">
      <c r="A1159"/>
      <c r="B1159"/>
      <c r="C1159" s="137"/>
      <c r="D1159" s="30"/>
      <c r="E1159" s="30"/>
      <c r="F1159" s="10"/>
      <c r="G1159" s="10"/>
      <c r="H1159" s="15"/>
      <c r="I1159" s="15"/>
      <c r="J1159" s="15"/>
      <c r="K1159" s="15"/>
      <c r="L1159" s="15"/>
      <c r="M1159" s="15"/>
      <c r="N1159" s="15"/>
      <c r="O1159" s="15"/>
      <c r="P1159" s="15"/>
      <c r="Q1159" s="71"/>
      <c r="R1159" s="84"/>
      <c r="S1159" s="10"/>
      <c r="T1159" s="10"/>
      <c r="U1159" s="10"/>
      <c r="V1159" s="10"/>
      <c r="W1159" s="138"/>
      <c r="Y1159"/>
      <c r="Z1159"/>
      <c r="AA1159"/>
      <c r="AB1159"/>
      <c r="AC1159"/>
      <c r="AD1159"/>
      <c r="AE1159"/>
      <c r="AF1159"/>
      <c r="AG1159"/>
      <c r="AH1159"/>
      <c r="AI1159"/>
      <c r="AJ1159"/>
      <c r="AK1159"/>
      <c r="AL1159"/>
      <c r="AM1159"/>
      <c r="AN1159"/>
      <c r="AO1159"/>
    </row>
    <row r="1160" spans="1:41" ht="15">
      <c r="A1160"/>
      <c r="B1160"/>
      <c r="C1160" s="137"/>
      <c r="D1160" s="30"/>
      <c r="E1160" s="30"/>
      <c r="F1160" s="10"/>
      <c r="G1160" s="10"/>
      <c r="H1160" s="15"/>
      <c r="I1160" s="15"/>
      <c r="J1160" s="15"/>
      <c r="K1160" s="15"/>
      <c r="L1160" s="15"/>
      <c r="M1160" s="15"/>
      <c r="N1160" s="15"/>
      <c r="O1160" s="15"/>
      <c r="P1160" s="15"/>
      <c r="Q1160" s="71"/>
      <c r="R1160" s="84"/>
      <c r="S1160" s="10"/>
      <c r="T1160" s="10"/>
      <c r="U1160" s="10"/>
      <c r="V1160" s="10"/>
      <c r="W1160" s="138"/>
      <c r="Y1160"/>
      <c r="Z1160"/>
      <c r="AA1160"/>
      <c r="AB1160"/>
      <c r="AC1160"/>
      <c r="AD1160"/>
      <c r="AE1160"/>
      <c r="AF1160"/>
      <c r="AG1160"/>
      <c r="AH1160"/>
      <c r="AI1160"/>
      <c r="AJ1160"/>
      <c r="AK1160"/>
      <c r="AL1160"/>
      <c r="AM1160"/>
      <c r="AN1160"/>
      <c r="AO1160"/>
    </row>
    <row r="1161" spans="1:41" ht="15">
      <c r="A1161"/>
      <c r="B1161"/>
      <c r="C1161" s="137"/>
      <c r="D1161" s="30"/>
      <c r="E1161" s="30"/>
      <c r="F1161" s="10"/>
      <c r="G1161" s="10"/>
      <c r="H1161" s="15"/>
      <c r="I1161" s="15"/>
      <c r="J1161" s="15"/>
      <c r="K1161" s="15"/>
      <c r="L1161" s="15"/>
      <c r="M1161" s="15"/>
      <c r="N1161" s="15"/>
      <c r="O1161" s="15"/>
      <c r="P1161" s="15"/>
      <c r="Q1161" s="71"/>
      <c r="R1161" s="84"/>
      <c r="S1161" s="10"/>
      <c r="T1161" s="10"/>
      <c r="U1161" s="10"/>
      <c r="V1161" s="10"/>
      <c r="W1161" s="138"/>
      <c r="Y1161"/>
      <c r="Z1161"/>
      <c r="AA1161"/>
      <c r="AB1161"/>
      <c r="AC1161"/>
      <c r="AD1161"/>
      <c r="AE1161"/>
      <c r="AF1161"/>
      <c r="AG1161"/>
      <c r="AH1161"/>
      <c r="AI1161"/>
      <c r="AJ1161"/>
      <c r="AK1161"/>
      <c r="AL1161"/>
      <c r="AM1161"/>
      <c r="AN1161"/>
      <c r="AO1161"/>
    </row>
    <row r="1162" spans="1:41" ht="15">
      <c r="A1162"/>
      <c r="B1162"/>
      <c r="C1162" s="137"/>
      <c r="D1162" s="30"/>
      <c r="E1162" s="30"/>
      <c r="F1162" s="10"/>
      <c r="G1162" s="10"/>
      <c r="H1162" s="15"/>
      <c r="I1162" s="15"/>
      <c r="J1162" s="15"/>
      <c r="K1162" s="15"/>
      <c r="L1162" s="15"/>
      <c r="M1162" s="15"/>
      <c r="N1162" s="15"/>
      <c r="O1162" s="15"/>
      <c r="P1162" s="15"/>
      <c r="Q1162" s="71"/>
      <c r="R1162" s="84"/>
      <c r="S1162" s="10"/>
      <c r="T1162" s="10"/>
      <c r="U1162" s="10"/>
      <c r="V1162" s="10"/>
      <c r="W1162" s="138"/>
      <c r="Y1162"/>
      <c r="Z1162"/>
      <c r="AA1162"/>
      <c r="AB1162"/>
      <c r="AC1162"/>
      <c r="AD1162"/>
      <c r="AE1162"/>
      <c r="AF1162"/>
      <c r="AG1162"/>
      <c r="AH1162"/>
      <c r="AI1162"/>
      <c r="AJ1162"/>
      <c r="AK1162"/>
      <c r="AL1162"/>
      <c r="AM1162"/>
      <c r="AN1162"/>
      <c r="AO1162"/>
    </row>
    <row r="1163" spans="1:41" ht="15">
      <c r="A1163"/>
      <c r="B1163"/>
      <c r="C1163" s="137"/>
      <c r="D1163" s="30"/>
      <c r="E1163" s="30"/>
      <c r="F1163" s="10"/>
      <c r="G1163" s="10"/>
      <c r="H1163" s="15"/>
      <c r="I1163" s="15"/>
      <c r="J1163" s="15"/>
      <c r="K1163" s="15"/>
      <c r="L1163" s="15"/>
      <c r="M1163" s="15"/>
      <c r="N1163" s="15"/>
      <c r="O1163" s="15"/>
      <c r="P1163" s="15"/>
      <c r="Q1163" s="71"/>
      <c r="R1163" s="84"/>
      <c r="S1163" s="10"/>
      <c r="T1163" s="10"/>
      <c r="U1163" s="10"/>
      <c r="V1163" s="10"/>
      <c r="W1163" s="138"/>
      <c r="Y1163"/>
      <c r="Z1163"/>
      <c r="AA1163"/>
      <c r="AB1163"/>
      <c r="AC1163"/>
      <c r="AD1163"/>
      <c r="AE1163"/>
      <c r="AF1163"/>
      <c r="AG1163"/>
      <c r="AH1163"/>
      <c r="AI1163"/>
      <c r="AJ1163"/>
      <c r="AK1163"/>
      <c r="AL1163"/>
      <c r="AM1163"/>
      <c r="AN1163"/>
      <c r="AO1163"/>
    </row>
    <row r="1164" spans="1:41" ht="15">
      <c r="A1164"/>
      <c r="B1164"/>
      <c r="C1164" s="137"/>
      <c r="D1164" s="30"/>
      <c r="E1164" s="30"/>
      <c r="F1164" s="10"/>
      <c r="G1164" s="10"/>
      <c r="H1164" s="15"/>
      <c r="I1164" s="15"/>
      <c r="J1164" s="15"/>
      <c r="K1164" s="15"/>
      <c r="L1164" s="15"/>
      <c r="M1164" s="15"/>
      <c r="N1164" s="15"/>
      <c r="O1164" s="15"/>
      <c r="P1164" s="15"/>
      <c r="Q1164" s="71"/>
      <c r="R1164" s="84"/>
      <c r="S1164" s="10"/>
      <c r="T1164" s="10"/>
      <c r="U1164" s="10"/>
      <c r="V1164" s="10"/>
      <c r="W1164" s="138"/>
      <c r="Y1164"/>
      <c r="Z1164"/>
      <c r="AA1164"/>
      <c r="AB1164"/>
      <c r="AC1164"/>
      <c r="AD1164"/>
      <c r="AE1164"/>
      <c r="AF1164"/>
      <c r="AG1164"/>
      <c r="AH1164"/>
      <c r="AI1164"/>
      <c r="AJ1164"/>
      <c r="AK1164"/>
      <c r="AL1164"/>
      <c r="AM1164"/>
      <c r="AN1164"/>
      <c r="AO1164"/>
    </row>
    <row r="1165" spans="1:41" ht="15">
      <c r="A1165"/>
      <c r="B1165"/>
      <c r="C1165" s="137"/>
      <c r="D1165" s="30"/>
      <c r="E1165" s="30"/>
      <c r="F1165" s="10"/>
      <c r="G1165" s="10"/>
      <c r="H1165" s="15"/>
      <c r="I1165" s="15"/>
      <c r="J1165" s="15"/>
      <c r="K1165" s="15"/>
      <c r="L1165" s="15"/>
      <c r="M1165" s="15"/>
      <c r="N1165" s="15"/>
      <c r="O1165" s="15"/>
      <c r="P1165" s="15"/>
      <c r="Q1165" s="71"/>
      <c r="R1165" s="84"/>
      <c r="S1165" s="10"/>
      <c r="T1165" s="10"/>
      <c r="U1165" s="10"/>
      <c r="V1165" s="10"/>
      <c r="W1165" s="138"/>
      <c r="Y1165"/>
      <c r="Z1165"/>
      <c r="AA1165"/>
      <c r="AB1165"/>
      <c r="AC1165"/>
      <c r="AD1165"/>
      <c r="AE1165"/>
      <c r="AF1165"/>
      <c r="AG1165"/>
      <c r="AH1165"/>
      <c r="AI1165"/>
      <c r="AJ1165"/>
      <c r="AK1165"/>
      <c r="AL1165"/>
      <c r="AM1165"/>
      <c r="AN1165"/>
      <c r="AO1165"/>
    </row>
    <row r="1166" spans="1:41" ht="15">
      <c r="A1166"/>
      <c r="B1166"/>
      <c r="C1166" s="137"/>
      <c r="D1166" s="30"/>
      <c r="E1166" s="30"/>
      <c r="F1166" s="10"/>
      <c r="G1166" s="10"/>
      <c r="H1166" s="15"/>
      <c r="I1166" s="15"/>
      <c r="J1166" s="15"/>
      <c r="K1166" s="15"/>
      <c r="L1166" s="15"/>
      <c r="M1166" s="15"/>
      <c r="N1166" s="15"/>
      <c r="O1166" s="15"/>
      <c r="P1166" s="15"/>
      <c r="Q1166" s="71"/>
      <c r="R1166" s="84"/>
      <c r="S1166" s="10"/>
      <c r="T1166" s="10"/>
      <c r="U1166" s="10"/>
      <c r="V1166" s="10"/>
      <c r="W1166" s="138"/>
      <c r="Y1166"/>
      <c r="Z1166"/>
      <c r="AA1166"/>
      <c r="AB1166"/>
      <c r="AC1166"/>
      <c r="AD1166"/>
      <c r="AE1166"/>
      <c r="AF1166"/>
      <c r="AG1166"/>
      <c r="AH1166"/>
      <c r="AI1166"/>
      <c r="AJ1166"/>
      <c r="AK1166"/>
      <c r="AL1166"/>
      <c r="AM1166"/>
      <c r="AN1166"/>
      <c r="AO1166"/>
    </row>
    <row r="1167" spans="1:41" ht="15">
      <c r="A1167"/>
      <c r="B1167"/>
      <c r="C1167" s="137"/>
      <c r="D1167" s="30"/>
      <c r="E1167" s="30"/>
      <c r="F1167" s="10"/>
      <c r="G1167" s="10"/>
      <c r="H1167" s="15"/>
      <c r="I1167" s="15"/>
      <c r="J1167" s="15"/>
      <c r="K1167" s="15"/>
      <c r="L1167" s="15"/>
      <c r="M1167" s="15"/>
      <c r="N1167" s="15"/>
      <c r="O1167" s="15"/>
      <c r="P1167" s="15"/>
      <c r="Q1167" s="71"/>
      <c r="R1167" s="84"/>
      <c r="S1167" s="10"/>
      <c r="T1167" s="10"/>
      <c r="U1167" s="10"/>
      <c r="V1167" s="10"/>
      <c r="W1167" s="138"/>
      <c r="Y1167"/>
      <c r="Z1167"/>
      <c r="AA1167"/>
      <c r="AB1167"/>
      <c r="AC1167"/>
      <c r="AD1167"/>
      <c r="AE1167"/>
      <c r="AF1167"/>
      <c r="AG1167"/>
      <c r="AH1167"/>
      <c r="AI1167"/>
      <c r="AJ1167"/>
      <c r="AK1167"/>
      <c r="AL1167"/>
      <c r="AM1167"/>
      <c r="AN1167"/>
      <c r="AO1167"/>
    </row>
    <row r="1168" spans="1:41" ht="15">
      <c r="A1168"/>
      <c r="B1168"/>
      <c r="C1168" s="137"/>
      <c r="D1168" s="30"/>
      <c r="E1168" s="30"/>
      <c r="F1168" s="10"/>
      <c r="G1168" s="10"/>
      <c r="H1168" s="15"/>
      <c r="I1168" s="15"/>
      <c r="J1168" s="15"/>
      <c r="K1168" s="15"/>
      <c r="L1168" s="15"/>
      <c r="M1168" s="15"/>
      <c r="N1168" s="15"/>
      <c r="O1168" s="15"/>
      <c r="P1168" s="15"/>
      <c r="Q1168" s="71"/>
      <c r="R1168" s="84"/>
      <c r="S1168" s="10"/>
      <c r="T1168" s="10"/>
      <c r="U1168" s="10"/>
      <c r="V1168" s="10"/>
      <c r="W1168" s="138"/>
      <c r="Y1168"/>
      <c r="Z1168"/>
      <c r="AA1168"/>
      <c r="AB1168"/>
      <c r="AC1168"/>
      <c r="AD1168"/>
      <c r="AE1168"/>
      <c r="AF1168"/>
      <c r="AG1168"/>
      <c r="AH1168"/>
      <c r="AI1168"/>
      <c r="AJ1168"/>
      <c r="AK1168"/>
      <c r="AL1168"/>
      <c r="AM1168"/>
      <c r="AN1168"/>
      <c r="AO1168"/>
    </row>
    <row r="1169" spans="1:41" ht="15">
      <c r="A1169"/>
      <c r="B1169"/>
      <c r="C1169" s="137"/>
      <c r="D1169" s="30"/>
      <c r="E1169" s="30"/>
      <c r="F1169" s="10"/>
      <c r="G1169" s="10"/>
      <c r="H1169" s="15"/>
      <c r="I1169" s="15"/>
      <c r="J1169" s="15"/>
      <c r="K1169" s="15"/>
      <c r="L1169" s="15"/>
      <c r="M1169" s="15"/>
      <c r="N1169" s="15"/>
      <c r="O1169" s="15"/>
      <c r="P1169" s="15"/>
      <c r="Q1169" s="71"/>
      <c r="R1169" s="84"/>
      <c r="S1169" s="10"/>
      <c r="T1169" s="10"/>
      <c r="U1169" s="10"/>
      <c r="V1169" s="10"/>
      <c r="W1169" s="138"/>
      <c r="Y1169"/>
      <c r="Z1169"/>
      <c r="AA1169"/>
      <c r="AB1169"/>
      <c r="AC1169"/>
      <c r="AD1169"/>
      <c r="AE1169"/>
      <c r="AF1169"/>
      <c r="AG1169"/>
      <c r="AH1169"/>
      <c r="AI1169"/>
      <c r="AJ1169"/>
      <c r="AK1169"/>
      <c r="AL1169"/>
      <c r="AM1169"/>
      <c r="AN1169"/>
      <c r="AO1169"/>
    </row>
    <row r="1170" spans="1:41" ht="15">
      <c r="A1170"/>
      <c r="B1170"/>
      <c r="C1170" s="137"/>
      <c r="D1170" s="30"/>
      <c r="E1170" s="30"/>
      <c r="F1170" s="10"/>
      <c r="G1170" s="10"/>
      <c r="H1170" s="15"/>
      <c r="I1170" s="15"/>
      <c r="J1170" s="15"/>
      <c r="K1170" s="15"/>
      <c r="L1170" s="15"/>
      <c r="M1170" s="15"/>
      <c r="N1170" s="15"/>
      <c r="O1170" s="15"/>
      <c r="P1170" s="15"/>
      <c r="Q1170" s="71"/>
      <c r="R1170" s="84"/>
      <c r="S1170" s="10"/>
      <c r="T1170" s="10"/>
      <c r="U1170" s="10"/>
      <c r="V1170" s="10"/>
      <c r="W1170" s="138"/>
      <c r="Y1170"/>
      <c r="Z1170"/>
      <c r="AA1170"/>
      <c r="AB1170"/>
      <c r="AC1170"/>
      <c r="AD1170"/>
      <c r="AE1170"/>
      <c r="AF1170"/>
      <c r="AG1170"/>
      <c r="AH1170"/>
      <c r="AI1170"/>
      <c r="AJ1170"/>
      <c r="AK1170"/>
      <c r="AL1170"/>
      <c r="AM1170"/>
      <c r="AN1170"/>
      <c r="AO1170"/>
    </row>
    <row r="1171" spans="1:41" ht="15">
      <c r="A1171"/>
      <c r="B1171"/>
      <c r="C1171" s="137"/>
      <c r="D1171" s="30"/>
      <c r="E1171" s="30"/>
      <c r="F1171" s="10"/>
      <c r="G1171" s="10"/>
      <c r="H1171" s="15"/>
      <c r="I1171" s="15"/>
      <c r="J1171" s="15"/>
      <c r="K1171" s="15"/>
      <c r="L1171" s="15"/>
      <c r="M1171" s="15"/>
      <c r="N1171" s="15"/>
      <c r="O1171" s="15"/>
      <c r="P1171" s="15"/>
      <c r="Q1171" s="71"/>
      <c r="R1171" s="84"/>
      <c r="S1171" s="10"/>
      <c r="T1171" s="10"/>
      <c r="U1171" s="10"/>
      <c r="V1171" s="10"/>
      <c r="W1171" s="138"/>
      <c r="Y1171"/>
      <c r="Z1171"/>
      <c r="AA1171"/>
      <c r="AB1171"/>
      <c r="AC1171"/>
      <c r="AD1171"/>
      <c r="AE1171"/>
      <c r="AF1171"/>
      <c r="AG1171"/>
      <c r="AH1171"/>
      <c r="AI1171"/>
      <c r="AJ1171"/>
      <c r="AK1171"/>
      <c r="AL1171"/>
      <c r="AM1171"/>
      <c r="AN1171"/>
      <c r="AO1171"/>
    </row>
    <row r="1172" spans="1:41" ht="15">
      <c r="A1172"/>
      <c r="B1172"/>
      <c r="C1172" s="137"/>
      <c r="D1172" s="30"/>
      <c r="E1172" s="30"/>
      <c r="F1172" s="10"/>
      <c r="G1172" s="10"/>
      <c r="H1172" s="15"/>
      <c r="I1172" s="15"/>
      <c r="J1172" s="15"/>
      <c r="K1172" s="15"/>
      <c r="L1172" s="15"/>
      <c r="M1172" s="15"/>
      <c r="N1172" s="15"/>
      <c r="O1172" s="15"/>
      <c r="P1172" s="15"/>
      <c r="Q1172" s="71"/>
      <c r="R1172" s="84"/>
      <c r="S1172" s="10"/>
      <c r="T1172" s="10"/>
      <c r="U1172" s="10"/>
      <c r="V1172" s="10"/>
      <c r="W1172" s="138"/>
      <c r="Y1172"/>
      <c r="Z1172"/>
      <c r="AA1172"/>
      <c r="AB1172"/>
      <c r="AC1172"/>
      <c r="AD1172"/>
      <c r="AE1172"/>
      <c r="AF1172"/>
      <c r="AG1172"/>
      <c r="AH1172"/>
      <c r="AI1172"/>
      <c r="AJ1172"/>
      <c r="AK1172"/>
      <c r="AL1172"/>
      <c r="AM1172"/>
      <c r="AN1172"/>
      <c r="AO1172"/>
    </row>
    <row r="1173" spans="1:41" ht="15">
      <c r="A1173"/>
      <c r="B1173"/>
      <c r="C1173" s="137"/>
      <c r="D1173" s="30"/>
      <c r="E1173" s="30"/>
      <c r="F1173" s="10"/>
      <c r="G1173" s="10"/>
      <c r="H1173" s="15"/>
      <c r="I1173" s="15"/>
      <c r="J1173" s="15"/>
      <c r="K1173" s="15"/>
      <c r="L1173" s="15"/>
      <c r="M1173" s="15"/>
      <c r="N1173" s="15"/>
      <c r="O1173" s="15"/>
      <c r="P1173" s="15"/>
      <c r="Q1173" s="71"/>
      <c r="R1173" s="84"/>
      <c r="S1173" s="10"/>
      <c r="T1173" s="10"/>
      <c r="U1173" s="10"/>
      <c r="V1173" s="10"/>
      <c r="W1173" s="138"/>
      <c r="Y1173"/>
      <c r="Z1173"/>
      <c r="AA1173"/>
      <c r="AB1173"/>
      <c r="AC1173"/>
      <c r="AD1173"/>
      <c r="AE1173"/>
      <c r="AF1173"/>
      <c r="AG1173"/>
      <c r="AH1173"/>
      <c r="AI1173"/>
      <c r="AJ1173"/>
      <c r="AK1173"/>
      <c r="AL1173"/>
      <c r="AM1173"/>
      <c r="AN1173"/>
      <c r="AO1173"/>
    </row>
    <row r="1174" spans="1:41" ht="15">
      <c r="A1174"/>
      <c r="B1174"/>
      <c r="C1174" s="137"/>
      <c r="D1174" s="30"/>
      <c r="E1174" s="30"/>
      <c r="F1174" s="10"/>
      <c r="G1174" s="10"/>
      <c r="H1174" s="15"/>
      <c r="I1174" s="15"/>
      <c r="J1174" s="15"/>
      <c r="K1174" s="15"/>
      <c r="L1174" s="15"/>
      <c r="M1174" s="15"/>
      <c r="N1174" s="15"/>
      <c r="O1174" s="15"/>
      <c r="P1174" s="15"/>
      <c r="Q1174" s="71"/>
      <c r="R1174" s="84"/>
      <c r="S1174" s="10"/>
      <c r="T1174" s="10"/>
      <c r="U1174" s="10"/>
      <c r="V1174" s="10"/>
      <c r="W1174" s="138"/>
      <c r="Y1174"/>
      <c r="Z1174"/>
      <c r="AA1174"/>
      <c r="AB1174"/>
      <c r="AC1174"/>
      <c r="AD1174"/>
      <c r="AE1174"/>
      <c r="AF1174"/>
      <c r="AG1174"/>
      <c r="AH1174"/>
      <c r="AI1174"/>
      <c r="AJ1174"/>
      <c r="AK1174"/>
      <c r="AL1174"/>
      <c r="AM1174"/>
      <c r="AN1174"/>
      <c r="AO1174"/>
    </row>
    <row r="1175" spans="1:41" ht="15">
      <c r="A1175"/>
      <c r="B1175"/>
      <c r="C1175" s="137"/>
      <c r="D1175" s="30"/>
      <c r="E1175" s="30"/>
      <c r="F1175" s="10"/>
      <c r="G1175" s="10"/>
      <c r="H1175" s="15"/>
      <c r="I1175" s="15"/>
      <c r="J1175" s="15"/>
      <c r="K1175" s="15"/>
      <c r="L1175" s="15"/>
      <c r="M1175" s="15"/>
      <c r="N1175" s="15"/>
      <c r="O1175" s="15"/>
      <c r="P1175" s="15"/>
      <c r="Q1175" s="71"/>
      <c r="R1175" s="84"/>
      <c r="S1175" s="10"/>
      <c r="T1175" s="10"/>
      <c r="U1175" s="10"/>
      <c r="V1175" s="10"/>
      <c r="W1175" s="138"/>
      <c r="Y1175"/>
      <c r="Z1175"/>
      <c r="AA1175"/>
      <c r="AB1175"/>
      <c r="AC1175"/>
      <c r="AD1175"/>
      <c r="AE1175"/>
      <c r="AF1175"/>
      <c r="AG1175"/>
      <c r="AH1175"/>
      <c r="AI1175"/>
      <c r="AJ1175"/>
      <c r="AK1175"/>
      <c r="AL1175"/>
      <c r="AM1175"/>
      <c r="AN1175"/>
      <c r="AO1175"/>
    </row>
    <row r="1176" spans="1:41" ht="15">
      <c r="A1176"/>
      <c r="B1176"/>
      <c r="C1176" s="137"/>
      <c r="D1176" s="30"/>
      <c r="E1176" s="30"/>
      <c r="F1176" s="10"/>
      <c r="G1176" s="10"/>
      <c r="H1176" s="15"/>
      <c r="I1176" s="15"/>
      <c r="J1176" s="15"/>
      <c r="K1176" s="15"/>
      <c r="L1176" s="15"/>
      <c r="M1176" s="15"/>
      <c r="N1176" s="15"/>
      <c r="O1176" s="15"/>
      <c r="P1176" s="15"/>
      <c r="Q1176" s="71"/>
      <c r="R1176" s="84"/>
      <c r="S1176" s="10"/>
      <c r="T1176" s="10"/>
      <c r="U1176" s="10"/>
      <c r="V1176" s="10"/>
      <c r="W1176" s="138"/>
      <c r="Y1176"/>
      <c r="Z1176"/>
      <c r="AA1176"/>
      <c r="AB1176"/>
      <c r="AC1176"/>
      <c r="AD1176"/>
      <c r="AE1176"/>
      <c r="AF1176"/>
      <c r="AG1176"/>
      <c r="AH1176"/>
      <c r="AI1176"/>
      <c r="AJ1176"/>
      <c r="AK1176"/>
      <c r="AL1176"/>
      <c r="AM1176"/>
      <c r="AN1176"/>
      <c r="AO1176"/>
    </row>
    <row r="1177" spans="1:41" ht="15">
      <c r="A1177"/>
      <c r="B1177"/>
      <c r="C1177" s="137"/>
      <c r="D1177" s="30"/>
      <c r="E1177" s="30"/>
      <c r="F1177" s="10"/>
      <c r="G1177" s="10"/>
      <c r="H1177" s="15"/>
      <c r="I1177" s="15"/>
      <c r="J1177" s="15"/>
      <c r="K1177" s="15"/>
      <c r="L1177" s="15"/>
      <c r="M1177" s="15"/>
      <c r="N1177" s="15"/>
      <c r="O1177" s="15"/>
      <c r="P1177" s="15"/>
      <c r="Q1177" s="71"/>
      <c r="R1177" s="84"/>
      <c r="S1177" s="10"/>
      <c r="T1177" s="10"/>
      <c r="U1177" s="10"/>
      <c r="V1177" s="10"/>
      <c r="W1177" s="138"/>
      <c r="Y1177"/>
      <c r="Z1177"/>
      <c r="AA1177"/>
      <c r="AB1177"/>
      <c r="AC1177"/>
      <c r="AD1177"/>
      <c r="AE1177"/>
      <c r="AF1177"/>
      <c r="AG1177"/>
      <c r="AH1177"/>
      <c r="AI1177"/>
      <c r="AJ1177"/>
      <c r="AK1177"/>
      <c r="AL1177"/>
      <c r="AM1177"/>
      <c r="AN1177"/>
      <c r="AO1177"/>
    </row>
    <row r="1178" spans="1:41" ht="15">
      <c r="A1178"/>
      <c r="B1178"/>
      <c r="C1178" s="137"/>
      <c r="D1178" s="30"/>
      <c r="E1178" s="30"/>
      <c r="F1178" s="10"/>
      <c r="G1178" s="10"/>
      <c r="H1178" s="15"/>
      <c r="I1178" s="15"/>
      <c r="J1178" s="15"/>
      <c r="K1178" s="15"/>
      <c r="L1178" s="15"/>
      <c r="M1178" s="15"/>
      <c r="N1178" s="15"/>
      <c r="O1178" s="15"/>
      <c r="P1178" s="15"/>
      <c r="Q1178" s="71"/>
      <c r="R1178" s="84"/>
      <c r="S1178" s="10"/>
      <c r="T1178" s="10"/>
      <c r="U1178" s="10"/>
      <c r="V1178" s="10"/>
      <c r="W1178" s="138"/>
      <c r="Y1178"/>
      <c r="Z1178"/>
      <c r="AA1178"/>
      <c r="AB1178"/>
      <c r="AC1178"/>
      <c r="AD1178"/>
      <c r="AE1178"/>
      <c r="AF1178"/>
      <c r="AG1178"/>
      <c r="AH1178"/>
      <c r="AI1178"/>
      <c r="AJ1178"/>
      <c r="AK1178"/>
      <c r="AL1178"/>
      <c r="AM1178"/>
      <c r="AN1178"/>
      <c r="AO1178"/>
    </row>
    <row r="1179" spans="1:41" ht="15">
      <c r="A1179"/>
      <c r="B1179"/>
      <c r="C1179" s="137"/>
      <c r="D1179" s="30"/>
      <c r="E1179" s="30"/>
      <c r="F1179" s="10"/>
      <c r="G1179" s="10"/>
      <c r="H1179" s="15"/>
      <c r="I1179" s="15"/>
      <c r="J1179" s="15"/>
      <c r="K1179" s="15"/>
      <c r="L1179" s="15"/>
      <c r="M1179" s="15"/>
      <c r="N1179" s="15"/>
      <c r="O1179" s="15"/>
      <c r="P1179" s="15"/>
      <c r="Q1179" s="71"/>
      <c r="R1179" s="84"/>
      <c r="S1179" s="10"/>
      <c r="T1179" s="10"/>
      <c r="U1179" s="10"/>
      <c r="V1179" s="10"/>
      <c r="W1179" s="138"/>
      <c r="Y1179"/>
      <c r="Z1179"/>
      <c r="AA1179"/>
      <c r="AB1179"/>
      <c r="AC1179"/>
      <c r="AD1179"/>
      <c r="AE1179"/>
      <c r="AF1179"/>
      <c r="AG1179"/>
      <c r="AH1179"/>
      <c r="AI1179"/>
      <c r="AJ1179"/>
      <c r="AK1179"/>
      <c r="AL1179"/>
      <c r="AM1179"/>
      <c r="AN1179"/>
      <c r="AO1179"/>
    </row>
    <row r="1180" spans="1:41" ht="15">
      <c r="A1180"/>
      <c r="B1180"/>
      <c r="C1180" s="137"/>
      <c r="D1180" s="30"/>
      <c r="E1180" s="30"/>
      <c r="F1180" s="10"/>
      <c r="G1180" s="10"/>
      <c r="H1180" s="15"/>
      <c r="I1180" s="15"/>
      <c r="J1180" s="15"/>
      <c r="K1180" s="15"/>
      <c r="L1180" s="15"/>
      <c r="M1180" s="15"/>
      <c r="N1180" s="15"/>
      <c r="O1180" s="15"/>
      <c r="P1180" s="15"/>
      <c r="Q1180" s="71"/>
      <c r="R1180" s="84"/>
      <c r="S1180" s="10"/>
      <c r="T1180" s="10"/>
      <c r="U1180" s="10"/>
      <c r="V1180" s="10"/>
      <c r="W1180" s="138"/>
      <c r="Y1180"/>
      <c r="Z1180"/>
      <c r="AA1180"/>
      <c r="AB1180"/>
      <c r="AC1180"/>
      <c r="AD1180"/>
      <c r="AE1180"/>
      <c r="AF1180"/>
      <c r="AG1180"/>
      <c r="AH1180"/>
      <c r="AI1180"/>
      <c r="AJ1180"/>
      <c r="AK1180"/>
      <c r="AL1180"/>
      <c r="AM1180"/>
      <c r="AN1180"/>
      <c r="AO1180"/>
    </row>
    <row r="1181" spans="1:41" ht="15">
      <c r="A1181"/>
      <c r="B1181"/>
      <c r="C1181" s="137"/>
      <c r="D1181" s="30"/>
      <c r="E1181" s="30"/>
      <c r="F1181" s="10"/>
      <c r="G1181" s="10"/>
      <c r="H1181" s="15"/>
      <c r="I1181" s="15"/>
      <c r="J1181" s="15"/>
      <c r="K1181" s="15"/>
      <c r="L1181" s="15"/>
      <c r="M1181" s="15"/>
      <c r="N1181" s="15"/>
      <c r="O1181" s="15"/>
      <c r="P1181" s="15"/>
      <c r="Q1181" s="71"/>
      <c r="R1181" s="84"/>
      <c r="S1181" s="10"/>
      <c r="T1181" s="10"/>
      <c r="U1181" s="10"/>
      <c r="V1181" s="10"/>
      <c r="W1181" s="138"/>
      <c r="Y1181"/>
      <c r="Z1181"/>
      <c r="AA1181"/>
      <c r="AB1181"/>
      <c r="AC1181"/>
      <c r="AD1181"/>
      <c r="AE1181"/>
      <c r="AF1181"/>
      <c r="AG1181"/>
      <c r="AH1181"/>
      <c r="AI1181"/>
      <c r="AJ1181"/>
      <c r="AK1181"/>
      <c r="AL1181"/>
      <c r="AM1181"/>
      <c r="AN1181"/>
      <c r="AO1181"/>
    </row>
    <row r="1182" spans="1:41" ht="15">
      <c r="A1182"/>
      <c r="B1182"/>
      <c r="C1182" s="137"/>
      <c r="D1182" s="30"/>
      <c r="E1182" s="30"/>
      <c r="F1182" s="10"/>
      <c r="G1182" s="10"/>
      <c r="H1182" s="15"/>
      <c r="I1182" s="15"/>
      <c r="J1182" s="15"/>
      <c r="K1182" s="15"/>
      <c r="L1182" s="15"/>
      <c r="M1182" s="15"/>
      <c r="N1182" s="15"/>
      <c r="O1182" s="15"/>
      <c r="P1182" s="15"/>
      <c r="Q1182" s="71"/>
      <c r="R1182" s="84"/>
      <c r="S1182" s="10"/>
      <c r="T1182" s="10"/>
      <c r="U1182" s="10"/>
      <c r="V1182" s="10"/>
      <c r="W1182" s="138"/>
      <c r="Y1182"/>
      <c r="Z1182"/>
      <c r="AA1182"/>
      <c r="AB1182"/>
      <c r="AC1182"/>
      <c r="AD1182"/>
      <c r="AE1182"/>
      <c r="AF1182"/>
      <c r="AG1182"/>
      <c r="AH1182"/>
      <c r="AI1182"/>
      <c r="AJ1182"/>
      <c r="AK1182"/>
      <c r="AL1182"/>
      <c r="AM1182"/>
      <c r="AN1182"/>
      <c r="AO1182"/>
    </row>
    <row r="1183" spans="1:41" ht="15">
      <c r="A1183"/>
      <c r="B1183"/>
      <c r="C1183" s="137"/>
      <c r="D1183" s="30"/>
      <c r="E1183" s="30"/>
      <c r="F1183" s="10"/>
      <c r="G1183" s="10"/>
      <c r="H1183" s="15"/>
      <c r="I1183" s="15"/>
      <c r="J1183" s="15"/>
      <c r="K1183" s="15"/>
      <c r="L1183" s="15"/>
      <c r="M1183" s="15"/>
      <c r="N1183" s="15"/>
      <c r="O1183" s="15"/>
      <c r="P1183" s="15"/>
      <c r="Q1183" s="71"/>
      <c r="R1183" s="84"/>
      <c r="S1183" s="10"/>
      <c r="T1183" s="10"/>
      <c r="U1183" s="10"/>
      <c r="V1183" s="10"/>
      <c r="W1183" s="138"/>
      <c r="Y1183"/>
      <c r="Z1183"/>
      <c r="AA1183"/>
      <c r="AB1183"/>
      <c r="AC1183"/>
      <c r="AD1183"/>
      <c r="AE1183"/>
      <c r="AF1183"/>
      <c r="AG1183"/>
      <c r="AH1183"/>
      <c r="AI1183"/>
      <c r="AJ1183"/>
      <c r="AK1183"/>
      <c r="AL1183"/>
      <c r="AM1183"/>
      <c r="AN1183"/>
      <c r="AO1183"/>
    </row>
    <row r="1184" spans="1:41" ht="15">
      <c r="A1184"/>
      <c r="B1184"/>
      <c r="C1184" s="137"/>
      <c r="D1184" s="30"/>
      <c r="E1184" s="30"/>
      <c r="F1184" s="10"/>
      <c r="G1184" s="10"/>
      <c r="H1184" s="15"/>
      <c r="I1184" s="15"/>
      <c r="J1184" s="15"/>
      <c r="K1184" s="15"/>
      <c r="L1184" s="15"/>
      <c r="M1184" s="15"/>
      <c r="N1184" s="15"/>
      <c r="O1184" s="15"/>
      <c r="P1184" s="15"/>
      <c r="Q1184" s="71"/>
      <c r="R1184" s="84"/>
      <c r="S1184" s="10"/>
      <c r="T1184" s="10"/>
      <c r="U1184" s="10"/>
      <c r="V1184" s="10"/>
      <c r="W1184" s="138"/>
      <c r="Y1184"/>
      <c r="Z1184"/>
      <c r="AA1184"/>
      <c r="AB1184"/>
      <c r="AC1184"/>
      <c r="AD1184"/>
      <c r="AE1184"/>
      <c r="AF1184"/>
      <c r="AG1184"/>
      <c r="AH1184"/>
      <c r="AI1184"/>
      <c r="AJ1184"/>
      <c r="AK1184"/>
      <c r="AL1184"/>
      <c r="AM1184"/>
      <c r="AN1184"/>
      <c r="AO1184"/>
    </row>
    <row r="1185" spans="1:41" ht="15">
      <c r="A1185"/>
      <c r="B1185"/>
      <c r="C1185" s="137"/>
      <c r="D1185" s="30"/>
      <c r="E1185" s="30"/>
      <c r="F1185" s="10"/>
      <c r="G1185" s="10"/>
      <c r="H1185" s="15"/>
      <c r="I1185" s="15"/>
      <c r="J1185" s="15"/>
      <c r="K1185" s="15"/>
      <c r="L1185" s="15"/>
      <c r="M1185" s="15"/>
      <c r="N1185" s="15"/>
      <c r="O1185" s="15"/>
      <c r="P1185" s="15"/>
      <c r="Q1185" s="71"/>
      <c r="R1185" s="84"/>
      <c r="S1185" s="10"/>
      <c r="T1185" s="10"/>
      <c r="U1185" s="10"/>
      <c r="V1185" s="10"/>
      <c r="W1185" s="138"/>
      <c r="Y1185"/>
      <c r="Z1185"/>
      <c r="AA1185"/>
      <c r="AB1185"/>
      <c r="AC1185"/>
      <c r="AD1185"/>
      <c r="AE1185"/>
      <c r="AF1185"/>
      <c r="AG1185"/>
      <c r="AH1185"/>
      <c r="AI1185"/>
      <c r="AJ1185"/>
      <c r="AK1185"/>
      <c r="AL1185"/>
      <c r="AM1185"/>
      <c r="AN1185"/>
      <c r="AO1185"/>
    </row>
    <row r="1186" spans="1:41" ht="15">
      <c r="A1186"/>
      <c r="B1186"/>
      <c r="C1186" s="137"/>
      <c r="D1186" s="30"/>
      <c r="E1186" s="30"/>
      <c r="F1186" s="10"/>
      <c r="G1186" s="10"/>
      <c r="H1186" s="15"/>
      <c r="I1186" s="15"/>
      <c r="J1186" s="15"/>
      <c r="K1186" s="15"/>
      <c r="L1186" s="15"/>
      <c r="M1186" s="15"/>
      <c r="N1186" s="15"/>
      <c r="O1186" s="15"/>
      <c r="P1186" s="15"/>
      <c r="Q1186" s="71"/>
      <c r="R1186" s="84"/>
      <c r="S1186" s="10"/>
      <c r="T1186" s="10"/>
      <c r="U1186" s="10"/>
      <c r="V1186" s="10"/>
      <c r="W1186" s="138"/>
      <c r="Y1186"/>
      <c r="Z1186"/>
      <c r="AA1186"/>
      <c r="AB1186"/>
      <c r="AC1186"/>
      <c r="AD1186"/>
      <c r="AE1186"/>
      <c r="AF1186"/>
      <c r="AG1186"/>
      <c r="AH1186"/>
      <c r="AI1186"/>
      <c r="AJ1186"/>
      <c r="AK1186"/>
      <c r="AL1186"/>
      <c r="AM1186"/>
      <c r="AN1186"/>
      <c r="AO1186"/>
    </row>
    <row r="1187" spans="1:41" ht="15">
      <c r="A1187"/>
      <c r="B1187"/>
      <c r="C1187" s="137"/>
      <c r="D1187" s="30"/>
      <c r="E1187" s="30"/>
      <c r="F1187" s="10"/>
      <c r="G1187" s="10"/>
      <c r="H1187" s="15"/>
      <c r="I1187" s="15"/>
      <c r="J1187" s="15"/>
      <c r="K1187" s="15"/>
      <c r="L1187" s="15"/>
      <c r="M1187" s="15"/>
      <c r="N1187" s="15"/>
      <c r="O1187" s="15"/>
      <c r="P1187" s="15"/>
      <c r="Q1187" s="71"/>
      <c r="R1187" s="84"/>
      <c r="S1187" s="10"/>
      <c r="T1187" s="10"/>
      <c r="U1187" s="10"/>
      <c r="V1187" s="10"/>
      <c r="W1187" s="138"/>
      <c r="Y1187"/>
      <c r="Z1187"/>
      <c r="AA1187"/>
      <c r="AB1187"/>
      <c r="AC1187"/>
      <c r="AD1187"/>
      <c r="AE1187"/>
      <c r="AF1187"/>
      <c r="AG1187"/>
      <c r="AH1187"/>
      <c r="AI1187"/>
      <c r="AJ1187"/>
      <c r="AK1187"/>
      <c r="AL1187"/>
      <c r="AM1187"/>
      <c r="AN1187"/>
      <c r="AO1187"/>
    </row>
    <row r="1188" spans="1:41" ht="15">
      <c r="A1188"/>
      <c r="B1188"/>
      <c r="C1188" s="137"/>
      <c r="D1188" s="30"/>
      <c r="E1188" s="30"/>
      <c r="F1188" s="10"/>
      <c r="G1188" s="10"/>
      <c r="H1188" s="15"/>
      <c r="I1188" s="15"/>
      <c r="J1188" s="15"/>
      <c r="K1188" s="15"/>
      <c r="L1188" s="15"/>
      <c r="M1188" s="15"/>
      <c r="N1188" s="15"/>
      <c r="O1188" s="15"/>
      <c r="P1188" s="15"/>
      <c r="Q1188" s="71"/>
      <c r="R1188" s="84"/>
      <c r="S1188" s="10"/>
      <c r="T1188" s="10"/>
      <c r="U1188" s="10"/>
      <c r="V1188" s="10"/>
      <c r="W1188" s="138"/>
      <c r="Y1188"/>
      <c r="Z1188"/>
      <c r="AA1188"/>
      <c r="AB1188"/>
      <c r="AC1188"/>
      <c r="AD1188"/>
      <c r="AE1188"/>
      <c r="AF1188"/>
      <c r="AG1188"/>
      <c r="AH1188"/>
      <c r="AI1188"/>
      <c r="AJ1188"/>
      <c r="AK1188"/>
      <c r="AL1188"/>
      <c r="AM1188"/>
      <c r="AN1188"/>
      <c r="AO1188"/>
    </row>
    <row r="1189" spans="1:41" ht="15">
      <c r="A1189"/>
      <c r="B1189"/>
      <c r="C1189" s="137"/>
      <c r="D1189" s="30"/>
      <c r="E1189" s="30"/>
      <c r="F1189" s="10"/>
      <c r="G1189" s="10"/>
      <c r="H1189" s="15"/>
      <c r="I1189" s="15"/>
      <c r="J1189" s="15"/>
      <c r="K1189" s="15"/>
      <c r="L1189" s="15"/>
      <c r="M1189" s="15"/>
      <c r="N1189" s="15"/>
      <c r="O1189" s="15"/>
      <c r="P1189" s="15"/>
      <c r="Q1189" s="71"/>
      <c r="R1189" s="84"/>
      <c r="S1189" s="10"/>
      <c r="T1189" s="10"/>
      <c r="U1189" s="10"/>
      <c r="V1189" s="10"/>
      <c r="W1189" s="138"/>
      <c r="Y1189"/>
      <c r="Z1189"/>
      <c r="AA1189"/>
      <c r="AB1189"/>
      <c r="AC1189"/>
      <c r="AD1189"/>
      <c r="AE1189"/>
      <c r="AF1189"/>
      <c r="AG1189"/>
      <c r="AH1189"/>
      <c r="AI1189"/>
      <c r="AJ1189"/>
      <c r="AK1189"/>
      <c r="AL1189"/>
      <c r="AM1189"/>
      <c r="AN1189"/>
      <c r="AO1189"/>
    </row>
    <row r="1190" spans="1:41" ht="15">
      <c r="A1190"/>
      <c r="B1190"/>
      <c r="C1190" s="137"/>
      <c r="D1190" s="30"/>
      <c r="E1190" s="30"/>
      <c r="F1190" s="10"/>
      <c r="G1190" s="10"/>
      <c r="H1190" s="15"/>
      <c r="I1190" s="15"/>
      <c r="J1190" s="15"/>
      <c r="K1190" s="15"/>
      <c r="L1190" s="15"/>
      <c r="M1190" s="15"/>
      <c r="N1190" s="15"/>
      <c r="O1190" s="15"/>
      <c r="P1190" s="15"/>
      <c r="Q1190" s="71"/>
      <c r="R1190" s="84"/>
      <c r="S1190" s="10"/>
      <c r="T1190" s="10"/>
      <c r="U1190" s="10"/>
      <c r="V1190" s="10"/>
      <c r="W1190" s="138"/>
      <c r="Y1190"/>
      <c r="Z1190"/>
      <c r="AA1190"/>
      <c r="AB1190"/>
      <c r="AC1190"/>
      <c r="AD1190"/>
      <c r="AE1190"/>
      <c r="AF1190"/>
      <c r="AG1190"/>
      <c r="AH1190"/>
      <c r="AI1190"/>
      <c r="AJ1190"/>
      <c r="AK1190"/>
      <c r="AL1190"/>
      <c r="AM1190"/>
      <c r="AN1190"/>
      <c r="AO1190"/>
    </row>
    <row r="1191" spans="1:41" ht="15">
      <c r="A1191"/>
      <c r="B1191"/>
      <c r="C1191" s="137"/>
      <c r="D1191" s="30"/>
      <c r="E1191" s="30"/>
      <c r="F1191" s="10"/>
      <c r="G1191" s="10"/>
      <c r="H1191" s="15"/>
      <c r="I1191" s="15"/>
      <c r="J1191" s="15"/>
      <c r="K1191" s="15"/>
      <c r="L1191" s="15"/>
      <c r="M1191" s="15"/>
      <c r="N1191" s="15"/>
      <c r="O1191" s="15"/>
      <c r="P1191" s="15"/>
      <c r="Q1191" s="71"/>
      <c r="R1191" s="84"/>
      <c r="S1191" s="10"/>
      <c r="T1191" s="10"/>
      <c r="U1191" s="10"/>
      <c r="V1191" s="10"/>
      <c r="W1191" s="138"/>
      <c r="Y1191"/>
      <c r="Z1191"/>
      <c r="AA1191"/>
      <c r="AB1191"/>
      <c r="AC1191"/>
      <c r="AD1191"/>
      <c r="AE1191"/>
      <c r="AF1191"/>
      <c r="AG1191"/>
      <c r="AH1191"/>
      <c r="AI1191"/>
      <c r="AJ1191"/>
      <c r="AK1191"/>
      <c r="AL1191"/>
      <c r="AM1191"/>
      <c r="AN1191"/>
      <c r="AO1191"/>
    </row>
    <row r="1192" spans="1:41" ht="15">
      <c r="A1192"/>
      <c r="B1192"/>
      <c r="C1192" s="137"/>
      <c r="D1192" s="30"/>
      <c r="E1192" s="30"/>
      <c r="F1192" s="10"/>
      <c r="G1192" s="10"/>
      <c r="H1192" s="15"/>
      <c r="I1192" s="15"/>
      <c r="J1192" s="15"/>
      <c r="K1192" s="15"/>
      <c r="L1192" s="15"/>
      <c r="M1192" s="15"/>
      <c r="N1192" s="15"/>
      <c r="O1192" s="15"/>
      <c r="P1192" s="15"/>
      <c r="Q1192" s="71"/>
      <c r="R1192" s="84"/>
      <c r="S1192" s="10"/>
      <c r="T1192" s="10"/>
      <c r="U1192" s="10"/>
      <c r="V1192" s="10"/>
      <c r="W1192" s="138"/>
      <c r="Y1192"/>
      <c r="Z1192"/>
      <c r="AA1192"/>
      <c r="AB1192"/>
      <c r="AC1192"/>
      <c r="AD1192"/>
      <c r="AE1192"/>
      <c r="AF1192"/>
      <c r="AG1192"/>
      <c r="AH1192"/>
      <c r="AI1192"/>
      <c r="AJ1192"/>
      <c r="AK1192"/>
      <c r="AL1192"/>
      <c r="AM1192"/>
      <c r="AN1192"/>
      <c r="AO1192"/>
    </row>
    <row r="1193" spans="1:41" ht="15">
      <c r="A1193"/>
      <c r="B1193"/>
      <c r="C1193" s="137"/>
      <c r="D1193" s="30"/>
      <c r="E1193" s="30"/>
      <c r="F1193" s="10"/>
      <c r="G1193" s="10"/>
      <c r="H1193" s="15"/>
      <c r="I1193" s="15"/>
      <c r="J1193" s="15"/>
      <c r="K1193" s="15"/>
      <c r="L1193" s="15"/>
      <c r="M1193" s="15"/>
      <c r="N1193" s="15"/>
      <c r="O1193" s="15"/>
      <c r="P1193" s="15"/>
      <c r="Q1193" s="71"/>
      <c r="R1193" s="84"/>
      <c r="S1193" s="10"/>
      <c r="T1193" s="10"/>
      <c r="U1193" s="10"/>
      <c r="V1193" s="10"/>
      <c r="W1193" s="138"/>
      <c r="Y1193"/>
      <c r="Z1193"/>
      <c r="AA1193"/>
      <c r="AB1193"/>
      <c r="AC1193"/>
      <c r="AD1193"/>
      <c r="AE1193"/>
      <c r="AF1193"/>
      <c r="AG1193"/>
      <c r="AH1193"/>
      <c r="AI1193"/>
      <c r="AJ1193"/>
      <c r="AK1193"/>
      <c r="AL1193"/>
      <c r="AM1193"/>
      <c r="AN1193"/>
      <c r="AO1193"/>
    </row>
    <row r="1194" spans="1:41" ht="15">
      <c r="A1194"/>
      <c r="B1194"/>
      <c r="C1194" s="137"/>
      <c r="D1194" s="30"/>
      <c r="E1194" s="30"/>
      <c r="F1194" s="10"/>
      <c r="G1194" s="10"/>
      <c r="H1194" s="15"/>
      <c r="I1194" s="15"/>
      <c r="J1194" s="15"/>
      <c r="K1194" s="15"/>
      <c r="L1194" s="15"/>
      <c r="M1194" s="15"/>
      <c r="N1194" s="15"/>
      <c r="O1194" s="15"/>
      <c r="P1194" s="15"/>
      <c r="Q1194" s="71"/>
      <c r="R1194" s="84"/>
      <c r="S1194" s="10"/>
      <c r="T1194" s="10"/>
      <c r="U1194" s="10"/>
      <c r="V1194" s="10"/>
      <c r="W1194" s="138"/>
      <c r="Y1194"/>
      <c r="Z1194"/>
      <c r="AA1194"/>
      <c r="AB1194"/>
      <c r="AC1194"/>
      <c r="AD1194"/>
      <c r="AE1194"/>
      <c r="AF1194"/>
      <c r="AG1194"/>
      <c r="AH1194"/>
      <c r="AI1194"/>
      <c r="AJ1194"/>
      <c r="AK1194"/>
      <c r="AL1194"/>
      <c r="AM1194"/>
      <c r="AN1194"/>
      <c r="AO1194"/>
    </row>
    <row r="1195" spans="1:41" ht="15">
      <c r="A1195"/>
      <c r="B1195"/>
      <c r="C1195" s="137"/>
      <c r="D1195" s="30"/>
      <c r="E1195" s="30"/>
      <c r="F1195" s="10"/>
      <c r="G1195" s="10"/>
      <c r="H1195" s="15"/>
      <c r="I1195" s="15"/>
      <c r="J1195" s="15"/>
      <c r="K1195" s="15"/>
      <c r="L1195" s="15"/>
      <c r="M1195" s="15"/>
      <c r="N1195" s="15"/>
      <c r="O1195" s="15"/>
      <c r="P1195" s="15"/>
      <c r="Q1195" s="71"/>
      <c r="R1195" s="84"/>
      <c r="S1195" s="10"/>
      <c r="T1195" s="10"/>
      <c r="U1195" s="10"/>
      <c r="V1195" s="10"/>
      <c r="W1195" s="138"/>
      <c r="Y1195"/>
      <c r="Z1195"/>
      <c r="AA1195"/>
      <c r="AB1195"/>
      <c r="AC1195"/>
      <c r="AD1195"/>
      <c r="AE1195"/>
      <c r="AF1195"/>
      <c r="AG1195"/>
      <c r="AH1195"/>
      <c r="AI1195"/>
      <c r="AJ1195"/>
      <c r="AK1195"/>
      <c r="AL1195"/>
      <c r="AM1195"/>
      <c r="AN1195"/>
      <c r="AO1195"/>
    </row>
    <row r="1196" spans="1:41" ht="15">
      <c r="A1196"/>
      <c r="B1196"/>
      <c r="C1196" s="137"/>
      <c r="D1196" s="30"/>
      <c r="E1196" s="30"/>
      <c r="F1196" s="10"/>
      <c r="G1196" s="10"/>
      <c r="H1196" s="15"/>
      <c r="I1196" s="15"/>
      <c r="J1196" s="15"/>
      <c r="K1196" s="15"/>
      <c r="L1196" s="15"/>
      <c r="M1196" s="15"/>
      <c r="N1196" s="15"/>
      <c r="O1196" s="15"/>
      <c r="P1196" s="15"/>
      <c r="Q1196" s="71"/>
      <c r="R1196" s="84"/>
      <c r="S1196" s="10"/>
      <c r="T1196" s="10"/>
      <c r="U1196" s="10"/>
      <c r="V1196" s="10"/>
      <c r="W1196" s="138"/>
      <c r="Y1196"/>
      <c r="Z1196"/>
      <c r="AA1196"/>
      <c r="AB1196"/>
      <c r="AC1196"/>
      <c r="AD1196"/>
      <c r="AE1196"/>
      <c r="AF1196"/>
      <c r="AG1196"/>
      <c r="AH1196"/>
      <c r="AI1196"/>
      <c r="AJ1196"/>
      <c r="AK1196"/>
      <c r="AL1196"/>
      <c r="AM1196"/>
      <c r="AN1196"/>
      <c r="AO1196"/>
    </row>
    <row r="1197" spans="1:41" ht="15">
      <c r="A1197"/>
      <c r="B1197"/>
      <c r="C1197" s="137"/>
      <c r="D1197" s="30"/>
      <c r="E1197" s="30"/>
      <c r="F1197" s="10"/>
      <c r="G1197" s="10"/>
      <c r="H1197" s="15"/>
      <c r="I1197" s="15"/>
      <c r="J1197" s="15"/>
      <c r="K1197" s="15"/>
      <c r="L1197" s="15"/>
      <c r="M1197" s="15"/>
      <c r="N1197" s="15"/>
      <c r="O1197" s="15"/>
      <c r="P1197" s="15"/>
      <c r="Q1197" s="71"/>
      <c r="R1197" s="84"/>
      <c r="S1197" s="10"/>
      <c r="T1197" s="10"/>
      <c r="U1197" s="10"/>
      <c r="V1197" s="10"/>
      <c r="W1197" s="138"/>
      <c r="Y1197"/>
      <c r="Z1197"/>
      <c r="AA1197"/>
      <c r="AB1197"/>
      <c r="AC1197"/>
      <c r="AD1197"/>
      <c r="AE1197"/>
      <c r="AF1197"/>
      <c r="AG1197"/>
      <c r="AH1197"/>
      <c r="AI1197"/>
      <c r="AJ1197"/>
      <c r="AK1197"/>
      <c r="AL1197"/>
      <c r="AM1197"/>
      <c r="AN1197"/>
      <c r="AO1197"/>
    </row>
    <row r="1198" spans="1:41" ht="15">
      <c r="A1198"/>
      <c r="B1198"/>
      <c r="C1198" s="137"/>
      <c r="D1198" s="30"/>
      <c r="E1198" s="30"/>
      <c r="F1198" s="10"/>
      <c r="G1198" s="10"/>
      <c r="H1198" s="15"/>
      <c r="I1198" s="15"/>
      <c r="J1198" s="15"/>
      <c r="K1198" s="15"/>
      <c r="L1198" s="15"/>
      <c r="M1198" s="15"/>
      <c r="N1198" s="15"/>
      <c r="O1198" s="15"/>
      <c r="P1198" s="15"/>
      <c r="Q1198" s="71"/>
      <c r="R1198" s="84"/>
      <c r="S1198" s="10"/>
      <c r="T1198" s="10"/>
      <c r="U1198" s="10"/>
      <c r="V1198" s="10"/>
      <c r="W1198" s="138"/>
      <c r="Y1198"/>
      <c r="Z1198"/>
      <c r="AA1198"/>
      <c r="AB1198"/>
      <c r="AC1198"/>
      <c r="AD1198"/>
      <c r="AE1198"/>
      <c r="AF1198"/>
      <c r="AG1198"/>
      <c r="AH1198"/>
      <c r="AI1198"/>
      <c r="AJ1198"/>
      <c r="AK1198"/>
      <c r="AL1198"/>
      <c r="AM1198"/>
      <c r="AN1198"/>
      <c r="AO1198"/>
    </row>
    <row r="1199" spans="1:41" ht="15">
      <c r="A1199"/>
      <c r="B1199"/>
      <c r="C1199" s="137"/>
      <c r="D1199" s="30"/>
      <c r="E1199" s="30"/>
      <c r="F1199" s="10"/>
      <c r="G1199" s="10"/>
      <c r="H1199" s="15"/>
      <c r="I1199" s="15"/>
      <c r="J1199" s="15"/>
      <c r="K1199" s="15"/>
      <c r="L1199" s="15"/>
      <c r="M1199" s="15"/>
      <c r="N1199" s="15"/>
      <c r="O1199" s="15"/>
      <c r="P1199" s="15"/>
      <c r="Q1199" s="71"/>
      <c r="R1199" s="84"/>
      <c r="S1199" s="10"/>
      <c r="T1199" s="10"/>
      <c r="U1199" s="10"/>
      <c r="V1199" s="10"/>
      <c r="W1199" s="138"/>
      <c r="Y1199"/>
      <c r="Z1199"/>
      <c r="AA1199"/>
      <c r="AB1199"/>
      <c r="AC1199"/>
      <c r="AD1199"/>
      <c r="AE1199"/>
      <c r="AF1199"/>
      <c r="AG1199"/>
      <c r="AH1199"/>
      <c r="AI1199"/>
      <c r="AJ1199"/>
      <c r="AK1199"/>
      <c r="AL1199"/>
      <c r="AM1199"/>
      <c r="AN1199"/>
      <c r="AO1199"/>
    </row>
    <row r="1200" spans="1:41" ht="15">
      <c r="A1200"/>
      <c r="B1200"/>
      <c r="C1200" s="137"/>
      <c r="D1200" s="30"/>
      <c r="E1200" s="30"/>
      <c r="F1200" s="10"/>
      <c r="G1200" s="10"/>
      <c r="H1200" s="15"/>
      <c r="I1200" s="15"/>
      <c r="J1200" s="15"/>
      <c r="K1200" s="15"/>
      <c r="L1200" s="15"/>
      <c r="M1200" s="15"/>
      <c r="N1200" s="15"/>
      <c r="O1200" s="15"/>
      <c r="P1200" s="15"/>
      <c r="Q1200" s="71"/>
      <c r="R1200" s="84"/>
      <c r="S1200" s="10"/>
      <c r="T1200" s="10"/>
      <c r="U1200" s="10"/>
      <c r="V1200" s="10"/>
      <c r="W1200" s="138"/>
      <c r="Y1200"/>
      <c r="Z1200"/>
      <c r="AA1200"/>
      <c r="AB1200"/>
      <c r="AC1200"/>
      <c r="AD1200"/>
      <c r="AE1200"/>
      <c r="AF1200"/>
      <c r="AG1200"/>
      <c r="AH1200"/>
      <c r="AI1200"/>
      <c r="AJ1200"/>
      <c r="AK1200"/>
      <c r="AL1200"/>
      <c r="AM1200"/>
      <c r="AN1200"/>
      <c r="AO1200"/>
    </row>
    <row r="1201" spans="1:41" ht="15">
      <c r="A1201"/>
      <c r="B1201"/>
      <c r="C1201" s="137"/>
      <c r="D1201" s="30"/>
      <c r="E1201" s="30"/>
      <c r="F1201" s="10"/>
      <c r="G1201" s="10"/>
      <c r="H1201" s="15"/>
      <c r="I1201" s="15"/>
      <c r="J1201" s="15"/>
      <c r="K1201" s="15"/>
      <c r="L1201" s="15"/>
      <c r="M1201" s="15"/>
      <c r="N1201" s="15"/>
      <c r="O1201" s="15"/>
      <c r="P1201" s="15"/>
      <c r="Q1201" s="71"/>
      <c r="R1201" s="84"/>
      <c r="S1201" s="10"/>
      <c r="T1201" s="10"/>
      <c r="U1201" s="10"/>
      <c r="V1201" s="10"/>
      <c r="W1201" s="138"/>
      <c r="Y1201"/>
      <c r="Z1201"/>
      <c r="AA1201"/>
      <c r="AB1201"/>
      <c r="AC1201"/>
      <c r="AD1201"/>
      <c r="AE1201"/>
      <c r="AF1201"/>
      <c r="AG1201"/>
      <c r="AH1201"/>
      <c r="AI1201"/>
      <c r="AJ1201"/>
      <c r="AK1201"/>
      <c r="AL1201"/>
      <c r="AM1201"/>
      <c r="AN1201"/>
      <c r="AO1201"/>
    </row>
    <row r="1202" spans="1:41" ht="15">
      <c r="A1202"/>
      <c r="B1202"/>
      <c r="C1202" s="137"/>
      <c r="D1202" s="30"/>
      <c r="E1202" s="30"/>
      <c r="F1202" s="10"/>
      <c r="G1202" s="10"/>
      <c r="H1202" s="15"/>
      <c r="I1202" s="15"/>
      <c r="J1202" s="15"/>
      <c r="K1202" s="15"/>
      <c r="L1202" s="15"/>
      <c r="M1202" s="15"/>
      <c r="N1202" s="15"/>
      <c r="O1202" s="15"/>
      <c r="P1202" s="15"/>
      <c r="Q1202" s="71"/>
      <c r="R1202" s="84"/>
      <c r="S1202" s="10"/>
      <c r="T1202" s="10"/>
      <c r="U1202" s="10"/>
      <c r="V1202" s="10"/>
      <c r="W1202" s="138"/>
      <c r="Y1202"/>
      <c r="Z1202"/>
      <c r="AA1202"/>
      <c r="AB1202"/>
      <c r="AC1202"/>
      <c r="AD1202"/>
      <c r="AE1202"/>
      <c r="AF1202"/>
      <c r="AG1202"/>
      <c r="AH1202"/>
      <c r="AI1202"/>
      <c r="AJ1202"/>
      <c r="AK1202"/>
      <c r="AL1202"/>
      <c r="AM1202"/>
      <c r="AN1202"/>
      <c r="AO1202"/>
    </row>
    <row r="1203" spans="1:41" ht="15">
      <c r="A1203"/>
      <c r="B1203"/>
      <c r="C1203" s="137"/>
      <c r="D1203" s="30"/>
      <c r="E1203" s="30"/>
      <c r="F1203" s="10"/>
      <c r="G1203" s="10"/>
      <c r="H1203" s="15"/>
      <c r="I1203" s="15"/>
      <c r="J1203" s="15"/>
      <c r="K1203" s="15"/>
      <c r="L1203" s="15"/>
      <c r="M1203" s="15"/>
      <c r="N1203" s="15"/>
      <c r="O1203" s="15"/>
      <c r="P1203" s="15"/>
      <c r="Q1203" s="71"/>
      <c r="R1203" s="84"/>
      <c r="S1203" s="10"/>
      <c r="T1203" s="10"/>
      <c r="U1203" s="10"/>
      <c r="V1203" s="10"/>
      <c r="W1203" s="138"/>
      <c r="Y1203"/>
      <c r="Z1203"/>
      <c r="AA1203"/>
      <c r="AB1203"/>
      <c r="AC1203"/>
      <c r="AD1203"/>
      <c r="AE1203"/>
      <c r="AF1203"/>
      <c r="AG1203"/>
      <c r="AH1203"/>
      <c r="AI1203"/>
      <c r="AJ1203"/>
      <c r="AK1203"/>
      <c r="AL1203"/>
      <c r="AM1203"/>
      <c r="AN1203"/>
      <c r="AO1203"/>
    </row>
    <row r="1204" spans="1:41" ht="15">
      <c r="A1204"/>
      <c r="B1204"/>
      <c r="C1204" s="137"/>
      <c r="D1204" s="30"/>
      <c r="E1204" s="30"/>
      <c r="F1204" s="10"/>
      <c r="G1204" s="10"/>
      <c r="H1204" s="15"/>
      <c r="I1204" s="15"/>
      <c r="J1204" s="15"/>
      <c r="K1204" s="15"/>
      <c r="L1204" s="15"/>
      <c r="M1204" s="15"/>
      <c r="N1204" s="15"/>
      <c r="O1204" s="15"/>
      <c r="P1204" s="15"/>
      <c r="Q1204" s="71"/>
      <c r="R1204" s="84"/>
      <c r="S1204" s="10"/>
      <c r="T1204" s="10"/>
      <c r="U1204" s="10"/>
      <c r="V1204" s="10"/>
      <c r="W1204" s="138"/>
      <c r="Y1204"/>
      <c r="Z1204"/>
      <c r="AA1204"/>
      <c r="AB1204"/>
      <c r="AC1204"/>
      <c r="AD1204"/>
      <c r="AE1204"/>
      <c r="AF1204"/>
      <c r="AG1204"/>
      <c r="AH1204"/>
      <c r="AI1204"/>
      <c r="AJ1204"/>
      <c r="AK1204"/>
      <c r="AL1204"/>
      <c r="AM1204"/>
      <c r="AN1204"/>
      <c r="AO1204"/>
    </row>
    <row r="1205" spans="1:41" ht="15">
      <c r="A1205"/>
      <c r="B1205"/>
      <c r="C1205" s="137"/>
      <c r="D1205" s="30"/>
      <c r="E1205" s="30"/>
      <c r="F1205" s="10"/>
      <c r="G1205" s="10"/>
      <c r="H1205" s="15"/>
      <c r="I1205" s="15"/>
      <c r="J1205" s="15"/>
      <c r="K1205" s="15"/>
      <c r="L1205" s="15"/>
      <c r="M1205" s="15"/>
      <c r="N1205" s="15"/>
      <c r="O1205" s="15"/>
      <c r="P1205" s="15"/>
      <c r="Q1205" s="71"/>
      <c r="R1205" s="84"/>
      <c r="S1205" s="10"/>
      <c r="T1205" s="10"/>
      <c r="U1205" s="10"/>
      <c r="V1205" s="10"/>
      <c r="W1205" s="138"/>
      <c r="Y1205"/>
      <c r="Z1205"/>
      <c r="AA1205"/>
      <c r="AB1205"/>
      <c r="AC1205"/>
      <c r="AD1205"/>
      <c r="AE1205"/>
      <c r="AF1205"/>
      <c r="AG1205"/>
      <c r="AH1205"/>
      <c r="AI1205"/>
      <c r="AJ1205"/>
      <c r="AK1205"/>
      <c r="AL1205"/>
      <c r="AM1205"/>
      <c r="AN1205"/>
      <c r="AO1205"/>
    </row>
    <row r="1206" spans="1:41" ht="15">
      <c r="A1206"/>
      <c r="B1206"/>
      <c r="C1206" s="137"/>
      <c r="D1206" s="30"/>
      <c r="E1206" s="30"/>
      <c r="F1206" s="10"/>
      <c r="G1206" s="10"/>
      <c r="H1206" s="15"/>
      <c r="I1206" s="15"/>
      <c r="J1206" s="15"/>
      <c r="K1206" s="15"/>
      <c r="L1206" s="15"/>
      <c r="M1206" s="15"/>
      <c r="N1206" s="15"/>
      <c r="O1206" s="15"/>
      <c r="P1206" s="15"/>
      <c r="Q1206" s="71"/>
      <c r="R1206" s="84"/>
      <c r="S1206" s="10"/>
      <c r="T1206" s="10"/>
      <c r="U1206" s="10"/>
      <c r="V1206" s="10"/>
      <c r="W1206" s="138"/>
      <c r="Y1206"/>
      <c r="Z1206"/>
      <c r="AA1206"/>
      <c r="AB1206"/>
      <c r="AC1206"/>
      <c r="AD1206"/>
      <c r="AE1206"/>
      <c r="AF1206"/>
      <c r="AG1206"/>
      <c r="AH1206"/>
      <c r="AI1206"/>
      <c r="AJ1206"/>
      <c r="AK1206"/>
      <c r="AL1206"/>
      <c r="AM1206"/>
      <c r="AN1206"/>
      <c r="AO1206"/>
    </row>
    <row r="1207" spans="1:41" ht="15">
      <c r="A1207"/>
      <c r="B1207"/>
      <c r="C1207" s="137"/>
      <c r="D1207" s="30"/>
      <c r="E1207" s="30"/>
      <c r="F1207" s="10"/>
      <c r="G1207" s="10"/>
      <c r="H1207" s="15"/>
      <c r="I1207" s="15"/>
      <c r="J1207" s="15"/>
      <c r="K1207" s="15"/>
      <c r="L1207" s="15"/>
      <c r="M1207" s="15"/>
      <c r="N1207" s="15"/>
      <c r="O1207" s="15"/>
      <c r="P1207" s="15"/>
      <c r="Q1207" s="71"/>
      <c r="R1207" s="84"/>
      <c r="S1207" s="10"/>
      <c r="T1207" s="10"/>
      <c r="U1207" s="10"/>
      <c r="V1207" s="10"/>
      <c r="W1207" s="138"/>
      <c r="Y1207"/>
      <c r="Z1207"/>
      <c r="AA1207"/>
      <c r="AB1207"/>
      <c r="AC1207"/>
      <c r="AD1207"/>
      <c r="AE1207"/>
      <c r="AF1207"/>
      <c r="AG1207"/>
      <c r="AH1207"/>
      <c r="AI1207"/>
      <c r="AJ1207"/>
      <c r="AK1207"/>
      <c r="AL1207"/>
      <c r="AM1207"/>
      <c r="AN1207"/>
      <c r="AO1207"/>
    </row>
    <row r="1208" spans="1:41" ht="15">
      <c r="A1208"/>
      <c r="B1208"/>
      <c r="C1208" s="137"/>
      <c r="D1208" s="30"/>
      <c r="E1208" s="30"/>
      <c r="F1208" s="10"/>
      <c r="G1208" s="10"/>
      <c r="H1208" s="15"/>
      <c r="I1208" s="15"/>
      <c r="J1208" s="15"/>
      <c r="K1208" s="15"/>
      <c r="L1208" s="15"/>
      <c r="M1208" s="15"/>
      <c r="N1208" s="15"/>
      <c r="O1208" s="15"/>
      <c r="P1208" s="15"/>
      <c r="Q1208" s="71"/>
      <c r="R1208" s="84"/>
      <c r="S1208" s="10"/>
      <c r="T1208" s="10"/>
      <c r="U1208" s="10"/>
      <c r="V1208" s="10"/>
      <c r="W1208" s="138"/>
      <c r="Y1208"/>
      <c r="Z1208"/>
      <c r="AA1208"/>
      <c r="AB1208"/>
      <c r="AC1208"/>
      <c r="AD1208"/>
      <c r="AE1208"/>
      <c r="AF1208"/>
      <c r="AG1208"/>
      <c r="AH1208"/>
      <c r="AI1208"/>
      <c r="AJ1208"/>
      <c r="AK1208"/>
      <c r="AL1208"/>
      <c r="AM1208"/>
      <c r="AN1208"/>
      <c r="AO1208"/>
    </row>
    <row r="1209" spans="1:41" ht="15">
      <c r="A1209"/>
      <c r="B1209"/>
      <c r="C1209" s="137"/>
      <c r="D1209" s="30"/>
      <c r="E1209" s="30"/>
      <c r="F1209" s="10"/>
      <c r="G1209" s="10"/>
      <c r="H1209" s="15"/>
      <c r="I1209" s="15"/>
      <c r="J1209" s="15"/>
      <c r="K1209" s="15"/>
      <c r="L1209" s="15"/>
      <c r="M1209" s="15"/>
      <c r="N1209" s="15"/>
      <c r="O1209" s="15"/>
      <c r="P1209" s="15"/>
      <c r="Q1209" s="71"/>
      <c r="R1209" s="84"/>
      <c r="S1209" s="10"/>
      <c r="T1209" s="10"/>
      <c r="U1209" s="10"/>
      <c r="V1209" s="10"/>
      <c r="W1209" s="138"/>
      <c r="Y1209"/>
      <c r="Z1209"/>
      <c r="AA1209"/>
      <c r="AB1209"/>
      <c r="AC1209"/>
      <c r="AD1209"/>
      <c r="AE1209"/>
      <c r="AF1209"/>
      <c r="AG1209"/>
      <c r="AH1209"/>
      <c r="AI1209"/>
      <c r="AJ1209"/>
      <c r="AK1209"/>
      <c r="AL1209"/>
      <c r="AM1209"/>
      <c r="AN1209"/>
      <c r="AO1209"/>
    </row>
    <row r="1210" spans="1:41" ht="15">
      <c r="A1210"/>
      <c r="B1210"/>
      <c r="C1210" s="137"/>
      <c r="D1210" s="30"/>
      <c r="E1210" s="30"/>
      <c r="F1210" s="10"/>
      <c r="G1210" s="10"/>
      <c r="H1210" s="15"/>
      <c r="I1210" s="15"/>
      <c r="J1210" s="15"/>
      <c r="K1210" s="15"/>
      <c r="L1210" s="15"/>
      <c r="M1210" s="15"/>
      <c r="N1210" s="15"/>
      <c r="O1210" s="15"/>
      <c r="P1210" s="15"/>
      <c r="Q1210" s="71"/>
      <c r="R1210" s="84"/>
      <c r="S1210" s="10"/>
      <c r="T1210" s="10"/>
      <c r="U1210" s="10"/>
      <c r="V1210" s="10"/>
      <c r="W1210" s="138"/>
      <c r="Y1210"/>
      <c r="Z1210"/>
      <c r="AA1210"/>
      <c r="AB1210"/>
      <c r="AC1210"/>
      <c r="AD1210"/>
      <c r="AE1210"/>
      <c r="AF1210"/>
      <c r="AG1210"/>
      <c r="AH1210"/>
      <c r="AI1210"/>
      <c r="AJ1210"/>
      <c r="AK1210"/>
      <c r="AL1210"/>
      <c r="AM1210"/>
      <c r="AN1210"/>
      <c r="AO1210"/>
    </row>
    <row r="1211" spans="1:41" ht="15">
      <c r="A1211"/>
      <c r="B1211"/>
      <c r="C1211" s="137"/>
      <c r="D1211" s="30"/>
      <c r="E1211" s="30"/>
      <c r="F1211" s="10"/>
      <c r="G1211" s="10"/>
      <c r="H1211" s="15"/>
      <c r="I1211" s="15"/>
      <c r="J1211" s="15"/>
      <c r="K1211" s="15"/>
      <c r="L1211" s="15"/>
      <c r="M1211" s="15"/>
      <c r="N1211" s="15"/>
      <c r="O1211" s="15"/>
      <c r="P1211" s="15"/>
      <c r="Q1211" s="71"/>
      <c r="R1211" s="84"/>
      <c r="S1211" s="10"/>
      <c r="T1211" s="10"/>
      <c r="U1211" s="10"/>
      <c r="V1211" s="10"/>
      <c r="W1211" s="138"/>
      <c r="Y1211"/>
      <c r="Z1211"/>
      <c r="AA1211"/>
      <c r="AB1211"/>
      <c r="AC1211"/>
      <c r="AD1211"/>
      <c r="AE1211"/>
      <c r="AF1211"/>
      <c r="AG1211"/>
      <c r="AH1211"/>
      <c r="AI1211"/>
      <c r="AJ1211"/>
      <c r="AK1211"/>
      <c r="AL1211"/>
      <c r="AM1211"/>
      <c r="AN1211"/>
      <c r="AO1211"/>
    </row>
    <row r="1212" spans="1:41" ht="15">
      <c r="A1212"/>
      <c r="B1212"/>
      <c r="C1212" s="137"/>
      <c r="D1212" s="30"/>
      <c r="E1212" s="30"/>
      <c r="F1212" s="10"/>
      <c r="G1212" s="10"/>
      <c r="H1212" s="15"/>
      <c r="I1212" s="15"/>
      <c r="J1212" s="15"/>
      <c r="K1212" s="15"/>
      <c r="L1212" s="15"/>
      <c r="M1212" s="15"/>
      <c r="N1212" s="15"/>
      <c r="O1212" s="15"/>
      <c r="P1212" s="15"/>
      <c r="Q1212" s="71"/>
      <c r="R1212" s="84"/>
      <c r="S1212" s="10"/>
      <c r="T1212" s="10"/>
      <c r="U1212" s="10"/>
      <c r="V1212" s="10"/>
      <c r="W1212" s="138"/>
      <c r="Y1212"/>
      <c r="Z1212"/>
      <c r="AA1212"/>
      <c r="AB1212"/>
      <c r="AC1212"/>
      <c r="AD1212"/>
      <c r="AE1212"/>
      <c r="AF1212"/>
      <c r="AG1212"/>
      <c r="AH1212"/>
      <c r="AI1212"/>
      <c r="AJ1212"/>
      <c r="AK1212"/>
      <c r="AL1212"/>
      <c r="AM1212"/>
      <c r="AN1212"/>
      <c r="AO1212"/>
    </row>
    <row r="1213" spans="1:41" ht="15">
      <c r="A1213"/>
      <c r="B1213"/>
      <c r="C1213" s="137"/>
      <c r="D1213" s="30"/>
      <c r="E1213" s="30"/>
      <c r="F1213" s="10"/>
      <c r="G1213" s="10"/>
      <c r="H1213" s="15"/>
      <c r="I1213" s="15"/>
      <c r="J1213" s="15"/>
      <c r="K1213" s="15"/>
      <c r="L1213" s="15"/>
      <c r="M1213" s="15"/>
      <c r="N1213" s="15"/>
      <c r="O1213" s="15"/>
      <c r="P1213" s="15"/>
      <c r="Q1213" s="71"/>
      <c r="R1213" s="84"/>
      <c r="S1213" s="10"/>
      <c r="T1213" s="10"/>
      <c r="U1213" s="10"/>
      <c r="V1213" s="10"/>
      <c r="W1213" s="138"/>
      <c r="Y1213"/>
      <c r="Z1213"/>
      <c r="AA1213"/>
      <c r="AB1213"/>
      <c r="AC1213"/>
      <c r="AD1213"/>
      <c r="AE1213"/>
      <c r="AF1213"/>
      <c r="AG1213"/>
      <c r="AH1213"/>
      <c r="AI1213"/>
      <c r="AJ1213"/>
      <c r="AK1213"/>
      <c r="AL1213"/>
      <c r="AM1213"/>
      <c r="AN1213"/>
      <c r="AO1213"/>
    </row>
    <row r="1214" spans="1:41" ht="15">
      <c r="A1214"/>
      <c r="B1214"/>
      <c r="C1214" s="137"/>
      <c r="D1214" s="30"/>
      <c r="E1214" s="30"/>
      <c r="F1214" s="10"/>
      <c r="G1214" s="10"/>
      <c r="H1214" s="15"/>
      <c r="I1214" s="15"/>
      <c r="J1214" s="15"/>
      <c r="K1214" s="15"/>
      <c r="L1214" s="15"/>
      <c r="M1214" s="15"/>
      <c r="N1214" s="15"/>
      <c r="O1214" s="15"/>
      <c r="P1214" s="15"/>
      <c r="Q1214" s="71"/>
      <c r="R1214" s="84"/>
      <c r="S1214" s="10"/>
      <c r="T1214" s="10"/>
      <c r="U1214" s="10"/>
      <c r="V1214" s="10"/>
      <c r="W1214" s="138"/>
      <c r="Y1214"/>
      <c r="Z1214"/>
      <c r="AA1214"/>
      <c r="AB1214"/>
      <c r="AC1214"/>
      <c r="AD1214"/>
      <c r="AE1214"/>
      <c r="AF1214"/>
      <c r="AG1214"/>
      <c r="AH1214"/>
      <c r="AI1214"/>
      <c r="AJ1214"/>
      <c r="AK1214"/>
      <c r="AL1214"/>
      <c r="AM1214"/>
      <c r="AN1214"/>
      <c r="AO1214"/>
    </row>
    <row r="1215" spans="1:41" ht="15">
      <c r="A1215"/>
      <c r="B1215"/>
      <c r="C1215" s="137"/>
      <c r="D1215" s="30"/>
      <c r="E1215" s="30"/>
      <c r="F1215" s="10"/>
      <c r="G1215" s="10"/>
      <c r="H1215" s="15"/>
      <c r="I1215" s="15"/>
      <c r="J1215" s="15"/>
      <c r="K1215" s="15"/>
      <c r="L1215" s="15"/>
      <c r="M1215" s="15"/>
      <c r="N1215" s="15"/>
      <c r="O1215" s="15"/>
      <c r="P1215" s="15"/>
      <c r="Q1215" s="71"/>
      <c r="R1215" s="84"/>
      <c r="S1215" s="10"/>
      <c r="T1215" s="10"/>
      <c r="U1215" s="10"/>
      <c r="V1215" s="10"/>
      <c r="W1215" s="138"/>
      <c r="Y1215"/>
      <c r="Z1215"/>
      <c r="AA1215"/>
      <c r="AB1215"/>
      <c r="AC1215"/>
      <c r="AD1215"/>
      <c r="AE1215"/>
      <c r="AF1215"/>
      <c r="AG1215"/>
      <c r="AH1215"/>
      <c r="AI1215"/>
      <c r="AJ1215"/>
      <c r="AK1215"/>
      <c r="AL1215"/>
      <c r="AM1215"/>
      <c r="AN1215"/>
      <c r="AO1215"/>
    </row>
    <row r="1216" spans="1:41" ht="15">
      <c r="A1216"/>
      <c r="B1216"/>
      <c r="C1216" s="137"/>
      <c r="D1216" s="30"/>
      <c r="E1216" s="30"/>
      <c r="F1216" s="10"/>
      <c r="G1216" s="10"/>
      <c r="H1216" s="15"/>
      <c r="I1216" s="15"/>
      <c r="J1216" s="15"/>
      <c r="K1216" s="15"/>
      <c r="L1216" s="15"/>
      <c r="M1216" s="15"/>
      <c r="N1216" s="15"/>
      <c r="O1216" s="15"/>
      <c r="P1216" s="15"/>
      <c r="Q1216" s="71"/>
      <c r="R1216" s="84"/>
      <c r="S1216" s="10"/>
      <c r="T1216" s="10"/>
      <c r="U1216" s="10"/>
      <c r="V1216" s="10"/>
      <c r="W1216" s="138"/>
      <c r="Y1216"/>
      <c r="Z1216"/>
      <c r="AA1216"/>
      <c r="AB1216"/>
      <c r="AC1216"/>
      <c r="AD1216"/>
      <c r="AE1216"/>
      <c r="AF1216"/>
      <c r="AG1216"/>
      <c r="AH1216"/>
      <c r="AI1216"/>
      <c r="AJ1216"/>
      <c r="AK1216"/>
      <c r="AL1216"/>
      <c r="AM1216"/>
      <c r="AN1216"/>
      <c r="AO1216"/>
    </row>
    <row r="1217" spans="1:41" ht="15">
      <c r="A1217"/>
      <c r="B1217"/>
      <c r="C1217" s="137"/>
      <c r="D1217" s="30"/>
      <c r="E1217" s="30"/>
      <c r="F1217" s="10"/>
      <c r="G1217" s="10"/>
      <c r="H1217" s="15"/>
      <c r="I1217" s="15"/>
      <c r="J1217" s="15"/>
      <c r="K1217" s="15"/>
      <c r="L1217" s="15"/>
      <c r="M1217" s="15"/>
      <c r="N1217" s="15"/>
      <c r="O1217" s="15"/>
      <c r="P1217" s="15"/>
      <c r="Q1217" s="71"/>
      <c r="R1217" s="84"/>
      <c r="S1217" s="10"/>
      <c r="T1217" s="10"/>
      <c r="U1217" s="10"/>
      <c r="V1217" s="10"/>
      <c r="W1217" s="138"/>
      <c r="Y1217"/>
      <c r="Z1217"/>
      <c r="AA1217"/>
      <c r="AB1217"/>
      <c r="AC1217"/>
      <c r="AD1217"/>
      <c r="AE1217"/>
      <c r="AF1217"/>
      <c r="AG1217"/>
      <c r="AH1217"/>
      <c r="AI1217"/>
      <c r="AJ1217"/>
      <c r="AK1217"/>
      <c r="AL1217"/>
      <c r="AM1217"/>
      <c r="AN1217"/>
      <c r="AO1217"/>
    </row>
    <row r="1218" spans="1:41" ht="15">
      <c r="A1218"/>
      <c r="B1218"/>
      <c r="C1218" s="137"/>
      <c r="D1218" s="30"/>
      <c r="E1218" s="30"/>
      <c r="F1218" s="10"/>
      <c r="G1218" s="10"/>
      <c r="H1218" s="15"/>
      <c r="I1218" s="15"/>
      <c r="J1218" s="15"/>
      <c r="K1218" s="15"/>
      <c r="L1218" s="15"/>
      <c r="M1218" s="15"/>
      <c r="N1218" s="15"/>
      <c r="O1218" s="15"/>
      <c r="P1218" s="15"/>
      <c r="Q1218" s="71"/>
      <c r="R1218" s="84"/>
      <c r="S1218" s="10"/>
      <c r="T1218" s="10"/>
      <c r="U1218" s="10"/>
      <c r="V1218" s="10"/>
      <c r="W1218" s="138"/>
      <c r="Y1218"/>
      <c r="Z1218"/>
      <c r="AA1218"/>
      <c r="AB1218"/>
      <c r="AC1218"/>
      <c r="AD1218"/>
      <c r="AE1218"/>
      <c r="AF1218"/>
      <c r="AG1218"/>
      <c r="AH1218"/>
      <c r="AI1218"/>
      <c r="AJ1218"/>
      <c r="AK1218"/>
      <c r="AL1218"/>
      <c r="AM1218"/>
      <c r="AN1218"/>
      <c r="AO1218"/>
    </row>
    <row r="1219" spans="1:41" ht="15">
      <c r="A1219"/>
      <c r="B1219"/>
      <c r="C1219" s="137"/>
      <c r="D1219" s="30"/>
      <c r="E1219" s="30"/>
      <c r="F1219" s="10"/>
      <c r="G1219" s="10"/>
      <c r="H1219" s="15"/>
      <c r="I1219" s="15"/>
      <c r="J1219" s="15"/>
      <c r="K1219" s="15"/>
      <c r="L1219" s="15"/>
      <c r="M1219" s="15"/>
      <c r="N1219" s="15"/>
      <c r="O1219" s="15"/>
      <c r="P1219" s="15"/>
      <c r="Q1219" s="71"/>
      <c r="R1219" s="84"/>
      <c r="S1219" s="10"/>
      <c r="T1219" s="10"/>
      <c r="U1219" s="10"/>
      <c r="V1219" s="10"/>
      <c r="W1219" s="138"/>
      <c r="Y1219"/>
      <c r="Z1219"/>
      <c r="AA1219"/>
      <c r="AB1219"/>
      <c r="AC1219"/>
      <c r="AD1219"/>
      <c r="AE1219"/>
      <c r="AF1219"/>
      <c r="AG1219"/>
      <c r="AH1219"/>
      <c r="AI1219"/>
      <c r="AJ1219"/>
      <c r="AK1219"/>
      <c r="AL1219"/>
      <c r="AM1219"/>
      <c r="AN1219"/>
      <c r="AO1219"/>
    </row>
    <row r="1220" spans="1:41" ht="15">
      <c r="A1220"/>
      <c r="B1220"/>
      <c r="C1220" s="137"/>
      <c r="D1220" s="30"/>
      <c r="E1220" s="30"/>
      <c r="F1220" s="10"/>
      <c r="G1220" s="10"/>
      <c r="H1220" s="15"/>
      <c r="I1220" s="15"/>
      <c r="J1220" s="15"/>
      <c r="K1220" s="15"/>
      <c r="L1220" s="15"/>
      <c r="M1220" s="15"/>
      <c r="N1220" s="15"/>
      <c r="O1220" s="15"/>
      <c r="P1220" s="15"/>
      <c r="Q1220" s="71"/>
      <c r="R1220" s="84"/>
      <c r="S1220" s="10"/>
      <c r="T1220" s="10"/>
      <c r="U1220" s="10"/>
      <c r="V1220" s="10"/>
      <c r="W1220" s="138"/>
      <c r="Y1220"/>
      <c r="Z1220"/>
      <c r="AA1220"/>
      <c r="AB1220"/>
      <c r="AC1220"/>
      <c r="AD1220"/>
      <c r="AE1220"/>
      <c r="AF1220"/>
      <c r="AG1220"/>
      <c r="AH1220"/>
      <c r="AI1220"/>
      <c r="AJ1220"/>
      <c r="AK1220"/>
      <c r="AL1220"/>
      <c r="AM1220"/>
      <c r="AN1220"/>
      <c r="AO1220"/>
    </row>
    <row r="1221" spans="1:41" ht="15">
      <c r="A1221"/>
      <c r="B1221"/>
      <c r="C1221" s="137"/>
      <c r="D1221" s="30"/>
      <c r="E1221" s="30"/>
      <c r="F1221" s="10"/>
      <c r="G1221" s="10"/>
      <c r="H1221" s="15"/>
      <c r="I1221" s="15"/>
      <c r="J1221" s="15"/>
      <c r="K1221" s="15"/>
      <c r="L1221" s="15"/>
      <c r="M1221" s="15"/>
      <c r="N1221" s="15"/>
      <c r="O1221" s="15"/>
      <c r="P1221" s="15"/>
      <c r="Q1221" s="71"/>
      <c r="R1221" s="84"/>
      <c r="S1221" s="10"/>
      <c r="T1221" s="10"/>
      <c r="U1221" s="10"/>
      <c r="V1221" s="10"/>
      <c r="W1221" s="138"/>
      <c r="Y1221"/>
      <c r="Z1221"/>
      <c r="AA1221"/>
      <c r="AB1221"/>
      <c r="AC1221"/>
      <c r="AD1221"/>
      <c r="AE1221"/>
      <c r="AF1221"/>
      <c r="AG1221"/>
      <c r="AH1221"/>
      <c r="AI1221"/>
      <c r="AJ1221"/>
      <c r="AK1221"/>
      <c r="AL1221"/>
      <c r="AM1221"/>
      <c r="AN1221"/>
      <c r="AO1221"/>
    </row>
    <row r="1222" spans="1:41" ht="15">
      <c r="A1222"/>
      <c r="B1222"/>
      <c r="C1222" s="137"/>
      <c r="D1222" s="30"/>
      <c r="E1222" s="30"/>
      <c r="F1222" s="10"/>
      <c r="G1222" s="10"/>
      <c r="H1222" s="15"/>
      <c r="I1222" s="15"/>
      <c r="J1222" s="15"/>
      <c r="K1222" s="15"/>
      <c r="L1222" s="15"/>
      <c r="M1222" s="15"/>
      <c r="N1222" s="15"/>
      <c r="O1222" s="15"/>
      <c r="P1222" s="15"/>
      <c r="Q1222" s="71"/>
      <c r="R1222" s="84"/>
      <c r="S1222" s="10"/>
      <c r="T1222" s="10"/>
      <c r="U1222" s="10"/>
      <c r="V1222" s="10"/>
      <c r="W1222" s="138"/>
      <c r="Y1222"/>
      <c r="Z1222"/>
      <c r="AA1222"/>
      <c r="AB1222"/>
      <c r="AC1222"/>
      <c r="AD1222"/>
      <c r="AE1222"/>
      <c r="AF1222"/>
      <c r="AG1222"/>
      <c r="AH1222"/>
      <c r="AI1222"/>
      <c r="AJ1222"/>
      <c r="AK1222"/>
      <c r="AL1222"/>
      <c r="AM1222"/>
      <c r="AN1222"/>
      <c r="AO1222"/>
    </row>
    <row r="1223" spans="1:41" ht="15">
      <c r="A1223"/>
      <c r="B1223"/>
      <c r="C1223" s="137"/>
      <c r="D1223" s="30"/>
      <c r="E1223" s="30"/>
      <c r="F1223" s="10"/>
      <c r="G1223" s="10"/>
      <c r="H1223" s="15"/>
      <c r="I1223" s="15"/>
      <c r="J1223" s="15"/>
      <c r="K1223" s="15"/>
      <c r="L1223" s="15"/>
      <c r="M1223" s="15"/>
      <c r="N1223" s="15"/>
      <c r="O1223" s="15"/>
      <c r="P1223" s="15"/>
      <c r="Q1223" s="71"/>
      <c r="R1223" s="84"/>
      <c r="S1223" s="10"/>
      <c r="T1223" s="10"/>
      <c r="U1223" s="10"/>
      <c r="V1223" s="10"/>
      <c r="W1223" s="138"/>
      <c r="Y1223"/>
      <c r="Z1223"/>
      <c r="AA1223"/>
      <c r="AB1223"/>
      <c r="AC1223"/>
      <c r="AD1223"/>
      <c r="AE1223"/>
      <c r="AF1223"/>
      <c r="AG1223"/>
      <c r="AH1223"/>
      <c r="AI1223"/>
      <c r="AJ1223"/>
      <c r="AK1223"/>
      <c r="AL1223"/>
      <c r="AM1223"/>
      <c r="AN1223"/>
      <c r="AO1223"/>
    </row>
    <row r="1224" spans="1:41" ht="15">
      <c r="A1224"/>
      <c r="B1224"/>
      <c r="C1224" s="137"/>
      <c r="D1224" s="30"/>
      <c r="E1224" s="30"/>
      <c r="F1224" s="10"/>
      <c r="G1224" s="10"/>
      <c r="H1224" s="15"/>
      <c r="I1224" s="15"/>
      <c r="J1224" s="15"/>
      <c r="K1224" s="15"/>
      <c r="L1224" s="15"/>
      <c r="M1224" s="15"/>
      <c r="N1224" s="15"/>
      <c r="O1224" s="15"/>
      <c r="P1224" s="15"/>
      <c r="Q1224" s="71"/>
      <c r="R1224" s="84"/>
      <c r="S1224" s="10"/>
      <c r="T1224" s="10"/>
      <c r="U1224" s="10"/>
      <c r="V1224" s="10"/>
      <c r="W1224" s="138"/>
      <c r="Y1224"/>
      <c r="Z1224"/>
      <c r="AA1224"/>
      <c r="AB1224"/>
      <c r="AC1224"/>
      <c r="AD1224"/>
      <c r="AE1224"/>
      <c r="AF1224"/>
      <c r="AG1224"/>
      <c r="AH1224"/>
      <c r="AI1224"/>
      <c r="AJ1224"/>
      <c r="AK1224"/>
      <c r="AL1224"/>
      <c r="AM1224"/>
      <c r="AN1224"/>
      <c r="AO1224"/>
    </row>
    <row r="1225" spans="1:41" ht="15">
      <c r="A1225"/>
      <c r="B1225"/>
      <c r="C1225" s="137"/>
      <c r="D1225" s="30"/>
      <c r="E1225" s="30"/>
      <c r="F1225" s="10"/>
      <c r="G1225" s="10"/>
      <c r="H1225" s="15"/>
      <c r="I1225" s="15"/>
      <c r="J1225" s="15"/>
      <c r="K1225" s="15"/>
      <c r="L1225" s="15"/>
      <c r="M1225" s="15"/>
      <c r="N1225" s="15"/>
      <c r="O1225" s="15"/>
      <c r="P1225" s="15"/>
      <c r="Q1225" s="71"/>
      <c r="R1225" s="84"/>
      <c r="S1225" s="10"/>
      <c r="T1225" s="10"/>
      <c r="U1225" s="10"/>
      <c r="V1225" s="10"/>
      <c r="W1225" s="138"/>
      <c r="Y1225"/>
      <c r="Z1225"/>
      <c r="AA1225"/>
      <c r="AB1225"/>
      <c r="AC1225"/>
      <c r="AD1225"/>
      <c r="AE1225"/>
      <c r="AF1225"/>
      <c r="AG1225"/>
      <c r="AH1225"/>
      <c r="AI1225"/>
      <c r="AJ1225"/>
      <c r="AK1225"/>
      <c r="AL1225"/>
      <c r="AM1225"/>
      <c r="AN1225"/>
      <c r="AO1225"/>
    </row>
    <row r="1226" spans="1:41" ht="15">
      <c r="A1226"/>
      <c r="B1226"/>
      <c r="C1226" s="137"/>
      <c r="D1226" s="30"/>
      <c r="E1226" s="30"/>
      <c r="F1226" s="10"/>
      <c r="G1226" s="10"/>
      <c r="H1226" s="15"/>
      <c r="I1226" s="15"/>
      <c r="J1226" s="15"/>
      <c r="K1226" s="15"/>
      <c r="L1226" s="15"/>
      <c r="M1226" s="15"/>
      <c r="N1226" s="15"/>
      <c r="O1226" s="15"/>
      <c r="P1226" s="15"/>
      <c r="Q1226" s="71"/>
      <c r="R1226" s="84"/>
      <c r="S1226" s="10"/>
      <c r="T1226" s="10"/>
      <c r="U1226" s="10"/>
      <c r="V1226" s="10"/>
      <c r="W1226" s="138"/>
      <c r="Y1226"/>
      <c r="Z1226"/>
      <c r="AA1226"/>
      <c r="AB1226"/>
      <c r="AC1226"/>
      <c r="AD1226"/>
      <c r="AE1226"/>
      <c r="AF1226"/>
      <c r="AG1226"/>
      <c r="AH1226"/>
      <c r="AI1226"/>
      <c r="AJ1226"/>
      <c r="AK1226"/>
      <c r="AL1226"/>
      <c r="AM1226"/>
      <c r="AN1226"/>
      <c r="AO1226"/>
    </row>
    <row r="1227" spans="1:41" ht="15">
      <c r="A1227"/>
      <c r="B1227"/>
      <c r="C1227" s="137"/>
      <c r="D1227" s="30"/>
      <c r="E1227" s="30"/>
      <c r="F1227" s="10"/>
      <c r="G1227" s="10"/>
      <c r="H1227" s="15"/>
      <c r="I1227" s="15"/>
      <c r="J1227" s="15"/>
      <c r="K1227" s="15"/>
      <c r="L1227" s="15"/>
      <c r="M1227" s="15"/>
      <c r="N1227" s="15"/>
      <c r="O1227" s="15"/>
      <c r="P1227" s="15"/>
      <c r="Q1227" s="71"/>
      <c r="R1227" s="84"/>
      <c r="S1227" s="10"/>
      <c r="T1227" s="10"/>
      <c r="U1227" s="10"/>
      <c r="V1227" s="10"/>
      <c r="W1227" s="138"/>
      <c r="Y1227"/>
      <c r="Z1227"/>
      <c r="AA1227"/>
      <c r="AB1227"/>
      <c r="AC1227"/>
      <c r="AD1227"/>
      <c r="AE1227"/>
      <c r="AF1227"/>
      <c r="AG1227"/>
      <c r="AH1227"/>
      <c r="AI1227"/>
      <c r="AJ1227"/>
      <c r="AK1227"/>
      <c r="AL1227"/>
      <c r="AM1227"/>
      <c r="AN1227"/>
      <c r="AO1227"/>
    </row>
    <row r="1228" spans="1:41" ht="15">
      <c r="A1228"/>
      <c r="B1228"/>
      <c r="C1228" s="137"/>
      <c r="D1228" s="30"/>
      <c r="E1228" s="30"/>
      <c r="F1228" s="10"/>
      <c r="G1228" s="10"/>
      <c r="H1228" s="15"/>
      <c r="I1228" s="15"/>
      <c r="J1228" s="15"/>
      <c r="K1228" s="15"/>
      <c r="L1228" s="15"/>
      <c r="M1228" s="15"/>
      <c r="N1228" s="15"/>
      <c r="O1228" s="15"/>
      <c r="P1228" s="15"/>
      <c r="Q1228" s="71"/>
      <c r="R1228" s="84"/>
      <c r="S1228" s="10"/>
      <c r="T1228" s="10"/>
      <c r="U1228" s="10"/>
      <c r="V1228" s="10"/>
      <c r="W1228" s="138"/>
      <c r="Y1228"/>
      <c r="Z1228"/>
      <c r="AA1228"/>
      <c r="AB1228"/>
      <c r="AC1228"/>
      <c r="AD1228"/>
      <c r="AE1228"/>
      <c r="AF1228"/>
      <c r="AG1228"/>
      <c r="AH1228"/>
      <c r="AI1228"/>
      <c r="AJ1228"/>
      <c r="AK1228"/>
      <c r="AL1228"/>
      <c r="AM1228"/>
      <c r="AN1228"/>
      <c r="AO1228"/>
    </row>
    <row r="1229" spans="1:41" ht="15">
      <c r="A1229"/>
      <c r="B1229"/>
      <c r="C1229" s="137"/>
      <c r="D1229" s="30"/>
      <c r="E1229" s="30"/>
      <c r="F1229" s="10"/>
      <c r="G1229" s="10"/>
      <c r="H1229" s="15"/>
      <c r="I1229" s="15"/>
      <c r="J1229" s="15"/>
      <c r="K1229" s="15"/>
      <c r="L1229" s="15"/>
      <c r="M1229" s="15"/>
      <c r="N1229" s="15"/>
      <c r="O1229" s="15"/>
      <c r="P1229" s="15"/>
      <c r="Q1229" s="71"/>
      <c r="R1229" s="84"/>
      <c r="S1229" s="10"/>
      <c r="T1229" s="10"/>
      <c r="U1229" s="10"/>
      <c r="V1229" s="10"/>
      <c r="W1229" s="138"/>
      <c r="Y1229"/>
      <c r="Z1229"/>
      <c r="AA1229"/>
      <c r="AB1229"/>
      <c r="AC1229"/>
      <c r="AD1229"/>
      <c r="AE1229"/>
      <c r="AF1229"/>
      <c r="AG1229"/>
      <c r="AH1229"/>
      <c r="AI1229"/>
      <c r="AJ1229"/>
      <c r="AK1229"/>
      <c r="AL1229"/>
      <c r="AM1229"/>
      <c r="AN1229"/>
      <c r="AO1229"/>
    </row>
    <row r="1230" spans="1:41" ht="15">
      <c r="A1230"/>
      <c r="B1230"/>
      <c r="C1230" s="137"/>
      <c r="D1230" s="30"/>
      <c r="E1230" s="30"/>
      <c r="F1230" s="10"/>
      <c r="G1230" s="10"/>
      <c r="H1230" s="15"/>
      <c r="I1230" s="15"/>
      <c r="J1230" s="15"/>
      <c r="K1230" s="15"/>
      <c r="L1230" s="15"/>
      <c r="M1230" s="15"/>
      <c r="N1230" s="15"/>
      <c r="O1230" s="15"/>
      <c r="P1230" s="15"/>
      <c r="Q1230" s="71"/>
      <c r="R1230" s="84"/>
      <c r="S1230" s="10"/>
      <c r="T1230" s="10"/>
      <c r="U1230" s="10"/>
      <c r="V1230" s="10"/>
      <c r="W1230" s="138"/>
      <c r="Y1230"/>
      <c r="Z1230"/>
      <c r="AA1230"/>
      <c r="AB1230"/>
      <c r="AC1230"/>
      <c r="AD1230"/>
      <c r="AE1230"/>
      <c r="AF1230"/>
      <c r="AG1230"/>
      <c r="AH1230"/>
      <c r="AI1230"/>
      <c r="AJ1230"/>
      <c r="AK1230"/>
      <c r="AL1230"/>
      <c r="AM1230"/>
      <c r="AN1230"/>
      <c r="AO1230"/>
    </row>
    <row r="1231" spans="1:41" ht="15">
      <c r="A1231"/>
      <c r="B1231"/>
      <c r="C1231" s="137"/>
      <c r="D1231" s="30"/>
      <c r="E1231" s="30"/>
      <c r="F1231" s="10"/>
      <c r="G1231" s="10"/>
      <c r="H1231" s="15"/>
      <c r="I1231" s="15"/>
      <c r="J1231" s="15"/>
      <c r="K1231" s="15"/>
      <c r="L1231" s="15"/>
      <c r="M1231" s="15"/>
      <c r="N1231" s="15"/>
      <c r="O1231" s="15"/>
      <c r="P1231" s="15"/>
      <c r="Q1231" s="71"/>
      <c r="R1231" s="84"/>
      <c r="S1231" s="10"/>
      <c r="T1231" s="10"/>
      <c r="U1231" s="10"/>
      <c r="V1231" s="10"/>
      <c r="W1231" s="138"/>
      <c r="Y1231"/>
      <c r="Z1231"/>
      <c r="AA1231"/>
      <c r="AB1231"/>
      <c r="AC1231"/>
      <c r="AD1231"/>
      <c r="AE1231"/>
      <c r="AF1231"/>
      <c r="AG1231"/>
      <c r="AH1231"/>
      <c r="AI1231"/>
      <c r="AJ1231"/>
      <c r="AK1231"/>
      <c r="AL1231"/>
      <c r="AM1231"/>
      <c r="AN1231"/>
      <c r="AO1231"/>
    </row>
    <row r="1232" spans="1:41" ht="15">
      <c r="A1232"/>
      <c r="B1232"/>
      <c r="C1232" s="137"/>
      <c r="D1232" s="30"/>
      <c r="E1232" s="30"/>
      <c r="F1232" s="10"/>
      <c r="G1232" s="10"/>
      <c r="H1232" s="15"/>
      <c r="I1232" s="15"/>
      <c r="J1232" s="15"/>
      <c r="K1232" s="15"/>
      <c r="L1232" s="15"/>
      <c r="M1232" s="15"/>
      <c r="N1232" s="15"/>
      <c r="O1232" s="15"/>
      <c r="P1232" s="15"/>
      <c r="Q1232" s="71"/>
      <c r="R1232" s="84"/>
      <c r="S1232" s="10"/>
      <c r="T1232" s="10"/>
      <c r="U1232" s="10"/>
      <c r="V1232" s="10"/>
      <c r="W1232" s="138"/>
      <c r="Y1232"/>
      <c r="Z1232"/>
      <c r="AA1232"/>
      <c r="AB1232"/>
      <c r="AC1232"/>
      <c r="AD1232"/>
      <c r="AE1232"/>
      <c r="AF1232"/>
      <c r="AG1232"/>
      <c r="AH1232"/>
      <c r="AI1232"/>
      <c r="AJ1232"/>
      <c r="AK1232"/>
      <c r="AL1232"/>
      <c r="AM1232"/>
      <c r="AN1232"/>
      <c r="AO1232"/>
    </row>
    <row r="1233" spans="1:41" ht="15">
      <c r="A1233"/>
      <c r="B1233"/>
      <c r="C1233" s="137"/>
      <c r="D1233" s="30"/>
      <c r="E1233" s="30"/>
      <c r="F1233" s="10"/>
      <c r="G1233" s="10"/>
      <c r="H1233" s="15"/>
      <c r="I1233" s="15"/>
      <c r="J1233" s="15"/>
      <c r="K1233" s="15"/>
      <c r="L1233" s="15"/>
      <c r="M1233" s="15"/>
      <c r="N1233" s="15"/>
      <c r="O1233" s="15"/>
      <c r="P1233" s="15"/>
      <c r="Q1233" s="71"/>
      <c r="R1233" s="84"/>
      <c r="S1233" s="10"/>
      <c r="T1233" s="10"/>
      <c r="U1233" s="10"/>
      <c r="V1233" s="10"/>
      <c r="W1233" s="138"/>
      <c r="Y1233"/>
      <c r="Z1233"/>
      <c r="AA1233"/>
      <c r="AB1233"/>
      <c r="AC1233"/>
      <c r="AD1233"/>
      <c r="AE1233"/>
      <c r="AF1233"/>
      <c r="AG1233"/>
      <c r="AH1233"/>
      <c r="AI1233"/>
      <c r="AJ1233"/>
      <c r="AK1233"/>
      <c r="AL1233"/>
      <c r="AM1233"/>
      <c r="AN1233"/>
      <c r="AO1233"/>
    </row>
    <row r="1234" spans="1:41" ht="15">
      <c r="A1234"/>
      <c r="B1234"/>
      <c r="C1234" s="137"/>
      <c r="D1234" s="30"/>
      <c r="E1234" s="30"/>
      <c r="F1234" s="10"/>
      <c r="G1234" s="10"/>
      <c r="H1234" s="15"/>
      <c r="I1234" s="15"/>
      <c r="J1234" s="15"/>
      <c r="K1234" s="15"/>
      <c r="L1234" s="15"/>
      <c r="M1234" s="15"/>
      <c r="N1234" s="15"/>
      <c r="O1234" s="15"/>
      <c r="P1234" s="15"/>
      <c r="Q1234" s="71"/>
      <c r="R1234" s="84"/>
      <c r="S1234" s="10"/>
      <c r="T1234" s="10"/>
      <c r="U1234" s="10"/>
      <c r="V1234" s="10"/>
      <c r="W1234" s="138"/>
      <c r="Y1234"/>
      <c r="Z1234"/>
      <c r="AA1234"/>
      <c r="AB1234"/>
      <c r="AC1234"/>
      <c r="AD1234"/>
      <c r="AE1234"/>
      <c r="AF1234"/>
      <c r="AG1234"/>
      <c r="AH1234"/>
      <c r="AI1234"/>
      <c r="AJ1234"/>
      <c r="AK1234"/>
      <c r="AL1234"/>
      <c r="AM1234"/>
      <c r="AN1234"/>
      <c r="AO1234"/>
    </row>
    <row r="1235" spans="1:41" ht="15">
      <c r="A1235"/>
      <c r="B1235"/>
      <c r="C1235" s="137"/>
      <c r="D1235" s="30"/>
      <c r="E1235" s="30"/>
      <c r="F1235" s="10"/>
      <c r="G1235" s="10"/>
      <c r="H1235" s="15"/>
      <c r="I1235" s="15"/>
      <c r="J1235" s="15"/>
      <c r="K1235" s="15"/>
      <c r="L1235" s="15"/>
      <c r="M1235" s="15"/>
      <c r="N1235" s="15"/>
      <c r="O1235" s="15"/>
      <c r="P1235" s="15"/>
      <c r="Q1235" s="71"/>
      <c r="R1235" s="84"/>
      <c r="S1235" s="10"/>
      <c r="T1235" s="10"/>
      <c r="U1235" s="10"/>
      <c r="V1235" s="10"/>
      <c r="W1235" s="138"/>
      <c r="Y1235"/>
      <c r="Z1235"/>
      <c r="AA1235"/>
      <c r="AB1235"/>
      <c r="AC1235"/>
      <c r="AD1235"/>
      <c r="AE1235"/>
      <c r="AF1235"/>
      <c r="AG1235"/>
      <c r="AH1235"/>
      <c r="AI1235"/>
      <c r="AJ1235"/>
      <c r="AK1235"/>
      <c r="AL1235"/>
      <c r="AM1235"/>
      <c r="AN1235"/>
      <c r="AO1235"/>
    </row>
    <row r="1236" spans="1:41" ht="15">
      <c r="A1236"/>
      <c r="B1236"/>
      <c r="C1236" s="137"/>
      <c r="D1236" s="30"/>
      <c r="E1236" s="30"/>
      <c r="F1236" s="10"/>
      <c r="G1236" s="10"/>
      <c r="H1236" s="15"/>
      <c r="I1236" s="15"/>
      <c r="J1236" s="15"/>
      <c r="K1236" s="15"/>
      <c r="L1236" s="15"/>
      <c r="M1236" s="15"/>
      <c r="N1236" s="15"/>
      <c r="O1236" s="15"/>
      <c r="P1236" s="15"/>
      <c r="Q1236" s="71"/>
      <c r="R1236" s="84"/>
      <c r="S1236" s="10"/>
      <c r="T1236" s="10"/>
      <c r="U1236" s="10"/>
      <c r="V1236" s="10"/>
      <c r="W1236" s="138"/>
      <c r="Y1236"/>
      <c r="Z1236"/>
      <c r="AA1236"/>
      <c r="AB1236"/>
      <c r="AC1236"/>
      <c r="AD1236"/>
      <c r="AE1236"/>
      <c r="AF1236"/>
      <c r="AG1236"/>
      <c r="AH1236"/>
      <c r="AI1236"/>
      <c r="AJ1236"/>
      <c r="AK1236"/>
      <c r="AL1236"/>
      <c r="AM1236"/>
      <c r="AN1236"/>
      <c r="AO1236"/>
    </row>
    <row r="1237" spans="1:41" ht="15">
      <c r="A1237"/>
      <c r="B1237"/>
      <c r="C1237" s="137"/>
      <c r="D1237" s="30"/>
      <c r="E1237" s="30"/>
      <c r="F1237" s="10"/>
      <c r="G1237" s="10"/>
      <c r="H1237" s="15"/>
      <c r="I1237" s="15"/>
      <c r="J1237" s="15"/>
      <c r="K1237" s="15"/>
      <c r="L1237" s="15"/>
      <c r="M1237" s="15"/>
      <c r="N1237" s="15"/>
      <c r="O1237" s="15"/>
      <c r="P1237" s="15"/>
      <c r="Q1237" s="71"/>
      <c r="R1237" s="84"/>
      <c r="S1237" s="10"/>
      <c r="T1237" s="10"/>
      <c r="U1237" s="10"/>
      <c r="V1237" s="10"/>
      <c r="W1237" s="138"/>
      <c r="Y1237"/>
      <c r="Z1237"/>
      <c r="AA1237"/>
      <c r="AB1237"/>
      <c r="AC1237"/>
      <c r="AD1237"/>
      <c r="AE1237"/>
      <c r="AF1237"/>
      <c r="AG1237"/>
      <c r="AH1237"/>
      <c r="AI1237"/>
      <c r="AJ1237"/>
      <c r="AK1237"/>
      <c r="AL1237"/>
      <c r="AM1237"/>
      <c r="AN1237"/>
      <c r="AO1237"/>
    </row>
    <row r="1238" spans="1:41" ht="15">
      <c r="A1238"/>
      <c r="B1238"/>
      <c r="C1238" s="137"/>
      <c r="D1238" s="30"/>
      <c r="E1238" s="30"/>
      <c r="F1238" s="10"/>
      <c r="G1238" s="10"/>
      <c r="H1238" s="15"/>
      <c r="I1238" s="15"/>
      <c r="J1238" s="15"/>
      <c r="K1238" s="15"/>
      <c r="L1238" s="15"/>
      <c r="M1238" s="15"/>
      <c r="N1238" s="15"/>
      <c r="O1238" s="15"/>
      <c r="P1238" s="15"/>
      <c r="Q1238" s="71"/>
      <c r="R1238" s="84"/>
      <c r="S1238" s="10"/>
      <c r="T1238" s="10"/>
      <c r="U1238" s="10"/>
      <c r="V1238" s="10"/>
      <c r="W1238" s="138"/>
      <c r="Y1238"/>
      <c r="Z1238"/>
      <c r="AA1238"/>
      <c r="AB1238"/>
      <c r="AC1238"/>
      <c r="AD1238"/>
      <c r="AE1238"/>
      <c r="AF1238"/>
      <c r="AG1238"/>
      <c r="AH1238"/>
      <c r="AI1238"/>
      <c r="AJ1238"/>
      <c r="AK1238"/>
      <c r="AL1238"/>
      <c r="AM1238"/>
      <c r="AN1238"/>
      <c r="AO1238"/>
    </row>
    <row r="1239" spans="1:41" ht="15">
      <c r="A1239"/>
      <c r="B1239"/>
      <c r="C1239" s="137"/>
      <c r="D1239" s="30"/>
      <c r="E1239" s="30"/>
      <c r="F1239" s="10"/>
      <c r="G1239" s="10"/>
      <c r="H1239" s="15"/>
      <c r="I1239" s="15"/>
      <c r="J1239" s="15"/>
      <c r="K1239" s="15"/>
      <c r="L1239" s="15"/>
      <c r="M1239" s="15"/>
      <c r="N1239" s="15"/>
      <c r="O1239" s="15"/>
      <c r="P1239" s="15"/>
      <c r="Q1239" s="71"/>
      <c r="R1239" s="84"/>
      <c r="S1239" s="10"/>
      <c r="T1239" s="10"/>
      <c r="U1239" s="10"/>
      <c r="V1239" s="10"/>
      <c r="W1239" s="138"/>
      <c r="Y1239"/>
      <c r="Z1239"/>
      <c r="AA1239"/>
      <c r="AB1239"/>
      <c r="AC1239"/>
      <c r="AD1239"/>
      <c r="AE1239"/>
      <c r="AF1239"/>
      <c r="AG1239"/>
      <c r="AH1239"/>
      <c r="AI1239"/>
      <c r="AJ1239"/>
      <c r="AK1239"/>
      <c r="AL1239"/>
      <c r="AM1239"/>
      <c r="AN1239"/>
      <c r="AO1239"/>
    </row>
    <row r="1240" spans="1:41" ht="15">
      <c r="A1240"/>
      <c r="B1240"/>
      <c r="C1240" s="137"/>
      <c r="D1240" s="30"/>
      <c r="E1240" s="30"/>
      <c r="F1240" s="10"/>
      <c r="G1240" s="10"/>
      <c r="H1240" s="15"/>
      <c r="I1240" s="15"/>
      <c r="J1240" s="15"/>
      <c r="K1240" s="15"/>
      <c r="L1240" s="15"/>
      <c r="M1240" s="15"/>
      <c r="N1240" s="15"/>
      <c r="O1240" s="15"/>
      <c r="P1240" s="15"/>
      <c r="Q1240" s="71"/>
      <c r="R1240" s="84"/>
      <c r="S1240" s="10"/>
      <c r="T1240" s="10"/>
      <c r="U1240" s="10"/>
      <c r="V1240" s="10"/>
      <c r="W1240" s="138"/>
      <c r="Y1240"/>
      <c r="Z1240"/>
      <c r="AA1240"/>
      <c r="AB1240"/>
      <c r="AC1240"/>
      <c r="AD1240"/>
      <c r="AE1240"/>
      <c r="AF1240"/>
      <c r="AG1240"/>
      <c r="AH1240"/>
      <c r="AI1240"/>
      <c r="AJ1240"/>
      <c r="AK1240"/>
      <c r="AL1240"/>
      <c r="AM1240"/>
      <c r="AN1240"/>
      <c r="AO1240"/>
    </row>
    <row r="1241" spans="1:41" ht="15">
      <c r="A1241"/>
      <c r="B1241"/>
      <c r="C1241" s="137"/>
      <c r="D1241" s="30"/>
      <c r="E1241" s="30"/>
      <c r="F1241" s="10"/>
      <c r="G1241" s="10"/>
      <c r="H1241" s="15"/>
      <c r="I1241" s="15"/>
      <c r="J1241" s="15"/>
      <c r="K1241" s="15"/>
      <c r="L1241" s="15"/>
      <c r="M1241" s="15"/>
      <c r="N1241" s="15"/>
      <c r="O1241" s="15"/>
      <c r="P1241" s="15"/>
      <c r="Q1241" s="71"/>
      <c r="R1241" s="84"/>
      <c r="S1241" s="10"/>
      <c r="T1241" s="10"/>
      <c r="U1241" s="10"/>
      <c r="V1241" s="10"/>
      <c r="W1241" s="138"/>
      <c r="Y1241"/>
      <c r="Z1241"/>
      <c r="AA1241"/>
      <c r="AB1241"/>
      <c r="AC1241"/>
      <c r="AD1241"/>
      <c r="AE1241"/>
      <c r="AF1241"/>
      <c r="AG1241"/>
      <c r="AH1241"/>
      <c r="AI1241"/>
      <c r="AJ1241"/>
      <c r="AK1241"/>
      <c r="AL1241"/>
      <c r="AM1241"/>
      <c r="AN1241"/>
      <c r="AO1241"/>
    </row>
    <row r="1242" spans="1:41" ht="15">
      <c r="A1242"/>
      <c r="B1242"/>
      <c r="C1242" s="137"/>
      <c r="D1242" s="30"/>
      <c r="E1242" s="30"/>
      <c r="F1242" s="10"/>
      <c r="G1242" s="10"/>
      <c r="H1242" s="15"/>
      <c r="I1242" s="15"/>
      <c r="J1242" s="15"/>
      <c r="K1242" s="15"/>
      <c r="L1242" s="15"/>
      <c r="M1242" s="15"/>
      <c r="N1242" s="15"/>
      <c r="O1242" s="15"/>
      <c r="P1242" s="15"/>
      <c r="Q1242" s="71"/>
      <c r="R1242" s="84"/>
      <c r="S1242" s="10"/>
      <c r="T1242" s="10"/>
      <c r="U1242" s="10"/>
      <c r="V1242" s="10"/>
      <c r="W1242" s="138"/>
      <c r="Y1242"/>
      <c r="Z1242"/>
      <c r="AA1242"/>
      <c r="AB1242"/>
      <c r="AC1242"/>
      <c r="AD1242"/>
      <c r="AE1242"/>
      <c r="AF1242"/>
      <c r="AG1242"/>
      <c r="AH1242"/>
      <c r="AI1242"/>
      <c r="AJ1242"/>
      <c r="AK1242"/>
      <c r="AL1242"/>
      <c r="AM1242"/>
      <c r="AN1242"/>
      <c r="AO1242"/>
    </row>
    <row r="1243" spans="1:41" ht="15">
      <c r="A1243"/>
      <c r="B1243"/>
      <c r="C1243" s="137"/>
      <c r="D1243" s="30"/>
      <c r="E1243" s="30"/>
      <c r="F1243" s="10"/>
      <c r="G1243" s="10"/>
      <c r="H1243" s="15"/>
      <c r="I1243" s="15"/>
      <c r="J1243" s="15"/>
      <c r="K1243" s="15"/>
      <c r="L1243" s="15"/>
      <c r="M1243" s="15"/>
      <c r="N1243" s="15"/>
      <c r="O1243" s="15"/>
      <c r="P1243" s="15"/>
      <c r="Q1243" s="71"/>
      <c r="R1243" s="84"/>
      <c r="S1243" s="10"/>
      <c r="T1243" s="10"/>
      <c r="U1243" s="10"/>
      <c r="V1243" s="10"/>
      <c r="W1243" s="138"/>
      <c r="Y1243"/>
      <c r="Z1243"/>
      <c r="AA1243"/>
      <c r="AB1243"/>
      <c r="AC1243"/>
      <c r="AD1243"/>
      <c r="AE1243"/>
      <c r="AF1243"/>
      <c r="AG1243"/>
      <c r="AH1243"/>
      <c r="AI1243"/>
      <c r="AJ1243"/>
      <c r="AK1243"/>
      <c r="AL1243"/>
      <c r="AM1243"/>
      <c r="AN1243"/>
      <c r="AO1243"/>
    </row>
    <row r="1244" spans="1:41" ht="15">
      <c r="A1244"/>
      <c r="B1244"/>
      <c r="C1244" s="137"/>
      <c r="D1244" s="30"/>
      <c r="E1244" s="30"/>
      <c r="F1244" s="10"/>
      <c r="G1244" s="10"/>
      <c r="H1244" s="15"/>
      <c r="I1244" s="15"/>
      <c r="J1244" s="15"/>
      <c r="K1244" s="15"/>
      <c r="L1244" s="15"/>
      <c r="M1244" s="15"/>
      <c r="N1244" s="15"/>
      <c r="O1244" s="15"/>
      <c r="P1244" s="15"/>
      <c r="Q1244" s="71"/>
      <c r="R1244" s="84"/>
      <c r="S1244" s="10"/>
      <c r="T1244" s="10"/>
      <c r="U1244" s="10"/>
      <c r="V1244" s="10"/>
      <c r="W1244" s="138"/>
      <c r="Y1244"/>
      <c r="Z1244"/>
      <c r="AA1244"/>
      <c r="AB1244"/>
      <c r="AC1244"/>
      <c r="AD1244"/>
      <c r="AE1244"/>
      <c r="AF1244"/>
      <c r="AG1244"/>
      <c r="AH1244"/>
      <c r="AI1244"/>
      <c r="AJ1244"/>
      <c r="AK1244"/>
      <c r="AL1244"/>
      <c r="AM1244"/>
      <c r="AN1244"/>
      <c r="AO1244"/>
    </row>
    <row r="1245" spans="1:41" ht="15">
      <c r="A1245"/>
      <c r="B1245"/>
      <c r="C1245" s="137"/>
      <c r="D1245" s="30"/>
      <c r="E1245" s="30"/>
      <c r="F1245" s="10"/>
      <c r="G1245" s="10"/>
      <c r="H1245" s="15"/>
      <c r="I1245" s="15"/>
      <c r="J1245" s="15"/>
      <c r="K1245" s="15"/>
      <c r="L1245" s="15"/>
      <c r="M1245" s="15"/>
      <c r="N1245" s="15"/>
      <c r="O1245" s="15"/>
      <c r="P1245" s="15"/>
      <c r="Q1245" s="71"/>
      <c r="R1245" s="84"/>
      <c r="S1245" s="10"/>
      <c r="T1245" s="10"/>
      <c r="U1245" s="10"/>
      <c r="V1245" s="10"/>
      <c r="W1245" s="138"/>
      <c r="Y1245"/>
      <c r="Z1245"/>
      <c r="AA1245"/>
      <c r="AB1245"/>
      <c r="AC1245"/>
      <c r="AD1245"/>
      <c r="AE1245"/>
      <c r="AF1245"/>
      <c r="AG1245"/>
      <c r="AH1245"/>
      <c r="AI1245"/>
      <c r="AJ1245"/>
      <c r="AK1245"/>
      <c r="AL1245"/>
      <c r="AM1245"/>
      <c r="AN1245"/>
      <c r="AO1245"/>
    </row>
    <row r="1246" spans="1:41" ht="15">
      <c r="A1246"/>
      <c r="B1246"/>
      <c r="C1246" s="137"/>
      <c r="D1246" s="30"/>
      <c r="E1246" s="30"/>
      <c r="F1246" s="10"/>
      <c r="G1246" s="10"/>
      <c r="H1246" s="15"/>
      <c r="I1246" s="15"/>
      <c r="J1246" s="15"/>
      <c r="K1246" s="15"/>
      <c r="L1246" s="15"/>
      <c r="M1246" s="15"/>
      <c r="N1246" s="15"/>
      <c r="O1246" s="15"/>
      <c r="P1246" s="15"/>
      <c r="Q1246" s="71"/>
      <c r="R1246" s="84"/>
      <c r="S1246" s="10"/>
      <c r="T1246" s="10"/>
      <c r="U1246" s="10"/>
      <c r="V1246" s="10"/>
      <c r="W1246" s="138"/>
      <c r="Y1246"/>
      <c r="Z1246"/>
      <c r="AA1246"/>
      <c r="AB1246"/>
      <c r="AC1246"/>
      <c r="AD1246"/>
      <c r="AE1246"/>
      <c r="AF1246"/>
      <c r="AG1246"/>
      <c r="AH1246"/>
      <c r="AI1246"/>
      <c r="AJ1246"/>
      <c r="AK1246"/>
      <c r="AL1246"/>
      <c r="AM1246"/>
      <c r="AN1246"/>
      <c r="AO1246"/>
    </row>
    <row r="1247" spans="1:41" ht="15">
      <c r="A1247"/>
      <c r="B1247"/>
      <c r="C1247" s="137"/>
      <c r="D1247" s="30"/>
      <c r="E1247" s="30"/>
      <c r="F1247" s="10"/>
      <c r="G1247" s="10"/>
      <c r="H1247" s="15"/>
      <c r="I1247" s="15"/>
      <c r="J1247" s="15"/>
      <c r="K1247" s="15"/>
      <c r="L1247" s="15"/>
      <c r="M1247" s="15"/>
      <c r="N1247" s="15"/>
      <c r="O1247" s="15"/>
      <c r="P1247" s="15"/>
      <c r="Q1247" s="71"/>
      <c r="R1247" s="84"/>
      <c r="S1247" s="10"/>
      <c r="T1247" s="10"/>
      <c r="U1247" s="10"/>
      <c r="V1247" s="10"/>
      <c r="W1247" s="138"/>
      <c r="Y1247"/>
      <c r="Z1247"/>
      <c r="AA1247"/>
      <c r="AB1247"/>
      <c r="AC1247"/>
      <c r="AD1247"/>
      <c r="AE1247"/>
      <c r="AF1247"/>
      <c r="AG1247"/>
      <c r="AH1247"/>
      <c r="AI1247"/>
      <c r="AJ1247"/>
      <c r="AK1247"/>
      <c r="AL1247"/>
      <c r="AM1247"/>
      <c r="AN1247"/>
      <c r="AO1247"/>
    </row>
    <row r="1248" spans="1:41" ht="15">
      <c r="A1248"/>
      <c r="B1248"/>
      <c r="C1248" s="137"/>
      <c r="D1248" s="30"/>
      <c r="E1248" s="30"/>
      <c r="F1248" s="10"/>
      <c r="G1248" s="10"/>
      <c r="H1248" s="15"/>
      <c r="I1248" s="15"/>
      <c r="J1248" s="15"/>
      <c r="K1248" s="15"/>
      <c r="L1248" s="15"/>
      <c r="M1248" s="15"/>
      <c r="N1248" s="15"/>
      <c r="O1248" s="15"/>
      <c r="P1248" s="15"/>
      <c r="Q1248" s="71"/>
      <c r="R1248" s="84"/>
      <c r="S1248" s="10"/>
      <c r="T1248" s="10"/>
      <c r="U1248" s="10"/>
      <c r="V1248" s="10"/>
      <c r="W1248" s="138"/>
      <c r="Y1248"/>
      <c r="Z1248"/>
      <c r="AA1248"/>
      <c r="AB1248"/>
      <c r="AC1248"/>
      <c r="AD1248"/>
      <c r="AE1248"/>
      <c r="AF1248"/>
      <c r="AG1248"/>
      <c r="AH1248"/>
      <c r="AI1248"/>
      <c r="AJ1248"/>
      <c r="AK1248"/>
      <c r="AL1248"/>
      <c r="AM1248"/>
      <c r="AN1248"/>
      <c r="AO1248"/>
    </row>
    <row r="1249" spans="1:41" ht="15">
      <c r="A1249"/>
      <c r="B1249"/>
      <c r="C1249" s="137"/>
      <c r="D1249" s="30"/>
      <c r="E1249" s="30"/>
      <c r="F1249" s="10"/>
      <c r="G1249" s="10"/>
      <c r="H1249" s="15"/>
      <c r="I1249" s="15"/>
      <c r="J1249" s="15"/>
      <c r="K1249" s="15"/>
      <c r="L1249" s="15"/>
      <c r="M1249" s="15"/>
      <c r="N1249" s="15"/>
      <c r="O1249" s="15"/>
      <c r="P1249" s="15"/>
      <c r="Q1249" s="71"/>
      <c r="R1249" s="84"/>
      <c r="S1249" s="10"/>
      <c r="T1249" s="10"/>
      <c r="U1249" s="10"/>
      <c r="V1249" s="10"/>
      <c r="W1249" s="138"/>
      <c r="Y1249"/>
      <c r="Z1249"/>
      <c r="AA1249"/>
      <c r="AB1249"/>
      <c r="AC1249"/>
      <c r="AD1249"/>
      <c r="AE1249"/>
      <c r="AF1249"/>
      <c r="AG1249"/>
      <c r="AH1249"/>
      <c r="AI1249"/>
      <c r="AJ1249"/>
      <c r="AK1249"/>
      <c r="AL1249"/>
      <c r="AM1249"/>
      <c r="AN1249"/>
      <c r="AO1249"/>
    </row>
    <row r="1250" spans="1:41" ht="15">
      <c r="A1250"/>
      <c r="B1250"/>
      <c r="C1250" s="137"/>
      <c r="D1250" s="30"/>
      <c r="E1250" s="30"/>
      <c r="F1250" s="10"/>
      <c r="G1250" s="10"/>
      <c r="H1250" s="15"/>
      <c r="I1250" s="15"/>
      <c r="J1250" s="15"/>
      <c r="K1250" s="15"/>
      <c r="L1250" s="15"/>
      <c r="M1250" s="15"/>
      <c r="N1250" s="15"/>
      <c r="O1250" s="15"/>
      <c r="P1250" s="15"/>
      <c r="Q1250" s="71"/>
      <c r="R1250" s="84"/>
      <c r="S1250" s="10"/>
      <c r="T1250" s="10"/>
      <c r="U1250" s="10"/>
      <c r="V1250" s="10"/>
      <c r="W1250" s="138"/>
      <c r="Y1250"/>
      <c r="Z1250"/>
      <c r="AA1250"/>
      <c r="AB1250"/>
      <c r="AC1250"/>
      <c r="AD1250"/>
      <c r="AE1250"/>
      <c r="AF1250"/>
      <c r="AG1250"/>
      <c r="AH1250"/>
      <c r="AI1250"/>
      <c r="AJ1250"/>
      <c r="AK1250"/>
      <c r="AL1250"/>
      <c r="AM1250"/>
      <c r="AN1250"/>
      <c r="AO1250"/>
    </row>
    <row r="1251" spans="1:41" ht="15">
      <c r="A1251"/>
      <c r="B1251"/>
      <c r="C1251" s="137"/>
      <c r="D1251" s="30"/>
      <c r="E1251" s="30"/>
      <c r="F1251" s="10"/>
      <c r="G1251" s="10"/>
      <c r="H1251" s="15"/>
      <c r="I1251" s="15"/>
      <c r="J1251" s="15"/>
      <c r="K1251" s="15"/>
      <c r="L1251" s="15"/>
      <c r="M1251" s="15"/>
      <c r="N1251" s="15"/>
      <c r="O1251" s="15"/>
      <c r="P1251" s="15"/>
      <c r="Q1251" s="71"/>
      <c r="R1251" s="84"/>
      <c r="S1251" s="10"/>
      <c r="T1251" s="10"/>
      <c r="U1251" s="10"/>
      <c r="V1251" s="10"/>
      <c r="W1251" s="138"/>
      <c r="Y1251"/>
      <c r="Z1251"/>
      <c r="AA1251"/>
      <c r="AB1251"/>
      <c r="AC1251"/>
      <c r="AD1251"/>
      <c r="AE1251"/>
      <c r="AF1251"/>
      <c r="AG1251"/>
      <c r="AH1251"/>
      <c r="AI1251"/>
      <c r="AJ1251"/>
      <c r="AK1251"/>
      <c r="AL1251"/>
      <c r="AM1251"/>
      <c r="AN1251"/>
      <c r="AO1251"/>
    </row>
    <row r="1252" spans="1:41" ht="15">
      <c r="A1252"/>
      <c r="B1252"/>
      <c r="C1252" s="137"/>
      <c r="D1252" s="30"/>
      <c r="E1252" s="30"/>
      <c r="F1252" s="10"/>
      <c r="G1252" s="10"/>
      <c r="H1252" s="15"/>
      <c r="I1252" s="15"/>
      <c r="J1252" s="15"/>
      <c r="K1252" s="15"/>
      <c r="L1252" s="15"/>
      <c r="M1252" s="15"/>
      <c r="N1252" s="15"/>
      <c r="O1252" s="15"/>
      <c r="P1252" s="15"/>
      <c r="Q1252" s="71"/>
      <c r="R1252" s="84"/>
      <c r="S1252" s="10"/>
      <c r="T1252" s="10"/>
      <c r="U1252" s="10"/>
      <c r="V1252" s="10"/>
      <c r="W1252" s="138"/>
      <c r="Y1252"/>
      <c r="Z1252"/>
      <c r="AA1252"/>
      <c r="AB1252"/>
      <c r="AC1252"/>
      <c r="AD1252"/>
      <c r="AE1252"/>
      <c r="AF1252"/>
      <c r="AG1252"/>
      <c r="AH1252"/>
      <c r="AI1252"/>
      <c r="AJ1252"/>
      <c r="AK1252"/>
      <c r="AL1252"/>
      <c r="AM1252"/>
      <c r="AN1252"/>
      <c r="AO1252"/>
    </row>
    <row r="1253" spans="1:41" ht="15">
      <c r="A1253"/>
      <c r="B1253"/>
      <c r="C1253" s="137"/>
      <c r="D1253" s="30"/>
      <c r="E1253" s="30"/>
      <c r="F1253" s="10"/>
      <c r="G1253" s="10"/>
      <c r="H1253" s="15"/>
      <c r="I1253" s="15"/>
      <c r="J1253" s="15"/>
      <c r="K1253" s="15"/>
      <c r="L1253" s="15"/>
      <c r="M1253" s="15"/>
      <c r="N1253" s="15"/>
      <c r="O1253" s="15"/>
      <c r="P1253" s="15"/>
      <c r="Q1253" s="71"/>
      <c r="R1253" s="84"/>
      <c r="S1253" s="10"/>
      <c r="T1253" s="10"/>
      <c r="U1253" s="10"/>
      <c r="V1253" s="10"/>
      <c r="W1253" s="138"/>
      <c r="Y1253"/>
      <c r="Z1253"/>
      <c r="AA1253"/>
      <c r="AB1253"/>
      <c r="AC1253"/>
      <c r="AD1253"/>
      <c r="AE1253"/>
      <c r="AF1253"/>
      <c r="AG1253"/>
      <c r="AH1253"/>
      <c r="AI1253"/>
      <c r="AJ1253"/>
      <c r="AK1253"/>
      <c r="AL1253"/>
      <c r="AM1253"/>
      <c r="AN1253"/>
      <c r="AO1253"/>
    </row>
    <row r="1254" spans="1:41" ht="15">
      <c r="A1254"/>
      <c r="B1254"/>
      <c r="C1254" s="137"/>
      <c r="D1254" s="30"/>
      <c r="E1254" s="30"/>
      <c r="F1254" s="10"/>
      <c r="G1254" s="10"/>
      <c r="H1254" s="15"/>
      <c r="I1254" s="15"/>
      <c r="J1254" s="15"/>
      <c r="K1254" s="15"/>
      <c r="L1254" s="15"/>
      <c r="M1254" s="15"/>
      <c r="N1254" s="15"/>
      <c r="O1254" s="15"/>
      <c r="P1254" s="15"/>
      <c r="Q1254" s="71"/>
      <c r="R1254" s="84"/>
      <c r="S1254" s="10"/>
      <c r="T1254" s="10"/>
      <c r="U1254" s="10"/>
      <c r="V1254" s="10"/>
      <c r="W1254" s="138"/>
      <c r="Y1254"/>
      <c r="Z1254"/>
      <c r="AA1254"/>
      <c r="AB1254"/>
      <c r="AC1254"/>
      <c r="AD1254"/>
      <c r="AE1254"/>
      <c r="AF1254"/>
      <c r="AG1254"/>
      <c r="AH1254"/>
      <c r="AI1254"/>
      <c r="AJ1254"/>
      <c r="AK1254"/>
      <c r="AL1254"/>
      <c r="AM1254"/>
      <c r="AN1254"/>
      <c r="AO1254"/>
    </row>
    <row r="1255" spans="1:41" ht="15">
      <c r="A1255"/>
      <c r="B1255"/>
      <c r="C1255" s="137"/>
      <c r="D1255" s="30"/>
      <c r="E1255" s="30"/>
      <c r="F1255" s="10"/>
      <c r="G1255" s="10"/>
      <c r="H1255" s="15"/>
      <c r="I1255" s="15"/>
      <c r="J1255" s="15"/>
      <c r="K1255" s="15"/>
      <c r="L1255" s="15"/>
      <c r="M1255" s="15"/>
      <c r="N1255" s="15"/>
      <c r="O1255" s="15"/>
      <c r="P1255" s="15"/>
      <c r="Q1255" s="71"/>
      <c r="R1255" s="84"/>
      <c r="S1255" s="10"/>
      <c r="T1255" s="10"/>
      <c r="U1255" s="10"/>
      <c r="V1255" s="10"/>
      <c r="W1255" s="138"/>
      <c r="Y1255"/>
      <c r="Z1255"/>
      <c r="AA1255"/>
      <c r="AB1255"/>
      <c r="AC1255"/>
      <c r="AD1255"/>
      <c r="AE1255"/>
      <c r="AF1255"/>
      <c r="AG1255"/>
      <c r="AH1255"/>
      <c r="AI1255"/>
      <c r="AJ1255"/>
      <c r="AK1255"/>
      <c r="AL1255"/>
      <c r="AM1255"/>
      <c r="AN1255"/>
      <c r="AO1255"/>
    </row>
    <row r="1256" spans="1:41" ht="15">
      <c r="A1256"/>
      <c r="B1256"/>
      <c r="C1256" s="137"/>
      <c r="D1256" s="30"/>
      <c r="E1256" s="30"/>
      <c r="F1256" s="10"/>
      <c r="G1256" s="10"/>
      <c r="H1256" s="15"/>
      <c r="I1256" s="15"/>
      <c r="J1256" s="15"/>
      <c r="K1256" s="15"/>
      <c r="L1256" s="15"/>
      <c r="M1256" s="15"/>
      <c r="N1256" s="15"/>
      <c r="O1256" s="15"/>
      <c r="P1256" s="15"/>
      <c r="Q1256" s="71"/>
      <c r="R1256" s="84"/>
      <c r="S1256" s="10"/>
      <c r="T1256" s="10"/>
      <c r="U1256" s="10"/>
      <c r="V1256" s="10"/>
      <c r="W1256" s="138"/>
      <c r="Y1256"/>
      <c r="Z1256"/>
      <c r="AA1256"/>
      <c r="AB1256"/>
      <c r="AC1256"/>
      <c r="AD1256"/>
      <c r="AE1256"/>
      <c r="AF1256"/>
      <c r="AG1256"/>
      <c r="AH1256"/>
      <c r="AI1256"/>
      <c r="AJ1256"/>
      <c r="AK1256"/>
      <c r="AL1256"/>
      <c r="AM1256"/>
      <c r="AN1256"/>
      <c r="AO1256"/>
    </row>
    <row r="1257" spans="1:41" ht="15">
      <c r="A1257"/>
      <c r="B1257"/>
      <c r="C1257" s="137"/>
      <c r="D1257" s="30"/>
      <c r="E1257" s="30"/>
      <c r="F1257" s="10"/>
      <c r="G1257" s="10"/>
      <c r="H1257" s="15"/>
      <c r="I1257" s="15"/>
      <c r="J1257" s="15"/>
      <c r="K1257" s="15"/>
      <c r="L1257" s="15"/>
      <c r="M1257" s="15"/>
      <c r="N1257" s="15"/>
      <c r="O1257" s="15"/>
      <c r="P1257" s="15"/>
      <c r="Q1257" s="71"/>
      <c r="R1257" s="84"/>
      <c r="S1257" s="10"/>
      <c r="T1257" s="10"/>
      <c r="U1257" s="10"/>
      <c r="V1257" s="10"/>
      <c r="W1257" s="138"/>
      <c r="Y1257"/>
      <c r="Z1257"/>
      <c r="AA1257"/>
      <c r="AB1257"/>
      <c r="AC1257"/>
      <c r="AD1257"/>
      <c r="AE1257"/>
      <c r="AF1257"/>
      <c r="AG1257"/>
      <c r="AH1257"/>
      <c r="AI1257"/>
      <c r="AJ1257"/>
      <c r="AK1257"/>
      <c r="AL1257"/>
      <c r="AM1257"/>
      <c r="AN1257"/>
      <c r="AO1257"/>
    </row>
    <row r="1258" spans="1:41" ht="15">
      <c r="A1258"/>
      <c r="B1258"/>
      <c r="C1258" s="137"/>
      <c r="D1258" s="30"/>
      <c r="E1258" s="30"/>
      <c r="F1258" s="10"/>
      <c r="G1258" s="10"/>
      <c r="H1258" s="15"/>
      <c r="I1258" s="15"/>
      <c r="J1258" s="15"/>
      <c r="K1258" s="15"/>
      <c r="L1258" s="15"/>
      <c r="M1258" s="15"/>
      <c r="N1258" s="15"/>
      <c r="O1258" s="15"/>
      <c r="P1258" s="15"/>
      <c r="Q1258" s="71"/>
      <c r="R1258" s="84"/>
      <c r="S1258" s="10"/>
      <c r="T1258" s="10"/>
      <c r="U1258" s="10"/>
      <c r="V1258" s="10"/>
      <c r="W1258" s="138"/>
      <c r="Y1258"/>
      <c r="Z1258"/>
      <c r="AA1258"/>
      <c r="AB1258"/>
      <c r="AC1258"/>
      <c r="AD1258"/>
      <c r="AE1258"/>
      <c r="AF1258"/>
      <c r="AG1258"/>
      <c r="AH1258"/>
      <c r="AI1258"/>
      <c r="AJ1258"/>
      <c r="AK1258"/>
      <c r="AL1258"/>
      <c r="AM1258"/>
      <c r="AN1258"/>
      <c r="AO1258"/>
    </row>
    <row r="1259" spans="1:41" ht="15">
      <c r="A1259"/>
      <c r="B1259"/>
      <c r="C1259" s="137"/>
      <c r="D1259" s="30"/>
      <c r="E1259" s="30"/>
      <c r="F1259" s="10"/>
      <c r="G1259" s="10"/>
      <c r="H1259" s="15"/>
      <c r="I1259" s="15"/>
      <c r="J1259" s="15"/>
      <c r="K1259" s="15"/>
      <c r="L1259" s="15"/>
      <c r="M1259" s="15"/>
      <c r="N1259" s="15"/>
      <c r="O1259" s="15"/>
      <c r="P1259" s="15"/>
      <c r="Q1259" s="71"/>
      <c r="R1259" s="84"/>
      <c r="S1259" s="10"/>
      <c r="T1259" s="10"/>
      <c r="U1259" s="10"/>
      <c r="V1259" s="10"/>
      <c r="W1259" s="138"/>
      <c r="Y1259"/>
      <c r="Z1259"/>
      <c r="AA1259"/>
      <c r="AB1259"/>
      <c r="AC1259"/>
      <c r="AD1259"/>
      <c r="AE1259"/>
      <c r="AF1259"/>
      <c r="AG1259"/>
      <c r="AH1259"/>
      <c r="AI1259"/>
      <c r="AJ1259"/>
      <c r="AK1259"/>
      <c r="AL1259"/>
      <c r="AM1259"/>
      <c r="AN1259"/>
      <c r="AO1259"/>
    </row>
    <row r="1260" spans="1:41" ht="15">
      <c r="A1260"/>
      <c r="B1260"/>
      <c r="C1260" s="137"/>
      <c r="D1260" s="30"/>
      <c r="E1260" s="30"/>
      <c r="F1260" s="10"/>
      <c r="G1260" s="10"/>
      <c r="H1260" s="15"/>
      <c r="I1260" s="15"/>
      <c r="J1260" s="15"/>
      <c r="K1260" s="15"/>
      <c r="L1260" s="15"/>
      <c r="M1260" s="15"/>
      <c r="N1260" s="15"/>
      <c r="O1260" s="15"/>
      <c r="P1260" s="15"/>
      <c r="Q1260" s="71"/>
      <c r="R1260" s="84"/>
      <c r="S1260" s="10"/>
      <c r="T1260" s="10"/>
      <c r="U1260" s="10"/>
      <c r="V1260" s="10"/>
      <c r="W1260" s="138"/>
      <c r="Y1260"/>
      <c r="Z1260"/>
      <c r="AA1260"/>
      <c r="AB1260"/>
      <c r="AC1260"/>
      <c r="AD1260"/>
      <c r="AE1260"/>
      <c r="AF1260"/>
      <c r="AG1260"/>
      <c r="AH1260"/>
      <c r="AI1260"/>
      <c r="AJ1260"/>
      <c r="AK1260"/>
      <c r="AL1260"/>
      <c r="AM1260"/>
      <c r="AN1260"/>
      <c r="AO1260"/>
    </row>
    <row r="1261" spans="1:41" ht="15">
      <c r="A1261"/>
      <c r="B1261"/>
      <c r="C1261" s="137"/>
      <c r="D1261" s="30"/>
      <c r="E1261" s="30"/>
      <c r="F1261" s="10"/>
      <c r="G1261" s="10"/>
      <c r="H1261" s="15"/>
      <c r="I1261" s="15"/>
      <c r="J1261" s="15"/>
      <c r="K1261" s="15"/>
      <c r="L1261" s="15"/>
      <c r="M1261" s="15"/>
      <c r="N1261" s="15"/>
      <c r="O1261" s="15"/>
      <c r="P1261" s="15"/>
      <c r="Q1261" s="71"/>
      <c r="R1261" s="84"/>
      <c r="S1261" s="10"/>
      <c r="T1261" s="10"/>
      <c r="U1261" s="10"/>
      <c r="V1261" s="10"/>
      <c r="W1261" s="138"/>
      <c r="Y1261"/>
      <c r="Z1261"/>
      <c r="AA1261"/>
      <c r="AB1261"/>
      <c r="AC1261"/>
      <c r="AD1261"/>
      <c r="AE1261"/>
      <c r="AF1261"/>
      <c r="AG1261"/>
      <c r="AH1261"/>
      <c r="AI1261"/>
      <c r="AJ1261"/>
      <c r="AK1261"/>
      <c r="AL1261"/>
      <c r="AM1261"/>
      <c r="AN1261"/>
      <c r="AO1261"/>
    </row>
    <row r="1262" spans="1:41" ht="15">
      <c r="A1262"/>
      <c r="B1262"/>
      <c r="C1262" s="137"/>
      <c r="D1262" s="30"/>
      <c r="E1262" s="30"/>
      <c r="F1262" s="10"/>
      <c r="G1262" s="10"/>
      <c r="H1262" s="15"/>
      <c r="I1262" s="15"/>
      <c r="J1262" s="15"/>
      <c r="K1262" s="15"/>
      <c r="L1262" s="15"/>
      <c r="M1262" s="15"/>
      <c r="N1262" s="15"/>
      <c r="O1262" s="15"/>
      <c r="P1262" s="15"/>
      <c r="Q1262" s="71"/>
      <c r="R1262" s="84"/>
      <c r="S1262" s="10"/>
      <c r="T1262" s="10"/>
      <c r="U1262" s="10"/>
      <c r="V1262" s="10"/>
      <c r="W1262" s="138"/>
      <c r="Y1262"/>
      <c r="Z1262"/>
      <c r="AA1262"/>
      <c r="AB1262"/>
      <c r="AC1262"/>
      <c r="AD1262"/>
      <c r="AE1262"/>
      <c r="AF1262"/>
      <c r="AG1262"/>
      <c r="AH1262"/>
      <c r="AI1262"/>
      <c r="AJ1262"/>
      <c r="AK1262"/>
      <c r="AL1262"/>
      <c r="AM1262"/>
      <c r="AN1262"/>
      <c r="AO1262"/>
    </row>
    <row r="1263" spans="1:41" ht="15">
      <c r="A1263"/>
      <c r="B1263"/>
      <c r="C1263" s="137"/>
      <c r="D1263" s="30"/>
      <c r="E1263" s="30"/>
      <c r="F1263" s="10"/>
      <c r="G1263" s="10"/>
      <c r="H1263" s="15"/>
      <c r="I1263" s="15"/>
      <c r="J1263" s="15"/>
      <c r="K1263" s="15"/>
      <c r="L1263" s="15"/>
      <c r="M1263" s="15"/>
      <c r="N1263" s="15"/>
      <c r="O1263" s="15"/>
      <c r="P1263" s="15"/>
      <c r="Q1263" s="71"/>
      <c r="R1263" s="84"/>
      <c r="S1263" s="10"/>
      <c r="T1263" s="10"/>
      <c r="U1263" s="10"/>
      <c r="V1263" s="10"/>
      <c r="W1263" s="138"/>
      <c r="Y1263"/>
      <c r="Z1263"/>
      <c r="AA1263"/>
      <c r="AB1263"/>
      <c r="AC1263"/>
      <c r="AD1263"/>
      <c r="AE1263"/>
      <c r="AF1263"/>
      <c r="AG1263"/>
      <c r="AH1263"/>
      <c r="AI1263"/>
      <c r="AJ1263"/>
      <c r="AK1263"/>
      <c r="AL1263"/>
      <c r="AM1263"/>
      <c r="AN1263"/>
      <c r="AO1263"/>
    </row>
    <row r="1264" spans="1:41" ht="15">
      <c r="A1264"/>
      <c r="B1264"/>
      <c r="C1264" s="137"/>
      <c r="D1264" s="30"/>
      <c r="E1264" s="30"/>
      <c r="F1264" s="10"/>
      <c r="G1264" s="10"/>
      <c r="H1264" s="15"/>
      <c r="I1264" s="15"/>
      <c r="J1264" s="15"/>
      <c r="K1264" s="15"/>
      <c r="L1264" s="15"/>
      <c r="M1264" s="15"/>
      <c r="N1264" s="15"/>
      <c r="O1264" s="15"/>
      <c r="P1264" s="15"/>
      <c r="Q1264" s="71"/>
      <c r="R1264" s="84"/>
      <c r="S1264" s="10"/>
      <c r="T1264" s="10"/>
      <c r="U1264" s="10"/>
      <c r="V1264" s="10"/>
      <c r="W1264" s="138"/>
      <c r="Y1264"/>
      <c r="Z1264"/>
      <c r="AA1264"/>
      <c r="AB1264"/>
      <c r="AC1264"/>
      <c r="AD1264"/>
      <c r="AE1264"/>
      <c r="AF1264"/>
      <c r="AG1264"/>
      <c r="AH1264"/>
      <c r="AI1264"/>
      <c r="AJ1264"/>
      <c r="AK1264"/>
      <c r="AL1264"/>
      <c r="AM1264"/>
      <c r="AN1264"/>
      <c r="AO1264"/>
    </row>
    <row r="1265" spans="1:41" ht="15">
      <c r="A1265"/>
      <c r="B1265"/>
      <c r="C1265" s="137"/>
      <c r="D1265" s="30"/>
      <c r="E1265" s="30"/>
      <c r="F1265" s="10"/>
      <c r="G1265" s="10"/>
      <c r="H1265" s="15"/>
      <c r="I1265" s="15"/>
      <c r="J1265" s="15"/>
      <c r="K1265" s="15"/>
      <c r="L1265" s="15"/>
      <c r="M1265" s="15"/>
      <c r="N1265" s="15"/>
      <c r="O1265" s="15"/>
      <c r="P1265" s="15"/>
      <c r="Q1265" s="71"/>
      <c r="R1265" s="84"/>
      <c r="S1265" s="10"/>
      <c r="T1265" s="10"/>
      <c r="U1265" s="10"/>
      <c r="V1265" s="10"/>
      <c r="W1265" s="138"/>
      <c r="Y1265"/>
      <c r="Z1265"/>
      <c r="AA1265"/>
      <c r="AB1265"/>
      <c r="AC1265"/>
      <c r="AD1265"/>
      <c r="AE1265"/>
      <c r="AF1265"/>
      <c r="AG1265"/>
      <c r="AH1265"/>
      <c r="AI1265"/>
      <c r="AJ1265"/>
      <c r="AK1265"/>
      <c r="AL1265"/>
      <c r="AM1265"/>
      <c r="AN1265"/>
      <c r="AO1265"/>
    </row>
    <row r="1266" spans="1:41" ht="15">
      <c r="A1266"/>
      <c r="B1266"/>
      <c r="C1266" s="137"/>
      <c r="D1266" s="30"/>
      <c r="E1266" s="30"/>
      <c r="F1266" s="10"/>
      <c r="G1266" s="10"/>
      <c r="H1266" s="15"/>
      <c r="I1266" s="15"/>
      <c r="J1266" s="15"/>
      <c r="K1266" s="15"/>
      <c r="L1266" s="15"/>
      <c r="M1266" s="15"/>
      <c r="N1266" s="15"/>
      <c r="O1266" s="15"/>
      <c r="P1266" s="15"/>
      <c r="Q1266" s="71"/>
      <c r="R1266" s="84"/>
      <c r="S1266" s="10"/>
      <c r="T1266" s="10"/>
      <c r="U1266" s="10"/>
      <c r="V1266" s="10"/>
      <c r="W1266" s="138"/>
      <c r="Y1266"/>
      <c r="Z1266"/>
      <c r="AA1266"/>
      <c r="AB1266"/>
      <c r="AC1266"/>
      <c r="AD1266"/>
      <c r="AE1266"/>
      <c r="AF1266"/>
      <c r="AG1266"/>
      <c r="AH1266"/>
      <c r="AI1266"/>
      <c r="AJ1266"/>
      <c r="AK1266"/>
      <c r="AL1266"/>
      <c r="AM1266"/>
      <c r="AN1266"/>
      <c r="AO1266"/>
    </row>
    <row r="1267" spans="1:41" ht="15">
      <c r="A1267"/>
      <c r="B1267"/>
      <c r="C1267" s="137"/>
      <c r="D1267" s="30"/>
      <c r="E1267" s="30"/>
      <c r="F1267" s="10"/>
      <c r="G1267" s="10"/>
      <c r="H1267" s="15"/>
      <c r="I1267" s="15"/>
      <c r="J1267" s="15"/>
      <c r="K1267" s="15"/>
      <c r="L1267" s="15"/>
      <c r="M1267" s="15"/>
      <c r="N1267" s="15"/>
      <c r="O1267" s="15"/>
      <c r="P1267" s="15"/>
      <c r="Q1267" s="71"/>
      <c r="R1267" s="84"/>
      <c r="S1267" s="10"/>
      <c r="T1267" s="10"/>
      <c r="U1267" s="10"/>
      <c r="V1267" s="10"/>
      <c r="W1267" s="138"/>
      <c r="Y1267"/>
      <c r="Z1267"/>
      <c r="AA1267"/>
      <c r="AB1267"/>
      <c r="AC1267"/>
      <c r="AD1267"/>
      <c r="AE1267"/>
      <c r="AF1267"/>
      <c r="AG1267"/>
      <c r="AH1267"/>
      <c r="AI1267"/>
      <c r="AJ1267"/>
      <c r="AK1267"/>
      <c r="AL1267"/>
      <c r="AM1267"/>
      <c r="AN1267"/>
      <c r="AO1267"/>
    </row>
    <row r="1268" spans="1:41" ht="15">
      <c r="A1268"/>
      <c r="B1268"/>
      <c r="C1268" s="137"/>
      <c r="D1268" s="30"/>
      <c r="E1268" s="30"/>
      <c r="F1268" s="10"/>
      <c r="G1268" s="10"/>
      <c r="H1268" s="15"/>
      <c r="I1268" s="15"/>
      <c r="J1268" s="15"/>
      <c r="K1268" s="15"/>
      <c r="L1268" s="15"/>
      <c r="M1268" s="15"/>
      <c r="N1268" s="15"/>
      <c r="O1268" s="15"/>
      <c r="P1268" s="15"/>
      <c r="Q1268" s="71"/>
      <c r="R1268" s="84"/>
      <c r="S1268" s="10"/>
      <c r="T1268" s="10"/>
      <c r="U1268" s="10"/>
      <c r="V1268" s="10"/>
      <c r="W1268" s="138"/>
      <c r="Y1268"/>
      <c r="Z1268"/>
      <c r="AA1268"/>
      <c r="AB1268"/>
      <c r="AC1268"/>
      <c r="AD1268"/>
      <c r="AE1268"/>
      <c r="AF1268"/>
      <c r="AG1268"/>
      <c r="AH1268"/>
      <c r="AI1268"/>
      <c r="AJ1268"/>
      <c r="AK1268"/>
      <c r="AL1268"/>
      <c r="AM1268"/>
      <c r="AN1268"/>
      <c r="AO1268"/>
    </row>
    <row r="1269" spans="1:41" ht="15">
      <c r="A1269"/>
      <c r="B1269"/>
      <c r="C1269" s="137"/>
      <c r="D1269" s="30"/>
      <c r="E1269" s="30"/>
      <c r="F1269" s="10"/>
      <c r="G1269" s="10"/>
      <c r="H1269" s="15"/>
      <c r="I1269" s="15"/>
      <c r="J1269" s="15"/>
      <c r="K1269" s="15"/>
      <c r="L1269" s="15"/>
      <c r="M1269" s="15"/>
      <c r="N1269" s="15"/>
      <c r="O1269" s="15"/>
      <c r="P1269" s="15"/>
      <c r="Q1269" s="71"/>
      <c r="R1269" s="84"/>
      <c r="S1269" s="10"/>
      <c r="T1269" s="10"/>
      <c r="U1269" s="10"/>
      <c r="V1269" s="10"/>
      <c r="W1269" s="138"/>
      <c r="Y1269"/>
      <c r="Z1269"/>
      <c r="AA1269"/>
      <c r="AB1269"/>
      <c r="AC1269"/>
      <c r="AD1269"/>
      <c r="AE1269"/>
      <c r="AF1269"/>
      <c r="AG1269"/>
      <c r="AH1269"/>
      <c r="AI1269"/>
      <c r="AJ1269"/>
      <c r="AK1269"/>
      <c r="AL1269"/>
      <c r="AM1269"/>
      <c r="AN1269"/>
      <c r="AO1269"/>
    </row>
    <row r="1270" spans="1:41" ht="15">
      <c r="A1270"/>
      <c r="B1270"/>
      <c r="C1270" s="137"/>
      <c r="D1270" s="30"/>
      <c r="E1270" s="30"/>
      <c r="F1270" s="10"/>
      <c r="G1270" s="10"/>
      <c r="H1270" s="15"/>
      <c r="I1270" s="15"/>
      <c r="J1270" s="15"/>
      <c r="K1270" s="15"/>
      <c r="L1270" s="15"/>
      <c r="M1270" s="15"/>
      <c r="N1270" s="15"/>
      <c r="O1270" s="15"/>
      <c r="P1270" s="15"/>
      <c r="Q1270" s="71"/>
      <c r="R1270" s="84"/>
      <c r="S1270" s="10"/>
      <c r="T1270" s="10"/>
      <c r="U1270" s="10"/>
      <c r="V1270" s="10"/>
      <c r="W1270" s="138"/>
      <c r="Y1270"/>
      <c r="Z1270"/>
      <c r="AA1270"/>
      <c r="AB1270"/>
      <c r="AC1270"/>
      <c r="AD1270"/>
      <c r="AE1270"/>
      <c r="AF1270"/>
      <c r="AG1270"/>
      <c r="AH1270"/>
      <c r="AI1270"/>
      <c r="AJ1270"/>
      <c r="AK1270"/>
      <c r="AL1270"/>
      <c r="AM1270"/>
      <c r="AN1270"/>
      <c r="AO1270"/>
    </row>
    <row r="1271" spans="1:41" ht="15">
      <c r="A1271"/>
      <c r="B1271"/>
      <c r="C1271" s="137"/>
      <c r="D1271" s="30"/>
      <c r="E1271" s="30"/>
      <c r="F1271" s="10"/>
      <c r="G1271" s="10"/>
      <c r="H1271" s="15"/>
      <c r="I1271" s="15"/>
      <c r="J1271" s="15"/>
      <c r="K1271" s="15"/>
      <c r="L1271" s="15"/>
      <c r="M1271" s="15"/>
      <c r="N1271" s="15"/>
      <c r="O1271" s="15"/>
      <c r="P1271" s="15"/>
      <c r="Q1271" s="71"/>
      <c r="R1271" s="84"/>
      <c r="S1271" s="10"/>
      <c r="T1271" s="10"/>
      <c r="U1271" s="10"/>
      <c r="V1271" s="10"/>
      <c r="W1271" s="138"/>
      <c r="Y1271"/>
      <c r="Z1271"/>
      <c r="AA1271"/>
      <c r="AB1271"/>
      <c r="AC1271"/>
      <c r="AD1271"/>
      <c r="AE1271"/>
      <c r="AF1271"/>
      <c r="AG1271"/>
      <c r="AH1271"/>
      <c r="AI1271"/>
      <c r="AJ1271"/>
      <c r="AK1271"/>
      <c r="AL1271"/>
      <c r="AM1271"/>
      <c r="AN1271"/>
      <c r="AO1271"/>
    </row>
    <row r="1272" spans="1:41" ht="15">
      <c r="A1272"/>
      <c r="B1272"/>
      <c r="C1272" s="137"/>
      <c r="D1272" s="30"/>
      <c r="E1272" s="30"/>
      <c r="F1272" s="10"/>
      <c r="G1272" s="10"/>
      <c r="H1272" s="15"/>
      <c r="I1272" s="15"/>
      <c r="J1272" s="15"/>
      <c r="K1272" s="15"/>
      <c r="L1272" s="15"/>
      <c r="M1272" s="15"/>
      <c r="N1272" s="15"/>
      <c r="O1272" s="15"/>
      <c r="P1272" s="15"/>
      <c r="Q1272" s="71"/>
      <c r="R1272" s="84"/>
      <c r="S1272" s="10"/>
      <c r="T1272" s="10"/>
      <c r="U1272" s="10"/>
      <c r="V1272" s="10"/>
      <c r="W1272" s="138"/>
      <c r="Y1272"/>
      <c r="Z1272"/>
      <c r="AA1272"/>
      <c r="AB1272"/>
      <c r="AC1272"/>
      <c r="AD1272"/>
      <c r="AE1272"/>
      <c r="AF1272"/>
      <c r="AG1272"/>
      <c r="AH1272"/>
      <c r="AI1272"/>
      <c r="AJ1272"/>
      <c r="AK1272"/>
      <c r="AL1272"/>
      <c r="AM1272"/>
      <c r="AN1272"/>
      <c r="AO1272"/>
    </row>
    <row r="1273" spans="1:41" ht="15">
      <c r="A1273"/>
      <c r="B1273"/>
      <c r="C1273" s="137"/>
      <c r="D1273" s="30"/>
      <c r="E1273" s="30"/>
      <c r="F1273" s="10"/>
      <c r="G1273" s="10"/>
      <c r="H1273" s="15"/>
      <c r="I1273" s="15"/>
      <c r="J1273" s="15"/>
      <c r="K1273" s="15"/>
      <c r="L1273" s="15"/>
      <c r="M1273" s="15"/>
      <c r="N1273" s="15"/>
      <c r="O1273" s="15"/>
      <c r="P1273" s="15"/>
      <c r="Q1273" s="71"/>
      <c r="R1273" s="84"/>
      <c r="S1273" s="10"/>
      <c r="T1273" s="10"/>
      <c r="U1273" s="10"/>
      <c r="V1273" s="10"/>
      <c r="W1273" s="138"/>
      <c r="Y1273"/>
      <c r="Z1273"/>
      <c r="AA1273"/>
      <c r="AB1273"/>
      <c r="AC1273"/>
      <c r="AD1273"/>
      <c r="AE1273"/>
      <c r="AF1273"/>
      <c r="AG1273"/>
      <c r="AH1273"/>
      <c r="AI1273"/>
      <c r="AJ1273"/>
      <c r="AK1273"/>
      <c r="AL1273"/>
      <c r="AM1273"/>
      <c r="AN1273"/>
      <c r="AO1273"/>
    </row>
    <row r="1274" spans="1:41" ht="15">
      <c r="A1274"/>
      <c r="B1274"/>
      <c r="C1274" s="137"/>
      <c r="D1274" s="30"/>
      <c r="E1274" s="30"/>
      <c r="F1274" s="10"/>
      <c r="G1274" s="10"/>
      <c r="H1274" s="15"/>
      <c r="I1274" s="15"/>
      <c r="J1274" s="15"/>
      <c r="K1274" s="15"/>
      <c r="L1274" s="15"/>
      <c r="M1274" s="15"/>
      <c r="N1274" s="15"/>
      <c r="O1274" s="15"/>
      <c r="P1274" s="15"/>
      <c r="Q1274" s="71"/>
      <c r="R1274" s="84"/>
      <c r="S1274" s="10"/>
      <c r="T1274" s="10"/>
      <c r="U1274" s="10"/>
      <c r="V1274" s="10"/>
      <c r="W1274" s="138"/>
      <c r="Y1274"/>
      <c r="Z1274"/>
      <c r="AA1274"/>
      <c r="AB1274"/>
      <c r="AC1274"/>
      <c r="AD1274"/>
      <c r="AE1274"/>
      <c r="AF1274"/>
      <c r="AG1274"/>
      <c r="AH1274"/>
      <c r="AI1274"/>
      <c r="AJ1274"/>
      <c r="AK1274"/>
      <c r="AL1274"/>
      <c r="AM1274"/>
      <c r="AN1274"/>
      <c r="AO1274"/>
    </row>
    <row r="1275" spans="1:41" ht="15">
      <c r="A1275"/>
      <c r="B1275"/>
      <c r="C1275" s="137"/>
      <c r="D1275" s="30"/>
      <c r="E1275" s="30"/>
      <c r="F1275" s="10"/>
      <c r="G1275" s="10"/>
      <c r="H1275" s="15"/>
      <c r="I1275" s="15"/>
      <c r="J1275" s="15"/>
      <c r="K1275" s="15"/>
      <c r="L1275" s="15"/>
      <c r="M1275" s="15"/>
      <c r="N1275" s="15"/>
      <c r="O1275" s="15"/>
      <c r="P1275" s="15"/>
      <c r="Q1275" s="71"/>
      <c r="R1275" s="84"/>
      <c r="S1275" s="10"/>
      <c r="T1275" s="10"/>
      <c r="U1275" s="10"/>
      <c r="V1275" s="10"/>
      <c r="W1275" s="138"/>
      <c r="Y1275"/>
      <c r="Z1275"/>
      <c r="AA1275"/>
      <c r="AB1275"/>
      <c r="AC1275"/>
      <c r="AD1275"/>
      <c r="AE1275"/>
      <c r="AF1275"/>
      <c r="AG1275"/>
      <c r="AH1275"/>
      <c r="AI1275"/>
      <c r="AJ1275"/>
      <c r="AK1275"/>
      <c r="AL1275"/>
      <c r="AM1275"/>
      <c r="AN1275"/>
      <c r="AO1275"/>
    </row>
    <row r="1276" spans="1:41" ht="15">
      <c r="A1276"/>
      <c r="B1276"/>
      <c r="C1276" s="137"/>
      <c r="D1276" s="30"/>
      <c r="E1276" s="30"/>
      <c r="F1276" s="10"/>
      <c r="G1276" s="10"/>
      <c r="H1276" s="15"/>
      <c r="I1276" s="15"/>
      <c r="J1276" s="15"/>
      <c r="K1276" s="15"/>
      <c r="L1276" s="15"/>
      <c r="M1276" s="15"/>
      <c r="N1276" s="15"/>
      <c r="O1276" s="15"/>
      <c r="P1276" s="15"/>
      <c r="Q1276" s="71"/>
      <c r="R1276" s="84"/>
      <c r="S1276" s="10"/>
      <c r="T1276" s="10"/>
      <c r="U1276" s="10"/>
      <c r="V1276" s="10"/>
      <c r="W1276" s="138"/>
      <c r="Y1276"/>
      <c r="Z1276"/>
      <c r="AA1276"/>
      <c r="AB1276"/>
      <c r="AC1276"/>
      <c r="AD1276"/>
      <c r="AE1276"/>
      <c r="AF1276"/>
      <c r="AG1276"/>
      <c r="AH1276"/>
      <c r="AI1276"/>
      <c r="AJ1276"/>
      <c r="AK1276"/>
      <c r="AL1276"/>
      <c r="AM1276"/>
      <c r="AN1276"/>
      <c r="AO1276"/>
    </row>
    <row r="1277" spans="1:41" ht="15">
      <c r="A1277"/>
      <c r="B1277"/>
      <c r="C1277" s="137"/>
      <c r="D1277" s="30"/>
      <c r="E1277" s="30"/>
      <c r="F1277" s="10"/>
      <c r="G1277" s="10"/>
      <c r="H1277" s="15"/>
      <c r="I1277" s="15"/>
      <c r="J1277" s="15"/>
      <c r="K1277" s="15"/>
      <c r="L1277" s="15"/>
      <c r="M1277" s="15"/>
      <c r="N1277" s="15"/>
      <c r="O1277" s="15"/>
      <c r="P1277" s="15"/>
      <c r="Q1277" s="71"/>
      <c r="R1277" s="84"/>
      <c r="S1277" s="10"/>
      <c r="T1277" s="10"/>
      <c r="U1277" s="10"/>
      <c r="V1277" s="10"/>
      <c r="W1277" s="138"/>
      <c r="Y1277"/>
      <c r="Z1277"/>
      <c r="AA1277"/>
      <c r="AB1277"/>
      <c r="AC1277"/>
      <c r="AD1277"/>
      <c r="AE1277"/>
      <c r="AF1277"/>
      <c r="AG1277"/>
      <c r="AH1277"/>
      <c r="AI1277"/>
      <c r="AJ1277"/>
      <c r="AK1277"/>
      <c r="AL1277"/>
      <c r="AM1277"/>
      <c r="AN1277"/>
      <c r="AO1277"/>
    </row>
    <row r="1278" spans="1:41" ht="15">
      <c r="A1278"/>
      <c r="B1278"/>
      <c r="C1278" s="137"/>
      <c r="D1278" s="30"/>
      <c r="E1278" s="30"/>
      <c r="F1278" s="10"/>
      <c r="G1278" s="10"/>
      <c r="H1278" s="15"/>
      <c r="I1278" s="15"/>
      <c r="J1278" s="15"/>
      <c r="K1278" s="15"/>
      <c r="L1278" s="15"/>
      <c r="M1278" s="15"/>
      <c r="N1278" s="15"/>
      <c r="O1278" s="15"/>
      <c r="P1278" s="15"/>
      <c r="Q1278" s="71"/>
      <c r="R1278" s="84"/>
      <c r="S1278" s="10"/>
      <c r="T1278" s="10"/>
      <c r="U1278" s="10"/>
      <c r="V1278" s="10"/>
      <c r="W1278" s="138"/>
      <c r="Y1278"/>
      <c r="Z1278"/>
      <c r="AA1278"/>
      <c r="AB1278"/>
      <c r="AC1278"/>
      <c r="AD1278"/>
      <c r="AE1278"/>
      <c r="AF1278"/>
      <c r="AG1278"/>
      <c r="AH1278"/>
      <c r="AI1278"/>
      <c r="AJ1278"/>
      <c r="AK1278"/>
      <c r="AL1278"/>
      <c r="AM1278"/>
      <c r="AN1278"/>
      <c r="AO1278"/>
    </row>
    <row r="1279" spans="1:41" ht="15">
      <c r="A1279"/>
      <c r="B1279"/>
      <c r="C1279" s="137"/>
      <c r="D1279" s="30"/>
      <c r="E1279" s="30"/>
      <c r="F1279" s="10"/>
      <c r="G1279" s="10"/>
      <c r="H1279" s="15"/>
      <c r="I1279" s="15"/>
      <c r="J1279" s="15"/>
      <c r="K1279" s="15"/>
      <c r="L1279" s="15"/>
      <c r="M1279" s="15"/>
      <c r="N1279" s="15"/>
      <c r="O1279" s="15"/>
      <c r="P1279" s="15"/>
      <c r="Q1279" s="71"/>
      <c r="R1279" s="84"/>
      <c r="S1279" s="10"/>
      <c r="T1279" s="10"/>
      <c r="U1279" s="10"/>
      <c r="V1279" s="10"/>
      <c r="W1279" s="138"/>
      <c r="Y1279"/>
      <c r="Z1279"/>
      <c r="AA1279"/>
      <c r="AB1279"/>
      <c r="AC1279"/>
      <c r="AD1279"/>
      <c r="AE1279"/>
      <c r="AF1279"/>
      <c r="AG1279"/>
      <c r="AH1279"/>
      <c r="AI1279"/>
      <c r="AJ1279"/>
      <c r="AK1279"/>
      <c r="AL1279"/>
      <c r="AM1279"/>
      <c r="AN1279"/>
      <c r="AO1279"/>
    </row>
    <row r="1280" spans="1:41" ht="15">
      <c r="A1280"/>
      <c r="B1280"/>
      <c r="C1280" s="137"/>
      <c r="D1280" s="30"/>
      <c r="E1280" s="30"/>
      <c r="F1280" s="10"/>
      <c r="G1280" s="10"/>
      <c r="H1280" s="15"/>
      <c r="I1280" s="15"/>
      <c r="J1280" s="15"/>
      <c r="K1280" s="15"/>
      <c r="L1280" s="15"/>
      <c r="M1280" s="15"/>
      <c r="N1280" s="15"/>
      <c r="O1280" s="15"/>
      <c r="P1280" s="15"/>
      <c r="Q1280" s="71"/>
      <c r="R1280" s="84"/>
      <c r="S1280" s="10"/>
      <c r="T1280" s="10"/>
      <c r="U1280" s="10"/>
      <c r="V1280" s="10"/>
      <c r="W1280" s="138"/>
      <c r="Y1280"/>
      <c r="Z1280"/>
      <c r="AA1280"/>
      <c r="AB1280"/>
      <c r="AC1280"/>
      <c r="AD1280"/>
      <c r="AE1280"/>
      <c r="AF1280"/>
      <c r="AG1280"/>
      <c r="AH1280"/>
      <c r="AI1280"/>
      <c r="AJ1280"/>
      <c r="AK1280"/>
      <c r="AL1280"/>
      <c r="AM1280"/>
      <c r="AN1280"/>
      <c r="AO1280"/>
    </row>
    <row r="1281" spans="1:41" ht="15">
      <c r="A1281"/>
      <c r="B1281"/>
      <c r="C1281" s="137"/>
      <c r="D1281" s="30"/>
      <c r="E1281" s="30"/>
      <c r="F1281" s="10"/>
      <c r="G1281" s="10"/>
      <c r="H1281" s="15"/>
      <c r="I1281" s="15"/>
      <c r="J1281" s="15"/>
      <c r="K1281" s="15"/>
      <c r="L1281" s="15"/>
      <c r="M1281" s="15"/>
      <c r="N1281" s="15"/>
      <c r="O1281" s="15"/>
      <c r="P1281" s="15"/>
      <c r="Q1281" s="71"/>
      <c r="R1281" s="84"/>
      <c r="S1281" s="10"/>
      <c r="T1281" s="10"/>
      <c r="U1281" s="10"/>
      <c r="V1281" s="10"/>
      <c r="W1281" s="138"/>
      <c r="Y1281"/>
      <c r="Z1281"/>
      <c r="AA1281"/>
      <c r="AB1281"/>
      <c r="AC1281"/>
      <c r="AD1281"/>
      <c r="AE1281"/>
      <c r="AF1281"/>
      <c r="AG1281"/>
      <c r="AH1281"/>
      <c r="AI1281"/>
      <c r="AJ1281"/>
      <c r="AK1281"/>
      <c r="AL1281"/>
      <c r="AM1281"/>
      <c r="AN1281"/>
      <c r="AO1281"/>
    </row>
    <row r="1282" spans="1:41" ht="15">
      <c r="A1282"/>
      <c r="B1282"/>
      <c r="C1282" s="137"/>
      <c r="D1282" s="30"/>
      <c r="E1282" s="30"/>
      <c r="F1282" s="10"/>
      <c r="G1282" s="10"/>
      <c r="H1282" s="15"/>
      <c r="I1282" s="15"/>
      <c r="J1282" s="15"/>
      <c r="K1282" s="15"/>
      <c r="L1282" s="15"/>
      <c r="M1282" s="15"/>
      <c r="N1282" s="15"/>
      <c r="O1282" s="15"/>
      <c r="P1282" s="15"/>
      <c r="Q1282" s="71"/>
      <c r="R1282" s="84"/>
      <c r="S1282" s="10"/>
      <c r="T1282" s="10"/>
      <c r="U1282" s="10"/>
      <c r="V1282" s="10"/>
      <c r="W1282" s="138"/>
      <c r="Y1282"/>
      <c r="Z1282"/>
      <c r="AA1282"/>
      <c r="AB1282"/>
      <c r="AC1282"/>
      <c r="AD1282"/>
      <c r="AE1282"/>
      <c r="AF1282"/>
      <c r="AG1282"/>
      <c r="AH1282"/>
      <c r="AI1282"/>
      <c r="AJ1282"/>
      <c r="AK1282"/>
      <c r="AL1282"/>
      <c r="AM1282"/>
      <c r="AN1282"/>
      <c r="AO1282"/>
    </row>
    <row r="1283" spans="1:41" ht="15">
      <c r="A1283"/>
      <c r="B1283"/>
      <c r="C1283" s="137"/>
      <c r="D1283" s="30"/>
      <c r="E1283" s="30"/>
      <c r="F1283" s="10"/>
      <c r="G1283" s="10"/>
      <c r="H1283" s="15"/>
      <c r="I1283" s="15"/>
      <c r="J1283" s="15"/>
      <c r="K1283" s="15"/>
      <c r="L1283" s="15"/>
      <c r="M1283" s="15"/>
      <c r="N1283" s="15"/>
      <c r="O1283" s="15"/>
      <c r="P1283" s="15"/>
      <c r="Q1283" s="71"/>
      <c r="R1283" s="84"/>
      <c r="S1283" s="10"/>
      <c r="T1283" s="10"/>
      <c r="U1283" s="10"/>
      <c r="V1283" s="10"/>
      <c r="W1283" s="138"/>
      <c r="Y1283"/>
      <c r="Z1283"/>
      <c r="AA1283"/>
      <c r="AB1283"/>
      <c r="AC1283"/>
      <c r="AD1283"/>
      <c r="AE1283"/>
      <c r="AF1283"/>
      <c r="AG1283"/>
      <c r="AH1283"/>
      <c r="AI1283"/>
      <c r="AJ1283"/>
      <c r="AK1283"/>
      <c r="AL1283"/>
      <c r="AM1283"/>
      <c r="AN1283"/>
      <c r="AO1283"/>
    </row>
    <row r="1284" spans="1:41" ht="15">
      <c r="A1284"/>
      <c r="B1284"/>
      <c r="C1284" s="137"/>
      <c r="D1284" s="30"/>
      <c r="E1284" s="30"/>
      <c r="F1284" s="10"/>
      <c r="G1284" s="10"/>
      <c r="H1284" s="15"/>
      <c r="I1284" s="15"/>
      <c r="J1284" s="15"/>
      <c r="K1284" s="15"/>
      <c r="L1284" s="15"/>
      <c r="M1284" s="15"/>
      <c r="N1284" s="15"/>
      <c r="O1284" s="15"/>
      <c r="P1284" s="15"/>
      <c r="Q1284" s="71"/>
      <c r="R1284" s="84"/>
      <c r="S1284" s="10"/>
      <c r="T1284" s="10"/>
      <c r="U1284" s="10"/>
      <c r="V1284" s="10"/>
      <c r="W1284" s="138"/>
      <c r="Y1284"/>
      <c r="Z1284"/>
      <c r="AA1284"/>
      <c r="AB1284"/>
      <c r="AC1284"/>
      <c r="AD1284"/>
      <c r="AE1284"/>
      <c r="AF1284"/>
      <c r="AG1284"/>
      <c r="AH1284"/>
      <c r="AI1284"/>
      <c r="AJ1284"/>
      <c r="AK1284"/>
      <c r="AL1284"/>
      <c r="AM1284"/>
      <c r="AN1284"/>
      <c r="AO1284"/>
    </row>
    <row r="1285" spans="1:41" ht="15">
      <c r="A1285"/>
      <c r="B1285"/>
      <c r="C1285" s="137"/>
      <c r="D1285" s="30"/>
      <c r="E1285" s="30"/>
      <c r="F1285" s="10"/>
      <c r="G1285" s="10"/>
      <c r="H1285" s="15"/>
      <c r="I1285" s="15"/>
      <c r="J1285" s="15"/>
      <c r="K1285" s="15"/>
      <c r="L1285" s="15"/>
      <c r="M1285" s="15"/>
      <c r="N1285" s="15"/>
      <c r="O1285" s="15"/>
      <c r="P1285" s="15"/>
      <c r="Q1285" s="71"/>
      <c r="R1285" s="84"/>
      <c r="S1285" s="10"/>
      <c r="T1285" s="10"/>
      <c r="U1285" s="10"/>
      <c r="V1285" s="10"/>
      <c r="W1285" s="138"/>
      <c r="Y1285"/>
      <c r="Z1285"/>
      <c r="AA1285"/>
      <c r="AB1285"/>
      <c r="AC1285"/>
      <c r="AD1285"/>
      <c r="AE1285"/>
      <c r="AF1285"/>
      <c r="AG1285"/>
      <c r="AH1285"/>
      <c r="AI1285"/>
      <c r="AJ1285"/>
      <c r="AK1285"/>
      <c r="AL1285"/>
      <c r="AM1285"/>
      <c r="AN1285"/>
      <c r="AO1285"/>
    </row>
    <row r="1286" spans="1:41" ht="15">
      <c r="A1286"/>
      <c r="B1286"/>
      <c r="C1286" s="137"/>
      <c r="D1286" s="30"/>
      <c r="E1286" s="30"/>
      <c r="F1286" s="10"/>
      <c r="G1286" s="10"/>
      <c r="H1286" s="15"/>
      <c r="I1286" s="15"/>
      <c r="J1286" s="15"/>
      <c r="K1286" s="15"/>
      <c r="L1286" s="15"/>
      <c r="M1286" s="15"/>
      <c r="N1286" s="15"/>
      <c r="O1286" s="15"/>
      <c r="P1286" s="15"/>
      <c r="Q1286" s="71"/>
      <c r="R1286" s="84"/>
      <c r="S1286" s="10"/>
      <c r="T1286" s="10"/>
      <c r="U1286" s="10"/>
      <c r="V1286" s="10"/>
      <c r="W1286" s="138"/>
      <c r="Y1286"/>
      <c r="Z1286"/>
      <c r="AA1286"/>
      <c r="AB1286"/>
      <c r="AC1286"/>
      <c r="AD1286"/>
      <c r="AE1286"/>
      <c r="AF1286"/>
      <c r="AG1286"/>
      <c r="AH1286"/>
      <c r="AI1286"/>
      <c r="AJ1286"/>
      <c r="AK1286"/>
      <c r="AL1286"/>
      <c r="AM1286"/>
      <c r="AN1286"/>
      <c r="AO1286"/>
    </row>
    <row r="1287" spans="1:41" ht="15">
      <c r="A1287"/>
      <c r="B1287"/>
      <c r="C1287" s="137"/>
      <c r="D1287" s="30"/>
      <c r="E1287" s="30"/>
      <c r="F1287" s="10"/>
      <c r="G1287" s="10"/>
      <c r="H1287" s="15"/>
      <c r="I1287" s="15"/>
      <c r="J1287" s="15"/>
      <c r="K1287" s="15"/>
      <c r="L1287" s="15"/>
      <c r="M1287" s="15"/>
      <c r="N1287" s="15"/>
      <c r="O1287" s="15"/>
      <c r="P1287" s="15"/>
      <c r="Q1287" s="71"/>
      <c r="R1287" s="84"/>
      <c r="S1287" s="10"/>
      <c r="T1287" s="10"/>
      <c r="U1287" s="10"/>
      <c r="V1287" s="10"/>
      <c r="W1287" s="138"/>
      <c r="Y1287"/>
      <c r="Z1287"/>
      <c r="AA1287"/>
      <c r="AB1287"/>
      <c r="AC1287"/>
      <c r="AD1287"/>
      <c r="AE1287"/>
      <c r="AF1287"/>
      <c r="AG1287"/>
      <c r="AH1287"/>
      <c r="AI1287"/>
      <c r="AJ1287"/>
      <c r="AK1287"/>
      <c r="AL1287"/>
      <c r="AM1287"/>
      <c r="AN1287"/>
      <c r="AO1287"/>
    </row>
    <row r="1288" spans="1:41" ht="15">
      <c r="A1288"/>
      <c r="B1288"/>
      <c r="C1288" s="137"/>
      <c r="D1288" s="30"/>
      <c r="E1288" s="30"/>
      <c r="F1288" s="10"/>
      <c r="G1288" s="10"/>
      <c r="H1288" s="15"/>
      <c r="I1288" s="15"/>
      <c r="J1288" s="15"/>
      <c r="K1288" s="15"/>
      <c r="L1288" s="15"/>
      <c r="M1288" s="15"/>
      <c r="N1288" s="15"/>
      <c r="O1288" s="15"/>
      <c r="P1288" s="15"/>
      <c r="Q1288" s="71"/>
      <c r="R1288" s="84"/>
      <c r="S1288" s="10"/>
      <c r="T1288" s="10"/>
      <c r="U1288" s="10"/>
      <c r="V1288" s="10"/>
      <c r="W1288" s="138"/>
      <c r="Y1288"/>
      <c r="Z1288"/>
      <c r="AA1288"/>
      <c r="AB1288"/>
      <c r="AC1288"/>
      <c r="AD1288"/>
      <c r="AE1288"/>
      <c r="AF1288"/>
      <c r="AG1288"/>
      <c r="AH1288"/>
      <c r="AI1288"/>
      <c r="AJ1288"/>
      <c r="AK1288"/>
      <c r="AL1288"/>
      <c r="AM1288"/>
      <c r="AN1288"/>
      <c r="AO1288"/>
    </row>
    <row r="1289" spans="1:41" ht="15">
      <c r="A1289"/>
      <c r="B1289"/>
      <c r="C1289" s="137"/>
      <c r="D1289" s="30"/>
      <c r="E1289" s="30"/>
      <c r="F1289" s="10"/>
      <c r="G1289" s="10"/>
      <c r="H1289" s="15"/>
      <c r="I1289" s="15"/>
      <c r="J1289" s="15"/>
      <c r="K1289" s="15"/>
      <c r="L1289" s="15"/>
      <c r="M1289" s="15"/>
      <c r="N1289" s="15"/>
      <c r="O1289" s="15"/>
      <c r="P1289" s="15"/>
      <c r="Q1289" s="71"/>
      <c r="R1289" s="84"/>
      <c r="S1289" s="10"/>
      <c r="T1289" s="10"/>
      <c r="U1289" s="10"/>
      <c r="V1289" s="10"/>
      <c r="W1289" s="138"/>
      <c r="Y1289"/>
      <c r="Z1289"/>
      <c r="AA1289"/>
      <c r="AB1289"/>
      <c r="AC1289"/>
      <c r="AD1289"/>
      <c r="AE1289"/>
      <c r="AF1289"/>
      <c r="AG1289"/>
      <c r="AH1289"/>
      <c r="AI1289"/>
      <c r="AJ1289"/>
      <c r="AK1289"/>
      <c r="AL1289"/>
      <c r="AM1289"/>
      <c r="AN1289"/>
      <c r="AO1289"/>
    </row>
    <row r="1290" spans="1:41" ht="15">
      <c r="A1290"/>
      <c r="B1290"/>
      <c r="C1290" s="137"/>
      <c r="D1290" s="30"/>
      <c r="E1290" s="30"/>
      <c r="F1290" s="10"/>
      <c r="G1290" s="10"/>
      <c r="H1290" s="15"/>
      <c r="I1290" s="15"/>
      <c r="J1290" s="15"/>
      <c r="K1290" s="15"/>
      <c r="L1290" s="15"/>
      <c r="M1290" s="15"/>
      <c r="N1290" s="15"/>
      <c r="O1290" s="15"/>
      <c r="P1290" s="15"/>
      <c r="Q1290" s="71"/>
      <c r="R1290" s="84"/>
      <c r="S1290" s="10"/>
      <c r="T1290" s="10"/>
      <c r="U1290" s="10"/>
      <c r="V1290" s="10"/>
      <c r="W1290" s="138"/>
      <c r="Y1290"/>
      <c r="Z1290"/>
      <c r="AA1290"/>
      <c r="AB1290"/>
      <c r="AC1290"/>
      <c r="AD1290"/>
      <c r="AE1290"/>
      <c r="AF1290"/>
      <c r="AG1290"/>
      <c r="AH1290"/>
      <c r="AI1290"/>
      <c r="AJ1290"/>
      <c r="AK1290"/>
      <c r="AL1290"/>
      <c r="AM1290"/>
      <c r="AN1290"/>
      <c r="AO1290"/>
    </row>
    <row r="1291" spans="1:41" ht="15">
      <c r="A1291"/>
      <c r="B1291"/>
      <c r="C1291" s="137"/>
      <c r="D1291" s="30"/>
      <c r="E1291" s="30"/>
      <c r="F1291" s="10"/>
      <c r="G1291" s="10"/>
      <c r="H1291" s="15"/>
      <c r="I1291" s="15"/>
      <c r="J1291" s="15"/>
      <c r="K1291" s="15"/>
      <c r="L1291" s="15"/>
      <c r="M1291" s="15"/>
      <c r="N1291" s="15"/>
      <c r="O1291" s="15"/>
      <c r="P1291" s="15"/>
      <c r="Q1291" s="71"/>
      <c r="R1291" s="84"/>
      <c r="S1291" s="10"/>
      <c r="T1291" s="10"/>
      <c r="U1291" s="10"/>
      <c r="V1291" s="10"/>
      <c r="W1291" s="138"/>
      <c r="Y1291"/>
      <c r="Z1291"/>
      <c r="AA1291"/>
      <c r="AB1291"/>
      <c r="AC1291"/>
      <c r="AD1291"/>
      <c r="AE1291"/>
      <c r="AF1291"/>
      <c r="AG1291"/>
      <c r="AH1291"/>
      <c r="AI1291"/>
      <c r="AJ1291"/>
      <c r="AK1291"/>
      <c r="AL1291"/>
      <c r="AM1291"/>
      <c r="AN1291"/>
      <c r="AO1291"/>
    </row>
    <row r="1292" spans="1:41" ht="15">
      <c r="A1292"/>
      <c r="B1292"/>
      <c r="C1292" s="137"/>
      <c r="D1292" s="30"/>
      <c r="E1292" s="30"/>
      <c r="F1292" s="10"/>
      <c r="G1292" s="10"/>
      <c r="H1292" s="15"/>
      <c r="I1292" s="15"/>
      <c r="J1292" s="15"/>
      <c r="K1292" s="15"/>
      <c r="L1292" s="15"/>
      <c r="M1292" s="15"/>
      <c r="N1292" s="15"/>
      <c r="O1292" s="15"/>
      <c r="P1292" s="15"/>
      <c r="Q1292" s="71"/>
      <c r="R1292" s="84"/>
      <c r="S1292" s="10"/>
      <c r="T1292" s="10"/>
      <c r="U1292" s="10"/>
      <c r="V1292" s="10"/>
      <c r="W1292" s="138"/>
      <c r="Y1292"/>
      <c r="Z1292"/>
      <c r="AA1292"/>
      <c r="AB1292"/>
      <c r="AC1292"/>
      <c r="AD1292"/>
      <c r="AE1292"/>
      <c r="AF1292"/>
      <c r="AG1292"/>
      <c r="AH1292"/>
      <c r="AI1292"/>
      <c r="AJ1292"/>
      <c r="AK1292"/>
      <c r="AL1292"/>
      <c r="AM1292"/>
      <c r="AN1292"/>
      <c r="AO1292"/>
    </row>
    <row r="1293" spans="1:41" ht="15">
      <c r="A1293"/>
      <c r="B1293"/>
      <c r="C1293" s="137"/>
      <c r="D1293" s="30"/>
      <c r="E1293" s="30"/>
      <c r="F1293" s="10"/>
      <c r="G1293" s="10"/>
      <c r="H1293" s="15"/>
      <c r="I1293" s="15"/>
      <c r="J1293" s="15"/>
      <c r="K1293" s="15"/>
      <c r="L1293" s="15"/>
      <c r="M1293" s="15"/>
      <c r="N1293" s="15"/>
      <c r="O1293" s="15"/>
      <c r="P1293" s="15"/>
      <c r="Q1293" s="71"/>
      <c r="R1293" s="84"/>
      <c r="S1293" s="10"/>
      <c r="T1293" s="10"/>
      <c r="U1293" s="10"/>
      <c r="V1293" s="10"/>
      <c r="W1293" s="138"/>
      <c r="Y1293"/>
      <c r="Z1293"/>
      <c r="AA1293"/>
      <c r="AB1293"/>
      <c r="AC1293"/>
      <c r="AD1293"/>
      <c r="AE1293"/>
      <c r="AF1293"/>
      <c r="AG1293"/>
      <c r="AH1293"/>
      <c r="AI1293"/>
      <c r="AJ1293"/>
      <c r="AK1293"/>
      <c r="AL1293"/>
      <c r="AM1293"/>
      <c r="AN1293"/>
      <c r="AO1293"/>
    </row>
    <row r="1294" spans="1:41" ht="15">
      <c r="A1294"/>
      <c r="B1294"/>
      <c r="C1294" s="137"/>
      <c r="D1294" s="30"/>
      <c r="E1294" s="30"/>
      <c r="F1294" s="10"/>
      <c r="G1294" s="10"/>
      <c r="H1294" s="15"/>
      <c r="I1294" s="15"/>
      <c r="J1294" s="15"/>
      <c r="K1294" s="15"/>
      <c r="L1294" s="15"/>
      <c r="M1294" s="15"/>
      <c r="N1294" s="15"/>
      <c r="O1294" s="15"/>
      <c r="P1294" s="15"/>
      <c r="Q1294" s="71"/>
      <c r="R1294" s="84"/>
      <c r="S1294" s="10"/>
      <c r="T1294" s="10"/>
      <c r="U1294" s="10"/>
      <c r="V1294" s="10"/>
      <c r="W1294" s="138"/>
      <c r="Y1294"/>
      <c r="Z1294"/>
      <c r="AA1294"/>
      <c r="AB1294"/>
      <c r="AC1294"/>
      <c r="AD1294"/>
      <c r="AE1294"/>
      <c r="AF1294"/>
      <c r="AG1294"/>
      <c r="AH1294"/>
      <c r="AI1294"/>
      <c r="AJ1294"/>
      <c r="AK1294"/>
      <c r="AL1294"/>
      <c r="AM1294"/>
      <c r="AN1294"/>
      <c r="AO1294"/>
    </row>
    <row r="1295" spans="1:41" ht="15">
      <c r="A1295"/>
      <c r="B1295"/>
      <c r="C1295" s="137"/>
      <c r="D1295" s="30"/>
      <c r="E1295" s="30"/>
      <c r="F1295" s="10"/>
      <c r="G1295" s="10"/>
      <c r="H1295" s="15"/>
      <c r="I1295" s="15"/>
      <c r="J1295" s="15"/>
      <c r="K1295" s="15"/>
      <c r="L1295" s="15"/>
      <c r="M1295" s="15"/>
      <c r="N1295" s="15"/>
      <c r="O1295" s="15"/>
      <c r="P1295" s="15"/>
      <c r="Q1295" s="71"/>
      <c r="R1295" s="84"/>
      <c r="S1295" s="10"/>
      <c r="T1295" s="10"/>
      <c r="U1295" s="10"/>
      <c r="V1295" s="10"/>
      <c r="W1295" s="138"/>
      <c r="Y1295"/>
      <c r="Z1295"/>
      <c r="AA1295"/>
      <c r="AB1295"/>
      <c r="AC1295"/>
      <c r="AD1295"/>
      <c r="AE1295"/>
      <c r="AF1295"/>
      <c r="AG1295"/>
      <c r="AH1295"/>
      <c r="AI1295"/>
      <c r="AJ1295"/>
      <c r="AK1295"/>
      <c r="AL1295"/>
      <c r="AM1295"/>
      <c r="AN1295"/>
      <c r="AO1295"/>
    </row>
    <row r="1296" spans="1:41" ht="15">
      <c r="A1296"/>
      <c r="B1296"/>
      <c r="C1296" s="137"/>
      <c r="D1296" s="30"/>
      <c r="E1296" s="30"/>
      <c r="F1296" s="10"/>
      <c r="G1296" s="10"/>
      <c r="H1296" s="15"/>
      <c r="I1296" s="15"/>
      <c r="J1296" s="15"/>
      <c r="K1296" s="15"/>
      <c r="L1296" s="15"/>
      <c r="M1296" s="15"/>
      <c r="N1296" s="15"/>
      <c r="O1296" s="15"/>
      <c r="P1296" s="15"/>
      <c r="Q1296" s="71"/>
      <c r="R1296" s="84"/>
      <c r="S1296" s="10"/>
      <c r="T1296" s="10"/>
      <c r="U1296" s="10"/>
      <c r="V1296" s="10"/>
      <c r="W1296" s="138"/>
      <c r="Y1296"/>
      <c r="Z1296"/>
      <c r="AA1296"/>
      <c r="AB1296"/>
      <c r="AC1296"/>
      <c r="AD1296"/>
      <c r="AE1296"/>
      <c r="AF1296"/>
      <c r="AG1296"/>
      <c r="AH1296"/>
      <c r="AI1296"/>
      <c r="AJ1296"/>
      <c r="AK1296"/>
      <c r="AL1296"/>
      <c r="AM1296"/>
      <c r="AN1296"/>
      <c r="AO1296"/>
    </row>
    <row r="1297" spans="1:41" ht="15">
      <c r="A1297"/>
      <c r="B1297"/>
      <c r="C1297" s="137"/>
      <c r="D1297" s="30"/>
      <c r="E1297" s="30"/>
      <c r="F1297" s="10"/>
      <c r="G1297" s="10"/>
      <c r="H1297" s="15"/>
      <c r="I1297" s="15"/>
      <c r="J1297" s="15"/>
      <c r="K1297" s="15"/>
      <c r="L1297" s="15"/>
      <c r="M1297" s="15"/>
      <c r="N1297" s="15"/>
      <c r="O1297" s="15"/>
      <c r="P1297" s="15"/>
      <c r="Q1297" s="71"/>
      <c r="R1297" s="84"/>
      <c r="S1297" s="10"/>
      <c r="T1297" s="10"/>
      <c r="U1297" s="10"/>
      <c r="V1297" s="10"/>
      <c r="W1297" s="138"/>
      <c r="Y1297"/>
      <c r="Z1297"/>
      <c r="AA1297"/>
      <c r="AB1297"/>
      <c r="AC1297"/>
      <c r="AD1297"/>
      <c r="AE1297"/>
      <c r="AF1297"/>
      <c r="AG1297"/>
      <c r="AH1297"/>
      <c r="AI1297"/>
      <c r="AJ1297"/>
      <c r="AK1297"/>
      <c r="AL1297"/>
      <c r="AM1297"/>
      <c r="AN1297"/>
      <c r="AO1297"/>
    </row>
    <row r="1298" spans="1:41" ht="15">
      <c r="A1298"/>
      <c r="B1298"/>
      <c r="C1298" s="137"/>
      <c r="D1298" s="30"/>
      <c r="E1298" s="30"/>
      <c r="F1298" s="10"/>
      <c r="G1298" s="10"/>
      <c r="H1298" s="15"/>
      <c r="I1298" s="15"/>
      <c r="J1298" s="15"/>
      <c r="K1298" s="15"/>
      <c r="L1298" s="15"/>
      <c r="M1298" s="15"/>
      <c r="N1298" s="15"/>
      <c r="O1298" s="15"/>
      <c r="P1298" s="15"/>
      <c r="Q1298" s="71"/>
      <c r="R1298" s="84"/>
      <c r="S1298" s="10"/>
      <c r="T1298" s="10"/>
      <c r="U1298" s="10"/>
      <c r="V1298" s="10"/>
      <c r="W1298" s="138"/>
      <c r="Y1298"/>
      <c r="Z1298"/>
      <c r="AA1298"/>
      <c r="AB1298"/>
      <c r="AC1298"/>
      <c r="AD1298"/>
      <c r="AE1298"/>
      <c r="AF1298"/>
      <c r="AG1298"/>
      <c r="AH1298"/>
      <c r="AI1298"/>
      <c r="AJ1298"/>
      <c r="AK1298"/>
      <c r="AL1298"/>
      <c r="AM1298"/>
      <c r="AN1298"/>
      <c r="AO1298"/>
    </row>
    <row r="1299" spans="1:41" ht="15">
      <c r="A1299"/>
      <c r="B1299"/>
      <c r="C1299" s="137"/>
      <c r="D1299" s="30"/>
      <c r="E1299" s="30"/>
      <c r="F1299" s="10"/>
      <c r="G1299" s="10"/>
      <c r="H1299" s="15"/>
      <c r="I1299" s="15"/>
      <c r="J1299" s="15"/>
      <c r="K1299" s="15"/>
      <c r="L1299" s="15"/>
      <c r="M1299" s="15"/>
      <c r="N1299" s="15"/>
      <c r="O1299" s="15"/>
      <c r="P1299" s="15"/>
      <c r="Q1299" s="71"/>
      <c r="R1299" s="84"/>
      <c r="S1299" s="10"/>
      <c r="T1299" s="10"/>
      <c r="U1299" s="10"/>
      <c r="V1299" s="10"/>
      <c r="W1299" s="138"/>
      <c r="Y1299"/>
      <c r="Z1299"/>
      <c r="AA1299"/>
      <c r="AB1299"/>
      <c r="AC1299"/>
      <c r="AD1299"/>
      <c r="AE1299"/>
      <c r="AF1299"/>
      <c r="AG1299"/>
      <c r="AH1299"/>
      <c r="AI1299"/>
      <c r="AJ1299"/>
      <c r="AK1299"/>
      <c r="AL1299"/>
      <c r="AM1299"/>
      <c r="AN1299"/>
      <c r="AO1299"/>
    </row>
    <row r="1300" spans="1:41" ht="15">
      <c r="A1300"/>
      <c r="B1300"/>
      <c r="C1300" s="137"/>
      <c r="D1300" s="30"/>
      <c r="E1300" s="30"/>
      <c r="F1300" s="10"/>
      <c r="G1300" s="10"/>
      <c r="H1300" s="15"/>
      <c r="I1300" s="15"/>
      <c r="J1300" s="15"/>
      <c r="K1300" s="15"/>
      <c r="L1300" s="15"/>
      <c r="M1300" s="15"/>
      <c r="N1300" s="15"/>
      <c r="O1300" s="15"/>
      <c r="P1300" s="15"/>
      <c r="Q1300" s="71"/>
      <c r="R1300" s="84"/>
      <c r="S1300" s="10"/>
      <c r="T1300" s="10"/>
      <c r="U1300" s="10"/>
      <c r="V1300" s="10"/>
      <c r="W1300" s="138"/>
      <c r="Y1300"/>
      <c r="Z1300"/>
      <c r="AA1300"/>
      <c r="AB1300"/>
      <c r="AC1300"/>
      <c r="AD1300"/>
      <c r="AE1300"/>
      <c r="AF1300"/>
      <c r="AG1300"/>
      <c r="AH1300"/>
      <c r="AI1300"/>
      <c r="AJ1300"/>
      <c r="AK1300"/>
      <c r="AL1300"/>
      <c r="AM1300"/>
      <c r="AN1300"/>
      <c r="AO1300"/>
    </row>
    <row r="1301" spans="1:41" ht="15">
      <c r="A1301"/>
      <c r="B1301"/>
      <c r="C1301" s="137"/>
      <c r="D1301" s="30"/>
      <c r="E1301" s="30"/>
      <c r="F1301" s="10"/>
      <c r="G1301" s="10"/>
      <c r="H1301" s="15"/>
      <c r="I1301" s="15"/>
      <c r="J1301" s="15"/>
      <c r="K1301" s="15"/>
      <c r="L1301" s="15"/>
      <c r="M1301" s="15"/>
      <c r="N1301" s="15"/>
      <c r="O1301" s="15"/>
      <c r="P1301" s="15"/>
      <c r="Q1301" s="71"/>
      <c r="R1301" s="84"/>
      <c r="S1301" s="10"/>
      <c r="T1301" s="10"/>
      <c r="U1301" s="10"/>
      <c r="V1301" s="10"/>
      <c r="W1301" s="138"/>
      <c r="Y1301"/>
      <c r="Z1301"/>
      <c r="AA1301"/>
      <c r="AB1301"/>
      <c r="AC1301"/>
      <c r="AD1301"/>
      <c r="AE1301"/>
      <c r="AF1301"/>
      <c r="AG1301"/>
      <c r="AH1301"/>
      <c r="AI1301"/>
      <c r="AJ1301"/>
      <c r="AK1301"/>
      <c r="AL1301"/>
      <c r="AM1301"/>
      <c r="AN1301"/>
      <c r="AO1301"/>
    </row>
    <row r="1302" spans="1:41" ht="15">
      <c r="A1302"/>
      <c r="B1302"/>
      <c r="C1302" s="137"/>
      <c r="D1302" s="30"/>
      <c r="E1302" s="30"/>
      <c r="F1302" s="10"/>
      <c r="G1302" s="10"/>
      <c r="H1302" s="15"/>
      <c r="I1302" s="15"/>
      <c r="J1302" s="15"/>
      <c r="K1302" s="15"/>
      <c r="L1302" s="15"/>
      <c r="M1302" s="15"/>
      <c r="N1302" s="15"/>
      <c r="O1302" s="15"/>
      <c r="P1302" s="15"/>
      <c r="Q1302" s="71"/>
      <c r="R1302" s="84"/>
      <c r="S1302" s="10"/>
      <c r="T1302" s="10"/>
      <c r="U1302" s="10"/>
      <c r="V1302" s="10"/>
      <c r="W1302" s="138"/>
      <c r="Y1302"/>
      <c r="Z1302"/>
      <c r="AA1302"/>
      <c r="AB1302"/>
      <c r="AC1302"/>
      <c r="AD1302"/>
      <c r="AE1302"/>
      <c r="AF1302"/>
      <c r="AG1302"/>
      <c r="AH1302"/>
      <c r="AI1302"/>
      <c r="AJ1302"/>
      <c r="AK1302"/>
      <c r="AL1302"/>
      <c r="AM1302"/>
      <c r="AN1302"/>
      <c r="AO1302"/>
    </row>
    <row r="1303" spans="1:41" ht="15">
      <c r="A1303"/>
      <c r="B1303"/>
      <c r="C1303" s="137"/>
      <c r="D1303" s="30"/>
      <c r="E1303" s="30"/>
      <c r="F1303" s="10"/>
      <c r="G1303" s="10"/>
      <c r="H1303" s="15"/>
      <c r="I1303" s="15"/>
      <c r="J1303" s="15"/>
      <c r="K1303" s="15"/>
      <c r="L1303" s="15"/>
      <c r="M1303" s="15"/>
      <c r="N1303" s="15"/>
      <c r="O1303" s="15"/>
      <c r="P1303" s="15"/>
      <c r="Q1303" s="71"/>
      <c r="R1303" s="84"/>
      <c r="S1303" s="10"/>
      <c r="T1303" s="10"/>
      <c r="U1303" s="10"/>
      <c r="V1303" s="10"/>
      <c r="W1303" s="138"/>
      <c r="Y1303"/>
      <c r="Z1303"/>
      <c r="AA1303"/>
      <c r="AB1303"/>
      <c r="AC1303"/>
      <c r="AD1303"/>
      <c r="AE1303"/>
      <c r="AF1303"/>
      <c r="AG1303"/>
      <c r="AH1303"/>
      <c r="AI1303"/>
      <c r="AJ1303"/>
      <c r="AK1303"/>
      <c r="AL1303"/>
      <c r="AM1303"/>
      <c r="AN1303"/>
      <c r="AO1303"/>
    </row>
    <row r="1304" spans="1:41" ht="15">
      <c r="A1304"/>
      <c r="B1304"/>
      <c r="C1304" s="137"/>
      <c r="D1304" s="30"/>
      <c r="E1304" s="30"/>
      <c r="F1304" s="10"/>
      <c r="G1304" s="10"/>
      <c r="H1304" s="15"/>
      <c r="I1304" s="15"/>
      <c r="J1304" s="15"/>
      <c r="K1304" s="15"/>
      <c r="L1304" s="15"/>
      <c r="M1304" s="15"/>
      <c r="N1304" s="15"/>
      <c r="O1304" s="15"/>
      <c r="P1304" s="15"/>
      <c r="Q1304" s="71"/>
      <c r="R1304" s="84"/>
      <c r="S1304" s="10"/>
      <c r="T1304" s="10"/>
      <c r="U1304" s="10"/>
      <c r="V1304" s="10"/>
      <c r="W1304" s="138"/>
      <c r="Y1304"/>
      <c r="Z1304"/>
      <c r="AA1304"/>
      <c r="AB1304"/>
      <c r="AC1304"/>
      <c r="AD1304"/>
      <c r="AE1304"/>
      <c r="AF1304"/>
      <c r="AG1304"/>
      <c r="AH1304"/>
      <c r="AI1304"/>
      <c r="AJ1304"/>
      <c r="AK1304"/>
      <c r="AL1304"/>
      <c r="AM1304"/>
      <c r="AN1304"/>
      <c r="AO1304"/>
    </row>
    <row r="1305" spans="1:41" ht="15">
      <c r="A1305"/>
      <c r="B1305"/>
      <c r="C1305" s="137"/>
      <c r="D1305" s="30"/>
      <c r="E1305" s="30"/>
      <c r="F1305" s="10"/>
      <c r="G1305" s="10"/>
      <c r="H1305" s="15"/>
      <c r="I1305" s="15"/>
      <c r="J1305" s="15"/>
      <c r="K1305" s="15"/>
      <c r="L1305" s="15"/>
      <c r="M1305" s="15"/>
      <c r="N1305" s="15"/>
      <c r="O1305" s="15"/>
      <c r="P1305" s="15"/>
      <c r="Q1305" s="71"/>
      <c r="R1305" s="84"/>
      <c r="S1305" s="10"/>
      <c r="T1305" s="10"/>
      <c r="U1305" s="10"/>
      <c r="V1305" s="10"/>
      <c r="W1305" s="138"/>
      <c r="Y1305"/>
      <c r="Z1305"/>
      <c r="AA1305"/>
      <c r="AB1305"/>
      <c r="AC1305"/>
      <c r="AD1305"/>
      <c r="AE1305"/>
      <c r="AF1305"/>
      <c r="AG1305"/>
      <c r="AH1305"/>
      <c r="AI1305"/>
      <c r="AJ1305"/>
      <c r="AK1305"/>
      <c r="AL1305"/>
      <c r="AM1305"/>
      <c r="AN1305"/>
      <c r="AO1305"/>
    </row>
    <row r="1306" spans="1:41" ht="15">
      <c r="A1306"/>
      <c r="B1306"/>
      <c r="C1306" s="137"/>
      <c r="D1306" s="30"/>
      <c r="E1306" s="30"/>
      <c r="F1306" s="10"/>
      <c r="G1306" s="10"/>
      <c r="H1306" s="15"/>
      <c r="I1306" s="15"/>
      <c r="J1306" s="15"/>
      <c r="K1306" s="15"/>
      <c r="L1306" s="15"/>
      <c r="M1306" s="15"/>
      <c r="N1306" s="15"/>
      <c r="O1306" s="15"/>
      <c r="P1306" s="15"/>
      <c r="Q1306" s="71"/>
      <c r="R1306" s="84"/>
      <c r="S1306" s="10"/>
      <c r="T1306" s="10"/>
      <c r="U1306" s="10"/>
      <c r="V1306" s="10"/>
      <c r="W1306" s="138"/>
      <c r="Y1306"/>
      <c r="Z1306"/>
      <c r="AA1306"/>
      <c r="AB1306"/>
      <c r="AC1306"/>
      <c r="AD1306"/>
      <c r="AE1306"/>
      <c r="AF1306"/>
      <c r="AG1306"/>
      <c r="AH1306"/>
      <c r="AI1306"/>
      <c r="AJ1306"/>
      <c r="AK1306"/>
      <c r="AL1306"/>
      <c r="AM1306"/>
      <c r="AN1306"/>
      <c r="AO1306"/>
    </row>
    <row r="1307" spans="1:41" ht="15">
      <c r="A1307"/>
      <c r="B1307"/>
      <c r="C1307" s="137"/>
      <c r="D1307" s="30"/>
      <c r="E1307" s="30"/>
      <c r="F1307" s="10"/>
      <c r="G1307" s="10"/>
      <c r="H1307" s="15"/>
      <c r="I1307" s="15"/>
      <c r="J1307" s="15"/>
      <c r="K1307" s="15"/>
      <c r="L1307" s="15"/>
      <c r="M1307" s="15"/>
      <c r="N1307" s="15"/>
      <c r="O1307" s="15"/>
      <c r="P1307" s="15"/>
      <c r="Q1307" s="71"/>
      <c r="R1307" s="84"/>
      <c r="S1307" s="10"/>
      <c r="T1307" s="10"/>
      <c r="U1307" s="10"/>
      <c r="V1307" s="10"/>
      <c r="W1307" s="138"/>
      <c r="Y1307"/>
      <c r="Z1307"/>
      <c r="AA1307"/>
      <c r="AB1307"/>
      <c r="AC1307"/>
      <c r="AD1307"/>
      <c r="AE1307"/>
      <c r="AF1307"/>
      <c r="AG1307"/>
      <c r="AH1307"/>
      <c r="AI1307"/>
      <c r="AJ1307"/>
      <c r="AK1307"/>
      <c r="AL1307"/>
      <c r="AM1307"/>
      <c r="AN1307"/>
      <c r="AO1307"/>
    </row>
    <row r="1308" spans="1:41" ht="15">
      <c r="A1308"/>
      <c r="B1308"/>
      <c r="C1308" s="137"/>
      <c r="D1308" s="30"/>
      <c r="E1308" s="30"/>
      <c r="F1308" s="10"/>
      <c r="G1308" s="10"/>
      <c r="H1308" s="15"/>
      <c r="I1308" s="15"/>
      <c r="J1308" s="15"/>
      <c r="K1308" s="15"/>
      <c r="L1308" s="15"/>
      <c r="M1308" s="15"/>
      <c r="N1308" s="15"/>
      <c r="O1308" s="15"/>
      <c r="P1308" s="15"/>
      <c r="Q1308" s="71"/>
      <c r="R1308" s="84"/>
      <c r="S1308" s="10"/>
      <c r="T1308" s="10"/>
      <c r="U1308" s="10"/>
      <c r="V1308" s="10"/>
      <c r="W1308" s="138"/>
      <c r="Y1308"/>
      <c r="Z1308"/>
      <c r="AA1308"/>
      <c r="AB1308"/>
      <c r="AC1308"/>
      <c r="AD1308"/>
      <c r="AE1308"/>
      <c r="AF1308"/>
      <c r="AG1308"/>
      <c r="AH1308"/>
      <c r="AI1308"/>
      <c r="AJ1308"/>
      <c r="AK1308"/>
      <c r="AL1308"/>
      <c r="AM1308"/>
      <c r="AN1308"/>
      <c r="AO1308"/>
    </row>
    <row r="1309" spans="1:41" ht="15">
      <c r="A1309"/>
      <c r="B1309"/>
      <c r="C1309" s="137"/>
      <c r="D1309" s="30"/>
      <c r="E1309" s="30"/>
      <c r="F1309" s="10"/>
      <c r="G1309" s="10"/>
      <c r="H1309" s="15"/>
      <c r="I1309" s="15"/>
      <c r="J1309" s="15"/>
      <c r="K1309" s="15"/>
      <c r="L1309" s="15"/>
      <c r="M1309" s="15"/>
      <c r="N1309" s="15"/>
      <c r="O1309" s="15"/>
      <c r="P1309" s="15"/>
      <c r="Q1309" s="71"/>
      <c r="R1309" s="84"/>
      <c r="S1309" s="10"/>
      <c r="T1309" s="10"/>
      <c r="U1309" s="10"/>
      <c r="V1309" s="10"/>
      <c r="W1309" s="138"/>
      <c r="Y1309"/>
      <c r="Z1309"/>
      <c r="AA1309"/>
      <c r="AB1309"/>
      <c r="AC1309"/>
      <c r="AD1309"/>
      <c r="AE1309"/>
      <c r="AF1309"/>
      <c r="AG1309"/>
      <c r="AH1309"/>
      <c r="AI1309"/>
      <c r="AJ1309"/>
      <c r="AK1309"/>
      <c r="AL1309"/>
      <c r="AM1309"/>
      <c r="AN1309"/>
      <c r="AO1309"/>
    </row>
    <row r="1310" spans="1:41" ht="15">
      <c r="A1310"/>
      <c r="B1310"/>
      <c r="C1310" s="137"/>
      <c r="D1310" s="30"/>
      <c r="E1310" s="30"/>
      <c r="F1310" s="10"/>
      <c r="G1310" s="10"/>
      <c r="H1310" s="15"/>
      <c r="I1310" s="15"/>
      <c r="J1310" s="15"/>
      <c r="K1310" s="15"/>
      <c r="L1310" s="15"/>
      <c r="M1310" s="15"/>
      <c r="N1310" s="15"/>
      <c r="O1310" s="15"/>
      <c r="P1310" s="15"/>
      <c r="Q1310" s="71"/>
      <c r="R1310" s="84"/>
      <c r="S1310" s="10"/>
      <c r="T1310" s="10"/>
      <c r="U1310" s="10"/>
      <c r="V1310" s="10"/>
      <c r="W1310" s="138"/>
      <c r="Y1310"/>
      <c r="Z1310"/>
      <c r="AA1310"/>
      <c r="AB1310"/>
      <c r="AC1310"/>
      <c r="AD1310"/>
      <c r="AE1310"/>
      <c r="AF1310"/>
      <c r="AG1310"/>
      <c r="AH1310"/>
      <c r="AI1310"/>
      <c r="AJ1310"/>
      <c r="AK1310"/>
      <c r="AL1310"/>
      <c r="AM1310"/>
      <c r="AN1310"/>
      <c r="AO1310"/>
    </row>
    <row r="1311" spans="1:41" ht="15">
      <c r="A1311"/>
      <c r="B1311"/>
      <c r="C1311" s="137"/>
      <c r="D1311" s="30"/>
      <c r="E1311" s="30"/>
      <c r="F1311" s="10"/>
      <c r="G1311" s="10"/>
      <c r="H1311" s="15"/>
      <c r="I1311" s="15"/>
      <c r="J1311" s="15"/>
      <c r="K1311" s="15"/>
      <c r="L1311" s="15"/>
      <c r="M1311" s="15"/>
      <c r="N1311" s="15"/>
      <c r="O1311" s="15"/>
      <c r="P1311" s="15"/>
      <c r="Q1311" s="71"/>
      <c r="R1311" s="84"/>
      <c r="S1311" s="10"/>
      <c r="T1311" s="10"/>
      <c r="U1311" s="10"/>
      <c r="V1311" s="10"/>
      <c r="W1311" s="138"/>
      <c r="Y1311"/>
      <c r="Z1311"/>
      <c r="AA1311"/>
      <c r="AB1311"/>
      <c r="AC1311"/>
      <c r="AD1311"/>
      <c r="AE1311"/>
      <c r="AF1311"/>
      <c r="AG1311"/>
      <c r="AH1311"/>
      <c r="AI1311"/>
      <c r="AJ1311"/>
      <c r="AK1311"/>
      <c r="AL1311"/>
      <c r="AM1311"/>
      <c r="AN1311"/>
      <c r="AO1311"/>
    </row>
    <row r="1312" spans="1:41" ht="15">
      <c r="A1312"/>
      <c r="B1312"/>
      <c r="C1312" s="137"/>
      <c r="D1312" s="30"/>
      <c r="E1312" s="30"/>
      <c r="F1312" s="10"/>
      <c r="G1312" s="10"/>
      <c r="H1312" s="15"/>
      <c r="I1312" s="15"/>
      <c r="J1312" s="15"/>
      <c r="K1312" s="15"/>
      <c r="L1312" s="15"/>
      <c r="M1312" s="15"/>
      <c r="N1312" s="15"/>
      <c r="O1312" s="15"/>
      <c r="P1312" s="15"/>
      <c r="Q1312" s="71"/>
      <c r="R1312" s="84"/>
      <c r="S1312" s="10"/>
      <c r="T1312" s="10"/>
      <c r="U1312" s="10"/>
      <c r="V1312" s="10"/>
      <c r="W1312" s="138"/>
      <c r="Y1312"/>
      <c r="Z1312"/>
      <c r="AA1312"/>
      <c r="AB1312"/>
      <c r="AC1312"/>
      <c r="AD1312"/>
      <c r="AE1312"/>
      <c r="AF1312"/>
      <c r="AG1312"/>
      <c r="AH1312"/>
      <c r="AI1312"/>
      <c r="AJ1312"/>
      <c r="AK1312"/>
      <c r="AL1312"/>
      <c r="AM1312"/>
      <c r="AN1312"/>
      <c r="AO1312"/>
    </row>
    <row r="1313" spans="1:41" ht="15">
      <c r="A1313"/>
      <c r="B1313"/>
      <c r="C1313" s="137"/>
      <c r="D1313" s="30"/>
      <c r="E1313" s="30"/>
      <c r="F1313" s="10"/>
      <c r="G1313" s="10"/>
      <c r="H1313" s="15"/>
      <c r="I1313" s="15"/>
      <c r="J1313" s="15"/>
      <c r="K1313" s="15"/>
      <c r="L1313" s="15"/>
      <c r="M1313" s="15"/>
      <c r="N1313" s="15"/>
      <c r="O1313" s="15"/>
      <c r="P1313" s="15"/>
      <c r="Q1313" s="71"/>
      <c r="R1313" s="84"/>
      <c r="S1313" s="10"/>
      <c r="T1313" s="10"/>
      <c r="U1313" s="10"/>
      <c r="V1313" s="10"/>
      <c r="W1313" s="138"/>
      <c r="Y1313"/>
      <c r="Z1313"/>
      <c r="AA1313"/>
      <c r="AB1313"/>
      <c r="AC1313"/>
      <c r="AD1313"/>
      <c r="AE1313"/>
      <c r="AF1313"/>
      <c r="AG1313"/>
      <c r="AH1313"/>
      <c r="AI1313"/>
      <c r="AJ1313"/>
      <c r="AK1313"/>
      <c r="AL1313"/>
      <c r="AM1313"/>
      <c r="AN1313"/>
      <c r="AO1313"/>
    </row>
    <row r="1314" spans="1:41" ht="15">
      <c r="A1314"/>
      <c r="B1314"/>
      <c r="C1314" s="137"/>
      <c r="D1314" s="30"/>
      <c r="E1314" s="30"/>
      <c r="F1314" s="10"/>
      <c r="G1314" s="10"/>
      <c r="H1314" s="15"/>
      <c r="I1314" s="15"/>
      <c r="J1314" s="15"/>
      <c r="K1314" s="15"/>
      <c r="L1314" s="15"/>
      <c r="M1314" s="15"/>
      <c r="N1314" s="15"/>
      <c r="O1314" s="15"/>
      <c r="P1314" s="15"/>
      <c r="Q1314" s="71"/>
      <c r="R1314" s="84"/>
      <c r="S1314" s="10"/>
      <c r="T1314" s="10"/>
      <c r="U1314" s="10"/>
      <c r="V1314" s="10"/>
      <c r="W1314" s="138"/>
      <c r="Y1314"/>
      <c r="Z1314"/>
      <c r="AA1314"/>
      <c r="AB1314"/>
      <c r="AC1314"/>
      <c r="AD1314"/>
      <c r="AE1314"/>
      <c r="AF1314"/>
      <c r="AG1314"/>
      <c r="AH1314"/>
      <c r="AI1314"/>
      <c r="AJ1314"/>
      <c r="AK1314"/>
      <c r="AL1314"/>
      <c r="AM1314"/>
      <c r="AN1314"/>
      <c r="AO1314"/>
    </row>
    <row r="1315" spans="1:41" ht="15">
      <c r="A1315"/>
      <c r="B1315"/>
      <c r="C1315" s="137"/>
      <c r="D1315" s="30"/>
      <c r="E1315" s="30"/>
      <c r="F1315" s="10"/>
      <c r="G1315" s="10"/>
      <c r="H1315" s="15"/>
      <c r="I1315" s="15"/>
      <c r="J1315" s="15"/>
      <c r="K1315" s="15"/>
      <c r="L1315" s="15"/>
      <c r="M1315" s="15"/>
      <c r="N1315" s="15"/>
      <c r="O1315" s="15"/>
      <c r="P1315" s="15"/>
      <c r="Q1315" s="71"/>
      <c r="R1315" s="84"/>
      <c r="S1315" s="10"/>
      <c r="T1315" s="10"/>
      <c r="U1315" s="10"/>
      <c r="V1315" s="10"/>
      <c r="W1315" s="138"/>
      <c r="Y1315"/>
      <c r="Z1315"/>
      <c r="AA1315"/>
      <c r="AB1315"/>
      <c r="AC1315"/>
      <c r="AD1315"/>
      <c r="AE1315"/>
      <c r="AF1315"/>
      <c r="AG1315"/>
      <c r="AH1315"/>
      <c r="AI1315"/>
      <c r="AJ1315"/>
      <c r="AK1315"/>
      <c r="AL1315"/>
      <c r="AM1315"/>
      <c r="AN1315"/>
      <c r="AO1315"/>
    </row>
    <row r="1316" spans="1:41" ht="15">
      <c r="A1316"/>
      <c r="B1316"/>
      <c r="C1316" s="137"/>
      <c r="D1316" s="30"/>
      <c r="E1316" s="30"/>
      <c r="F1316" s="10"/>
      <c r="G1316" s="10"/>
      <c r="H1316" s="15"/>
      <c r="I1316" s="15"/>
      <c r="J1316" s="15"/>
      <c r="K1316" s="15"/>
      <c r="L1316" s="15"/>
      <c r="M1316" s="15"/>
      <c r="N1316" s="15"/>
      <c r="O1316" s="15"/>
      <c r="P1316" s="15"/>
      <c r="Q1316" s="71"/>
      <c r="R1316" s="84"/>
      <c r="S1316" s="10"/>
      <c r="T1316" s="10"/>
      <c r="U1316" s="10"/>
      <c r="V1316" s="10"/>
      <c r="W1316" s="138"/>
      <c r="Y1316"/>
      <c r="Z1316"/>
      <c r="AA1316"/>
      <c r="AB1316"/>
      <c r="AC1316"/>
      <c r="AD1316"/>
      <c r="AE1316"/>
      <c r="AF1316"/>
      <c r="AG1316"/>
      <c r="AH1316"/>
      <c r="AI1316"/>
      <c r="AJ1316"/>
      <c r="AK1316"/>
      <c r="AL1316"/>
      <c r="AM1316"/>
      <c r="AN1316"/>
      <c r="AO1316"/>
    </row>
    <row r="1317" spans="1:41" ht="15">
      <c r="A1317"/>
      <c r="B1317"/>
      <c r="C1317" s="137"/>
      <c r="D1317" s="30"/>
      <c r="E1317" s="30"/>
      <c r="F1317" s="10"/>
      <c r="G1317" s="10"/>
      <c r="H1317" s="15"/>
      <c r="I1317" s="15"/>
      <c r="J1317" s="15"/>
      <c r="K1317" s="15"/>
      <c r="L1317" s="15"/>
      <c r="M1317" s="15"/>
      <c r="N1317" s="15"/>
      <c r="O1317" s="15"/>
      <c r="P1317" s="15"/>
      <c r="Q1317" s="71"/>
      <c r="R1317" s="84"/>
      <c r="S1317" s="10"/>
      <c r="T1317" s="10"/>
      <c r="U1317" s="10"/>
      <c r="V1317" s="10"/>
      <c r="W1317" s="138"/>
      <c r="Y1317"/>
      <c r="Z1317"/>
      <c r="AA1317"/>
      <c r="AB1317"/>
      <c r="AC1317"/>
      <c r="AD1317"/>
      <c r="AE1317"/>
      <c r="AF1317"/>
      <c r="AG1317"/>
      <c r="AH1317"/>
      <c r="AI1317"/>
      <c r="AJ1317"/>
      <c r="AK1317"/>
      <c r="AL1317"/>
      <c r="AM1317"/>
      <c r="AN1317"/>
      <c r="AO1317"/>
    </row>
    <row r="1318" spans="1:41" ht="15">
      <c r="A1318"/>
      <c r="B1318"/>
      <c r="C1318" s="137"/>
      <c r="D1318" s="30"/>
      <c r="E1318" s="30"/>
      <c r="F1318" s="10"/>
      <c r="G1318" s="10"/>
      <c r="H1318" s="15"/>
      <c r="I1318" s="15"/>
      <c r="J1318" s="15"/>
      <c r="K1318" s="15"/>
      <c r="L1318" s="15"/>
      <c r="M1318" s="15"/>
      <c r="N1318" s="15"/>
      <c r="O1318" s="15"/>
      <c r="P1318" s="15"/>
      <c r="Q1318" s="71"/>
      <c r="R1318" s="84"/>
      <c r="S1318" s="10"/>
      <c r="T1318" s="10"/>
      <c r="U1318" s="10"/>
      <c r="V1318" s="10"/>
      <c r="W1318" s="138"/>
      <c r="Y1318"/>
      <c r="Z1318"/>
      <c r="AA1318"/>
      <c r="AB1318"/>
      <c r="AC1318"/>
      <c r="AD1318"/>
      <c r="AE1318"/>
      <c r="AF1318"/>
      <c r="AG1318"/>
      <c r="AH1318"/>
      <c r="AI1318"/>
      <c r="AJ1318"/>
      <c r="AK1318"/>
      <c r="AL1318"/>
      <c r="AM1318"/>
      <c r="AN1318"/>
      <c r="AO1318"/>
    </row>
    <row r="1319" spans="1:41" ht="15">
      <c r="A1319"/>
      <c r="B1319"/>
      <c r="C1319" s="137"/>
      <c r="D1319" s="30"/>
      <c r="E1319" s="30"/>
      <c r="F1319" s="10"/>
      <c r="G1319" s="10"/>
      <c r="H1319" s="15"/>
      <c r="I1319" s="15"/>
      <c r="J1319" s="15"/>
      <c r="K1319" s="15"/>
      <c r="L1319" s="15"/>
      <c r="M1319" s="15"/>
      <c r="N1319" s="15"/>
      <c r="O1319" s="15"/>
      <c r="P1319" s="15"/>
      <c r="Q1319" s="71"/>
      <c r="R1319" s="84"/>
      <c r="S1319" s="10"/>
      <c r="T1319" s="10"/>
      <c r="U1319" s="10"/>
      <c r="V1319" s="10"/>
      <c r="W1319" s="138"/>
      <c r="Y1319"/>
      <c r="Z1319"/>
      <c r="AA1319"/>
      <c r="AB1319"/>
      <c r="AC1319"/>
      <c r="AD1319"/>
      <c r="AE1319"/>
      <c r="AF1319"/>
      <c r="AG1319"/>
      <c r="AH1319"/>
      <c r="AI1319"/>
      <c r="AJ1319"/>
      <c r="AK1319"/>
      <c r="AL1319"/>
      <c r="AM1319"/>
      <c r="AN1319"/>
      <c r="AO1319"/>
    </row>
    <row r="1320" spans="1:41" ht="15">
      <c r="A1320"/>
      <c r="B1320"/>
      <c r="C1320" s="137"/>
      <c r="D1320" s="30"/>
      <c r="E1320" s="30"/>
      <c r="F1320" s="10"/>
      <c r="G1320" s="10"/>
      <c r="H1320" s="15"/>
      <c r="I1320" s="15"/>
      <c r="J1320" s="15"/>
      <c r="K1320" s="15"/>
      <c r="L1320" s="15"/>
      <c r="M1320" s="15"/>
      <c r="N1320" s="15"/>
      <c r="O1320" s="15"/>
      <c r="P1320" s="15"/>
      <c r="Q1320" s="71"/>
      <c r="R1320" s="84"/>
      <c r="S1320" s="10"/>
      <c r="T1320" s="10"/>
      <c r="U1320" s="10"/>
      <c r="V1320" s="10"/>
      <c r="W1320" s="138"/>
      <c r="Y1320"/>
      <c r="Z1320"/>
      <c r="AA1320"/>
      <c r="AB1320"/>
      <c r="AC1320"/>
      <c r="AD1320"/>
      <c r="AE1320"/>
      <c r="AF1320"/>
      <c r="AG1320"/>
      <c r="AH1320"/>
      <c r="AI1320"/>
      <c r="AJ1320"/>
      <c r="AK1320"/>
      <c r="AL1320"/>
      <c r="AM1320"/>
      <c r="AN1320"/>
      <c r="AO1320"/>
    </row>
    <row r="1321" spans="1:41" ht="15">
      <c r="A1321"/>
      <c r="B1321"/>
      <c r="C1321" s="137"/>
      <c r="D1321" s="30"/>
      <c r="E1321" s="30"/>
      <c r="F1321" s="10"/>
      <c r="G1321" s="10"/>
      <c r="H1321" s="15"/>
      <c r="I1321" s="15"/>
      <c r="J1321" s="15"/>
      <c r="K1321" s="15"/>
      <c r="L1321" s="15"/>
      <c r="M1321" s="15"/>
      <c r="N1321" s="15"/>
      <c r="O1321" s="15"/>
      <c r="P1321" s="15"/>
      <c r="Q1321" s="71"/>
      <c r="R1321" s="84"/>
      <c r="S1321" s="10"/>
      <c r="T1321" s="10"/>
      <c r="U1321" s="10"/>
      <c r="V1321" s="10"/>
      <c r="W1321" s="138"/>
      <c r="Y1321"/>
      <c r="Z1321"/>
      <c r="AA1321"/>
      <c r="AB1321"/>
      <c r="AC1321"/>
      <c r="AD1321"/>
      <c r="AE1321"/>
      <c r="AF1321"/>
      <c r="AG1321"/>
      <c r="AH1321"/>
      <c r="AI1321"/>
      <c r="AJ1321"/>
      <c r="AK1321"/>
      <c r="AL1321"/>
      <c r="AM1321"/>
      <c r="AN1321"/>
      <c r="AO1321"/>
    </row>
    <row r="1322" spans="1:41" ht="15">
      <c r="A1322"/>
      <c r="B1322"/>
      <c r="C1322" s="137"/>
      <c r="D1322" s="30"/>
      <c r="E1322" s="30"/>
      <c r="F1322" s="10"/>
      <c r="G1322" s="10"/>
      <c r="H1322" s="15"/>
      <c r="I1322" s="15"/>
      <c r="J1322" s="15"/>
      <c r="K1322" s="15"/>
      <c r="L1322" s="15"/>
      <c r="M1322" s="15"/>
      <c r="N1322" s="15"/>
      <c r="O1322" s="15"/>
      <c r="P1322" s="15"/>
      <c r="Q1322" s="71"/>
      <c r="R1322" s="84"/>
      <c r="S1322" s="10"/>
      <c r="T1322" s="10"/>
      <c r="U1322" s="10"/>
      <c r="V1322" s="10"/>
      <c r="W1322" s="138"/>
      <c r="Y1322"/>
      <c r="Z1322"/>
      <c r="AA1322"/>
      <c r="AB1322"/>
      <c r="AC1322"/>
      <c r="AD1322"/>
      <c r="AE1322"/>
      <c r="AF1322"/>
      <c r="AG1322"/>
      <c r="AH1322"/>
      <c r="AI1322"/>
      <c r="AJ1322"/>
      <c r="AK1322"/>
      <c r="AL1322"/>
      <c r="AM1322"/>
      <c r="AN1322"/>
      <c r="AO1322"/>
    </row>
    <row r="1323" spans="1:41" ht="15">
      <c r="A1323"/>
      <c r="B1323"/>
      <c r="C1323" s="137"/>
      <c r="D1323" s="30"/>
      <c r="E1323" s="30"/>
      <c r="F1323" s="10"/>
      <c r="G1323" s="10"/>
      <c r="H1323" s="15"/>
      <c r="I1323" s="15"/>
      <c r="J1323" s="15"/>
      <c r="K1323" s="15"/>
      <c r="L1323" s="15"/>
      <c r="M1323" s="15"/>
      <c r="N1323" s="15"/>
      <c r="O1323" s="15"/>
      <c r="P1323" s="15"/>
      <c r="Q1323" s="71"/>
      <c r="R1323" s="84"/>
      <c r="S1323" s="10"/>
      <c r="T1323" s="10"/>
      <c r="U1323" s="10"/>
      <c r="V1323" s="10"/>
      <c r="W1323" s="138"/>
      <c r="Y1323"/>
      <c r="Z1323"/>
      <c r="AA1323"/>
      <c r="AB1323"/>
      <c r="AC1323"/>
      <c r="AD1323"/>
      <c r="AE1323"/>
      <c r="AF1323"/>
      <c r="AG1323"/>
      <c r="AH1323"/>
      <c r="AI1323"/>
      <c r="AJ1323"/>
      <c r="AK1323"/>
      <c r="AL1323"/>
      <c r="AM1323"/>
      <c r="AN1323"/>
      <c r="AO1323"/>
    </row>
    <row r="1324" spans="1:41" ht="15">
      <c r="A1324"/>
      <c r="B1324"/>
      <c r="C1324" s="137"/>
      <c r="D1324" s="30"/>
      <c r="E1324" s="30"/>
      <c r="F1324" s="10"/>
      <c r="G1324" s="10"/>
      <c r="H1324" s="15"/>
      <c r="I1324" s="15"/>
      <c r="J1324" s="15"/>
      <c r="K1324" s="15"/>
      <c r="L1324" s="15"/>
      <c r="M1324" s="15"/>
      <c r="N1324" s="15"/>
      <c r="O1324" s="15"/>
      <c r="P1324" s="15"/>
      <c r="Q1324" s="71"/>
      <c r="R1324" s="84"/>
      <c r="S1324" s="10"/>
      <c r="T1324" s="10"/>
      <c r="U1324" s="10"/>
      <c r="V1324" s="10"/>
      <c r="W1324" s="138"/>
      <c r="Y1324"/>
      <c r="Z1324"/>
      <c r="AA1324"/>
      <c r="AB1324"/>
      <c r="AC1324"/>
      <c r="AD1324"/>
      <c r="AE1324"/>
      <c r="AF1324"/>
      <c r="AG1324"/>
      <c r="AH1324"/>
      <c r="AI1324"/>
      <c r="AJ1324"/>
      <c r="AK1324"/>
      <c r="AL1324"/>
      <c r="AM1324"/>
      <c r="AN1324"/>
      <c r="AO1324"/>
    </row>
    <row r="1325" spans="1:41" ht="15">
      <c r="A1325"/>
      <c r="B1325"/>
      <c r="C1325" s="137"/>
      <c r="D1325" s="30"/>
      <c r="E1325" s="30"/>
      <c r="F1325" s="10"/>
      <c r="G1325" s="10"/>
      <c r="H1325" s="15"/>
      <c r="I1325" s="15"/>
      <c r="J1325" s="15"/>
      <c r="K1325" s="15"/>
      <c r="L1325" s="15"/>
      <c r="M1325" s="15"/>
      <c r="N1325" s="15"/>
      <c r="O1325" s="15"/>
      <c r="P1325" s="15"/>
      <c r="Q1325" s="71"/>
      <c r="R1325" s="84"/>
      <c r="S1325" s="10"/>
      <c r="T1325" s="10"/>
      <c r="U1325" s="10"/>
      <c r="V1325" s="10"/>
      <c r="W1325" s="138"/>
      <c r="Y1325"/>
      <c r="Z1325"/>
      <c r="AA1325"/>
      <c r="AB1325"/>
      <c r="AC1325"/>
      <c r="AD1325"/>
      <c r="AE1325"/>
      <c r="AF1325"/>
      <c r="AG1325"/>
      <c r="AH1325"/>
      <c r="AI1325"/>
      <c r="AJ1325"/>
      <c r="AK1325"/>
      <c r="AL1325"/>
      <c r="AM1325"/>
      <c r="AN1325"/>
      <c r="AO1325"/>
    </row>
    <row r="1326" spans="1:41" ht="15">
      <c r="A1326"/>
      <c r="B1326"/>
      <c r="C1326" s="137"/>
      <c r="D1326" s="30"/>
      <c r="E1326" s="30"/>
      <c r="F1326" s="10"/>
      <c r="G1326" s="10"/>
      <c r="H1326" s="15"/>
      <c r="I1326" s="15"/>
      <c r="J1326" s="15"/>
      <c r="K1326" s="15"/>
      <c r="L1326" s="15"/>
      <c r="M1326" s="15"/>
      <c r="N1326" s="15"/>
      <c r="O1326" s="15"/>
      <c r="P1326" s="15"/>
      <c r="Q1326" s="71"/>
      <c r="R1326" s="84"/>
      <c r="S1326" s="10"/>
      <c r="T1326" s="10"/>
      <c r="U1326" s="10"/>
      <c r="V1326" s="10"/>
      <c r="W1326" s="138"/>
      <c r="Y1326"/>
      <c r="Z1326"/>
      <c r="AA1326"/>
      <c r="AB1326"/>
      <c r="AC1326"/>
      <c r="AD1326"/>
      <c r="AE1326"/>
      <c r="AF1326"/>
      <c r="AG1326"/>
      <c r="AH1326"/>
      <c r="AI1326"/>
      <c r="AJ1326"/>
      <c r="AK1326"/>
      <c r="AL1326"/>
      <c r="AM1326"/>
      <c r="AN1326"/>
      <c r="AO1326"/>
    </row>
    <row r="1327" spans="1:41" ht="15">
      <c r="A1327"/>
      <c r="B1327"/>
      <c r="C1327" s="137"/>
      <c r="D1327" s="30"/>
      <c r="E1327" s="30"/>
      <c r="F1327" s="10"/>
      <c r="G1327" s="10"/>
      <c r="H1327" s="15"/>
      <c r="I1327" s="15"/>
      <c r="J1327" s="15"/>
      <c r="K1327" s="15"/>
      <c r="L1327" s="15"/>
      <c r="M1327" s="15"/>
      <c r="N1327" s="15"/>
      <c r="O1327" s="15"/>
      <c r="P1327" s="15"/>
      <c r="Q1327" s="71"/>
      <c r="R1327" s="84"/>
      <c r="S1327" s="10"/>
      <c r="T1327" s="10"/>
      <c r="U1327" s="10"/>
      <c r="V1327" s="10"/>
      <c r="W1327" s="138"/>
      <c r="Y1327"/>
      <c r="Z1327"/>
      <c r="AA1327"/>
      <c r="AB1327"/>
      <c r="AC1327"/>
      <c r="AD1327"/>
      <c r="AE1327"/>
      <c r="AF1327"/>
      <c r="AG1327"/>
      <c r="AH1327"/>
      <c r="AI1327"/>
      <c r="AJ1327"/>
      <c r="AK1327"/>
      <c r="AL1327"/>
      <c r="AM1327"/>
      <c r="AN1327"/>
      <c r="AO1327"/>
    </row>
    <row r="1328" spans="1:41" ht="15">
      <c r="A1328"/>
      <c r="B1328"/>
      <c r="C1328" s="137"/>
      <c r="D1328" s="30"/>
      <c r="E1328" s="30"/>
      <c r="F1328" s="10"/>
      <c r="G1328" s="10"/>
      <c r="H1328" s="15"/>
      <c r="I1328" s="15"/>
      <c r="J1328" s="15"/>
      <c r="K1328" s="15"/>
      <c r="L1328" s="15"/>
      <c r="M1328" s="15"/>
      <c r="N1328" s="15"/>
      <c r="O1328" s="15"/>
      <c r="P1328" s="15"/>
      <c r="Q1328" s="71"/>
      <c r="R1328" s="84"/>
      <c r="S1328" s="10"/>
      <c r="T1328" s="10"/>
      <c r="U1328" s="10"/>
      <c r="V1328" s="10"/>
      <c r="W1328" s="138"/>
      <c r="Y1328"/>
      <c r="Z1328"/>
      <c r="AA1328"/>
      <c r="AB1328"/>
      <c r="AC1328"/>
      <c r="AD1328"/>
      <c r="AE1328"/>
      <c r="AF1328"/>
      <c r="AG1328"/>
      <c r="AH1328"/>
      <c r="AI1328"/>
      <c r="AJ1328"/>
      <c r="AK1328"/>
      <c r="AL1328"/>
      <c r="AM1328"/>
      <c r="AN1328"/>
      <c r="AO1328"/>
    </row>
    <row r="1329" spans="1:41" ht="15">
      <c r="A1329"/>
      <c r="B1329"/>
      <c r="C1329" s="137"/>
      <c r="D1329" s="30"/>
      <c r="E1329" s="30"/>
      <c r="F1329" s="10"/>
      <c r="G1329" s="10"/>
      <c r="H1329" s="15"/>
      <c r="I1329" s="15"/>
      <c r="J1329" s="15"/>
      <c r="K1329" s="15"/>
      <c r="L1329" s="15"/>
      <c r="M1329" s="15"/>
      <c r="N1329" s="15"/>
      <c r="O1329" s="15"/>
      <c r="P1329" s="15"/>
      <c r="Q1329" s="71"/>
      <c r="R1329" s="84"/>
      <c r="S1329" s="10"/>
      <c r="T1329" s="10"/>
      <c r="U1329" s="10"/>
      <c r="V1329" s="10"/>
      <c r="W1329" s="138"/>
      <c r="Y1329"/>
      <c r="Z1329"/>
      <c r="AA1329"/>
      <c r="AB1329"/>
      <c r="AC1329"/>
      <c r="AD1329"/>
      <c r="AE1329"/>
      <c r="AF1329"/>
      <c r="AG1329"/>
      <c r="AH1329"/>
      <c r="AI1329"/>
      <c r="AJ1329"/>
      <c r="AK1329"/>
      <c r="AL1329"/>
      <c r="AM1329"/>
      <c r="AN1329"/>
      <c r="AO1329"/>
    </row>
    <row r="1330" spans="1:41" ht="15">
      <c r="A1330"/>
      <c r="B1330"/>
      <c r="C1330" s="137"/>
      <c r="D1330" s="30"/>
      <c r="E1330" s="30"/>
      <c r="F1330" s="10"/>
      <c r="G1330" s="10"/>
      <c r="H1330" s="15"/>
      <c r="I1330" s="15"/>
      <c r="J1330" s="15"/>
      <c r="K1330" s="15"/>
      <c r="L1330" s="15"/>
      <c r="M1330" s="15"/>
      <c r="N1330" s="15"/>
      <c r="O1330" s="15"/>
      <c r="P1330" s="15"/>
      <c r="Q1330" s="71"/>
      <c r="R1330" s="84"/>
      <c r="S1330" s="10"/>
      <c r="T1330" s="10"/>
      <c r="U1330" s="10"/>
      <c r="V1330" s="10"/>
      <c r="W1330" s="138"/>
      <c r="Y1330"/>
      <c r="Z1330"/>
      <c r="AA1330"/>
      <c r="AB1330"/>
      <c r="AC1330"/>
      <c r="AD1330"/>
      <c r="AE1330"/>
      <c r="AF1330"/>
      <c r="AG1330"/>
      <c r="AH1330"/>
      <c r="AI1330"/>
      <c r="AJ1330"/>
      <c r="AK1330"/>
      <c r="AL1330"/>
      <c r="AM1330"/>
      <c r="AN1330"/>
      <c r="AO1330"/>
    </row>
    <row r="1331" spans="1:41" ht="15">
      <c r="A1331"/>
      <c r="B1331"/>
      <c r="C1331" s="137"/>
      <c r="D1331" s="30"/>
      <c r="E1331" s="30"/>
      <c r="F1331" s="10"/>
      <c r="G1331" s="10"/>
      <c r="H1331" s="15"/>
      <c r="I1331" s="15"/>
      <c r="J1331" s="15"/>
      <c r="K1331" s="15"/>
      <c r="L1331" s="15"/>
      <c r="M1331" s="15"/>
      <c r="N1331" s="15"/>
      <c r="O1331" s="15"/>
      <c r="P1331" s="15"/>
      <c r="Q1331" s="71"/>
      <c r="R1331" s="84"/>
      <c r="S1331" s="10"/>
      <c r="T1331" s="10"/>
      <c r="U1331" s="10"/>
      <c r="V1331" s="10"/>
      <c r="W1331" s="138"/>
      <c r="Y1331"/>
      <c r="Z1331"/>
      <c r="AA1331"/>
      <c r="AB1331"/>
      <c r="AC1331"/>
      <c r="AD1331"/>
      <c r="AE1331"/>
      <c r="AF1331"/>
      <c r="AG1331"/>
      <c r="AH1331"/>
      <c r="AI1331"/>
      <c r="AJ1331"/>
      <c r="AK1331"/>
      <c r="AL1331"/>
      <c r="AM1331"/>
      <c r="AN1331"/>
      <c r="AO1331"/>
    </row>
    <row r="1332" spans="1:41" ht="15">
      <c r="A1332"/>
      <c r="B1332"/>
      <c r="C1332" s="137"/>
      <c r="D1332" s="30"/>
      <c r="E1332" s="30"/>
      <c r="F1332" s="10"/>
      <c r="G1332" s="10"/>
      <c r="H1332" s="15"/>
      <c r="I1332" s="15"/>
      <c r="J1332" s="15"/>
      <c r="K1332" s="15"/>
      <c r="L1332" s="15"/>
      <c r="M1332" s="15"/>
      <c r="N1332" s="15"/>
      <c r="O1332" s="15"/>
      <c r="P1332" s="15"/>
      <c r="Q1332" s="71"/>
      <c r="R1332" s="84"/>
      <c r="S1332" s="10"/>
      <c r="T1332" s="10"/>
      <c r="U1332" s="10"/>
      <c r="V1332" s="10"/>
      <c r="W1332" s="138"/>
      <c r="Y1332"/>
      <c r="Z1332"/>
      <c r="AA1332"/>
      <c r="AB1332"/>
      <c r="AC1332"/>
      <c r="AD1332"/>
      <c r="AE1332"/>
      <c r="AF1332"/>
      <c r="AG1332"/>
      <c r="AH1332"/>
      <c r="AI1332"/>
      <c r="AJ1332"/>
      <c r="AK1332"/>
      <c r="AL1332"/>
      <c r="AM1332"/>
      <c r="AN1332"/>
      <c r="AO1332"/>
    </row>
    <row r="1333" spans="1:41" ht="15">
      <c r="A1333"/>
      <c r="B1333"/>
      <c r="C1333" s="137"/>
      <c r="D1333" s="30"/>
      <c r="E1333" s="30"/>
      <c r="F1333" s="10"/>
      <c r="G1333" s="10"/>
      <c r="H1333" s="15"/>
      <c r="I1333" s="15"/>
      <c r="J1333" s="15"/>
      <c r="K1333" s="15"/>
      <c r="L1333" s="15"/>
      <c r="M1333" s="15"/>
      <c r="N1333" s="15"/>
      <c r="O1333" s="15"/>
      <c r="P1333" s="15"/>
      <c r="Q1333" s="71"/>
      <c r="R1333" s="84"/>
      <c r="S1333" s="10"/>
      <c r="T1333" s="10"/>
      <c r="U1333" s="10"/>
      <c r="V1333" s="10"/>
      <c r="W1333" s="138"/>
      <c r="Y1333"/>
      <c r="Z1333"/>
      <c r="AA1333"/>
      <c r="AB1333"/>
      <c r="AC1333"/>
      <c r="AD1333"/>
      <c r="AE1333"/>
      <c r="AF1333"/>
      <c r="AG1333"/>
      <c r="AH1333"/>
      <c r="AI1333"/>
      <c r="AJ1333"/>
      <c r="AK1333"/>
      <c r="AL1333"/>
      <c r="AM1333"/>
      <c r="AN1333"/>
      <c r="AO1333"/>
    </row>
    <row r="1334" spans="1:41" ht="15">
      <c r="A1334"/>
      <c r="B1334"/>
      <c r="C1334" s="137"/>
      <c r="D1334" s="30"/>
      <c r="E1334" s="30"/>
      <c r="F1334" s="10"/>
      <c r="G1334" s="10"/>
      <c r="H1334" s="15"/>
      <c r="I1334" s="15"/>
      <c r="J1334" s="15"/>
      <c r="K1334" s="15"/>
      <c r="L1334" s="15"/>
      <c r="M1334" s="15"/>
      <c r="N1334" s="15"/>
      <c r="O1334" s="15"/>
      <c r="P1334" s="15"/>
      <c r="Q1334" s="71"/>
      <c r="R1334" s="84"/>
      <c r="S1334" s="10"/>
      <c r="T1334" s="10"/>
      <c r="U1334" s="10"/>
      <c r="V1334" s="10"/>
      <c r="W1334" s="138"/>
      <c r="Y1334"/>
      <c r="Z1334"/>
      <c r="AA1334"/>
      <c r="AB1334"/>
      <c r="AC1334"/>
      <c r="AD1334"/>
      <c r="AE1334"/>
      <c r="AF1334"/>
      <c r="AG1334"/>
      <c r="AH1334"/>
      <c r="AI1334"/>
      <c r="AJ1334"/>
      <c r="AK1334"/>
      <c r="AL1334"/>
      <c r="AM1334"/>
      <c r="AN1334"/>
      <c r="AO1334"/>
    </row>
    <row r="1335" spans="1:41" ht="15">
      <c r="A1335"/>
      <c r="B1335"/>
      <c r="C1335" s="137"/>
      <c r="D1335" s="30"/>
      <c r="E1335" s="30"/>
      <c r="F1335" s="10"/>
      <c r="G1335" s="10"/>
      <c r="H1335" s="15"/>
      <c r="I1335" s="15"/>
      <c r="J1335" s="15"/>
      <c r="K1335" s="15"/>
      <c r="L1335" s="15"/>
      <c r="M1335" s="15"/>
      <c r="N1335" s="15"/>
      <c r="O1335" s="15"/>
      <c r="P1335" s="15"/>
      <c r="Q1335" s="71"/>
      <c r="R1335" s="84"/>
      <c r="S1335" s="10"/>
      <c r="T1335" s="10"/>
      <c r="U1335" s="10"/>
      <c r="V1335" s="10"/>
      <c r="W1335" s="138"/>
      <c r="Y1335"/>
      <c r="Z1335"/>
      <c r="AA1335"/>
      <c r="AB1335"/>
      <c r="AC1335"/>
      <c r="AD1335"/>
      <c r="AE1335"/>
      <c r="AF1335"/>
      <c r="AG1335"/>
      <c r="AH1335"/>
      <c r="AI1335"/>
      <c r="AJ1335"/>
      <c r="AK1335"/>
      <c r="AL1335"/>
      <c r="AM1335"/>
      <c r="AN1335"/>
      <c r="AO1335"/>
    </row>
    <row r="1336" spans="1:41" ht="15">
      <c r="A1336"/>
      <c r="B1336"/>
      <c r="C1336" s="137"/>
      <c r="D1336" s="30"/>
      <c r="E1336" s="30"/>
      <c r="F1336" s="10"/>
      <c r="G1336" s="10"/>
      <c r="H1336" s="15"/>
      <c r="I1336" s="15"/>
      <c r="J1336" s="15"/>
      <c r="K1336" s="15"/>
      <c r="L1336" s="15"/>
      <c r="M1336" s="15"/>
      <c r="N1336" s="15"/>
      <c r="O1336" s="15"/>
      <c r="P1336" s="15"/>
      <c r="Q1336" s="71"/>
      <c r="R1336" s="84"/>
      <c r="S1336" s="10"/>
      <c r="T1336" s="10"/>
      <c r="U1336" s="10"/>
      <c r="V1336" s="10"/>
      <c r="W1336" s="138"/>
      <c r="Y1336"/>
      <c r="Z1336"/>
      <c r="AA1336"/>
      <c r="AB1336"/>
      <c r="AC1336"/>
      <c r="AD1336"/>
      <c r="AE1336"/>
      <c r="AF1336"/>
      <c r="AG1336"/>
      <c r="AH1336"/>
      <c r="AI1336"/>
      <c r="AJ1336"/>
      <c r="AK1336"/>
      <c r="AL1336"/>
      <c r="AM1336"/>
      <c r="AN1336"/>
      <c r="AO1336"/>
    </row>
    <row r="1337" spans="1:41" ht="15">
      <c r="A1337"/>
      <c r="B1337"/>
      <c r="C1337" s="137"/>
      <c r="D1337" s="30"/>
      <c r="E1337" s="30"/>
      <c r="F1337" s="10"/>
      <c r="G1337" s="10"/>
      <c r="H1337" s="15"/>
      <c r="I1337" s="15"/>
      <c r="J1337" s="15"/>
      <c r="K1337" s="15"/>
      <c r="L1337" s="15"/>
      <c r="M1337" s="15"/>
      <c r="N1337" s="15"/>
      <c r="O1337" s="15"/>
      <c r="P1337" s="15"/>
      <c r="Q1337" s="71"/>
      <c r="R1337" s="84"/>
      <c r="S1337" s="10"/>
      <c r="T1337" s="10"/>
      <c r="U1337" s="10"/>
      <c r="V1337" s="10"/>
      <c r="W1337" s="138"/>
      <c r="Y1337"/>
      <c r="Z1337"/>
      <c r="AA1337"/>
      <c r="AB1337"/>
      <c r="AC1337"/>
      <c r="AD1337"/>
      <c r="AE1337"/>
      <c r="AF1337"/>
      <c r="AG1337"/>
      <c r="AH1337"/>
      <c r="AI1337"/>
      <c r="AJ1337"/>
      <c r="AK1337"/>
      <c r="AL1337"/>
      <c r="AM1337"/>
      <c r="AN1337"/>
      <c r="AO1337"/>
    </row>
    <row r="1338" spans="1:41" ht="15">
      <c r="A1338"/>
      <c r="B1338"/>
      <c r="C1338" s="137"/>
      <c r="D1338" s="30"/>
      <c r="E1338" s="30"/>
      <c r="F1338" s="10"/>
      <c r="G1338" s="10"/>
      <c r="H1338" s="15"/>
      <c r="I1338" s="15"/>
      <c r="J1338" s="15"/>
      <c r="K1338" s="15"/>
      <c r="L1338" s="15"/>
      <c r="M1338" s="15"/>
      <c r="N1338" s="15"/>
      <c r="O1338" s="15"/>
      <c r="P1338" s="15"/>
      <c r="Q1338" s="71"/>
      <c r="R1338" s="84"/>
      <c r="S1338" s="10"/>
      <c r="T1338" s="10"/>
      <c r="U1338" s="10"/>
      <c r="V1338" s="10"/>
      <c r="W1338" s="138"/>
      <c r="Y1338"/>
      <c r="Z1338"/>
      <c r="AA1338"/>
      <c r="AB1338"/>
      <c r="AC1338"/>
      <c r="AD1338"/>
      <c r="AE1338"/>
      <c r="AF1338"/>
      <c r="AG1338"/>
      <c r="AH1338"/>
      <c r="AI1338"/>
      <c r="AJ1338"/>
      <c r="AK1338"/>
      <c r="AL1338"/>
      <c r="AM1338"/>
      <c r="AN1338"/>
      <c r="AO1338"/>
    </row>
    <row r="1339" spans="1:41" ht="15">
      <c r="A1339"/>
      <c r="B1339"/>
      <c r="C1339" s="137"/>
      <c r="D1339" s="30"/>
      <c r="E1339" s="30"/>
      <c r="F1339" s="10"/>
      <c r="G1339" s="10"/>
      <c r="H1339" s="15"/>
      <c r="I1339" s="15"/>
      <c r="J1339" s="15"/>
      <c r="K1339" s="15"/>
      <c r="L1339" s="15"/>
      <c r="M1339" s="15"/>
      <c r="N1339" s="15"/>
      <c r="O1339" s="15"/>
      <c r="P1339" s="15"/>
      <c r="Q1339" s="71"/>
      <c r="R1339" s="84"/>
      <c r="S1339" s="10"/>
      <c r="T1339" s="10"/>
      <c r="U1339" s="10"/>
      <c r="V1339" s="10"/>
      <c r="W1339" s="138"/>
      <c r="Y1339"/>
      <c r="Z1339"/>
      <c r="AA1339"/>
      <c r="AB1339"/>
      <c r="AC1339"/>
      <c r="AD1339"/>
      <c r="AE1339"/>
      <c r="AF1339"/>
      <c r="AG1339"/>
      <c r="AH1339"/>
      <c r="AI1339"/>
      <c r="AJ1339"/>
      <c r="AK1339"/>
      <c r="AL1339"/>
      <c r="AM1339"/>
      <c r="AN1339"/>
      <c r="AO1339"/>
    </row>
    <row r="1340" spans="1:41" ht="15">
      <c r="A1340"/>
      <c r="B1340"/>
      <c r="C1340" s="137"/>
      <c r="D1340" s="30"/>
      <c r="E1340" s="30"/>
      <c r="F1340" s="10"/>
      <c r="G1340" s="10"/>
      <c r="H1340" s="15"/>
      <c r="I1340" s="15"/>
      <c r="J1340" s="15"/>
      <c r="K1340" s="15"/>
      <c r="L1340" s="15"/>
      <c r="M1340" s="15"/>
      <c r="N1340" s="15"/>
      <c r="O1340" s="15"/>
      <c r="P1340" s="15"/>
      <c r="Q1340" s="71"/>
      <c r="R1340" s="84"/>
      <c r="S1340" s="10"/>
      <c r="T1340" s="10"/>
      <c r="U1340" s="10"/>
      <c r="V1340" s="10"/>
      <c r="W1340" s="138"/>
      <c r="Y1340"/>
      <c r="Z1340"/>
      <c r="AA1340"/>
      <c r="AB1340"/>
      <c r="AC1340"/>
      <c r="AD1340"/>
      <c r="AE1340"/>
      <c r="AF1340"/>
      <c r="AG1340"/>
      <c r="AH1340"/>
      <c r="AI1340"/>
      <c r="AJ1340"/>
      <c r="AK1340"/>
      <c r="AL1340"/>
      <c r="AM1340"/>
      <c r="AN1340"/>
      <c r="AO1340"/>
    </row>
    <row r="1341" spans="1:41" ht="15">
      <c r="A1341"/>
      <c r="B1341"/>
      <c r="C1341" s="137"/>
      <c r="D1341" s="30"/>
      <c r="E1341" s="30"/>
      <c r="F1341" s="10"/>
      <c r="G1341" s="10"/>
      <c r="H1341" s="15"/>
      <c r="I1341" s="15"/>
      <c r="J1341" s="15"/>
      <c r="K1341" s="15"/>
      <c r="L1341" s="15"/>
      <c r="M1341" s="15"/>
      <c r="N1341" s="15"/>
      <c r="O1341" s="15"/>
      <c r="P1341" s="15"/>
      <c r="Q1341" s="71"/>
      <c r="R1341" s="84"/>
      <c r="S1341" s="10"/>
      <c r="T1341" s="10"/>
      <c r="U1341" s="10"/>
      <c r="V1341" s="10"/>
      <c r="W1341" s="138"/>
      <c r="Y1341"/>
      <c r="Z1341"/>
      <c r="AA1341"/>
      <c r="AB1341"/>
      <c r="AC1341"/>
      <c r="AD1341"/>
      <c r="AE1341"/>
      <c r="AF1341"/>
      <c r="AG1341"/>
      <c r="AH1341"/>
      <c r="AI1341"/>
      <c r="AJ1341"/>
      <c r="AK1341"/>
      <c r="AL1341"/>
      <c r="AM1341"/>
      <c r="AN1341"/>
      <c r="AO1341"/>
    </row>
    <row r="1342" spans="1:41" ht="15">
      <c r="A1342"/>
      <c r="B1342"/>
      <c r="C1342" s="137"/>
      <c r="D1342" s="30"/>
      <c r="E1342" s="30"/>
      <c r="F1342" s="10"/>
      <c r="G1342" s="10"/>
      <c r="H1342" s="15"/>
      <c r="I1342" s="15"/>
      <c r="J1342" s="15"/>
      <c r="K1342" s="15"/>
      <c r="L1342" s="15"/>
      <c r="M1342" s="15"/>
      <c r="N1342" s="15"/>
      <c r="O1342" s="15"/>
      <c r="P1342" s="15"/>
      <c r="Q1342" s="71"/>
      <c r="R1342" s="84"/>
      <c r="S1342" s="10"/>
      <c r="T1342" s="10"/>
      <c r="U1342" s="10"/>
      <c r="V1342" s="10"/>
      <c r="W1342" s="138"/>
      <c r="Y1342"/>
      <c r="Z1342"/>
      <c r="AA1342"/>
      <c r="AB1342"/>
      <c r="AC1342"/>
      <c r="AD1342"/>
      <c r="AE1342"/>
      <c r="AF1342"/>
      <c r="AG1342"/>
      <c r="AH1342"/>
      <c r="AI1342"/>
      <c r="AJ1342"/>
      <c r="AK1342"/>
      <c r="AL1342"/>
      <c r="AM1342"/>
      <c r="AN1342"/>
      <c r="AO1342"/>
    </row>
    <row r="1343" spans="1:41" ht="15">
      <c r="A1343"/>
      <c r="B1343"/>
      <c r="C1343" s="137"/>
      <c r="D1343" s="30"/>
      <c r="E1343" s="30"/>
      <c r="F1343" s="10"/>
      <c r="G1343" s="10"/>
      <c r="H1343" s="15"/>
      <c r="I1343" s="15"/>
      <c r="J1343" s="15"/>
      <c r="K1343" s="15"/>
      <c r="L1343" s="15"/>
      <c r="M1343" s="15"/>
      <c r="N1343" s="15"/>
      <c r="O1343" s="15"/>
      <c r="P1343" s="15"/>
      <c r="Q1343" s="71"/>
      <c r="R1343" s="84"/>
      <c r="S1343" s="10"/>
      <c r="T1343" s="10"/>
      <c r="U1343" s="10"/>
      <c r="V1343" s="10"/>
      <c r="W1343" s="138"/>
      <c r="Y1343"/>
      <c r="Z1343"/>
      <c r="AA1343"/>
      <c r="AB1343"/>
      <c r="AC1343"/>
      <c r="AD1343"/>
      <c r="AE1343"/>
      <c r="AF1343"/>
      <c r="AG1343"/>
      <c r="AH1343"/>
      <c r="AI1343"/>
      <c r="AJ1343"/>
      <c r="AK1343"/>
      <c r="AL1343"/>
      <c r="AM1343"/>
      <c r="AN1343"/>
      <c r="AO1343"/>
    </row>
    <row r="1344" spans="1:41" ht="15">
      <c r="A1344"/>
      <c r="B1344"/>
      <c r="C1344" s="137"/>
      <c r="D1344" s="30"/>
      <c r="E1344" s="30"/>
      <c r="F1344" s="10"/>
      <c r="G1344" s="10"/>
      <c r="H1344" s="15"/>
      <c r="I1344" s="15"/>
      <c r="J1344" s="15"/>
      <c r="K1344" s="15"/>
      <c r="L1344" s="15"/>
      <c r="M1344" s="15"/>
      <c r="N1344" s="15"/>
      <c r="O1344" s="15"/>
      <c r="P1344" s="15"/>
      <c r="Q1344" s="71"/>
      <c r="R1344" s="84"/>
      <c r="S1344" s="10"/>
      <c r="T1344" s="10"/>
      <c r="U1344" s="10"/>
      <c r="V1344" s="10"/>
      <c r="W1344" s="138"/>
      <c r="Y1344"/>
      <c r="Z1344"/>
      <c r="AA1344"/>
      <c r="AB1344"/>
      <c r="AC1344"/>
      <c r="AD1344"/>
      <c r="AE1344"/>
      <c r="AF1344"/>
      <c r="AG1344"/>
      <c r="AH1344"/>
      <c r="AI1344"/>
      <c r="AJ1344"/>
      <c r="AK1344"/>
      <c r="AL1344"/>
      <c r="AM1344"/>
      <c r="AN1344"/>
      <c r="AO1344"/>
    </row>
    <row r="1345" spans="1:41" ht="15">
      <c r="A1345"/>
      <c r="B1345"/>
      <c r="C1345" s="137"/>
      <c r="D1345" s="30"/>
      <c r="E1345" s="30"/>
      <c r="F1345" s="10"/>
      <c r="G1345" s="10"/>
      <c r="H1345" s="15"/>
      <c r="I1345" s="15"/>
      <c r="J1345" s="15"/>
      <c r="K1345" s="15"/>
      <c r="L1345" s="15"/>
      <c r="M1345" s="15"/>
      <c r="N1345" s="15"/>
      <c r="O1345" s="15"/>
      <c r="P1345" s="15"/>
      <c r="Q1345" s="71"/>
      <c r="R1345" s="84"/>
      <c r="S1345" s="10"/>
      <c r="T1345" s="10"/>
      <c r="U1345" s="10"/>
      <c r="V1345" s="10"/>
      <c r="W1345" s="138"/>
      <c r="Y1345"/>
      <c r="Z1345"/>
      <c r="AA1345"/>
      <c r="AB1345"/>
      <c r="AC1345"/>
      <c r="AD1345"/>
      <c r="AE1345"/>
      <c r="AF1345"/>
      <c r="AG1345"/>
      <c r="AH1345"/>
      <c r="AI1345"/>
      <c r="AJ1345"/>
      <c r="AK1345"/>
      <c r="AL1345"/>
      <c r="AM1345"/>
      <c r="AN1345"/>
      <c r="AO1345"/>
    </row>
    <row r="1346" spans="1:41" ht="15">
      <c r="A1346"/>
      <c r="B1346"/>
      <c r="C1346" s="137"/>
      <c r="D1346" s="30"/>
      <c r="E1346" s="30"/>
      <c r="F1346" s="10"/>
      <c r="G1346" s="10"/>
      <c r="H1346" s="15"/>
      <c r="I1346" s="15"/>
      <c r="J1346" s="15"/>
      <c r="K1346" s="15"/>
      <c r="L1346" s="15"/>
      <c r="M1346" s="15"/>
      <c r="N1346" s="15"/>
      <c r="O1346" s="15"/>
      <c r="P1346" s="15"/>
      <c r="Q1346" s="71"/>
      <c r="R1346" s="84"/>
      <c r="S1346" s="10"/>
      <c r="T1346" s="10"/>
      <c r="U1346" s="10"/>
      <c r="V1346" s="10"/>
      <c r="W1346" s="138"/>
      <c r="Y1346"/>
      <c r="Z1346"/>
      <c r="AA1346"/>
      <c r="AB1346"/>
      <c r="AC1346"/>
      <c r="AD1346"/>
      <c r="AE1346"/>
      <c r="AF1346"/>
      <c r="AG1346"/>
      <c r="AH1346"/>
      <c r="AI1346"/>
      <c r="AJ1346"/>
      <c r="AK1346"/>
      <c r="AL1346"/>
      <c r="AM1346"/>
      <c r="AN1346"/>
      <c r="AO1346"/>
    </row>
    <row r="1347" spans="1:41" ht="15">
      <c r="A1347"/>
      <c r="B1347"/>
      <c r="C1347" s="137"/>
      <c r="D1347" s="30"/>
      <c r="E1347" s="30"/>
      <c r="F1347" s="10"/>
      <c r="G1347" s="10"/>
      <c r="H1347" s="15"/>
      <c r="I1347" s="15"/>
      <c r="J1347" s="15"/>
      <c r="K1347" s="15"/>
      <c r="L1347" s="15"/>
      <c r="M1347" s="15"/>
      <c r="N1347" s="15"/>
      <c r="O1347" s="15"/>
      <c r="P1347" s="15"/>
      <c r="Q1347" s="71"/>
      <c r="R1347" s="84"/>
      <c r="S1347" s="10"/>
      <c r="T1347" s="10"/>
      <c r="U1347" s="10"/>
      <c r="V1347" s="10"/>
      <c r="W1347" s="138"/>
      <c r="Y1347"/>
      <c r="Z1347"/>
      <c r="AA1347"/>
      <c r="AB1347"/>
      <c r="AC1347"/>
      <c r="AD1347"/>
      <c r="AE1347"/>
      <c r="AF1347"/>
      <c r="AG1347"/>
      <c r="AH1347"/>
      <c r="AI1347"/>
      <c r="AJ1347"/>
      <c r="AK1347"/>
      <c r="AL1347"/>
      <c r="AM1347"/>
      <c r="AN1347"/>
      <c r="AO1347"/>
    </row>
    <row r="1348" spans="1:41" ht="15">
      <c r="A1348"/>
      <c r="B1348"/>
      <c r="C1348" s="137"/>
      <c r="D1348" s="30"/>
      <c r="E1348" s="30"/>
      <c r="F1348" s="10"/>
      <c r="G1348" s="10"/>
      <c r="H1348" s="15"/>
      <c r="I1348" s="15"/>
      <c r="J1348" s="15"/>
      <c r="K1348" s="15"/>
      <c r="L1348" s="15"/>
      <c r="M1348" s="15"/>
      <c r="N1348" s="15"/>
      <c r="O1348" s="15"/>
      <c r="P1348" s="15"/>
      <c r="Q1348" s="71"/>
      <c r="R1348" s="84"/>
      <c r="S1348" s="10"/>
      <c r="T1348" s="10"/>
      <c r="U1348" s="10"/>
      <c r="V1348" s="10"/>
      <c r="W1348" s="138"/>
      <c r="Y1348"/>
      <c r="Z1348"/>
      <c r="AA1348"/>
      <c r="AB1348"/>
      <c r="AC1348"/>
      <c r="AD1348"/>
      <c r="AE1348"/>
      <c r="AF1348"/>
      <c r="AG1348"/>
      <c r="AH1348"/>
      <c r="AI1348"/>
      <c r="AJ1348"/>
      <c r="AK1348"/>
      <c r="AL1348"/>
      <c r="AM1348"/>
      <c r="AN1348"/>
      <c r="AO1348"/>
    </row>
    <row r="1349" spans="1:41" ht="15">
      <c r="A1349"/>
      <c r="B1349"/>
      <c r="C1349" s="137"/>
      <c r="D1349" s="30"/>
      <c r="E1349" s="30"/>
      <c r="F1349" s="10"/>
      <c r="G1349" s="10"/>
      <c r="H1349" s="15"/>
      <c r="I1349" s="15"/>
      <c r="J1349" s="15"/>
      <c r="K1349" s="15"/>
      <c r="L1349" s="15"/>
      <c r="M1349" s="15"/>
      <c r="N1349" s="15"/>
      <c r="O1349" s="15"/>
      <c r="P1349" s="15"/>
      <c r="Q1349" s="71"/>
      <c r="R1349" s="84"/>
      <c r="S1349" s="10"/>
      <c r="T1349" s="10"/>
      <c r="U1349" s="10"/>
      <c r="V1349" s="10"/>
      <c r="W1349" s="138"/>
      <c r="Y1349"/>
      <c r="Z1349"/>
      <c r="AA1349"/>
      <c r="AB1349"/>
      <c r="AC1349"/>
      <c r="AD1349"/>
      <c r="AE1349"/>
      <c r="AF1349"/>
      <c r="AG1349"/>
      <c r="AH1349"/>
      <c r="AI1349"/>
      <c r="AJ1349"/>
      <c r="AK1349"/>
      <c r="AL1349"/>
      <c r="AM1349"/>
      <c r="AN1349"/>
      <c r="AO1349"/>
    </row>
    <row r="1350" spans="1:41" ht="15">
      <c r="A1350"/>
      <c r="B1350"/>
      <c r="C1350" s="137"/>
      <c r="D1350" s="30"/>
      <c r="E1350" s="30"/>
      <c r="F1350" s="10"/>
      <c r="G1350" s="10"/>
      <c r="H1350" s="15"/>
      <c r="I1350" s="15"/>
      <c r="J1350" s="15"/>
      <c r="K1350" s="15"/>
      <c r="L1350" s="15"/>
      <c r="M1350" s="15"/>
      <c r="N1350" s="15"/>
      <c r="O1350" s="15"/>
      <c r="P1350" s="15"/>
      <c r="Q1350" s="71"/>
      <c r="R1350" s="84"/>
      <c r="S1350" s="10"/>
      <c r="T1350" s="10"/>
      <c r="U1350" s="10"/>
      <c r="V1350" s="10"/>
      <c r="W1350" s="138"/>
      <c r="Y1350"/>
      <c r="Z1350"/>
      <c r="AA1350"/>
      <c r="AB1350"/>
      <c r="AC1350"/>
      <c r="AD1350"/>
      <c r="AE1350"/>
      <c r="AF1350"/>
      <c r="AG1350"/>
      <c r="AH1350"/>
      <c r="AI1350"/>
      <c r="AJ1350"/>
      <c r="AK1350"/>
      <c r="AL1350"/>
      <c r="AM1350"/>
      <c r="AN1350"/>
      <c r="AO1350"/>
    </row>
    <row r="1351" spans="1:41" ht="15">
      <c r="A1351"/>
      <c r="B1351"/>
      <c r="C1351" s="137"/>
      <c r="D1351" s="30"/>
      <c r="E1351" s="30"/>
      <c r="F1351" s="10"/>
      <c r="G1351" s="10"/>
      <c r="H1351" s="15"/>
      <c r="I1351" s="15"/>
      <c r="J1351" s="15"/>
      <c r="K1351" s="15"/>
      <c r="L1351" s="15"/>
      <c r="M1351" s="15"/>
      <c r="N1351" s="15"/>
      <c r="O1351" s="15"/>
      <c r="P1351" s="15"/>
      <c r="Q1351" s="71"/>
      <c r="R1351" s="84"/>
      <c r="S1351" s="10"/>
      <c r="T1351" s="10"/>
      <c r="U1351" s="10"/>
      <c r="V1351" s="10"/>
      <c r="W1351" s="138"/>
      <c r="Y1351"/>
      <c r="Z1351"/>
      <c r="AA1351"/>
      <c r="AB1351"/>
      <c r="AC1351"/>
      <c r="AD1351"/>
      <c r="AE1351"/>
      <c r="AF1351"/>
      <c r="AG1351"/>
      <c r="AH1351"/>
      <c r="AI1351"/>
      <c r="AJ1351"/>
      <c r="AK1351"/>
      <c r="AL1351"/>
      <c r="AM1351"/>
      <c r="AN1351"/>
      <c r="AO1351"/>
    </row>
    <row r="1352" spans="1:41" ht="15">
      <c r="A1352"/>
      <c r="B1352"/>
      <c r="C1352" s="137"/>
      <c r="D1352" s="30"/>
      <c r="E1352" s="30"/>
      <c r="F1352" s="10"/>
      <c r="G1352" s="10"/>
      <c r="H1352" s="15"/>
      <c r="I1352" s="15"/>
      <c r="J1352" s="15"/>
      <c r="K1352" s="15"/>
      <c r="L1352" s="15"/>
      <c r="M1352" s="15"/>
      <c r="N1352" s="15"/>
      <c r="O1352" s="15"/>
      <c r="P1352" s="15"/>
      <c r="Q1352" s="71"/>
      <c r="R1352" s="84"/>
      <c r="S1352" s="10"/>
      <c r="T1352" s="10"/>
      <c r="U1352" s="10"/>
      <c r="V1352" s="10"/>
      <c r="W1352" s="138"/>
      <c r="Y1352"/>
      <c r="Z1352"/>
      <c r="AA1352"/>
      <c r="AB1352"/>
      <c r="AC1352"/>
      <c r="AD1352"/>
      <c r="AE1352"/>
      <c r="AF1352"/>
      <c r="AG1352"/>
      <c r="AH1352"/>
      <c r="AI1352"/>
      <c r="AJ1352"/>
      <c r="AK1352"/>
      <c r="AL1352"/>
      <c r="AM1352"/>
      <c r="AN1352"/>
      <c r="AO1352"/>
    </row>
    <row r="1353" spans="1:41" ht="15">
      <c r="A1353"/>
      <c r="B1353"/>
      <c r="C1353" s="137"/>
      <c r="D1353" s="30"/>
      <c r="E1353" s="30"/>
      <c r="F1353" s="10"/>
      <c r="G1353" s="10"/>
      <c r="H1353" s="15"/>
      <c r="I1353" s="15"/>
      <c r="J1353" s="15"/>
      <c r="K1353" s="15"/>
      <c r="L1353" s="15"/>
      <c r="M1353" s="15"/>
      <c r="N1353" s="15"/>
      <c r="O1353" s="15"/>
      <c r="P1353" s="15"/>
      <c r="Q1353" s="71"/>
      <c r="R1353" s="84"/>
      <c r="S1353" s="10"/>
      <c r="T1353" s="10"/>
      <c r="U1353" s="10"/>
      <c r="V1353" s="10"/>
      <c r="W1353" s="138"/>
      <c r="Y1353"/>
      <c r="Z1353"/>
      <c r="AA1353"/>
      <c r="AB1353"/>
      <c r="AC1353"/>
      <c r="AD1353"/>
      <c r="AE1353"/>
      <c r="AF1353"/>
      <c r="AG1353"/>
      <c r="AH1353"/>
      <c r="AI1353"/>
      <c r="AJ1353"/>
      <c r="AK1353"/>
      <c r="AL1353"/>
      <c r="AM1353"/>
      <c r="AN1353"/>
      <c r="AO1353"/>
    </row>
    <row r="1354" spans="1:41" ht="15">
      <c r="A1354"/>
      <c r="B1354"/>
      <c r="C1354" s="137"/>
      <c r="D1354" s="30"/>
      <c r="E1354" s="30"/>
      <c r="F1354" s="10"/>
      <c r="G1354" s="10"/>
      <c r="H1354" s="15"/>
      <c r="I1354" s="15"/>
      <c r="J1354" s="15"/>
      <c r="K1354" s="15"/>
      <c r="L1354" s="15"/>
      <c r="M1354" s="15"/>
      <c r="N1354" s="15"/>
      <c r="O1354" s="15"/>
      <c r="P1354" s="15"/>
      <c r="Q1354" s="71"/>
      <c r="R1354" s="84"/>
      <c r="S1354" s="10"/>
      <c r="T1354" s="10"/>
      <c r="U1354" s="10"/>
      <c r="V1354" s="10"/>
      <c r="W1354" s="138"/>
      <c r="Y1354"/>
      <c r="Z1354"/>
      <c r="AA1354"/>
      <c r="AB1354"/>
      <c r="AC1354"/>
      <c r="AD1354"/>
      <c r="AE1354"/>
      <c r="AF1354"/>
      <c r="AG1354"/>
      <c r="AH1354"/>
      <c r="AI1354"/>
      <c r="AJ1354"/>
      <c r="AK1354"/>
      <c r="AL1354"/>
      <c r="AM1354"/>
      <c r="AN1354"/>
      <c r="AO1354"/>
    </row>
    <row r="1355" spans="1:41" ht="15">
      <c r="A1355"/>
      <c r="B1355"/>
      <c r="C1355" s="137"/>
      <c r="D1355" s="30"/>
      <c r="E1355" s="30"/>
      <c r="F1355" s="10"/>
      <c r="G1355" s="10"/>
      <c r="H1355" s="15"/>
      <c r="I1355" s="15"/>
      <c r="J1355" s="15"/>
      <c r="K1355" s="15"/>
      <c r="L1355" s="15"/>
      <c r="M1355" s="15"/>
      <c r="N1355" s="15"/>
      <c r="O1355" s="15"/>
      <c r="P1355" s="15"/>
      <c r="Q1355" s="71"/>
      <c r="R1355" s="84"/>
      <c r="S1355" s="10"/>
      <c r="T1355" s="10"/>
      <c r="U1355" s="10"/>
      <c r="V1355" s="10"/>
      <c r="W1355" s="138"/>
      <c r="Y1355"/>
      <c r="Z1355"/>
      <c r="AA1355"/>
      <c r="AB1355"/>
      <c r="AC1355"/>
      <c r="AD1355"/>
      <c r="AE1355"/>
      <c r="AF1355"/>
      <c r="AG1355"/>
      <c r="AH1355"/>
      <c r="AI1355"/>
      <c r="AJ1355"/>
      <c r="AK1355"/>
      <c r="AL1355"/>
      <c r="AM1355"/>
      <c r="AN1355"/>
      <c r="AO1355"/>
    </row>
    <row r="1356" spans="1:41" ht="15">
      <c r="A1356"/>
      <c r="B1356"/>
      <c r="C1356" s="137"/>
      <c r="D1356" s="30"/>
      <c r="E1356" s="30"/>
      <c r="F1356" s="10"/>
      <c r="G1356" s="10"/>
      <c r="H1356" s="15"/>
      <c r="I1356" s="15"/>
      <c r="J1356" s="15"/>
      <c r="K1356" s="15"/>
      <c r="L1356" s="15"/>
      <c r="M1356" s="15"/>
      <c r="N1356" s="15"/>
      <c r="O1356" s="15"/>
      <c r="P1356" s="15"/>
      <c r="Q1356" s="71"/>
      <c r="R1356" s="84"/>
      <c r="S1356" s="10"/>
      <c r="T1356" s="10"/>
      <c r="U1356" s="10"/>
      <c r="V1356" s="10"/>
      <c r="W1356" s="138"/>
      <c r="Y1356"/>
      <c r="Z1356"/>
      <c r="AA1356"/>
      <c r="AB1356"/>
      <c r="AC1356"/>
      <c r="AD1356"/>
      <c r="AE1356"/>
      <c r="AF1356"/>
      <c r="AG1356"/>
      <c r="AH1356"/>
      <c r="AI1356"/>
      <c r="AJ1356"/>
      <c r="AK1356"/>
      <c r="AL1356"/>
      <c r="AM1356"/>
      <c r="AN1356"/>
      <c r="AO1356"/>
    </row>
    <row r="1357" spans="1:41" ht="15">
      <c r="A1357"/>
      <c r="B1357"/>
      <c r="C1357" s="137"/>
      <c r="D1357" s="30"/>
      <c r="E1357" s="30"/>
      <c r="F1357" s="10"/>
      <c r="G1357" s="10"/>
      <c r="H1357" s="15"/>
      <c r="I1357" s="15"/>
      <c r="J1357" s="15"/>
      <c r="K1357" s="15"/>
      <c r="L1357" s="15"/>
      <c r="M1357" s="15"/>
      <c r="N1357" s="15"/>
      <c r="O1357" s="15"/>
      <c r="P1357" s="15"/>
      <c r="Q1357" s="71"/>
      <c r="R1357" s="84"/>
      <c r="S1357" s="10"/>
      <c r="T1357" s="10"/>
      <c r="U1357" s="10"/>
      <c r="V1357" s="10"/>
      <c r="W1357" s="138"/>
      <c r="Y1357"/>
      <c r="Z1357"/>
      <c r="AA1357"/>
      <c r="AB1357"/>
      <c r="AC1357"/>
      <c r="AD1357"/>
      <c r="AE1357"/>
      <c r="AF1357"/>
      <c r="AG1357"/>
      <c r="AH1357"/>
      <c r="AI1357"/>
      <c r="AJ1357"/>
      <c r="AK1357"/>
      <c r="AL1357"/>
      <c r="AM1357"/>
      <c r="AN1357"/>
      <c r="AO1357"/>
    </row>
    <row r="1358" spans="1:41" ht="15">
      <c r="A1358"/>
      <c r="B1358"/>
      <c r="C1358" s="137"/>
      <c r="D1358" s="30"/>
      <c r="E1358" s="30"/>
      <c r="F1358" s="10"/>
      <c r="G1358" s="10"/>
      <c r="H1358" s="15"/>
      <c r="I1358" s="15"/>
      <c r="J1358" s="15"/>
      <c r="K1358" s="15"/>
      <c r="L1358" s="15"/>
      <c r="M1358" s="15"/>
      <c r="N1358" s="15"/>
      <c r="O1358" s="15"/>
      <c r="P1358" s="15"/>
      <c r="Q1358" s="71"/>
      <c r="R1358" s="84"/>
      <c r="S1358" s="10"/>
      <c r="T1358" s="10"/>
      <c r="U1358" s="10"/>
      <c r="V1358" s="10"/>
      <c r="W1358" s="138"/>
      <c r="Y1358"/>
      <c r="Z1358"/>
      <c r="AA1358"/>
      <c r="AB1358"/>
      <c r="AC1358"/>
      <c r="AD1358"/>
      <c r="AE1358"/>
      <c r="AF1358"/>
      <c r="AG1358"/>
      <c r="AH1358"/>
      <c r="AI1358"/>
      <c r="AJ1358"/>
      <c r="AK1358"/>
      <c r="AL1358"/>
      <c r="AM1358"/>
      <c r="AN1358"/>
      <c r="AO1358"/>
    </row>
    <row r="1359" spans="1:41" ht="15">
      <c r="A1359"/>
      <c r="B1359"/>
      <c r="C1359" s="137"/>
      <c r="D1359" s="30"/>
      <c r="E1359" s="30"/>
      <c r="F1359" s="10"/>
      <c r="G1359" s="10"/>
      <c r="H1359" s="15"/>
      <c r="I1359" s="15"/>
      <c r="J1359" s="15"/>
      <c r="K1359" s="15"/>
      <c r="L1359" s="15"/>
      <c r="M1359" s="15"/>
      <c r="N1359" s="15"/>
      <c r="O1359" s="15"/>
      <c r="P1359" s="15"/>
      <c r="Q1359" s="71"/>
      <c r="R1359" s="84"/>
      <c r="S1359" s="10"/>
      <c r="T1359" s="10"/>
      <c r="U1359" s="10"/>
      <c r="V1359" s="10"/>
      <c r="W1359" s="138"/>
      <c r="Y1359"/>
      <c r="Z1359"/>
      <c r="AA1359"/>
      <c r="AB1359"/>
      <c r="AC1359"/>
      <c r="AD1359"/>
      <c r="AE1359"/>
      <c r="AF1359"/>
      <c r="AG1359"/>
      <c r="AH1359"/>
      <c r="AI1359"/>
      <c r="AJ1359"/>
      <c r="AK1359"/>
      <c r="AL1359"/>
      <c r="AM1359"/>
      <c r="AN1359"/>
      <c r="AO1359"/>
    </row>
    <row r="1360" spans="1:41" ht="15">
      <c r="A1360"/>
      <c r="B1360"/>
      <c r="C1360" s="137"/>
      <c r="D1360" s="30"/>
      <c r="E1360" s="30"/>
      <c r="F1360" s="10"/>
      <c r="G1360" s="10"/>
      <c r="H1360" s="15"/>
      <c r="I1360" s="15"/>
      <c r="J1360" s="15"/>
      <c r="K1360" s="15"/>
      <c r="L1360" s="15"/>
      <c r="M1360" s="15"/>
      <c r="N1360" s="15"/>
      <c r="O1360" s="15"/>
      <c r="P1360" s="15"/>
      <c r="Q1360" s="71"/>
      <c r="R1360" s="84"/>
      <c r="S1360" s="10"/>
      <c r="T1360" s="10"/>
      <c r="U1360" s="10"/>
      <c r="V1360" s="10"/>
      <c r="W1360" s="138"/>
      <c r="Y1360"/>
      <c r="Z1360"/>
      <c r="AA1360"/>
      <c r="AB1360"/>
      <c r="AC1360"/>
      <c r="AD1360"/>
      <c r="AE1360"/>
      <c r="AF1360"/>
      <c r="AG1360"/>
      <c r="AH1360"/>
      <c r="AI1360"/>
      <c r="AJ1360"/>
      <c r="AK1360"/>
      <c r="AL1360"/>
      <c r="AM1360"/>
      <c r="AN1360"/>
      <c r="AO1360"/>
    </row>
    <row r="1361" spans="1:41" ht="15">
      <c r="A1361"/>
      <c r="B1361"/>
      <c r="C1361" s="137"/>
      <c r="D1361" s="30"/>
      <c r="E1361" s="30"/>
      <c r="F1361" s="10"/>
      <c r="G1361" s="10"/>
      <c r="H1361" s="15"/>
      <c r="I1361" s="15"/>
      <c r="J1361" s="15"/>
      <c r="K1361" s="15"/>
      <c r="L1361" s="15"/>
      <c r="M1361" s="15"/>
      <c r="N1361" s="15"/>
      <c r="O1361" s="15"/>
      <c r="P1361" s="15"/>
      <c r="Q1361" s="71"/>
      <c r="R1361" s="84"/>
      <c r="S1361" s="10"/>
      <c r="T1361" s="10"/>
      <c r="U1361" s="10"/>
      <c r="V1361" s="10"/>
      <c r="W1361" s="138"/>
      <c r="Y1361"/>
      <c r="Z1361"/>
      <c r="AA1361"/>
      <c r="AB1361"/>
      <c r="AC1361"/>
      <c r="AD1361"/>
      <c r="AE1361"/>
      <c r="AF1361"/>
      <c r="AG1361"/>
      <c r="AH1361"/>
      <c r="AI1361"/>
      <c r="AJ1361"/>
      <c r="AK1361"/>
      <c r="AL1361"/>
      <c r="AM1361"/>
      <c r="AN1361"/>
      <c r="AO1361"/>
    </row>
    <row r="1362" spans="1:41" ht="15">
      <c r="A1362"/>
      <c r="B1362"/>
      <c r="C1362" s="137"/>
      <c r="D1362" s="30"/>
      <c r="E1362" s="30"/>
      <c r="F1362" s="10"/>
      <c r="G1362" s="10"/>
      <c r="H1362" s="15"/>
      <c r="I1362" s="15"/>
      <c r="J1362" s="15"/>
      <c r="K1362" s="15"/>
      <c r="L1362" s="15"/>
      <c r="M1362" s="15"/>
      <c r="N1362" s="15"/>
      <c r="O1362" s="15"/>
      <c r="P1362" s="15"/>
      <c r="Q1362" s="71"/>
      <c r="R1362" s="84"/>
      <c r="S1362" s="10"/>
      <c r="T1362" s="10"/>
      <c r="U1362" s="10"/>
      <c r="V1362" s="10"/>
      <c r="W1362" s="138"/>
      <c r="Y1362"/>
      <c r="Z1362"/>
      <c r="AA1362"/>
      <c r="AB1362"/>
      <c r="AC1362"/>
      <c r="AD1362"/>
      <c r="AE1362"/>
      <c r="AF1362"/>
      <c r="AG1362"/>
      <c r="AH1362"/>
      <c r="AI1362"/>
      <c r="AJ1362"/>
      <c r="AK1362"/>
      <c r="AL1362"/>
      <c r="AM1362"/>
      <c r="AN1362"/>
      <c r="AO1362"/>
    </row>
    <row r="1363" spans="1:41" ht="15">
      <c r="A1363"/>
      <c r="B1363"/>
      <c r="C1363" s="137"/>
      <c r="D1363" s="30"/>
      <c r="E1363" s="30"/>
      <c r="F1363" s="10"/>
      <c r="G1363" s="10"/>
      <c r="H1363" s="15"/>
      <c r="I1363" s="15"/>
      <c r="J1363" s="15"/>
      <c r="K1363" s="15"/>
      <c r="L1363" s="15"/>
      <c r="M1363" s="15"/>
      <c r="N1363" s="15"/>
      <c r="O1363" s="15"/>
      <c r="P1363" s="15"/>
      <c r="Q1363" s="71"/>
      <c r="R1363" s="84"/>
      <c r="S1363" s="10"/>
      <c r="T1363" s="10"/>
      <c r="U1363" s="10"/>
      <c r="V1363" s="10"/>
      <c r="W1363" s="138"/>
      <c r="Y1363"/>
      <c r="Z1363"/>
      <c r="AA1363"/>
      <c r="AB1363"/>
      <c r="AC1363"/>
      <c r="AD1363"/>
      <c r="AE1363"/>
      <c r="AF1363"/>
      <c r="AG1363"/>
      <c r="AH1363"/>
      <c r="AI1363"/>
      <c r="AJ1363"/>
      <c r="AK1363"/>
      <c r="AL1363"/>
      <c r="AM1363"/>
      <c r="AN1363"/>
      <c r="AO1363"/>
    </row>
    <row r="1364" spans="1:41" ht="15">
      <c r="A1364"/>
      <c r="B1364"/>
      <c r="C1364" s="137"/>
      <c r="D1364" s="30"/>
      <c r="E1364" s="30"/>
      <c r="F1364" s="10"/>
      <c r="G1364" s="10"/>
      <c r="H1364" s="15"/>
      <c r="I1364" s="15"/>
      <c r="J1364" s="15"/>
      <c r="K1364" s="15"/>
      <c r="L1364" s="15"/>
      <c r="M1364" s="15"/>
      <c r="N1364" s="15"/>
      <c r="O1364" s="15"/>
      <c r="P1364" s="15"/>
      <c r="Q1364" s="71"/>
      <c r="R1364" s="84"/>
      <c r="S1364" s="10"/>
      <c r="T1364" s="10"/>
      <c r="U1364" s="10"/>
      <c r="V1364" s="10"/>
      <c r="W1364" s="138"/>
      <c r="Y1364"/>
      <c r="Z1364"/>
      <c r="AA1364"/>
      <c r="AB1364"/>
      <c r="AC1364"/>
      <c r="AD1364"/>
      <c r="AE1364"/>
      <c r="AF1364"/>
      <c r="AG1364"/>
      <c r="AH1364"/>
      <c r="AI1364"/>
      <c r="AJ1364"/>
      <c r="AK1364"/>
      <c r="AL1364"/>
      <c r="AM1364"/>
      <c r="AN1364"/>
      <c r="AO1364"/>
    </row>
    <row r="1365" spans="1:41" ht="15">
      <c r="A1365"/>
      <c r="B1365"/>
      <c r="C1365" s="137"/>
      <c r="D1365" s="30"/>
      <c r="E1365" s="30"/>
      <c r="F1365" s="10"/>
      <c r="G1365" s="10"/>
      <c r="H1365" s="15"/>
      <c r="I1365" s="15"/>
      <c r="J1365" s="15"/>
      <c r="K1365" s="15"/>
      <c r="L1365" s="15"/>
      <c r="M1365" s="15"/>
      <c r="N1365" s="15"/>
      <c r="O1365" s="15"/>
      <c r="P1365" s="15"/>
      <c r="Q1365" s="71"/>
      <c r="R1365" s="84"/>
      <c r="S1365" s="10"/>
      <c r="T1365" s="10"/>
      <c r="U1365" s="10"/>
      <c r="V1365" s="10"/>
      <c r="W1365" s="138"/>
      <c r="Y1365"/>
      <c r="Z1365"/>
      <c r="AA1365"/>
      <c r="AB1365"/>
      <c r="AC1365"/>
      <c r="AD1365"/>
      <c r="AE1365"/>
      <c r="AF1365"/>
      <c r="AG1365"/>
      <c r="AH1365"/>
      <c r="AI1365"/>
      <c r="AJ1365"/>
      <c r="AK1365"/>
      <c r="AL1365"/>
      <c r="AM1365"/>
      <c r="AN1365"/>
      <c r="AO1365"/>
    </row>
    <row r="1366" spans="1:41" ht="15">
      <c r="A1366"/>
      <c r="B1366"/>
      <c r="C1366" s="137"/>
      <c r="D1366" s="30"/>
      <c r="E1366" s="30"/>
      <c r="F1366" s="10"/>
      <c r="G1366" s="10"/>
      <c r="H1366" s="15"/>
      <c r="I1366" s="15"/>
      <c r="J1366" s="15"/>
      <c r="K1366" s="15"/>
      <c r="L1366" s="15"/>
      <c r="M1366" s="15"/>
      <c r="N1366" s="15"/>
      <c r="O1366" s="15"/>
      <c r="P1366" s="15"/>
      <c r="Q1366" s="71"/>
      <c r="R1366" s="84"/>
      <c r="S1366" s="10"/>
      <c r="T1366" s="10"/>
      <c r="U1366" s="10"/>
      <c r="V1366" s="10"/>
      <c r="W1366" s="138"/>
      <c r="Y1366"/>
      <c r="Z1366"/>
      <c r="AA1366"/>
      <c r="AB1366"/>
      <c r="AC1366"/>
      <c r="AD1366"/>
      <c r="AE1366"/>
      <c r="AF1366"/>
      <c r="AG1366"/>
      <c r="AH1366"/>
      <c r="AI1366"/>
      <c r="AJ1366"/>
      <c r="AK1366"/>
      <c r="AL1366"/>
      <c r="AM1366"/>
      <c r="AN1366"/>
      <c r="AO1366"/>
    </row>
    <row r="1367" spans="1:41" ht="15">
      <c r="A1367"/>
      <c r="B1367"/>
      <c r="C1367" s="137"/>
      <c r="D1367" s="30"/>
      <c r="E1367" s="30"/>
      <c r="F1367" s="10"/>
      <c r="G1367" s="10"/>
      <c r="H1367" s="15"/>
      <c r="I1367" s="15"/>
      <c r="J1367" s="15"/>
      <c r="K1367" s="15"/>
      <c r="L1367" s="15"/>
      <c r="M1367" s="15"/>
      <c r="N1367" s="15"/>
      <c r="O1367" s="15"/>
      <c r="P1367" s="15"/>
      <c r="Q1367" s="71"/>
      <c r="R1367" s="84"/>
      <c r="S1367" s="10"/>
      <c r="T1367" s="10"/>
      <c r="U1367" s="10"/>
      <c r="V1367" s="10"/>
      <c r="W1367" s="138"/>
      <c r="Y1367"/>
      <c r="Z1367"/>
      <c r="AA1367"/>
      <c r="AB1367"/>
      <c r="AC1367"/>
      <c r="AD1367"/>
      <c r="AE1367"/>
      <c r="AF1367"/>
      <c r="AG1367"/>
      <c r="AH1367"/>
      <c r="AI1367"/>
      <c r="AJ1367"/>
      <c r="AK1367"/>
      <c r="AL1367"/>
      <c r="AM1367"/>
      <c r="AN1367"/>
      <c r="AO1367"/>
    </row>
    <row r="1368" spans="1:41" ht="15">
      <c r="A1368"/>
      <c r="B1368"/>
      <c r="C1368" s="137"/>
      <c r="D1368" s="30"/>
      <c r="E1368" s="30"/>
      <c r="F1368" s="10"/>
      <c r="G1368" s="10"/>
      <c r="H1368" s="15"/>
      <c r="I1368" s="15"/>
      <c r="J1368" s="15"/>
      <c r="K1368" s="15"/>
      <c r="L1368" s="15"/>
      <c r="M1368" s="15"/>
      <c r="N1368" s="15"/>
      <c r="O1368" s="15"/>
      <c r="P1368" s="15"/>
      <c r="Q1368" s="71"/>
      <c r="R1368" s="84"/>
      <c r="S1368" s="10"/>
      <c r="T1368" s="10"/>
      <c r="U1368" s="10"/>
      <c r="V1368" s="10"/>
      <c r="W1368" s="138"/>
      <c r="Y1368"/>
      <c r="Z1368"/>
      <c r="AA1368"/>
      <c r="AB1368"/>
      <c r="AC1368"/>
      <c r="AD1368"/>
      <c r="AE1368"/>
      <c r="AF1368"/>
      <c r="AG1368"/>
      <c r="AH1368"/>
      <c r="AI1368"/>
      <c r="AJ1368"/>
      <c r="AK1368"/>
      <c r="AL1368"/>
      <c r="AM1368"/>
      <c r="AN1368"/>
      <c r="AO1368"/>
    </row>
    <row r="1369" spans="1:41" ht="15">
      <c r="A1369"/>
      <c r="B1369"/>
      <c r="C1369" s="137"/>
      <c r="D1369" s="30"/>
      <c r="E1369" s="30"/>
      <c r="F1369" s="10"/>
      <c r="G1369" s="10"/>
      <c r="H1369" s="15"/>
      <c r="I1369" s="15"/>
      <c r="J1369" s="15"/>
      <c r="K1369" s="15"/>
      <c r="L1369" s="15"/>
      <c r="M1369" s="15"/>
      <c r="N1369" s="15"/>
      <c r="O1369" s="15"/>
      <c r="P1369" s="15"/>
      <c r="Q1369" s="71"/>
      <c r="R1369" s="84"/>
      <c r="S1369" s="10"/>
      <c r="T1369" s="10"/>
      <c r="U1369" s="10"/>
      <c r="V1369" s="10"/>
      <c r="W1369" s="138"/>
      <c r="Y1369"/>
      <c r="Z1369"/>
      <c r="AA1369"/>
      <c r="AB1369"/>
      <c r="AC1369"/>
      <c r="AD1369"/>
      <c r="AE1369"/>
      <c r="AF1369"/>
      <c r="AG1369"/>
      <c r="AH1369"/>
      <c r="AI1369"/>
      <c r="AJ1369"/>
      <c r="AK1369"/>
      <c r="AL1369"/>
      <c r="AM1369"/>
      <c r="AN1369"/>
      <c r="AO1369"/>
    </row>
    <row r="1370" spans="1:41" ht="15">
      <c r="A1370"/>
      <c r="B1370"/>
      <c r="C1370" s="137"/>
      <c r="D1370" s="30"/>
      <c r="E1370" s="30"/>
      <c r="F1370" s="10"/>
      <c r="G1370" s="10"/>
      <c r="H1370" s="15"/>
      <c r="I1370" s="15"/>
      <c r="J1370" s="15"/>
      <c r="K1370" s="15"/>
      <c r="L1370" s="15"/>
      <c r="M1370" s="15"/>
      <c r="N1370" s="15"/>
      <c r="O1370" s="15"/>
      <c r="P1370" s="15"/>
      <c r="Q1370" s="71"/>
      <c r="R1370" s="84"/>
      <c r="S1370" s="10"/>
      <c r="T1370" s="10"/>
      <c r="U1370" s="10"/>
      <c r="V1370" s="10"/>
      <c r="W1370" s="138"/>
      <c r="Y1370"/>
      <c r="Z1370"/>
      <c r="AA1370"/>
      <c r="AB1370"/>
      <c r="AC1370"/>
      <c r="AD1370"/>
      <c r="AE1370"/>
      <c r="AF1370"/>
      <c r="AG1370"/>
      <c r="AH1370"/>
      <c r="AI1370"/>
      <c r="AJ1370"/>
      <c r="AK1370"/>
      <c r="AL1370"/>
      <c r="AM1370"/>
      <c r="AN1370"/>
      <c r="AO1370"/>
    </row>
    <row r="1371" spans="1:41" ht="15">
      <c r="A1371"/>
      <c r="B1371"/>
      <c r="C1371" s="137"/>
      <c r="D1371" s="30"/>
      <c r="E1371" s="30"/>
      <c r="F1371" s="10"/>
      <c r="G1371" s="10"/>
      <c r="H1371" s="15"/>
      <c r="I1371" s="15"/>
      <c r="J1371" s="15"/>
      <c r="K1371" s="15"/>
      <c r="L1371" s="15"/>
      <c r="M1371" s="15"/>
      <c r="N1371" s="15"/>
      <c r="O1371" s="15"/>
      <c r="P1371" s="15"/>
      <c r="Q1371" s="71"/>
      <c r="R1371" s="84"/>
      <c r="S1371" s="10"/>
      <c r="T1371" s="10"/>
      <c r="U1371" s="10"/>
      <c r="V1371" s="10"/>
      <c r="W1371" s="138"/>
      <c r="Y1371"/>
      <c r="Z1371"/>
      <c r="AA1371"/>
      <c r="AB1371"/>
      <c r="AC1371"/>
      <c r="AD1371"/>
      <c r="AE1371"/>
      <c r="AF1371"/>
      <c r="AG1371"/>
      <c r="AH1371"/>
      <c r="AI1371"/>
      <c r="AJ1371"/>
      <c r="AK1371"/>
      <c r="AL1371"/>
      <c r="AM1371"/>
      <c r="AN1371"/>
      <c r="AO1371"/>
    </row>
    <row r="1372" spans="1:41" ht="15">
      <c r="A1372"/>
      <c r="B1372"/>
      <c r="C1372" s="137"/>
      <c r="D1372" s="30"/>
      <c r="E1372" s="30"/>
      <c r="F1372" s="10"/>
      <c r="G1372" s="10"/>
      <c r="H1372" s="15"/>
      <c r="I1372" s="15"/>
      <c r="J1372" s="15"/>
      <c r="K1372" s="15"/>
      <c r="L1372" s="15"/>
      <c r="M1372" s="15"/>
      <c r="N1372" s="15"/>
      <c r="O1372" s="15"/>
      <c r="P1372" s="15"/>
      <c r="Q1372" s="71"/>
      <c r="R1372" s="84"/>
      <c r="S1372" s="10"/>
      <c r="T1372" s="10"/>
      <c r="U1372" s="10"/>
      <c r="V1372" s="10"/>
      <c r="W1372" s="138"/>
      <c r="Y1372"/>
      <c r="Z1372"/>
      <c r="AA1372"/>
      <c r="AB1372"/>
      <c r="AC1372"/>
      <c r="AD1372"/>
      <c r="AE1372"/>
      <c r="AF1372"/>
      <c r="AG1372"/>
      <c r="AH1372"/>
      <c r="AI1372"/>
      <c r="AJ1372"/>
      <c r="AK1372"/>
      <c r="AL1372"/>
      <c r="AM1372"/>
      <c r="AN1372"/>
      <c r="AO1372"/>
    </row>
    <row r="1373" spans="1:41" ht="15">
      <c r="A1373"/>
      <c r="B1373"/>
      <c r="C1373" s="137"/>
      <c r="D1373" s="30"/>
      <c r="E1373" s="30"/>
      <c r="F1373" s="10"/>
      <c r="G1373" s="10"/>
      <c r="H1373" s="15"/>
      <c r="I1373" s="15"/>
      <c r="J1373" s="15"/>
      <c r="K1373" s="15"/>
      <c r="L1373" s="15"/>
      <c r="M1373" s="15"/>
      <c r="N1373" s="15"/>
      <c r="O1373" s="15"/>
      <c r="P1373" s="15"/>
      <c r="Q1373" s="71"/>
      <c r="R1373" s="84"/>
      <c r="S1373" s="10"/>
      <c r="T1373" s="10"/>
      <c r="U1373" s="10"/>
      <c r="V1373" s="10"/>
      <c r="W1373" s="138"/>
      <c r="Y1373"/>
      <c r="Z1373"/>
      <c r="AA1373"/>
      <c r="AB1373"/>
      <c r="AC1373"/>
      <c r="AD1373"/>
      <c r="AE1373"/>
      <c r="AF1373"/>
      <c r="AG1373"/>
      <c r="AH1373"/>
      <c r="AI1373"/>
      <c r="AJ1373"/>
      <c r="AK1373"/>
      <c r="AL1373"/>
      <c r="AM1373"/>
      <c r="AN1373"/>
      <c r="AO1373"/>
    </row>
    <row r="1374" spans="1:41" ht="15">
      <c r="A1374"/>
      <c r="B1374"/>
      <c r="C1374" s="137"/>
      <c r="D1374" s="30"/>
      <c r="E1374" s="30"/>
      <c r="F1374" s="10"/>
      <c r="G1374" s="10"/>
      <c r="H1374" s="15"/>
      <c r="I1374" s="15"/>
      <c r="J1374" s="15"/>
      <c r="K1374" s="15"/>
      <c r="L1374" s="15"/>
      <c r="M1374" s="15"/>
      <c r="N1374" s="15"/>
      <c r="O1374" s="15"/>
      <c r="P1374" s="15"/>
      <c r="Q1374" s="71"/>
      <c r="R1374" s="84"/>
      <c r="S1374" s="10"/>
      <c r="T1374" s="10"/>
      <c r="U1374" s="10"/>
      <c r="V1374" s="10"/>
      <c r="W1374" s="138"/>
      <c r="Y1374"/>
      <c r="Z1374"/>
      <c r="AA1374"/>
      <c r="AB1374"/>
      <c r="AC1374"/>
      <c r="AD1374"/>
      <c r="AE1374"/>
      <c r="AF1374"/>
      <c r="AG1374"/>
      <c r="AH1374"/>
      <c r="AI1374"/>
      <c r="AJ1374"/>
      <c r="AK1374"/>
      <c r="AL1374"/>
      <c r="AM1374"/>
      <c r="AN1374"/>
      <c r="AO1374"/>
    </row>
    <row r="1375" spans="1:41" ht="15">
      <c r="A1375"/>
      <c r="B1375"/>
      <c r="C1375" s="137"/>
      <c r="D1375" s="30"/>
      <c r="E1375" s="30"/>
      <c r="F1375" s="10"/>
      <c r="G1375" s="10"/>
      <c r="H1375" s="15"/>
      <c r="I1375" s="15"/>
      <c r="J1375" s="15"/>
      <c r="K1375" s="15"/>
      <c r="L1375" s="15"/>
      <c r="M1375" s="15"/>
      <c r="N1375" s="15"/>
      <c r="O1375" s="15"/>
      <c r="P1375" s="15"/>
      <c r="Q1375" s="71"/>
      <c r="R1375" s="84"/>
      <c r="S1375" s="10"/>
      <c r="T1375" s="10"/>
      <c r="U1375" s="10"/>
      <c r="V1375" s="10"/>
      <c r="W1375" s="138"/>
      <c r="Y1375"/>
      <c r="Z1375"/>
      <c r="AA1375"/>
      <c r="AB1375"/>
      <c r="AC1375"/>
      <c r="AD1375"/>
      <c r="AE1375"/>
      <c r="AF1375"/>
      <c r="AG1375"/>
      <c r="AH1375"/>
      <c r="AI1375"/>
      <c r="AJ1375"/>
      <c r="AK1375"/>
      <c r="AL1375"/>
      <c r="AM1375"/>
      <c r="AN1375"/>
      <c r="AO1375"/>
    </row>
    <row r="1376" spans="1:41" ht="15">
      <c r="A1376"/>
      <c r="B1376"/>
      <c r="C1376" s="137"/>
      <c r="D1376" s="30"/>
      <c r="E1376" s="30"/>
      <c r="F1376" s="10"/>
      <c r="G1376" s="10"/>
      <c r="H1376" s="15"/>
      <c r="I1376" s="15"/>
      <c r="J1376" s="15"/>
      <c r="K1376" s="15"/>
      <c r="L1376" s="15"/>
      <c r="M1376" s="15"/>
      <c r="N1376" s="15"/>
      <c r="O1376" s="15"/>
      <c r="P1376" s="15"/>
      <c r="Q1376" s="71"/>
      <c r="R1376" s="84"/>
      <c r="S1376" s="10"/>
      <c r="T1376" s="10"/>
      <c r="U1376" s="10"/>
      <c r="V1376" s="10"/>
      <c r="W1376" s="138"/>
      <c r="Y1376"/>
      <c r="Z1376"/>
      <c r="AA1376"/>
      <c r="AB1376"/>
      <c r="AC1376"/>
      <c r="AD1376"/>
      <c r="AE1376"/>
      <c r="AF1376"/>
      <c r="AG1376"/>
      <c r="AH1376"/>
      <c r="AI1376"/>
      <c r="AJ1376"/>
      <c r="AK1376"/>
      <c r="AL1376"/>
      <c r="AM1376"/>
      <c r="AN1376"/>
      <c r="AO1376"/>
    </row>
    <row r="1377" spans="1:41" ht="15">
      <c r="A1377"/>
      <c r="B1377"/>
      <c r="C1377" s="137"/>
      <c r="D1377" s="30"/>
      <c r="E1377" s="30"/>
      <c r="F1377" s="10"/>
      <c r="G1377" s="10"/>
      <c r="H1377" s="15"/>
      <c r="I1377" s="15"/>
      <c r="J1377" s="15"/>
      <c r="K1377" s="15"/>
      <c r="L1377" s="15"/>
      <c r="M1377" s="15"/>
      <c r="N1377" s="15"/>
      <c r="O1377" s="15"/>
      <c r="P1377" s="15"/>
      <c r="Q1377" s="71"/>
      <c r="R1377" s="84"/>
      <c r="S1377" s="10"/>
      <c r="T1377" s="10"/>
      <c r="U1377" s="10"/>
      <c r="V1377" s="10"/>
      <c r="W1377" s="138"/>
      <c r="Y1377"/>
      <c r="Z1377"/>
      <c r="AA1377"/>
      <c r="AB1377"/>
      <c r="AC1377"/>
      <c r="AD1377"/>
      <c r="AE1377"/>
      <c r="AF1377"/>
      <c r="AG1377"/>
      <c r="AH1377"/>
      <c r="AI1377"/>
      <c r="AJ1377"/>
      <c r="AK1377"/>
      <c r="AL1377"/>
      <c r="AM1377"/>
      <c r="AN1377"/>
      <c r="AO1377"/>
    </row>
    <row r="1378" spans="1:41" ht="15">
      <c r="A1378"/>
      <c r="B1378"/>
      <c r="C1378" s="137"/>
      <c r="D1378" s="30"/>
      <c r="E1378" s="30"/>
      <c r="F1378" s="10"/>
      <c r="G1378" s="10"/>
      <c r="H1378" s="15"/>
      <c r="I1378" s="15"/>
      <c r="J1378" s="15"/>
      <c r="K1378" s="15"/>
      <c r="L1378" s="15"/>
      <c r="M1378" s="15"/>
      <c r="N1378" s="15"/>
      <c r="O1378" s="15"/>
      <c r="P1378" s="15"/>
      <c r="Q1378" s="71"/>
      <c r="R1378" s="84"/>
      <c r="S1378" s="10"/>
      <c r="T1378" s="10"/>
      <c r="U1378" s="10"/>
      <c r="V1378" s="10"/>
      <c r="W1378" s="138"/>
      <c r="Y1378"/>
      <c r="Z1378"/>
      <c r="AA1378"/>
      <c r="AB1378"/>
      <c r="AC1378"/>
      <c r="AD1378"/>
      <c r="AE1378"/>
      <c r="AF1378"/>
      <c r="AG1378"/>
      <c r="AH1378"/>
      <c r="AI1378"/>
      <c r="AJ1378"/>
      <c r="AK1378"/>
      <c r="AL1378"/>
      <c r="AM1378"/>
      <c r="AN1378"/>
      <c r="AO1378"/>
    </row>
    <row r="1379" spans="1:41" ht="15">
      <c r="A1379"/>
      <c r="B1379"/>
      <c r="C1379" s="137"/>
      <c r="D1379" s="30"/>
      <c r="E1379" s="30"/>
      <c r="F1379" s="10"/>
      <c r="G1379" s="10"/>
      <c r="H1379" s="15"/>
      <c r="I1379" s="15"/>
      <c r="J1379" s="15"/>
      <c r="K1379" s="15"/>
      <c r="L1379" s="15"/>
      <c r="M1379" s="15"/>
      <c r="N1379" s="15"/>
      <c r="O1379" s="15"/>
      <c r="P1379" s="15"/>
      <c r="Q1379" s="71"/>
      <c r="R1379" s="84"/>
      <c r="S1379" s="10"/>
      <c r="T1379" s="10"/>
      <c r="U1379" s="10"/>
      <c r="V1379" s="10"/>
      <c r="W1379" s="138"/>
      <c r="Y1379"/>
      <c r="Z1379"/>
      <c r="AA1379"/>
      <c r="AB1379"/>
      <c r="AC1379"/>
      <c r="AD1379"/>
      <c r="AE1379"/>
      <c r="AF1379"/>
      <c r="AG1379"/>
      <c r="AH1379"/>
      <c r="AI1379"/>
      <c r="AJ1379"/>
      <c r="AK1379"/>
      <c r="AL1379"/>
      <c r="AM1379"/>
      <c r="AN1379"/>
      <c r="AO1379"/>
    </row>
    <row r="1380" spans="1:41" ht="15">
      <c r="A1380"/>
      <c r="B1380"/>
      <c r="C1380" s="137"/>
      <c r="D1380" s="30"/>
      <c r="E1380" s="30"/>
      <c r="F1380" s="10"/>
      <c r="G1380" s="10"/>
      <c r="H1380" s="15"/>
      <c r="I1380" s="15"/>
      <c r="J1380" s="15"/>
      <c r="K1380" s="15"/>
      <c r="L1380" s="15"/>
      <c r="M1380" s="15"/>
      <c r="N1380" s="15"/>
      <c r="O1380" s="15"/>
      <c r="P1380" s="15"/>
      <c r="Q1380" s="71"/>
      <c r="R1380" s="84"/>
      <c r="S1380" s="10"/>
      <c r="T1380" s="10"/>
      <c r="U1380" s="10"/>
      <c r="V1380" s="10"/>
      <c r="W1380" s="138"/>
      <c r="Y1380"/>
      <c r="Z1380"/>
      <c r="AA1380"/>
      <c r="AB1380"/>
      <c r="AC1380"/>
      <c r="AD1380"/>
      <c r="AE1380"/>
      <c r="AF1380"/>
      <c r="AG1380"/>
      <c r="AH1380"/>
      <c r="AI1380"/>
      <c r="AJ1380"/>
      <c r="AK1380"/>
      <c r="AL1380"/>
      <c r="AM1380"/>
      <c r="AN1380"/>
      <c r="AO1380"/>
    </row>
    <row r="1381" spans="1:41" ht="15">
      <c r="A1381"/>
      <c r="B1381"/>
      <c r="C1381" s="137"/>
      <c r="D1381" s="30"/>
      <c r="E1381" s="30"/>
      <c r="F1381" s="10"/>
      <c r="G1381" s="10"/>
      <c r="H1381" s="15"/>
      <c r="I1381" s="15"/>
      <c r="J1381" s="15"/>
      <c r="K1381" s="15"/>
      <c r="L1381" s="15"/>
      <c r="M1381" s="15"/>
      <c r="N1381" s="15"/>
      <c r="O1381" s="15"/>
      <c r="P1381" s="15"/>
      <c r="Q1381" s="71"/>
      <c r="R1381" s="84"/>
      <c r="S1381" s="10"/>
      <c r="T1381" s="10"/>
      <c r="U1381" s="10"/>
      <c r="V1381" s="10"/>
      <c r="W1381" s="138"/>
      <c r="Y1381"/>
      <c r="Z1381"/>
      <c r="AA1381"/>
      <c r="AB1381"/>
      <c r="AC1381"/>
      <c r="AD1381"/>
      <c r="AE1381"/>
      <c r="AF1381"/>
      <c r="AG1381"/>
      <c r="AH1381"/>
      <c r="AI1381"/>
      <c r="AJ1381"/>
      <c r="AK1381"/>
      <c r="AL1381"/>
      <c r="AM1381"/>
      <c r="AN1381"/>
      <c r="AO1381"/>
    </row>
    <row r="1382" spans="1:41" ht="15">
      <c r="A1382"/>
      <c r="B1382"/>
      <c r="C1382" s="137"/>
      <c r="D1382" s="30"/>
      <c r="E1382" s="30"/>
      <c r="F1382" s="10"/>
      <c r="G1382" s="10"/>
      <c r="H1382" s="15"/>
      <c r="I1382" s="15"/>
      <c r="J1382" s="15"/>
      <c r="K1382" s="15"/>
      <c r="L1382" s="15"/>
      <c r="M1382" s="15"/>
      <c r="N1382" s="15"/>
      <c r="O1382" s="15"/>
      <c r="P1382" s="15"/>
      <c r="Q1382" s="71"/>
      <c r="R1382" s="84"/>
      <c r="S1382" s="10"/>
      <c r="T1382" s="10"/>
      <c r="U1382" s="10"/>
      <c r="V1382" s="10"/>
      <c r="W1382" s="138"/>
      <c r="Y1382"/>
      <c r="Z1382"/>
      <c r="AA1382"/>
      <c r="AB1382"/>
      <c r="AC1382"/>
      <c r="AD1382"/>
      <c r="AE1382"/>
      <c r="AF1382"/>
      <c r="AG1382"/>
      <c r="AH1382"/>
      <c r="AI1382"/>
      <c r="AJ1382"/>
      <c r="AK1382"/>
      <c r="AL1382"/>
      <c r="AM1382"/>
      <c r="AN1382"/>
      <c r="AO1382"/>
    </row>
    <row r="1383" spans="1:41" ht="15">
      <c r="A1383"/>
      <c r="B1383"/>
      <c r="C1383" s="137"/>
      <c r="D1383" s="30"/>
      <c r="E1383" s="30"/>
      <c r="F1383" s="10"/>
      <c r="G1383" s="10"/>
      <c r="H1383" s="15"/>
      <c r="I1383" s="15"/>
      <c r="J1383" s="15"/>
      <c r="K1383" s="15"/>
      <c r="L1383" s="15"/>
      <c r="M1383" s="15"/>
      <c r="N1383" s="15"/>
      <c r="O1383" s="15"/>
      <c r="P1383" s="15"/>
      <c r="Q1383" s="71"/>
      <c r="R1383" s="84"/>
      <c r="S1383" s="10"/>
      <c r="T1383" s="10"/>
      <c r="U1383" s="10"/>
      <c r="V1383" s="10"/>
      <c r="W1383" s="138"/>
      <c r="Y1383"/>
      <c r="Z1383"/>
      <c r="AA1383"/>
      <c r="AB1383"/>
      <c r="AC1383"/>
      <c r="AD1383"/>
      <c r="AE1383"/>
      <c r="AF1383"/>
      <c r="AG1383"/>
      <c r="AH1383"/>
      <c r="AI1383"/>
      <c r="AJ1383"/>
      <c r="AK1383"/>
      <c r="AL1383"/>
      <c r="AM1383"/>
      <c r="AN1383"/>
      <c r="AO1383"/>
    </row>
    <row r="1384" spans="1:41" ht="15">
      <c r="A1384"/>
      <c r="B1384"/>
      <c r="C1384" s="137"/>
      <c r="D1384" s="30"/>
      <c r="E1384" s="30"/>
      <c r="F1384" s="10"/>
      <c r="G1384" s="10"/>
      <c r="H1384" s="15"/>
      <c r="I1384" s="15"/>
      <c r="J1384" s="15"/>
      <c r="K1384" s="15"/>
      <c r="L1384" s="15"/>
      <c r="M1384" s="15"/>
      <c r="N1384" s="15"/>
      <c r="O1384" s="15"/>
      <c r="P1384" s="15"/>
      <c r="Q1384" s="71"/>
      <c r="R1384" s="84"/>
      <c r="S1384" s="10"/>
      <c r="T1384" s="10"/>
      <c r="U1384" s="10"/>
      <c r="V1384" s="10"/>
      <c r="W1384" s="138"/>
      <c r="Y1384"/>
      <c r="Z1384"/>
      <c r="AA1384"/>
      <c r="AB1384"/>
      <c r="AC1384"/>
      <c r="AD1384"/>
      <c r="AE1384"/>
      <c r="AF1384"/>
      <c r="AG1384"/>
      <c r="AH1384"/>
      <c r="AI1384"/>
      <c r="AJ1384"/>
      <c r="AK1384"/>
      <c r="AL1384"/>
      <c r="AM1384"/>
      <c r="AN1384"/>
      <c r="AO1384"/>
    </row>
    <row r="1385" spans="1:41" ht="15">
      <c r="A1385"/>
      <c r="B1385"/>
      <c r="C1385" s="137"/>
      <c r="D1385" s="30"/>
      <c r="E1385" s="30"/>
      <c r="F1385" s="10"/>
      <c r="G1385" s="10"/>
      <c r="H1385" s="15"/>
      <c r="I1385" s="15"/>
      <c r="J1385" s="15"/>
      <c r="K1385" s="15"/>
      <c r="L1385" s="15"/>
      <c r="M1385" s="15"/>
      <c r="N1385" s="15"/>
      <c r="O1385" s="15"/>
      <c r="P1385" s="15"/>
      <c r="Q1385" s="71"/>
      <c r="R1385" s="84"/>
      <c r="S1385" s="10"/>
      <c r="T1385" s="10"/>
      <c r="U1385" s="10"/>
      <c r="V1385" s="10"/>
      <c r="W1385" s="138"/>
      <c r="Y1385"/>
      <c r="Z1385"/>
      <c r="AA1385"/>
      <c r="AB1385"/>
      <c r="AC1385"/>
      <c r="AD1385"/>
      <c r="AE1385"/>
      <c r="AF1385"/>
      <c r="AG1385"/>
      <c r="AH1385"/>
      <c r="AI1385"/>
      <c r="AJ1385"/>
      <c r="AK1385"/>
      <c r="AL1385"/>
      <c r="AM1385"/>
      <c r="AN1385"/>
      <c r="AO1385"/>
    </row>
    <row r="1386" spans="1:41" ht="15">
      <c r="A1386"/>
      <c r="B1386"/>
      <c r="C1386" s="137"/>
      <c r="D1386" s="30"/>
      <c r="E1386" s="30"/>
      <c r="F1386" s="10"/>
      <c r="G1386" s="10"/>
      <c r="H1386" s="15"/>
      <c r="I1386" s="15"/>
      <c r="J1386" s="15"/>
      <c r="K1386" s="15"/>
      <c r="L1386" s="15"/>
      <c r="M1386" s="15"/>
      <c r="N1386" s="15"/>
      <c r="O1386" s="15"/>
      <c r="P1386" s="15"/>
      <c r="Q1386" s="71"/>
      <c r="R1386" s="84"/>
      <c r="S1386" s="10"/>
      <c r="T1386" s="10"/>
      <c r="U1386" s="10"/>
      <c r="V1386" s="10"/>
      <c r="W1386" s="138"/>
      <c r="Y1386"/>
      <c r="Z1386"/>
      <c r="AA1386"/>
      <c r="AB1386"/>
      <c r="AC1386"/>
      <c r="AD1386"/>
      <c r="AE1386"/>
      <c r="AF1386"/>
      <c r="AG1386"/>
      <c r="AH1386"/>
      <c r="AI1386"/>
      <c r="AJ1386"/>
      <c r="AK1386"/>
      <c r="AL1386"/>
      <c r="AM1386"/>
      <c r="AN1386"/>
      <c r="AO1386"/>
    </row>
    <row r="1387" spans="1:41" ht="15">
      <c r="A1387"/>
      <c r="B1387"/>
      <c r="C1387" s="137"/>
      <c r="D1387" s="30"/>
      <c r="E1387" s="30"/>
      <c r="F1387" s="10"/>
      <c r="G1387" s="10"/>
      <c r="H1387" s="15"/>
      <c r="I1387" s="15"/>
      <c r="J1387" s="15"/>
      <c r="K1387" s="15"/>
      <c r="L1387" s="15"/>
      <c r="M1387" s="15"/>
      <c r="N1387" s="15"/>
      <c r="O1387" s="15"/>
      <c r="P1387" s="15"/>
      <c r="Q1387" s="71"/>
      <c r="R1387" s="84"/>
      <c r="S1387" s="10"/>
      <c r="T1387" s="10"/>
      <c r="U1387" s="10"/>
      <c r="V1387" s="10"/>
      <c r="W1387" s="138"/>
      <c r="Y1387"/>
      <c r="Z1387"/>
      <c r="AA1387"/>
      <c r="AB1387"/>
      <c r="AC1387"/>
      <c r="AD1387"/>
      <c r="AE1387"/>
      <c r="AF1387"/>
      <c r="AG1387"/>
      <c r="AH1387"/>
      <c r="AI1387"/>
      <c r="AJ1387"/>
      <c r="AK1387"/>
      <c r="AL1387"/>
      <c r="AM1387"/>
      <c r="AN1387"/>
      <c r="AO1387"/>
    </row>
    <row r="1388" spans="1:41" ht="15">
      <c r="A1388"/>
      <c r="B1388"/>
      <c r="C1388" s="137"/>
      <c r="D1388" s="30"/>
      <c r="E1388" s="30"/>
      <c r="F1388" s="10"/>
      <c r="G1388" s="10"/>
      <c r="H1388" s="15"/>
      <c r="I1388" s="15"/>
      <c r="J1388" s="15"/>
      <c r="K1388" s="15"/>
      <c r="L1388" s="15"/>
      <c r="M1388" s="15"/>
      <c r="N1388" s="15"/>
      <c r="O1388" s="15"/>
      <c r="P1388" s="15"/>
      <c r="Q1388" s="71"/>
      <c r="R1388" s="84"/>
      <c r="S1388" s="10"/>
      <c r="T1388" s="10"/>
      <c r="U1388" s="10"/>
      <c r="V1388" s="10"/>
      <c r="W1388" s="138"/>
      <c r="Y1388"/>
      <c r="Z1388"/>
      <c r="AA1388"/>
      <c r="AB1388"/>
      <c r="AC1388"/>
      <c r="AD1388"/>
      <c r="AE1388"/>
      <c r="AF1388"/>
      <c r="AG1388"/>
      <c r="AH1388"/>
      <c r="AI1388"/>
      <c r="AJ1388"/>
      <c r="AK1388"/>
      <c r="AL1388"/>
      <c r="AM1388"/>
      <c r="AN1388"/>
      <c r="AO1388"/>
    </row>
    <row r="1389" spans="1:41" ht="15">
      <c r="A1389"/>
      <c r="B1389"/>
      <c r="C1389" s="137"/>
      <c r="D1389" s="30"/>
      <c r="E1389" s="30"/>
      <c r="F1389" s="10"/>
      <c r="G1389" s="10"/>
      <c r="H1389" s="15"/>
      <c r="I1389" s="15"/>
      <c r="J1389" s="15"/>
      <c r="K1389" s="15"/>
      <c r="L1389" s="15"/>
      <c r="M1389" s="15"/>
      <c r="N1389" s="15"/>
      <c r="O1389" s="15"/>
      <c r="P1389" s="15"/>
      <c r="Q1389" s="71"/>
      <c r="R1389" s="84"/>
      <c r="S1389" s="10"/>
      <c r="T1389" s="10"/>
      <c r="U1389" s="10"/>
      <c r="V1389" s="10"/>
      <c r="W1389" s="138"/>
      <c r="Y1389"/>
      <c r="Z1389"/>
      <c r="AA1389"/>
      <c r="AB1389"/>
      <c r="AC1389"/>
      <c r="AD1389"/>
      <c r="AE1389"/>
      <c r="AF1389"/>
      <c r="AG1389"/>
      <c r="AH1389"/>
      <c r="AI1389"/>
      <c r="AJ1389"/>
      <c r="AK1389"/>
      <c r="AL1389"/>
      <c r="AM1389"/>
      <c r="AN1389"/>
      <c r="AO1389"/>
    </row>
    <row r="1390" spans="1:41" ht="15">
      <c r="A1390"/>
      <c r="B1390"/>
      <c r="C1390" s="137"/>
      <c r="D1390" s="30"/>
      <c r="E1390" s="30"/>
      <c r="F1390" s="10"/>
      <c r="G1390" s="10"/>
      <c r="H1390" s="15"/>
      <c r="I1390" s="15"/>
      <c r="J1390" s="15"/>
      <c r="K1390" s="15"/>
      <c r="L1390" s="15"/>
      <c r="M1390" s="15"/>
      <c r="N1390" s="15"/>
      <c r="O1390" s="15"/>
      <c r="P1390" s="15"/>
      <c r="Q1390" s="71"/>
      <c r="R1390" s="84"/>
      <c r="S1390" s="10"/>
      <c r="T1390" s="10"/>
      <c r="U1390" s="10"/>
      <c r="V1390" s="10"/>
      <c r="W1390" s="138"/>
      <c r="Y1390"/>
      <c r="Z1390"/>
      <c r="AA1390"/>
      <c r="AB1390"/>
      <c r="AC1390"/>
      <c r="AD1390"/>
      <c r="AE1390"/>
      <c r="AF1390"/>
      <c r="AG1390"/>
      <c r="AH1390"/>
      <c r="AI1390"/>
      <c r="AJ1390"/>
      <c r="AK1390"/>
      <c r="AL1390"/>
      <c r="AM1390"/>
      <c r="AN1390"/>
      <c r="AO1390"/>
    </row>
    <row r="1391" spans="1:41" ht="15">
      <c r="A1391"/>
      <c r="B1391"/>
      <c r="C1391" s="137"/>
      <c r="D1391" s="30"/>
      <c r="E1391" s="30"/>
      <c r="F1391" s="10"/>
      <c r="G1391" s="10"/>
      <c r="H1391" s="15"/>
      <c r="I1391" s="15"/>
      <c r="J1391" s="15"/>
      <c r="K1391" s="15"/>
      <c r="L1391" s="15"/>
      <c r="M1391" s="15"/>
      <c r="N1391" s="15"/>
      <c r="O1391" s="15"/>
      <c r="P1391" s="15"/>
      <c r="Q1391" s="71"/>
      <c r="R1391" s="84"/>
      <c r="S1391" s="10"/>
      <c r="T1391" s="10"/>
      <c r="U1391" s="10"/>
      <c r="V1391" s="10"/>
      <c r="W1391" s="138"/>
      <c r="Y1391"/>
      <c r="Z1391"/>
      <c r="AA1391"/>
      <c r="AB1391"/>
      <c r="AC1391"/>
      <c r="AD1391"/>
      <c r="AE1391"/>
      <c r="AF1391"/>
      <c r="AG1391"/>
      <c r="AH1391"/>
      <c r="AI1391"/>
      <c r="AJ1391"/>
      <c r="AK1391"/>
      <c r="AL1391"/>
      <c r="AM1391"/>
      <c r="AN1391"/>
      <c r="AO1391"/>
    </row>
    <row r="1392" spans="1:41" ht="15">
      <c r="A1392"/>
      <c r="B1392"/>
      <c r="C1392" s="137"/>
      <c r="D1392" s="30"/>
      <c r="E1392" s="30"/>
      <c r="F1392" s="10"/>
      <c r="G1392" s="10"/>
      <c r="H1392" s="15"/>
      <c r="I1392" s="15"/>
      <c r="J1392" s="15"/>
      <c r="K1392" s="15"/>
      <c r="L1392" s="15"/>
      <c r="M1392" s="15"/>
      <c r="N1392" s="15"/>
      <c r="O1392" s="15"/>
      <c r="P1392" s="15"/>
      <c r="Q1392" s="71"/>
      <c r="R1392" s="84"/>
      <c r="S1392" s="10"/>
      <c r="T1392" s="10"/>
      <c r="U1392" s="10"/>
      <c r="V1392" s="10"/>
      <c r="W1392" s="138"/>
      <c r="Y1392"/>
      <c r="Z1392"/>
      <c r="AA1392"/>
      <c r="AB1392"/>
      <c r="AC1392"/>
      <c r="AD1392"/>
      <c r="AE1392"/>
      <c r="AF1392"/>
      <c r="AG1392"/>
      <c r="AH1392"/>
      <c r="AI1392"/>
      <c r="AJ1392"/>
      <c r="AK1392"/>
      <c r="AL1392"/>
      <c r="AM1392"/>
      <c r="AN1392"/>
      <c r="AO1392"/>
    </row>
    <row r="1393" spans="1:41" ht="15">
      <c r="A1393"/>
      <c r="B1393"/>
      <c r="C1393" s="137"/>
      <c r="D1393" s="30"/>
      <c r="E1393" s="30"/>
      <c r="F1393" s="10"/>
      <c r="G1393" s="10"/>
      <c r="H1393" s="15"/>
      <c r="I1393" s="15"/>
      <c r="J1393" s="15"/>
      <c r="K1393" s="15"/>
      <c r="L1393" s="15"/>
      <c r="M1393" s="15"/>
      <c r="N1393" s="15"/>
      <c r="O1393" s="15"/>
      <c r="P1393" s="15"/>
      <c r="Q1393" s="71"/>
      <c r="R1393" s="84"/>
      <c r="S1393" s="10"/>
      <c r="T1393" s="10"/>
      <c r="U1393" s="10"/>
      <c r="V1393" s="10"/>
      <c r="W1393" s="138"/>
      <c r="Y1393"/>
      <c r="Z1393"/>
      <c r="AA1393"/>
      <c r="AB1393"/>
      <c r="AC1393"/>
      <c r="AD1393"/>
      <c r="AE1393"/>
      <c r="AF1393"/>
      <c r="AG1393"/>
      <c r="AH1393"/>
      <c r="AI1393"/>
      <c r="AJ1393"/>
      <c r="AK1393"/>
      <c r="AL1393"/>
      <c r="AM1393"/>
      <c r="AN1393"/>
      <c r="AO1393"/>
    </row>
    <row r="1394" spans="1:41" ht="15">
      <c r="A1394"/>
      <c r="B1394"/>
      <c r="C1394" s="137"/>
      <c r="D1394" s="30"/>
      <c r="E1394" s="30"/>
      <c r="F1394" s="10"/>
      <c r="G1394" s="10"/>
      <c r="H1394" s="15"/>
      <c r="I1394" s="15"/>
      <c r="J1394" s="15"/>
      <c r="K1394" s="15"/>
      <c r="L1394" s="15"/>
      <c r="M1394" s="15"/>
      <c r="N1394" s="15"/>
      <c r="O1394" s="15"/>
      <c r="P1394" s="15"/>
      <c r="Q1394" s="71"/>
      <c r="R1394" s="84"/>
      <c r="S1394" s="10"/>
      <c r="T1394" s="10"/>
      <c r="U1394" s="10"/>
      <c r="V1394" s="10"/>
      <c r="W1394" s="138"/>
      <c r="Y1394"/>
      <c r="Z1394"/>
      <c r="AA1394"/>
      <c r="AB1394"/>
      <c r="AC1394"/>
      <c r="AD1394"/>
      <c r="AE1394"/>
      <c r="AF1394"/>
      <c r="AG1394"/>
      <c r="AH1394"/>
      <c r="AI1394"/>
      <c r="AJ1394"/>
      <c r="AK1394"/>
      <c r="AL1394"/>
      <c r="AM1394"/>
      <c r="AN1394"/>
      <c r="AO1394"/>
    </row>
    <row r="1395" spans="1:41" ht="15">
      <c r="A1395"/>
      <c r="B1395"/>
      <c r="C1395" s="137"/>
      <c r="D1395" s="30"/>
      <c r="E1395" s="30"/>
      <c r="F1395" s="10"/>
      <c r="G1395" s="10"/>
      <c r="H1395" s="15"/>
      <c r="I1395" s="15"/>
      <c r="J1395" s="15"/>
      <c r="K1395" s="15"/>
      <c r="L1395" s="15"/>
      <c r="M1395" s="15"/>
      <c r="N1395" s="15"/>
      <c r="O1395" s="15"/>
      <c r="P1395" s="15"/>
      <c r="Q1395" s="71"/>
      <c r="R1395" s="84"/>
      <c r="S1395" s="10"/>
      <c r="T1395" s="10"/>
      <c r="U1395" s="10"/>
      <c r="V1395" s="10"/>
      <c r="W1395" s="138"/>
      <c r="Y1395"/>
      <c r="Z1395"/>
      <c r="AA1395"/>
      <c r="AB1395"/>
      <c r="AC1395"/>
      <c r="AD1395"/>
      <c r="AE1395"/>
      <c r="AF1395"/>
      <c r="AG1395"/>
      <c r="AH1395"/>
      <c r="AI1395"/>
      <c r="AJ1395"/>
      <c r="AK1395"/>
      <c r="AL1395"/>
      <c r="AM1395"/>
      <c r="AN1395"/>
      <c r="AO1395"/>
    </row>
    <row r="1396" spans="1:41" ht="15">
      <c r="A1396"/>
      <c r="B1396"/>
      <c r="C1396" s="137"/>
      <c r="D1396" s="30"/>
      <c r="E1396" s="30"/>
      <c r="F1396" s="10"/>
      <c r="G1396" s="10"/>
      <c r="H1396" s="15"/>
      <c r="I1396" s="15"/>
      <c r="J1396" s="15"/>
      <c r="K1396" s="15"/>
      <c r="L1396" s="15"/>
      <c r="M1396" s="15"/>
      <c r="N1396" s="15"/>
      <c r="O1396" s="15"/>
      <c r="P1396" s="15"/>
      <c r="Q1396" s="71"/>
      <c r="R1396" s="84"/>
      <c r="S1396" s="10"/>
      <c r="T1396" s="10"/>
      <c r="U1396" s="10"/>
      <c r="V1396" s="10"/>
      <c r="W1396" s="138"/>
      <c r="Y1396"/>
      <c r="Z1396"/>
      <c r="AA1396"/>
      <c r="AB1396"/>
      <c r="AC1396"/>
      <c r="AD1396"/>
      <c r="AE1396"/>
      <c r="AF1396"/>
      <c r="AG1396"/>
      <c r="AH1396"/>
      <c r="AI1396"/>
      <c r="AJ1396"/>
      <c r="AK1396"/>
      <c r="AL1396"/>
      <c r="AM1396"/>
      <c r="AN1396"/>
      <c r="AO1396"/>
    </row>
    <row r="1397" spans="1:41" ht="15">
      <c r="A1397"/>
      <c r="B1397"/>
      <c r="C1397" s="137"/>
      <c r="D1397" s="30"/>
      <c r="E1397" s="30"/>
      <c r="F1397" s="10"/>
      <c r="G1397" s="10"/>
      <c r="H1397" s="15"/>
      <c r="I1397" s="15"/>
      <c r="J1397" s="15"/>
      <c r="K1397" s="15"/>
      <c r="L1397" s="15"/>
      <c r="M1397" s="15"/>
      <c r="N1397" s="15"/>
      <c r="O1397" s="15"/>
      <c r="P1397" s="15"/>
      <c r="Q1397" s="71"/>
      <c r="R1397" s="84"/>
      <c r="S1397" s="10"/>
      <c r="T1397" s="10"/>
      <c r="U1397" s="10"/>
      <c r="V1397" s="10"/>
      <c r="W1397" s="138"/>
      <c r="Y1397"/>
      <c r="Z1397"/>
      <c r="AA1397"/>
      <c r="AB1397"/>
      <c r="AC1397"/>
      <c r="AD1397"/>
      <c r="AE1397"/>
      <c r="AF1397"/>
      <c r="AG1397"/>
      <c r="AH1397"/>
      <c r="AI1397"/>
      <c r="AJ1397"/>
      <c r="AK1397"/>
      <c r="AL1397"/>
      <c r="AM1397"/>
      <c r="AN1397"/>
      <c r="AO1397"/>
    </row>
    <row r="1398" spans="1:41" ht="15">
      <c r="A1398"/>
      <c r="B1398"/>
      <c r="C1398" s="137"/>
      <c r="D1398" s="30"/>
      <c r="E1398" s="30"/>
      <c r="F1398" s="10"/>
      <c r="G1398" s="10"/>
      <c r="H1398" s="15"/>
      <c r="I1398" s="15"/>
      <c r="J1398" s="15"/>
      <c r="K1398" s="15"/>
      <c r="L1398" s="15"/>
      <c r="M1398" s="15"/>
      <c r="N1398" s="15"/>
      <c r="O1398" s="15"/>
      <c r="P1398" s="15"/>
      <c r="Q1398" s="71"/>
      <c r="R1398" s="84"/>
      <c r="S1398" s="10"/>
      <c r="T1398" s="10"/>
      <c r="U1398" s="10"/>
      <c r="V1398" s="10"/>
      <c r="W1398" s="138"/>
      <c r="Y1398"/>
      <c r="Z1398"/>
      <c r="AA1398"/>
      <c r="AB1398"/>
      <c r="AC1398"/>
      <c r="AD1398"/>
      <c r="AE1398"/>
      <c r="AF1398"/>
      <c r="AG1398"/>
      <c r="AH1398"/>
      <c r="AI1398"/>
      <c r="AJ1398"/>
      <c r="AK1398"/>
      <c r="AL1398"/>
      <c r="AM1398"/>
      <c r="AN1398"/>
      <c r="AO1398"/>
    </row>
    <row r="1399" spans="1:41" ht="15">
      <c r="A1399"/>
      <c r="B1399"/>
      <c r="C1399" s="137"/>
      <c r="D1399" s="30"/>
      <c r="E1399" s="30"/>
      <c r="F1399" s="10"/>
      <c r="G1399" s="10"/>
      <c r="H1399" s="15"/>
      <c r="I1399" s="15"/>
      <c r="J1399" s="15"/>
      <c r="K1399" s="15"/>
      <c r="L1399" s="15"/>
      <c r="M1399" s="15"/>
      <c r="N1399" s="15"/>
      <c r="O1399" s="15"/>
      <c r="P1399" s="15"/>
      <c r="Q1399" s="71"/>
      <c r="R1399" s="84"/>
      <c r="S1399" s="10"/>
      <c r="T1399" s="10"/>
      <c r="U1399" s="10"/>
      <c r="V1399" s="10"/>
      <c r="W1399" s="138"/>
      <c r="Y1399"/>
      <c r="Z1399"/>
      <c r="AA1399"/>
      <c r="AB1399"/>
      <c r="AC1399"/>
      <c r="AD1399"/>
      <c r="AE1399"/>
      <c r="AF1399"/>
      <c r="AG1399"/>
      <c r="AH1399"/>
      <c r="AI1399"/>
      <c r="AJ1399"/>
      <c r="AK1399"/>
      <c r="AL1399"/>
      <c r="AM1399"/>
      <c r="AN1399"/>
      <c r="AO1399"/>
    </row>
    <row r="1400" spans="1:41" ht="15">
      <c r="A1400"/>
      <c r="B1400"/>
      <c r="C1400" s="137"/>
      <c r="D1400" s="30"/>
      <c r="E1400" s="30"/>
      <c r="F1400" s="10"/>
      <c r="G1400" s="10"/>
      <c r="H1400" s="15"/>
      <c r="I1400" s="15"/>
      <c r="J1400" s="15"/>
      <c r="K1400" s="15"/>
      <c r="L1400" s="15"/>
      <c r="M1400" s="15"/>
      <c r="N1400" s="15"/>
      <c r="O1400" s="15"/>
      <c r="P1400" s="15"/>
      <c r="Q1400" s="71"/>
      <c r="R1400" s="84"/>
      <c r="S1400" s="10"/>
      <c r="T1400" s="10"/>
      <c r="U1400" s="10"/>
      <c r="V1400" s="10"/>
      <c r="W1400" s="138"/>
      <c r="Y1400"/>
      <c r="Z1400"/>
      <c r="AA1400"/>
      <c r="AB1400"/>
      <c r="AC1400"/>
      <c r="AD1400"/>
      <c r="AE1400"/>
      <c r="AF1400"/>
      <c r="AG1400"/>
      <c r="AH1400"/>
      <c r="AI1400"/>
      <c r="AJ1400"/>
      <c r="AK1400"/>
      <c r="AL1400"/>
      <c r="AM1400"/>
      <c r="AN1400"/>
      <c r="AO1400"/>
    </row>
    <row r="1401" spans="1:41" ht="15">
      <c r="A1401"/>
      <c r="B1401"/>
      <c r="C1401" s="137"/>
      <c r="D1401" s="30"/>
      <c r="E1401" s="30"/>
      <c r="F1401" s="10"/>
      <c r="G1401" s="10"/>
      <c r="H1401" s="15"/>
      <c r="I1401" s="15"/>
      <c r="J1401" s="15"/>
      <c r="K1401" s="15"/>
      <c r="L1401" s="15"/>
      <c r="M1401" s="15"/>
      <c r="N1401" s="15"/>
      <c r="O1401" s="15"/>
      <c r="P1401" s="15"/>
      <c r="Q1401" s="71"/>
      <c r="R1401" s="84"/>
      <c r="S1401" s="10"/>
      <c r="T1401" s="10"/>
      <c r="U1401" s="10"/>
      <c r="V1401" s="10"/>
      <c r="W1401" s="138"/>
      <c r="Y1401"/>
      <c r="Z1401"/>
      <c r="AA1401"/>
      <c r="AB1401"/>
      <c r="AC1401"/>
      <c r="AD1401"/>
      <c r="AE1401"/>
      <c r="AF1401"/>
      <c r="AG1401"/>
      <c r="AH1401"/>
      <c r="AI1401"/>
      <c r="AJ1401"/>
      <c r="AK1401"/>
      <c r="AL1401"/>
      <c r="AM1401"/>
      <c r="AN1401"/>
      <c r="AO1401"/>
    </row>
    <row r="1402" spans="1:41" ht="15">
      <c r="A1402"/>
      <c r="B1402"/>
      <c r="C1402" s="137"/>
      <c r="D1402" s="30"/>
      <c r="E1402" s="30"/>
      <c r="F1402" s="10"/>
      <c r="G1402" s="10"/>
      <c r="H1402" s="15"/>
      <c r="I1402" s="15"/>
      <c r="J1402" s="15"/>
      <c r="K1402" s="15"/>
      <c r="L1402" s="15"/>
      <c r="M1402" s="15"/>
      <c r="N1402" s="15"/>
      <c r="O1402" s="15"/>
      <c r="P1402" s="15"/>
      <c r="Q1402" s="71"/>
      <c r="R1402" s="84"/>
      <c r="S1402" s="10"/>
      <c r="T1402" s="10"/>
      <c r="U1402" s="10"/>
      <c r="V1402" s="10"/>
      <c r="W1402" s="138"/>
      <c r="Y1402"/>
      <c r="Z1402"/>
      <c r="AA1402"/>
      <c r="AB1402"/>
      <c r="AC1402"/>
      <c r="AD1402"/>
      <c r="AE1402"/>
      <c r="AF1402"/>
      <c r="AG1402"/>
      <c r="AH1402"/>
      <c r="AI1402"/>
      <c r="AJ1402"/>
      <c r="AK1402"/>
      <c r="AL1402"/>
      <c r="AM1402"/>
      <c r="AN1402"/>
      <c r="AO1402"/>
    </row>
    <row r="1403" spans="1:41" ht="15">
      <c r="A1403"/>
      <c r="B1403"/>
      <c r="C1403" s="137"/>
      <c r="D1403" s="30"/>
      <c r="E1403" s="30"/>
      <c r="F1403" s="10"/>
      <c r="G1403" s="10"/>
      <c r="H1403" s="15"/>
      <c r="I1403" s="15"/>
      <c r="J1403" s="15"/>
      <c r="K1403" s="15"/>
      <c r="L1403" s="15"/>
      <c r="M1403" s="15"/>
      <c r="N1403" s="15"/>
      <c r="O1403" s="15"/>
      <c r="P1403" s="15"/>
      <c r="Q1403" s="71"/>
      <c r="R1403" s="84"/>
      <c r="S1403" s="10"/>
      <c r="T1403" s="10"/>
      <c r="U1403" s="10"/>
      <c r="V1403" s="10"/>
      <c r="W1403" s="138"/>
      <c r="Y1403"/>
      <c r="Z1403"/>
      <c r="AA1403"/>
      <c r="AB1403"/>
      <c r="AC1403"/>
      <c r="AD1403"/>
      <c r="AE1403"/>
      <c r="AF1403"/>
      <c r="AG1403"/>
      <c r="AH1403"/>
      <c r="AI1403"/>
      <c r="AJ1403"/>
      <c r="AK1403"/>
      <c r="AL1403"/>
      <c r="AM1403"/>
      <c r="AN1403"/>
      <c r="AO1403"/>
    </row>
    <row r="1404" spans="1:41" ht="15">
      <c r="A1404"/>
      <c r="B1404"/>
      <c r="C1404" s="137"/>
      <c r="D1404" s="30"/>
      <c r="E1404" s="30"/>
      <c r="F1404" s="10"/>
      <c r="G1404" s="10"/>
      <c r="H1404" s="15"/>
      <c r="I1404" s="15"/>
      <c r="J1404" s="15"/>
      <c r="K1404" s="15"/>
      <c r="L1404" s="15"/>
      <c r="M1404" s="15"/>
      <c r="N1404" s="15"/>
      <c r="O1404" s="15"/>
      <c r="P1404" s="15"/>
      <c r="Q1404" s="71"/>
      <c r="R1404" s="84"/>
      <c r="S1404" s="10"/>
      <c r="T1404" s="10"/>
      <c r="U1404" s="10"/>
      <c r="V1404" s="10"/>
      <c r="W1404" s="138"/>
      <c r="Y1404"/>
      <c r="Z1404"/>
      <c r="AA1404"/>
      <c r="AB1404"/>
      <c r="AC1404"/>
      <c r="AD1404"/>
      <c r="AE1404"/>
      <c r="AF1404"/>
      <c r="AG1404"/>
      <c r="AH1404"/>
      <c r="AI1404"/>
      <c r="AJ1404"/>
      <c r="AK1404"/>
      <c r="AL1404"/>
      <c r="AM1404"/>
      <c r="AN1404"/>
      <c r="AO1404"/>
    </row>
    <row r="1405" spans="1:41" ht="15">
      <c r="A1405"/>
      <c r="B1405"/>
      <c r="C1405" s="137"/>
      <c r="D1405" s="30"/>
      <c r="E1405" s="30"/>
      <c r="F1405" s="10"/>
      <c r="G1405" s="10"/>
      <c r="H1405" s="15"/>
      <c r="I1405" s="15"/>
      <c r="J1405" s="15"/>
      <c r="K1405" s="15"/>
      <c r="L1405" s="15"/>
      <c r="M1405" s="15"/>
      <c r="N1405" s="15"/>
      <c r="O1405" s="15"/>
      <c r="P1405" s="15"/>
      <c r="Q1405" s="71"/>
      <c r="R1405" s="84"/>
      <c r="S1405" s="10"/>
      <c r="T1405" s="10"/>
      <c r="U1405" s="10"/>
      <c r="V1405" s="10"/>
      <c r="W1405" s="138"/>
      <c r="Y1405"/>
      <c r="Z1405"/>
      <c r="AA1405"/>
      <c r="AB1405"/>
      <c r="AC1405"/>
      <c r="AD1405"/>
      <c r="AE1405"/>
      <c r="AF1405"/>
      <c r="AG1405"/>
      <c r="AH1405"/>
      <c r="AI1405"/>
      <c r="AJ1405"/>
      <c r="AK1405"/>
      <c r="AL1405"/>
      <c r="AM1405"/>
      <c r="AN1405"/>
      <c r="AO1405"/>
    </row>
    <row r="1406" spans="1:41" ht="15">
      <c r="A1406"/>
      <c r="B1406"/>
      <c r="C1406" s="137"/>
      <c r="D1406" s="30"/>
      <c r="E1406" s="30"/>
      <c r="F1406" s="10"/>
      <c r="G1406" s="10"/>
      <c r="H1406" s="15"/>
      <c r="I1406" s="15"/>
      <c r="J1406" s="15"/>
      <c r="K1406" s="15"/>
      <c r="L1406" s="15"/>
      <c r="M1406" s="15"/>
      <c r="N1406" s="15"/>
      <c r="O1406" s="15"/>
      <c r="P1406" s="15"/>
      <c r="Q1406" s="71"/>
      <c r="R1406" s="84"/>
      <c r="S1406" s="10"/>
      <c r="T1406" s="10"/>
      <c r="U1406" s="10"/>
      <c r="V1406" s="10"/>
      <c r="W1406" s="138"/>
      <c r="Y1406"/>
      <c r="Z1406"/>
      <c r="AA1406"/>
      <c r="AB1406"/>
      <c r="AC1406"/>
      <c r="AD1406"/>
      <c r="AE1406"/>
      <c r="AF1406"/>
      <c r="AG1406"/>
      <c r="AH1406"/>
      <c r="AI1406"/>
      <c r="AJ1406"/>
      <c r="AK1406"/>
      <c r="AL1406"/>
      <c r="AM1406"/>
      <c r="AN1406"/>
      <c r="AO1406"/>
    </row>
    <row r="1407" spans="1:41" ht="15">
      <c r="A1407"/>
      <c r="B1407"/>
      <c r="C1407" s="137"/>
      <c r="D1407" s="30"/>
      <c r="E1407" s="30"/>
      <c r="F1407" s="10"/>
      <c r="G1407" s="10"/>
      <c r="H1407" s="15"/>
      <c r="I1407" s="15"/>
      <c r="J1407" s="15"/>
      <c r="K1407" s="15"/>
      <c r="L1407" s="15"/>
      <c r="M1407" s="15"/>
      <c r="N1407" s="15"/>
      <c r="O1407" s="15"/>
      <c r="P1407" s="15"/>
      <c r="Q1407" s="71"/>
      <c r="R1407" s="84"/>
      <c r="S1407" s="10"/>
      <c r="T1407" s="10"/>
      <c r="U1407" s="10"/>
      <c r="V1407" s="10"/>
      <c r="W1407" s="138"/>
      <c r="Y1407"/>
      <c r="Z1407"/>
      <c r="AA1407"/>
      <c r="AB1407"/>
      <c r="AC1407"/>
      <c r="AD1407"/>
      <c r="AE1407"/>
      <c r="AF1407"/>
      <c r="AG1407"/>
      <c r="AH1407"/>
      <c r="AI1407"/>
      <c r="AJ1407"/>
      <c r="AK1407"/>
      <c r="AL1407"/>
      <c r="AM1407"/>
      <c r="AN1407"/>
      <c r="AO1407"/>
    </row>
    <row r="1408" spans="1:41" ht="15">
      <c r="A1408"/>
      <c r="B1408"/>
      <c r="C1408" s="137"/>
      <c r="D1408" s="30"/>
      <c r="E1408" s="30"/>
      <c r="F1408" s="10"/>
      <c r="G1408" s="10"/>
      <c r="H1408" s="15"/>
      <c r="I1408" s="15"/>
      <c r="J1408" s="15"/>
      <c r="K1408" s="15"/>
      <c r="L1408" s="15"/>
      <c r="M1408" s="15"/>
      <c r="N1408" s="15"/>
      <c r="O1408" s="15"/>
      <c r="P1408" s="15"/>
      <c r="Q1408" s="71"/>
      <c r="R1408" s="84"/>
      <c r="S1408" s="10"/>
      <c r="T1408" s="10"/>
      <c r="U1408" s="10"/>
      <c r="V1408" s="10"/>
      <c r="W1408" s="138"/>
      <c r="Y1408"/>
      <c r="Z1408"/>
      <c r="AA1408"/>
      <c r="AB1408"/>
      <c r="AC1408"/>
      <c r="AD1408"/>
      <c r="AE1408"/>
      <c r="AF1408"/>
      <c r="AG1408"/>
      <c r="AH1408"/>
      <c r="AI1408"/>
      <c r="AJ1408"/>
      <c r="AK1408"/>
      <c r="AL1408"/>
      <c r="AM1408"/>
      <c r="AN1408"/>
      <c r="AO1408"/>
    </row>
    <row r="1409" spans="1:41" ht="15">
      <c r="A1409"/>
      <c r="B1409"/>
      <c r="C1409" s="137"/>
      <c r="D1409" s="30"/>
      <c r="E1409" s="30"/>
      <c r="F1409" s="10"/>
      <c r="G1409" s="10"/>
      <c r="H1409" s="15"/>
      <c r="I1409" s="15"/>
      <c r="J1409" s="15"/>
      <c r="K1409" s="15"/>
      <c r="L1409" s="15"/>
      <c r="M1409" s="15"/>
      <c r="N1409" s="15"/>
      <c r="O1409" s="15"/>
      <c r="P1409" s="15"/>
      <c r="Q1409" s="71"/>
      <c r="R1409" s="84"/>
      <c r="S1409" s="10"/>
      <c r="T1409" s="10"/>
      <c r="U1409" s="10"/>
      <c r="V1409" s="10"/>
      <c r="W1409" s="138"/>
      <c r="Y1409"/>
      <c r="Z1409"/>
      <c r="AA1409"/>
      <c r="AB1409"/>
      <c r="AC1409"/>
      <c r="AD1409"/>
      <c r="AE1409"/>
      <c r="AF1409"/>
      <c r="AG1409"/>
      <c r="AH1409"/>
      <c r="AI1409"/>
      <c r="AJ1409"/>
      <c r="AK1409"/>
      <c r="AL1409"/>
      <c r="AM1409"/>
      <c r="AN1409"/>
      <c r="AO1409"/>
    </row>
    <row r="1410" spans="1:41" ht="15">
      <c r="A1410"/>
      <c r="B1410"/>
      <c r="C1410" s="137"/>
      <c r="D1410" s="30"/>
      <c r="E1410" s="30"/>
      <c r="F1410" s="10"/>
      <c r="G1410" s="10"/>
      <c r="H1410" s="15"/>
      <c r="I1410" s="15"/>
      <c r="J1410" s="15"/>
      <c r="K1410" s="15"/>
      <c r="L1410" s="15"/>
      <c r="M1410" s="15"/>
      <c r="N1410" s="15"/>
      <c r="O1410" s="15"/>
      <c r="P1410" s="15"/>
      <c r="Q1410" s="71"/>
      <c r="R1410" s="84"/>
      <c r="S1410" s="10"/>
      <c r="T1410" s="10"/>
      <c r="U1410" s="10"/>
      <c r="V1410" s="10"/>
      <c r="W1410" s="138"/>
      <c r="Y1410"/>
      <c r="Z1410"/>
      <c r="AA1410"/>
      <c r="AB1410"/>
      <c r="AC1410"/>
      <c r="AD1410"/>
      <c r="AE1410"/>
      <c r="AF1410"/>
      <c r="AG1410"/>
      <c r="AH1410"/>
      <c r="AI1410"/>
      <c r="AJ1410"/>
      <c r="AK1410"/>
      <c r="AL1410"/>
      <c r="AM1410"/>
      <c r="AN1410"/>
      <c r="AO1410"/>
    </row>
    <row r="1411" spans="1:41" ht="15">
      <c r="A1411"/>
      <c r="B1411"/>
      <c r="C1411" s="137"/>
      <c r="D1411" s="30"/>
      <c r="E1411" s="30"/>
      <c r="F1411" s="10"/>
      <c r="G1411" s="10"/>
      <c r="H1411" s="15"/>
      <c r="I1411" s="15"/>
      <c r="J1411" s="15"/>
      <c r="K1411" s="15"/>
      <c r="L1411" s="15"/>
      <c r="M1411" s="15"/>
      <c r="N1411" s="15"/>
      <c r="O1411" s="15"/>
      <c r="P1411" s="15"/>
      <c r="Q1411" s="71"/>
      <c r="R1411" s="84"/>
      <c r="S1411" s="10"/>
      <c r="T1411" s="10"/>
      <c r="U1411" s="10"/>
      <c r="V1411" s="10"/>
      <c r="W1411" s="138"/>
      <c r="Y1411"/>
      <c r="Z1411"/>
      <c r="AA1411"/>
      <c r="AB1411"/>
      <c r="AC1411"/>
      <c r="AD1411"/>
      <c r="AE1411"/>
      <c r="AF1411"/>
      <c r="AG1411"/>
      <c r="AH1411"/>
      <c r="AI1411"/>
      <c r="AJ1411"/>
      <c r="AK1411"/>
      <c r="AL1411"/>
      <c r="AM1411"/>
      <c r="AN1411"/>
      <c r="AO1411"/>
    </row>
    <row r="1412" spans="1:41" ht="15">
      <c r="A1412"/>
      <c r="B1412"/>
      <c r="C1412" s="137"/>
      <c r="D1412" s="30"/>
      <c r="E1412" s="30"/>
      <c r="F1412" s="10"/>
      <c r="G1412" s="10"/>
      <c r="H1412" s="15"/>
      <c r="I1412" s="15"/>
      <c r="J1412" s="15"/>
      <c r="K1412" s="15"/>
      <c r="L1412" s="15"/>
      <c r="M1412" s="15"/>
      <c r="N1412" s="15"/>
      <c r="O1412" s="15"/>
      <c r="P1412" s="15"/>
      <c r="Q1412" s="71"/>
      <c r="R1412" s="84"/>
      <c r="S1412" s="10"/>
      <c r="T1412" s="10"/>
      <c r="U1412" s="10"/>
      <c r="V1412" s="10"/>
      <c r="W1412" s="138"/>
      <c r="Y1412"/>
      <c r="Z1412"/>
      <c r="AA1412"/>
      <c r="AB1412"/>
      <c r="AC1412"/>
      <c r="AD1412"/>
      <c r="AE1412"/>
      <c r="AF1412"/>
      <c r="AG1412"/>
      <c r="AH1412"/>
      <c r="AI1412"/>
      <c r="AJ1412"/>
      <c r="AK1412"/>
      <c r="AL1412"/>
      <c r="AM1412"/>
      <c r="AN1412"/>
      <c r="AO1412"/>
    </row>
    <row r="1413" spans="1:41" ht="15">
      <c r="A1413"/>
      <c r="B1413"/>
      <c r="C1413" s="137"/>
      <c r="D1413" s="30"/>
      <c r="E1413" s="30"/>
      <c r="F1413" s="10"/>
      <c r="G1413" s="10"/>
      <c r="H1413" s="15"/>
      <c r="I1413" s="15"/>
      <c r="J1413" s="15"/>
      <c r="K1413" s="15"/>
      <c r="L1413" s="15"/>
      <c r="M1413" s="15"/>
      <c r="N1413" s="15"/>
      <c r="O1413" s="15"/>
      <c r="P1413" s="15"/>
      <c r="Q1413" s="71"/>
      <c r="R1413" s="84"/>
      <c r="S1413" s="10"/>
      <c r="T1413" s="10"/>
      <c r="U1413" s="10"/>
      <c r="V1413" s="10"/>
      <c r="W1413" s="138"/>
      <c r="Y1413"/>
      <c r="Z1413"/>
      <c r="AA1413"/>
      <c r="AB1413"/>
      <c r="AC1413"/>
      <c r="AD1413"/>
      <c r="AE1413"/>
      <c r="AF1413"/>
      <c r="AG1413"/>
      <c r="AH1413"/>
      <c r="AI1413"/>
      <c r="AJ1413"/>
      <c r="AK1413"/>
      <c r="AL1413"/>
      <c r="AM1413"/>
      <c r="AN1413"/>
      <c r="AO1413"/>
    </row>
    <row r="1414" spans="1:41" ht="15">
      <c r="A1414"/>
      <c r="B1414"/>
      <c r="C1414" s="137"/>
      <c r="D1414" s="30"/>
      <c r="E1414" s="30"/>
      <c r="F1414" s="10"/>
      <c r="G1414" s="10"/>
      <c r="H1414" s="15"/>
      <c r="I1414" s="15"/>
      <c r="J1414" s="15"/>
      <c r="K1414" s="15"/>
      <c r="L1414" s="15"/>
      <c r="M1414" s="15"/>
      <c r="N1414" s="15"/>
      <c r="O1414" s="15"/>
      <c r="P1414" s="15"/>
      <c r="Q1414" s="71"/>
      <c r="R1414" s="84"/>
      <c r="S1414" s="10"/>
      <c r="T1414" s="10"/>
      <c r="U1414" s="10"/>
      <c r="V1414" s="10"/>
      <c r="W1414" s="138"/>
      <c r="Y1414"/>
      <c r="Z1414"/>
      <c r="AA1414"/>
      <c r="AB1414"/>
      <c r="AC1414"/>
      <c r="AD1414"/>
      <c r="AE1414"/>
      <c r="AF1414"/>
      <c r="AG1414"/>
      <c r="AH1414"/>
      <c r="AI1414"/>
      <c r="AJ1414"/>
      <c r="AK1414"/>
      <c r="AL1414"/>
      <c r="AM1414"/>
      <c r="AN1414"/>
      <c r="AO1414"/>
    </row>
    <row r="1415" spans="1:41" ht="15">
      <c r="A1415"/>
      <c r="B1415"/>
      <c r="C1415" s="137"/>
      <c r="D1415" s="30"/>
      <c r="E1415" s="30"/>
      <c r="F1415" s="10"/>
      <c r="G1415" s="10"/>
      <c r="H1415" s="15"/>
      <c r="I1415" s="15"/>
      <c r="J1415" s="15"/>
      <c r="K1415" s="15"/>
      <c r="L1415" s="15"/>
      <c r="M1415" s="15"/>
      <c r="N1415" s="15"/>
      <c r="O1415" s="15"/>
      <c r="P1415" s="15"/>
      <c r="Q1415" s="71"/>
      <c r="R1415" s="84"/>
      <c r="S1415" s="10"/>
      <c r="T1415" s="10"/>
      <c r="U1415" s="10"/>
      <c r="V1415" s="10"/>
      <c r="W1415" s="138"/>
      <c r="Y1415"/>
      <c r="Z1415"/>
      <c r="AA1415"/>
      <c r="AB1415"/>
      <c r="AC1415"/>
      <c r="AD1415"/>
      <c r="AE1415"/>
      <c r="AF1415"/>
      <c r="AG1415"/>
      <c r="AH1415"/>
      <c r="AI1415"/>
      <c r="AJ1415"/>
      <c r="AK1415"/>
      <c r="AL1415"/>
      <c r="AM1415"/>
      <c r="AN1415"/>
      <c r="AO1415"/>
    </row>
    <row r="1416" spans="1:41" ht="15">
      <c r="A1416"/>
      <c r="B1416"/>
      <c r="C1416" s="137"/>
      <c r="D1416" s="30"/>
      <c r="E1416" s="30"/>
      <c r="F1416" s="10"/>
      <c r="G1416" s="10"/>
      <c r="H1416" s="15"/>
      <c r="I1416" s="15"/>
      <c r="J1416" s="15"/>
      <c r="K1416" s="15"/>
      <c r="L1416" s="15"/>
      <c r="M1416" s="15"/>
      <c r="N1416" s="15"/>
      <c r="O1416" s="15"/>
      <c r="P1416" s="15"/>
      <c r="Q1416" s="71"/>
      <c r="R1416" s="84"/>
      <c r="S1416" s="10"/>
      <c r="T1416" s="10"/>
      <c r="U1416" s="10"/>
      <c r="V1416" s="10"/>
      <c r="W1416" s="138"/>
      <c r="Y1416"/>
      <c r="Z1416"/>
      <c r="AA1416"/>
      <c r="AB1416"/>
      <c r="AC1416"/>
      <c r="AD1416"/>
      <c r="AE1416"/>
      <c r="AF1416"/>
      <c r="AG1416"/>
      <c r="AH1416"/>
      <c r="AI1416"/>
      <c r="AJ1416"/>
      <c r="AK1416"/>
      <c r="AL1416"/>
      <c r="AM1416"/>
      <c r="AN1416"/>
      <c r="AO1416"/>
    </row>
    <row r="1417" spans="1:41" ht="15">
      <c r="A1417"/>
      <c r="B1417"/>
      <c r="C1417" s="137"/>
      <c r="D1417" s="30"/>
      <c r="E1417" s="30"/>
      <c r="F1417" s="10"/>
      <c r="G1417" s="10"/>
      <c r="H1417" s="15"/>
      <c r="I1417" s="15"/>
      <c r="J1417" s="15"/>
      <c r="K1417" s="15"/>
      <c r="L1417" s="15"/>
      <c r="M1417" s="15"/>
      <c r="N1417" s="15"/>
      <c r="O1417" s="15"/>
      <c r="P1417" s="15"/>
      <c r="Q1417" s="71"/>
      <c r="R1417" s="84"/>
      <c r="S1417" s="10"/>
      <c r="T1417" s="10"/>
      <c r="U1417" s="10"/>
      <c r="V1417" s="10"/>
      <c r="W1417" s="138"/>
      <c r="Y1417"/>
      <c r="Z1417"/>
      <c r="AA1417"/>
      <c r="AB1417"/>
      <c r="AC1417"/>
      <c r="AD1417"/>
      <c r="AE1417"/>
      <c r="AF1417"/>
      <c r="AG1417"/>
      <c r="AH1417"/>
      <c r="AI1417"/>
      <c r="AJ1417"/>
      <c r="AK1417"/>
      <c r="AL1417"/>
      <c r="AM1417"/>
      <c r="AN1417"/>
      <c r="AO1417"/>
    </row>
    <row r="1418" spans="1:41" ht="15">
      <c r="A1418"/>
      <c r="B1418"/>
      <c r="C1418" s="137"/>
      <c r="D1418" s="30"/>
      <c r="E1418" s="30"/>
      <c r="F1418" s="10"/>
      <c r="G1418" s="10"/>
      <c r="H1418" s="15"/>
      <c r="I1418" s="15"/>
      <c r="J1418" s="15"/>
      <c r="K1418" s="15"/>
      <c r="L1418" s="15"/>
      <c r="M1418" s="15"/>
      <c r="N1418" s="15"/>
      <c r="O1418" s="15"/>
      <c r="P1418" s="15"/>
      <c r="Q1418" s="71"/>
      <c r="R1418" s="84"/>
      <c r="S1418" s="10"/>
      <c r="T1418" s="10"/>
      <c r="U1418" s="10"/>
      <c r="V1418" s="10"/>
      <c r="W1418" s="138"/>
      <c r="Y1418"/>
      <c r="Z1418"/>
      <c r="AA1418"/>
      <c r="AB1418"/>
      <c r="AC1418"/>
      <c r="AD1418"/>
      <c r="AE1418"/>
      <c r="AF1418"/>
      <c r="AG1418"/>
      <c r="AH1418"/>
      <c r="AI1418"/>
      <c r="AJ1418"/>
      <c r="AK1418"/>
      <c r="AL1418"/>
      <c r="AM1418"/>
      <c r="AN1418"/>
      <c r="AO1418"/>
    </row>
    <row r="1419" spans="1:41" ht="15">
      <c r="A1419"/>
      <c r="B1419"/>
      <c r="C1419" s="137"/>
      <c r="D1419" s="30"/>
      <c r="E1419" s="30"/>
      <c r="F1419" s="10"/>
      <c r="G1419" s="10"/>
      <c r="H1419" s="15"/>
      <c r="I1419" s="15"/>
      <c r="J1419" s="15"/>
      <c r="K1419" s="15"/>
      <c r="L1419" s="15"/>
      <c r="M1419" s="15"/>
      <c r="N1419" s="15"/>
      <c r="O1419" s="15"/>
      <c r="P1419" s="15"/>
      <c r="Q1419" s="71"/>
      <c r="R1419" s="84"/>
      <c r="S1419" s="10"/>
      <c r="T1419" s="10"/>
      <c r="U1419" s="10"/>
      <c r="V1419" s="10"/>
      <c r="W1419" s="138"/>
      <c r="Y1419"/>
      <c r="Z1419"/>
      <c r="AA1419"/>
      <c r="AB1419"/>
      <c r="AC1419"/>
      <c r="AD1419"/>
      <c r="AE1419"/>
      <c r="AF1419"/>
      <c r="AG1419"/>
      <c r="AH1419"/>
      <c r="AI1419"/>
      <c r="AJ1419"/>
      <c r="AK1419"/>
      <c r="AL1419"/>
      <c r="AM1419"/>
      <c r="AN1419"/>
      <c r="AO1419"/>
    </row>
    <row r="1420" spans="1:41" ht="15">
      <c r="A1420"/>
      <c r="B1420"/>
      <c r="C1420" s="137"/>
      <c r="D1420" s="30"/>
      <c r="E1420" s="30"/>
      <c r="F1420" s="10"/>
      <c r="G1420" s="10"/>
      <c r="H1420" s="15"/>
      <c r="I1420" s="15"/>
      <c r="J1420" s="15"/>
      <c r="K1420" s="15"/>
      <c r="L1420" s="15"/>
      <c r="M1420" s="15"/>
      <c r="N1420" s="15"/>
      <c r="O1420" s="15"/>
      <c r="P1420" s="15"/>
      <c r="Q1420" s="71"/>
      <c r="R1420" s="84"/>
      <c r="S1420" s="10"/>
      <c r="T1420" s="10"/>
      <c r="U1420" s="10"/>
      <c r="V1420" s="10"/>
      <c r="W1420" s="138"/>
      <c r="Y1420"/>
      <c r="Z1420"/>
      <c r="AA1420"/>
      <c r="AB1420"/>
      <c r="AC1420"/>
      <c r="AD1420"/>
      <c r="AE1420"/>
      <c r="AF1420"/>
      <c r="AG1420"/>
      <c r="AH1420"/>
      <c r="AI1420"/>
      <c r="AJ1420"/>
      <c r="AK1420"/>
      <c r="AL1420"/>
      <c r="AM1420"/>
      <c r="AN1420"/>
      <c r="AO1420"/>
    </row>
    <row r="1421" spans="1:41" ht="15">
      <c r="A1421"/>
      <c r="B1421"/>
      <c r="C1421" s="137"/>
      <c r="D1421" s="30"/>
      <c r="E1421" s="30"/>
      <c r="F1421" s="10"/>
      <c r="G1421" s="10"/>
      <c r="H1421" s="15"/>
      <c r="I1421" s="15"/>
      <c r="J1421" s="15"/>
      <c r="K1421" s="15"/>
      <c r="L1421" s="15"/>
      <c r="M1421" s="15"/>
      <c r="N1421" s="15"/>
      <c r="O1421" s="15"/>
      <c r="P1421" s="15"/>
      <c r="Q1421" s="71"/>
      <c r="R1421" s="84"/>
      <c r="S1421" s="10"/>
      <c r="T1421" s="10"/>
      <c r="U1421" s="10"/>
      <c r="V1421" s="10"/>
      <c r="W1421" s="138"/>
      <c r="Y1421"/>
      <c r="Z1421"/>
      <c r="AA1421"/>
      <c r="AB1421"/>
      <c r="AC1421"/>
      <c r="AD1421"/>
      <c r="AE1421"/>
      <c r="AF1421"/>
      <c r="AG1421"/>
      <c r="AH1421"/>
      <c r="AI1421"/>
      <c r="AJ1421"/>
      <c r="AK1421"/>
      <c r="AL1421"/>
      <c r="AM1421"/>
      <c r="AN1421"/>
      <c r="AO1421"/>
    </row>
    <row r="1422" spans="1:41" ht="15">
      <c r="A1422"/>
      <c r="B1422"/>
      <c r="C1422" s="137"/>
      <c r="D1422" s="30"/>
      <c r="E1422" s="30"/>
      <c r="F1422" s="10"/>
      <c r="G1422" s="10"/>
      <c r="H1422" s="15"/>
      <c r="I1422" s="15"/>
      <c r="J1422" s="15"/>
      <c r="K1422" s="15"/>
      <c r="L1422" s="15"/>
      <c r="M1422" s="15"/>
      <c r="N1422" s="15"/>
      <c r="O1422" s="15"/>
      <c r="P1422" s="15"/>
      <c r="Q1422" s="71"/>
      <c r="R1422" s="84"/>
      <c r="S1422" s="10"/>
      <c r="T1422" s="10"/>
      <c r="U1422" s="10"/>
      <c r="V1422" s="10"/>
      <c r="W1422" s="138"/>
      <c r="Y1422"/>
      <c r="Z1422"/>
      <c r="AA1422"/>
      <c r="AB1422"/>
      <c r="AC1422"/>
      <c r="AD1422"/>
      <c r="AE1422"/>
      <c r="AF1422"/>
      <c r="AG1422"/>
      <c r="AH1422"/>
      <c r="AI1422"/>
      <c r="AJ1422"/>
      <c r="AK1422"/>
      <c r="AL1422"/>
      <c r="AM1422"/>
      <c r="AN1422"/>
      <c r="AO1422"/>
    </row>
    <row r="1423" spans="1:41" ht="15">
      <c r="A1423"/>
      <c r="B1423"/>
      <c r="C1423" s="137"/>
      <c r="D1423" s="30"/>
      <c r="E1423" s="30"/>
      <c r="F1423" s="10"/>
      <c r="G1423" s="10"/>
      <c r="H1423" s="15"/>
      <c r="I1423" s="15"/>
      <c r="J1423" s="15"/>
      <c r="K1423" s="15"/>
      <c r="L1423" s="15"/>
      <c r="M1423" s="15"/>
      <c r="N1423" s="15"/>
      <c r="O1423" s="15"/>
      <c r="P1423" s="15"/>
      <c r="Q1423" s="71"/>
      <c r="R1423" s="84"/>
      <c r="S1423" s="10"/>
      <c r="T1423" s="10"/>
      <c r="U1423" s="10"/>
      <c r="V1423" s="10"/>
      <c r="W1423" s="138"/>
      <c r="Y1423"/>
      <c r="Z1423"/>
      <c r="AA1423"/>
      <c r="AB1423"/>
      <c r="AC1423"/>
      <c r="AD1423"/>
      <c r="AE1423"/>
      <c r="AF1423"/>
      <c r="AG1423"/>
      <c r="AH1423"/>
      <c r="AI1423"/>
      <c r="AJ1423"/>
      <c r="AK1423"/>
      <c r="AL1423"/>
      <c r="AM1423"/>
      <c r="AN1423"/>
      <c r="AO1423"/>
    </row>
    <row r="1424" spans="1:41" ht="15">
      <c r="A1424"/>
      <c r="B1424"/>
      <c r="C1424" s="137"/>
      <c r="D1424" s="30"/>
      <c r="E1424" s="30"/>
      <c r="F1424" s="10"/>
      <c r="G1424" s="10"/>
      <c r="H1424" s="15"/>
      <c r="I1424" s="15"/>
      <c r="J1424" s="15"/>
      <c r="K1424" s="15"/>
      <c r="L1424" s="15"/>
      <c r="M1424" s="15"/>
      <c r="N1424" s="15"/>
      <c r="O1424" s="15"/>
      <c r="P1424" s="15"/>
      <c r="Q1424" s="71"/>
      <c r="R1424" s="84"/>
      <c r="S1424" s="10"/>
      <c r="T1424" s="10"/>
      <c r="U1424" s="10"/>
      <c r="V1424" s="10"/>
      <c r="W1424" s="138"/>
      <c r="Y1424"/>
      <c r="Z1424"/>
      <c r="AA1424"/>
      <c r="AB1424"/>
      <c r="AC1424"/>
      <c r="AD1424"/>
      <c r="AE1424"/>
      <c r="AF1424"/>
      <c r="AG1424"/>
      <c r="AH1424"/>
      <c r="AI1424"/>
      <c r="AJ1424"/>
      <c r="AK1424"/>
      <c r="AL1424"/>
      <c r="AM1424"/>
      <c r="AN1424"/>
      <c r="AO1424"/>
    </row>
    <row r="1425" spans="1:41" ht="15">
      <c r="A1425"/>
      <c r="B1425"/>
      <c r="C1425" s="137"/>
      <c r="D1425" s="30"/>
      <c r="E1425" s="30"/>
      <c r="F1425" s="10"/>
      <c r="G1425" s="10"/>
      <c r="H1425" s="15"/>
      <c r="I1425" s="15"/>
      <c r="J1425" s="15"/>
      <c r="K1425" s="15"/>
      <c r="L1425" s="15"/>
      <c r="M1425" s="15"/>
      <c r="N1425" s="15"/>
      <c r="O1425" s="15"/>
      <c r="P1425" s="15"/>
      <c r="Q1425" s="71"/>
      <c r="R1425" s="84"/>
      <c r="S1425" s="10"/>
      <c r="T1425" s="10"/>
      <c r="U1425" s="10"/>
      <c r="V1425" s="10"/>
      <c r="W1425" s="138"/>
      <c r="Y1425"/>
      <c r="Z1425"/>
      <c r="AA1425"/>
      <c r="AB1425"/>
      <c r="AC1425"/>
      <c r="AD1425"/>
      <c r="AE1425"/>
      <c r="AF1425"/>
      <c r="AG1425"/>
      <c r="AH1425"/>
      <c r="AI1425"/>
      <c r="AJ1425"/>
      <c r="AK1425"/>
      <c r="AL1425"/>
      <c r="AM1425"/>
      <c r="AN1425"/>
      <c r="AO1425"/>
    </row>
    <row r="1426" spans="1:41" ht="15">
      <c r="A1426"/>
      <c r="B1426"/>
      <c r="C1426" s="137"/>
      <c r="D1426" s="30"/>
      <c r="E1426" s="30"/>
      <c r="F1426" s="10"/>
      <c r="G1426" s="10"/>
      <c r="H1426" s="15"/>
      <c r="I1426" s="15"/>
      <c r="J1426" s="15"/>
      <c r="K1426" s="15"/>
      <c r="L1426" s="15"/>
      <c r="M1426" s="15"/>
      <c r="N1426" s="15"/>
      <c r="O1426" s="15"/>
      <c r="P1426" s="15"/>
      <c r="Q1426" s="71"/>
      <c r="R1426" s="84"/>
      <c r="S1426" s="10"/>
      <c r="T1426" s="10"/>
      <c r="U1426" s="10"/>
      <c r="V1426" s="10"/>
      <c r="W1426" s="138"/>
      <c r="Y1426"/>
      <c r="Z1426"/>
      <c r="AA1426"/>
      <c r="AB1426"/>
      <c r="AC1426"/>
      <c r="AD1426"/>
      <c r="AE1426"/>
      <c r="AF1426"/>
      <c r="AG1426"/>
      <c r="AH1426"/>
      <c r="AI1426"/>
      <c r="AJ1426"/>
      <c r="AK1426"/>
      <c r="AL1426"/>
      <c r="AM1426"/>
      <c r="AN1426"/>
      <c r="AO1426"/>
    </row>
    <row r="1427" spans="1:41" ht="15">
      <c r="A1427"/>
      <c r="B1427"/>
      <c r="C1427" s="137"/>
      <c r="D1427" s="30"/>
      <c r="E1427" s="30"/>
      <c r="F1427" s="10"/>
      <c r="G1427" s="10"/>
      <c r="H1427" s="15"/>
      <c r="I1427" s="15"/>
      <c r="J1427" s="15"/>
      <c r="K1427" s="15"/>
      <c r="L1427" s="15"/>
      <c r="M1427" s="15"/>
      <c r="N1427" s="15"/>
      <c r="O1427" s="15"/>
      <c r="P1427" s="15"/>
      <c r="Q1427" s="71"/>
      <c r="R1427" s="84"/>
      <c r="S1427" s="10"/>
      <c r="T1427" s="10"/>
      <c r="U1427" s="10"/>
      <c r="V1427" s="10"/>
      <c r="W1427" s="138"/>
      <c r="Y1427"/>
      <c r="Z1427"/>
      <c r="AA1427"/>
      <c r="AB1427"/>
      <c r="AC1427"/>
      <c r="AD1427"/>
      <c r="AE1427"/>
      <c r="AF1427"/>
      <c r="AG1427"/>
      <c r="AH1427"/>
      <c r="AI1427"/>
      <c r="AJ1427"/>
      <c r="AK1427"/>
      <c r="AL1427"/>
      <c r="AM1427"/>
      <c r="AN1427"/>
      <c r="AO1427"/>
    </row>
    <row r="1428" spans="1:41" ht="15">
      <c r="A1428"/>
      <c r="B1428"/>
      <c r="C1428" s="137"/>
      <c r="D1428" s="30"/>
      <c r="E1428" s="30"/>
      <c r="F1428" s="10"/>
      <c r="G1428" s="10"/>
      <c r="H1428" s="15"/>
      <c r="I1428" s="15"/>
      <c r="J1428" s="15"/>
      <c r="K1428" s="15"/>
      <c r="L1428" s="15"/>
      <c r="M1428" s="15"/>
      <c r="N1428" s="15"/>
      <c r="O1428" s="15"/>
      <c r="P1428" s="15"/>
      <c r="Q1428" s="71"/>
      <c r="R1428" s="84"/>
      <c r="S1428" s="10"/>
      <c r="T1428" s="10"/>
      <c r="U1428" s="10"/>
      <c r="V1428" s="10"/>
      <c r="W1428" s="138"/>
      <c r="Y1428"/>
      <c r="Z1428"/>
      <c r="AA1428"/>
      <c r="AB1428"/>
      <c r="AC1428"/>
      <c r="AD1428"/>
      <c r="AE1428"/>
      <c r="AF1428"/>
      <c r="AG1428"/>
      <c r="AH1428"/>
      <c r="AI1428"/>
      <c r="AJ1428"/>
      <c r="AK1428"/>
      <c r="AL1428"/>
      <c r="AM1428"/>
      <c r="AN1428"/>
      <c r="AO1428"/>
    </row>
    <row r="1429" spans="1:41" ht="15">
      <c r="A1429"/>
      <c r="B1429"/>
      <c r="C1429" s="137"/>
      <c r="D1429" s="30"/>
      <c r="E1429" s="30"/>
      <c r="F1429" s="10"/>
      <c r="G1429" s="10"/>
      <c r="H1429" s="15"/>
      <c r="I1429" s="15"/>
      <c r="J1429" s="15"/>
      <c r="K1429" s="15"/>
      <c r="L1429" s="15"/>
      <c r="M1429" s="15"/>
      <c r="N1429" s="15"/>
      <c r="O1429" s="15"/>
      <c r="P1429" s="15"/>
      <c r="Q1429" s="71"/>
      <c r="R1429" s="84"/>
      <c r="S1429" s="10"/>
      <c r="T1429" s="10"/>
      <c r="U1429" s="10"/>
      <c r="V1429" s="10"/>
      <c r="W1429" s="138"/>
      <c r="Y1429"/>
      <c r="Z1429"/>
      <c r="AA1429"/>
      <c r="AB1429"/>
      <c r="AC1429"/>
      <c r="AD1429"/>
      <c r="AE1429"/>
      <c r="AF1429"/>
      <c r="AG1429"/>
      <c r="AH1429"/>
      <c r="AI1429"/>
      <c r="AJ1429"/>
      <c r="AK1429"/>
      <c r="AL1429"/>
      <c r="AM1429"/>
      <c r="AN1429"/>
      <c r="AO1429"/>
    </row>
    <row r="1430" spans="1:41" ht="15">
      <c r="A1430"/>
      <c r="B1430"/>
      <c r="C1430" s="137"/>
      <c r="D1430" s="30"/>
      <c r="E1430" s="30"/>
      <c r="F1430" s="10"/>
      <c r="G1430" s="10"/>
      <c r="H1430" s="15"/>
      <c r="I1430" s="15"/>
      <c r="J1430" s="15"/>
      <c r="K1430" s="15"/>
      <c r="L1430" s="15"/>
      <c r="M1430" s="15"/>
      <c r="N1430" s="15"/>
      <c r="O1430" s="15"/>
      <c r="P1430" s="15"/>
      <c r="Q1430" s="71"/>
      <c r="R1430" s="84"/>
      <c r="S1430" s="10"/>
      <c r="T1430" s="10"/>
      <c r="U1430" s="10"/>
      <c r="V1430" s="10"/>
      <c r="W1430" s="138"/>
      <c r="Y1430"/>
      <c r="Z1430"/>
      <c r="AA1430"/>
      <c r="AB1430"/>
      <c r="AC1430"/>
      <c r="AD1430"/>
      <c r="AE1430"/>
      <c r="AF1430"/>
      <c r="AG1430"/>
      <c r="AH1430"/>
      <c r="AI1430"/>
      <c r="AJ1430"/>
      <c r="AK1430"/>
      <c r="AL1430"/>
      <c r="AM1430"/>
      <c r="AN1430"/>
      <c r="AO1430"/>
    </row>
    <row r="1431" spans="1:41" ht="15">
      <c r="A1431"/>
      <c r="B1431"/>
      <c r="C1431" s="137"/>
      <c r="D1431" s="30"/>
      <c r="E1431" s="30"/>
      <c r="F1431" s="10"/>
      <c r="G1431" s="10"/>
      <c r="H1431" s="15"/>
      <c r="I1431" s="15"/>
      <c r="J1431" s="15"/>
      <c r="K1431" s="15"/>
      <c r="L1431" s="15"/>
      <c r="M1431" s="15"/>
      <c r="N1431" s="15"/>
      <c r="O1431" s="15"/>
      <c r="P1431" s="15"/>
      <c r="Q1431" s="71"/>
      <c r="R1431" s="84"/>
      <c r="S1431" s="10"/>
      <c r="T1431" s="10"/>
      <c r="U1431" s="10"/>
      <c r="V1431" s="10"/>
      <c r="W1431" s="138"/>
      <c r="Y1431"/>
      <c r="Z1431"/>
      <c r="AA1431"/>
      <c r="AB1431"/>
      <c r="AC1431"/>
      <c r="AD1431"/>
      <c r="AE1431"/>
      <c r="AF1431"/>
      <c r="AG1431"/>
      <c r="AH1431"/>
      <c r="AI1431"/>
      <c r="AJ1431"/>
      <c r="AK1431"/>
      <c r="AL1431"/>
      <c r="AM1431"/>
      <c r="AN1431"/>
      <c r="AO1431"/>
    </row>
    <row r="1432" spans="1:41" ht="15">
      <c r="A1432"/>
      <c r="B1432"/>
      <c r="C1432" s="137"/>
      <c r="D1432" s="30"/>
      <c r="E1432" s="30"/>
      <c r="F1432" s="10"/>
      <c r="G1432" s="10"/>
      <c r="H1432" s="15"/>
      <c r="I1432" s="15"/>
      <c r="J1432" s="15"/>
      <c r="K1432" s="15"/>
      <c r="L1432" s="15"/>
      <c r="M1432" s="15"/>
      <c r="N1432" s="15"/>
      <c r="O1432" s="15"/>
      <c r="P1432" s="15"/>
      <c r="Q1432" s="71"/>
      <c r="R1432" s="84"/>
      <c r="S1432" s="10"/>
      <c r="T1432" s="10"/>
      <c r="U1432" s="10"/>
      <c r="V1432" s="10"/>
      <c r="W1432" s="138"/>
      <c r="Y1432"/>
      <c r="Z1432"/>
      <c r="AA1432"/>
      <c r="AB1432"/>
      <c r="AC1432"/>
      <c r="AD1432"/>
      <c r="AE1432"/>
      <c r="AF1432"/>
      <c r="AG1432"/>
      <c r="AH1432"/>
      <c r="AI1432"/>
      <c r="AJ1432"/>
      <c r="AK1432"/>
      <c r="AL1432"/>
      <c r="AM1432"/>
      <c r="AN1432"/>
      <c r="AO1432"/>
    </row>
    <row r="1433" spans="1:41" ht="15">
      <c r="A1433"/>
      <c r="B1433"/>
      <c r="C1433" s="137"/>
      <c r="D1433" s="30"/>
      <c r="E1433" s="30"/>
      <c r="F1433" s="10"/>
      <c r="G1433" s="10"/>
      <c r="H1433" s="15"/>
      <c r="I1433" s="15"/>
      <c r="J1433" s="15"/>
      <c r="K1433" s="15"/>
      <c r="L1433" s="15"/>
      <c r="M1433" s="15"/>
      <c r="N1433" s="15"/>
      <c r="O1433" s="15"/>
      <c r="P1433" s="15"/>
      <c r="Q1433" s="71"/>
      <c r="R1433" s="84"/>
      <c r="S1433" s="10"/>
      <c r="T1433" s="10"/>
      <c r="U1433" s="10"/>
      <c r="V1433" s="10"/>
      <c r="W1433" s="138"/>
      <c r="Y1433"/>
      <c r="Z1433"/>
      <c r="AA1433"/>
      <c r="AB1433"/>
      <c r="AC1433"/>
      <c r="AD1433"/>
      <c r="AE1433"/>
      <c r="AF1433"/>
      <c r="AG1433"/>
      <c r="AH1433"/>
      <c r="AI1433"/>
      <c r="AJ1433"/>
      <c r="AK1433"/>
      <c r="AL1433"/>
      <c r="AM1433"/>
      <c r="AN1433"/>
      <c r="AO1433"/>
    </row>
    <row r="1434" spans="1:41" ht="15">
      <c r="A1434"/>
      <c r="B1434"/>
      <c r="C1434" s="137"/>
      <c r="D1434" s="30"/>
      <c r="E1434" s="30"/>
      <c r="F1434" s="10"/>
      <c r="G1434" s="10"/>
      <c r="H1434" s="15"/>
      <c r="I1434" s="15"/>
      <c r="J1434" s="15"/>
      <c r="K1434" s="15"/>
      <c r="L1434" s="15"/>
      <c r="M1434" s="15"/>
      <c r="N1434" s="15"/>
      <c r="O1434" s="15"/>
      <c r="P1434" s="15"/>
      <c r="Q1434" s="71"/>
      <c r="R1434" s="84"/>
      <c r="S1434" s="10"/>
      <c r="T1434" s="10"/>
      <c r="U1434" s="10"/>
      <c r="V1434" s="10"/>
      <c r="W1434" s="138"/>
      <c r="Y1434"/>
      <c r="Z1434"/>
      <c r="AA1434"/>
      <c r="AB1434"/>
      <c r="AC1434"/>
      <c r="AD1434"/>
      <c r="AE1434"/>
      <c r="AF1434"/>
      <c r="AG1434"/>
      <c r="AH1434"/>
      <c r="AI1434"/>
      <c r="AJ1434"/>
      <c r="AK1434"/>
      <c r="AL1434"/>
      <c r="AM1434"/>
      <c r="AN1434"/>
      <c r="AO1434"/>
    </row>
    <row r="1435" spans="1:41" ht="15">
      <c r="A1435"/>
      <c r="B1435"/>
      <c r="C1435" s="137"/>
      <c r="D1435" s="30"/>
      <c r="E1435" s="30"/>
      <c r="F1435" s="10"/>
      <c r="G1435" s="10"/>
      <c r="H1435" s="15"/>
      <c r="I1435" s="15"/>
      <c r="J1435" s="15"/>
      <c r="K1435" s="15"/>
      <c r="L1435" s="15"/>
      <c r="M1435" s="15"/>
      <c r="N1435" s="15"/>
      <c r="O1435" s="15"/>
      <c r="P1435" s="15"/>
      <c r="Q1435" s="71"/>
      <c r="R1435" s="84"/>
      <c r="S1435" s="10"/>
      <c r="T1435" s="10"/>
      <c r="U1435" s="10"/>
      <c r="V1435" s="10"/>
      <c r="W1435" s="138"/>
      <c r="Y1435"/>
      <c r="Z1435"/>
      <c r="AA1435"/>
      <c r="AB1435"/>
      <c r="AC1435"/>
      <c r="AD1435"/>
      <c r="AE1435"/>
      <c r="AF1435"/>
      <c r="AG1435"/>
      <c r="AH1435"/>
      <c r="AI1435"/>
      <c r="AJ1435"/>
      <c r="AK1435"/>
      <c r="AL1435"/>
      <c r="AM1435"/>
      <c r="AN1435"/>
      <c r="AO1435"/>
    </row>
    <row r="1436" spans="1:41" ht="15">
      <c r="A1436"/>
      <c r="B1436"/>
      <c r="C1436" s="137"/>
      <c r="D1436" s="30"/>
      <c r="E1436" s="30"/>
      <c r="F1436" s="10"/>
      <c r="G1436" s="10"/>
      <c r="H1436" s="15"/>
      <c r="I1436" s="15"/>
      <c r="J1436" s="15"/>
      <c r="K1436" s="15"/>
      <c r="L1436" s="15"/>
      <c r="M1436" s="15"/>
      <c r="N1436" s="15"/>
      <c r="O1436" s="15"/>
      <c r="P1436" s="15"/>
      <c r="Q1436" s="71"/>
      <c r="R1436" s="84"/>
      <c r="S1436" s="10"/>
      <c r="T1436" s="10"/>
      <c r="U1436" s="10"/>
      <c r="V1436" s="10"/>
      <c r="W1436" s="138"/>
      <c r="Y1436"/>
      <c r="Z1436"/>
      <c r="AA1436"/>
      <c r="AB1436"/>
      <c r="AC1436"/>
      <c r="AD1436"/>
      <c r="AE1436"/>
      <c r="AF1436"/>
      <c r="AG1436"/>
      <c r="AH1436"/>
      <c r="AI1436"/>
      <c r="AJ1436"/>
      <c r="AK1436"/>
      <c r="AL1436"/>
      <c r="AM1436"/>
      <c r="AN1436"/>
      <c r="AO1436"/>
    </row>
    <row r="1437" spans="1:41" ht="15">
      <c r="A1437"/>
      <c r="B1437"/>
      <c r="C1437" s="137"/>
      <c r="D1437" s="30"/>
      <c r="E1437" s="30"/>
      <c r="F1437" s="10"/>
      <c r="G1437" s="10"/>
      <c r="H1437" s="15"/>
      <c r="I1437" s="15"/>
      <c r="J1437" s="15"/>
      <c r="K1437" s="15"/>
      <c r="L1437" s="15"/>
      <c r="M1437" s="15"/>
      <c r="N1437" s="15"/>
      <c r="O1437" s="15"/>
      <c r="P1437" s="15"/>
      <c r="Q1437" s="71"/>
      <c r="R1437" s="84"/>
      <c r="S1437" s="10"/>
      <c r="T1437" s="10"/>
      <c r="U1437" s="10"/>
      <c r="V1437" s="10"/>
      <c r="W1437" s="138"/>
      <c r="Y1437"/>
      <c r="Z1437"/>
      <c r="AA1437"/>
      <c r="AB1437"/>
      <c r="AC1437"/>
      <c r="AD1437"/>
      <c r="AE1437"/>
      <c r="AF1437"/>
      <c r="AG1437"/>
      <c r="AH1437"/>
      <c r="AI1437"/>
      <c r="AJ1437"/>
      <c r="AK1437"/>
      <c r="AL1437"/>
      <c r="AM1437"/>
      <c r="AN1437"/>
      <c r="AO1437"/>
    </row>
    <row r="1438" spans="1:41" ht="15">
      <c r="A1438"/>
      <c r="B1438"/>
      <c r="C1438" s="137"/>
      <c r="D1438" s="30"/>
      <c r="E1438" s="30"/>
      <c r="F1438" s="10"/>
      <c r="G1438" s="10"/>
      <c r="H1438" s="15"/>
      <c r="I1438" s="15"/>
      <c r="J1438" s="15"/>
      <c r="K1438" s="15"/>
      <c r="L1438" s="15"/>
      <c r="M1438" s="15"/>
      <c r="N1438" s="15"/>
      <c r="O1438" s="15"/>
      <c r="P1438" s="15"/>
      <c r="Q1438" s="71"/>
      <c r="R1438" s="84"/>
      <c r="S1438" s="10"/>
      <c r="T1438" s="10"/>
      <c r="U1438" s="10"/>
      <c r="V1438" s="10"/>
      <c r="W1438" s="138"/>
      <c r="Y1438"/>
      <c r="Z1438"/>
      <c r="AA1438"/>
      <c r="AB1438"/>
      <c r="AC1438"/>
      <c r="AD1438"/>
      <c r="AE1438"/>
      <c r="AF1438"/>
      <c r="AG1438"/>
      <c r="AH1438"/>
      <c r="AI1438"/>
      <c r="AJ1438"/>
      <c r="AK1438"/>
      <c r="AL1438"/>
      <c r="AM1438"/>
      <c r="AN1438"/>
      <c r="AO1438"/>
    </row>
    <row r="1439" spans="1:41" ht="15">
      <c r="A1439"/>
      <c r="B1439"/>
      <c r="C1439" s="137"/>
      <c r="D1439" s="30"/>
      <c r="E1439" s="30"/>
      <c r="F1439" s="10"/>
      <c r="G1439" s="10"/>
      <c r="H1439" s="15"/>
      <c r="I1439" s="15"/>
      <c r="J1439" s="15"/>
      <c r="K1439" s="15"/>
      <c r="L1439" s="15"/>
      <c r="M1439" s="15"/>
      <c r="N1439" s="15"/>
      <c r="O1439" s="15"/>
      <c r="P1439" s="15"/>
      <c r="Q1439" s="71"/>
      <c r="R1439" s="84"/>
      <c r="S1439" s="10"/>
      <c r="T1439" s="10"/>
      <c r="U1439" s="10"/>
      <c r="V1439" s="10"/>
      <c r="W1439" s="138"/>
      <c r="Y1439"/>
      <c r="Z1439"/>
      <c r="AA1439"/>
      <c r="AB1439"/>
      <c r="AC1439"/>
      <c r="AD1439"/>
      <c r="AE1439"/>
      <c r="AF1439"/>
      <c r="AG1439"/>
      <c r="AH1439"/>
      <c r="AI1439"/>
      <c r="AJ1439"/>
      <c r="AK1439"/>
      <c r="AL1439"/>
      <c r="AM1439"/>
      <c r="AN1439"/>
      <c r="AO1439"/>
    </row>
    <row r="1440" spans="1:41" ht="15">
      <c r="A1440"/>
      <c r="B1440"/>
      <c r="C1440" s="137"/>
      <c r="D1440" s="30"/>
      <c r="E1440" s="30"/>
      <c r="F1440" s="10"/>
      <c r="G1440" s="10"/>
      <c r="H1440" s="15"/>
      <c r="I1440" s="15"/>
      <c r="J1440" s="15"/>
      <c r="K1440" s="15"/>
      <c r="L1440" s="15"/>
      <c r="M1440" s="15"/>
      <c r="N1440" s="15"/>
      <c r="O1440" s="15"/>
      <c r="P1440" s="15"/>
      <c r="Q1440" s="71"/>
      <c r="R1440" s="84"/>
      <c r="S1440" s="10"/>
      <c r="T1440" s="10"/>
      <c r="U1440" s="10"/>
      <c r="V1440" s="10"/>
      <c r="W1440" s="138"/>
      <c r="Y1440"/>
      <c r="Z1440"/>
      <c r="AA1440"/>
      <c r="AB1440"/>
      <c r="AC1440"/>
      <c r="AD1440"/>
      <c r="AE1440"/>
      <c r="AF1440"/>
      <c r="AG1440"/>
      <c r="AH1440"/>
      <c r="AI1440"/>
      <c r="AJ1440"/>
      <c r="AK1440"/>
      <c r="AL1440"/>
      <c r="AM1440"/>
      <c r="AN1440"/>
      <c r="AO1440"/>
    </row>
    <row r="1441" spans="1:41" ht="15">
      <c r="A1441"/>
      <c r="B1441"/>
      <c r="C1441" s="137"/>
      <c r="D1441" s="30"/>
      <c r="E1441" s="30"/>
      <c r="F1441" s="10"/>
      <c r="G1441" s="10"/>
      <c r="H1441" s="15"/>
      <c r="I1441" s="15"/>
      <c r="J1441" s="15"/>
      <c r="K1441" s="15"/>
      <c r="L1441" s="15"/>
      <c r="M1441" s="15"/>
      <c r="N1441" s="15"/>
      <c r="O1441" s="15"/>
      <c r="P1441" s="15"/>
      <c r="Q1441" s="71"/>
      <c r="R1441" s="84"/>
      <c r="S1441" s="10"/>
      <c r="T1441" s="10"/>
      <c r="U1441" s="10"/>
      <c r="V1441" s="10"/>
      <c r="W1441" s="138"/>
      <c r="Y1441"/>
      <c r="Z1441"/>
      <c r="AA1441"/>
      <c r="AB1441"/>
      <c r="AC1441"/>
      <c r="AD1441"/>
      <c r="AE1441"/>
      <c r="AF1441"/>
      <c r="AG1441"/>
      <c r="AH1441"/>
      <c r="AI1441"/>
      <c r="AJ1441"/>
      <c r="AK1441"/>
      <c r="AL1441"/>
      <c r="AM1441"/>
      <c r="AN1441"/>
      <c r="AO1441"/>
    </row>
    <row r="1442" spans="1:41" ht="15">
      <c r="A1442"/>
      <c r="B1442"/>
      <c r="C1442" s="137"/>
      <c r="D1442" s="30"/>
      <c r="E1442" s="30"/>
      <c r="F1442" s="10"/>
      <c r="G1442" s="10"/>
      <c r="H1442" s="15"/>
      <c r="I1442" s="15"/>
      <c r="J1442" s="15"/>
      <c r="K1442" s="15"/>
      <c r="L1442" s="15"/>
      <c r="M1442" s="15"/>
      <c r="N1442" s="15"/>
      <c r="O1442" s="15"/>
      <c r="P1442" s="15"/>
      <c r="Q1442" s="71"/>
      <c r="R1442" s="84"/>
      <c r="S1442" s="10"/>
      <c r="T1442" s="10"/>
      <c r="U1442" s="10"/>
      <c r="V1442" s="10"/>
      <c r="W1442" s="138"/>
      <c r="Y1442"/>
      <c r="Z1442"/>
      <c r="AA1442"/>
      <c r="AB1442"/>
      <c r="AC1442"/>
      <c r="AD1442"/>
      <c r="AE1442"/>
      <c r="AF1442"/>
      <c r="AG1442"/>
      <c r="AH1442"/>
      <c r="AI1442"/>
      <c r="AJ1442"/>
      <c r="AK1442"/>
      <c r="AL1442"/>
      <c r="AM1442"/>
      <c r="AN1442"/>
      <c r="AO1442"/>
    </row>
    <row r="1443" spans="1:41" ht="15">
      <c r="A1443"/>
      <c r="B1443"/>
      <c r="C1443" s="137"/>
      <c r="D1443" s="30"/>
      <c r="E1443" s="30"/>
      <c r="F1443" s="10"/>
      <c r="G1443" s="10"/>
      <c r="H1443" s="15"/>
      <c r="I1443" s="15"/>
      <c r="J1443" s="15"/>
      <c r="K1443" s="15"/>
      <c r="L1443" s="15"/>
      <c r="M1443" s="15"/>
      <c r="N1443" s="15"/>
      <c r="O1443" s="15"/>
      <c r="P1443" s="15"/>
      <c r="Q1443" s="71"/>
      <c r="R1443" s="84"/>
      <c r="S1443" s="10"/>
      <c r="T1443" s="10"/>
      <c r="U1443" s="10"/>
      <c r="V1443" s="10"/>
      <c r="W1443" s="138"/>
      <c r="Y1443"/>
      <c r="Z1443"/>
      <c r="AA1443"/>
      <c r="AB1443"/>
      <c r="AC1443"/>
      <c r="AD1443"/>
      <c r="AE1443"/>
      <c r="AF1443"/>
      <c r="AG1443"/>
      <c r="AH1443"/>
      <c r="AI1443"/>
      <c r="AJ1443"/>
      <c r="AK1443"/>
      <c r="AL1443"/>
      <c r="AM1443"/>
      <c r="AN1443"/>
      <c r="AO1443"/>
    </row>
    <row r="1444" spans="1:41" ht="15">
      <c r="A1444"/>
      <c r="B1444"/>
      <c r="C1444" s="137"/>
      <c r="D1444" s="30"/>
      <c r="E1444" s="30"/>
      <c r="F1444" s="10"/>
      <c r="G1444" s="10"/>
      <c r="H1444" s="15"/>
      <c r="I1444" s="15"/>
      <c r="J1444" s="15"/>
      <c r="K1444" s="15"/>
      <c r="L1444" s="15"/>
      <c r="M1444" s="15"/>
      <c r="N1444" s="15"/>
      <c r="O1444" s="15"/>
      <c r="P1444" s="15"/>
      <c r="Q1444" s="71"/>
      <c r="R1444" s="84"/>
      <c r="S1444" s="10"/>
      <c r="T1444" s="10"/>
      <c r="U1444" s="10"/>
      <c r="V1444" s="10"/>
      <c r="W1444" s="138"/>
      <c r="Y1444"/>
      <c r="Z1444"/>
      <c r="AA1444"/>
      <c r="AB1444"/>
      <c r="AC1444"/>
      <c r="AD1444"/>
      <c r="AE1444"/>
      <c r="AF1444"/>
      <c r="AG1444"/>
      <c r="AH1444"/>
      <c r="AI1444"/>
      <c r="AJ1444"/>
      <c r="AK1444"/>
      <c r="AL1444"/>
      <c r="AM1444"/>
      <c r="AN1444"/>
      <c r="AO1444"/>
    </row>
    <row r="1445" spans="1:41" ht="15">
      <c r="A1445"/>
      <c r="B1445"/>
      <c r="C1445" s="137"/>
      <c r="D1445" s="30"/>
      <c r="E1445" s="30"/>
      <c r="F1445" s="10"/>
      <c r="G1445" s="10"/>
      <c r="H1445" s="15"/>
      <c r="I1445" s="15"/>
      <c r="J1445" s="15"/>
      <c r="K1445" s="15"/>
      <c r="L1445" s="15"/>
      <c r="M1445" s="15"/>
      <c r="N1445" s="15"/>
      <c r="O1445" s="15"/>
      <c r="P1445" s="15"/>
      <c r="Q1445" s="71"/>
      <c r="R1445" s="84"/>
      <c r="S1445" s="10"/>
      <c r="T1445" s="10"/>
      <c r="U1445" s="10"/>
      <c r="V1445" s="10"/>
      <c r="W1445" s="138"/>
      <c r="Y1445"/>
      <c r="Z1445"/>
      <c r="AA1445"/>
      <c r="AB1445"/>
      <c r="AC1445"/>
      <c r="AD1445"/>
      <c r="AE1445"/>
      <c r="AF1445"/>
      <c r="AG1445"/>
      <c r="AH1445"/>
      <c r="AI1445"/>
      <c r="AJ1445"/>
      <c r="AK1445"/>
      <c r="AL1445"/>
      <c r="AM1445"/>
      <c r="AN1445"/>
      <c r="AO1445"/>
    </row>
    <row r="1446" spans="1:41" ht="15">
      <c r="A1446"/>
      <c r="B1446"/>
      <c r="C1446" s="137"/>
      <c r="D1446" s="30"/>
      <c r="E1446" s="30"/>
      <c r="F1446" s="10"/>
      <c r="G1446" s="10"/>
      <c r="H1446" s="15"/>
      <c r="I1446" s="15"/>
      <c r="J1446" s="15"/>
      <c r="K1446" s="15"/>
      <c r="L1446" s="15"/>
      <c r="M1446" s="15"/>
      <c r="N1446" s="15"/>
      <c r="O1446" s="15"/>
      <c r="P1446" s="15"/>
      <c r="Q1446" s="71"/>
      <c r="R1446" s="84"/>
      <c r="S1446" s="10"/>
      <c r="T1446" s="10"/>
      <c r="U1446" s="10"/>
      <c r="V1446" s="10"/>
      <c r="W1446" s="138"/>
      <c r="Y1446"/>
      <c r="Z1446"/>
      <c r="AA1446"/>
      <c r="AB1446"/>
      <c r="AC1446"/>
      <c r="AD1446"/>
      <c r="AE1446"/>
      <c r="AF1446"/>
      <c r="AG1446"/>
      <c r="AH1446"/>
      <c r="AI1446"/>
      <c r="AJ1446"/>
      <c r="AK1446"/>
      <c r="AL1446"/>
      <c r="AM1446"/>
      <c r="AN1446"/>
      <c r="AO1446"/>
    </row>
    <row r="1447" spans="1:41" ht="15">
      <c r="A1447"/>
      <c r="B1447"/>
      <c r="C1447" s="137"/>
      <c r="D1447" s="30"/>
      <c r="E1447" s="30"/>
      <c r="F1447" s="10"/>
      <c r="G1447" s="10"/>
      <c r="H1447" s="15"/>
      <c r="I1447" s="15"/>
      <c r="J1447" s="15"/>
      <c r="K1447" s="15"/>
      <c r="L1447" s="15"/>
      <c r="M1447" s="15"/>
      <c r="N1447" s="15"/>
      <c r="O1447" s="15"/>
      <c r="P1447" s="15"/>
      <c r="Q1447" s="71"/>
      <c r="R1447" s="84"/>
      <c r="S1447" s="10"/>
      <c r="T1447" s="10"/>
      <c r="U1447" s="10"/>
      <c r="V1447" s="10"/>
      <c r="W1447" s="138"/>
      <c r="Y1447"/>
      <c r="Z1447"/>
      <c r="AA1447"/>
      <c r="AB1447"/>
      <c r="AC1447"/>
      <c r="AD1447"/>
      <c r="AE1447"/>
      <c r="AF1447"/>
      <c r="AG1447"/>
      <c r="AH1447"/>
      <c r="AI1447"/>
      <c r="AJ1447"/>
      <c r="AK1447"/>
      <c r="AL1447"/>
      <c r="AM1447"/>
      <c r="AN1447"/>
      <c r="AO1447"/>
    </row>
    <row r="1448" spans="1:41" ht="15">
      <c r="A1448"/>
      <c r="B1448"/>
      <c r="C1448" s="137"/>
      <c r="D1448" s="30"/>
      <c r="E1448" s="30"/>
      <c r="F1448" s="10"/>
      <c r="G1448" s="10"/>
      <c r="H1448" s="15"/>
      <c r="I1448" s="15"/>
      <c r="J1448" s="15"/>
      <c r="K1448" s="15"/>
      <c r="L1448" s="15"/>
      <c r="M1448" s="15"/>
      <c r="N1448" s="15"/>
      <c r="O1448" s="15"/>
      <c r="P1448" s="15"/>
      <c r="Q1448" s="71"/>
      <c r="R1448" s="84"/>
      <c r="S1448" s="10"/>
      <c r="T1448" s="10"/>
      <c r="U1448" s="10"/>
      <c r="V1448" s="10"/>
      <c r="W1448" s="138"/>
      <c r="Y1448"/>
      <c r="Z1448"/>
      <c r="AA1448"/>
      <c r="AB1448"/>
      <c r="AC1448"/>
      <c r="AD1448"/>
      <c r="AE1448"/>
      <c r="AF1448"/>
      <c r="AG1448"/>
      <c r="AH1448"/>
      <c r="AI1448"/>
      <c r="AJ1448"/>
      <c r="AK1448"/>
      <c r="AL1448"/>
      <c r="AM1448"/>
      <c r="AN1448"/>
      <c r="AO1448"/>
    </row>
    <row r="1449" spans="1:41" ht="15">
      <c r="A1449"/>
      <c r="B1449"/>
      <c r="C1449" s="137"/>
      <c r="D1449" s="30"/>
      <c r="E1449" s="30"/>
      <c r="F1449" s="10"/>
      <c r="G1449" s="10"/>
      <c r="H1449" s="15"/>
      <c r="I1449" s="15"/>
      <c r="J1449" s="15"/>
      <c r="K1449" s="15"/>
      <c r="L1449" s="15"/>
      <c r="M1449" s="15"/>
      <c r="N1449" s="15"/>
      <c r="O1449" s="15"/>
      <c r="P1449" s="15"/>
      <c r="Q1449" s="71"/>
      <c r="R1449" s="84"/>
      <c r="S1449" s="10"/>
      <c r="T1449" s="10"/>
      <c r="U1449" s="10"/>
      <c r="V1449" s="10"/>
      <c r="W1449" s="138"/>
      <c r="Y1449"/>
      <c r="Z1449"/>
      <c r="AA1449"/>
      <c r="AB1449"/>
      <c r="AC1449"/>
      <c r="AD1449"/>
      <c r="AE1449"/>
      <c r="AF1449"/>
      <c r="AG1449"/>
      <c r="AH1449"/>
      <c r="AI1449"/>
      <c r="AJ1449"/>
      <c r="AK1449"/>
      <c r="AL1449"/>
      <c r="AM1449"/>
      <c r="AN1449"/>
      <c r="AO1449"/>
    </row>
    <row r="1450" spans="1:41" ht="15">
      <c r="A1450"/>
      <c r="B1450"/>
      <c r="C1450" s="137"/>
      <c r="D1450" s="30"/>
      <c r="E1450" s="30"/>
      <c r="F1450" s="10"/>
      <c r="G1450" s="10"/>
      <c r="H1450" s="15"/>
      <c r="I1450" s="15"/>
      <c r="J1450" s="15"/>
      <c r="K1450" s="15"/>
      <c r="L1450" s="15"/>
      <c r="M1450" s="15"/>
      <c r="N1450" s="15"/>
      <c r="O1450" s="15"/>
      <c r="P1450" s="15"/>
      <c r="Q1450" s="71"/>
      <c r="R1450" s="84"/>
      <c r="S1450" s="10"/>
      <c r="T1450" s="10"/>
      <c r="U1450" s="10"/>
      <c r="V1450" s="10"/>
      <c r="W1450" s="138"/>
      <c r="Y1450"/>
      <c r="Z1450"/>
      <c r="AA1450"/>
      <c r="AB1450"/>
      <c r="AC1450"/>
      <c r="AD1450"/>
      <c r="AE1450"/>
      <c r="AF1450"/>
      <c r="AG1450"/>
      <c r="AH1450"/>
      <c r="AI1450"/>
      <c r="AJ1450"/>
      <c r="AK1450"/>
      <c r="AL1450"/>
      <c r="AM1450"/>
      <c r="AN1450"/>
      <c r="AO1450"/>
    </row>
    <row r="1451" spans="1:41" ht="15">
      <c r="A1451"/>
      <c r="B1451"/>
      <c r="C1451" s="137"/>
      <c r="D1451" s="30"/>
      <c r="E1451" s="30"/>
      <c r="F1451" s="10"/>
      <c r="G1451" s="10"/>
      <c r="H1451" s="15"/>
      <c r="I1451" s="15"/>
      <c r="J1451" s="15"/>
      <c r="K1451" s="15"/>
      <c r="L1451" s="15"/>
      <c r="M1451" s="15"/>
      <c r="N1451" s="15"/>
      <c r="O1451" s="15"/>
      <c r="P1451" s="15"/>
      <c r="Q1451" s="71"/>
      <c r="R1451" s="84"/>
      <c r="S1451" s="10"/>
      <c r="T1451" s="10"/>
      <c r="U1451" s="10"/>
      <c r="V1451" s="10"/>
      <c r="W1451" s="138"/>
      <c r="Y1451"/>
      <c r="Z1451"/>
      <c r="AA1451"/>
      <c r="AB1451"/>
      <c r="AC1451"/>
      <c r="AD1451"/>
      <c r="AE1451"/>
      <c r="AF1451"/>
      <c r="AG1451"/>
      <c r="AH1451"/>
      <c r="AI1451"/>
      <c r="AJ1451"/>
      <c r="AK1451"/>
      <c r="AL1451"/>
      <c r="AM1451"/>
      <c r="AN1451"/>
      <c r="AO1451"/>
    </row>
    <row r="1452" spans="1:41" ht="15">
      <c r="A1452"/>
      <c r="B1452"/>
      <c r="C1452" s="137"/>
      <c r="D1452" s="30"/>
      <c r="E1452" s="30"/>
      <c r="F1452" s="10"/>
      <c r="G1452" s="10"/>
      <c r="H1452" s="15"/>
      <c r="I1452" s="15"/>
      <c r="J1452" s="15"/>
      <c r="K1452" s="15"/>
      <c r="L1452" s="15"/>
      <c r="M1452" s="15"/>
      <c r="N1452" s="15"/>
      <c r="O1452" s="15"/>
      <c r="P1452" s="15"/>
      <c r="Q1452" s="71"/>
      <c r="R1452" s="84"/>
      <c r="S1452" s="10"/>
      <c r="T1452" s="10"/>
      <c r="U1452" s="10"/>
      <c r="V1452" s="10"/>
      <c r="W1452" s="138"/>
      <c r="Y1452"/>
      <c r="Z1452"/>
      <c r="AA1452"/>
      <c r="AB1452"/>
      <c r="AC1452"/>
      <c r="AD1452"/>
      <c r="AE1452"/>
      <c r="AF1452"/>
      <c r="AG1452"/>
      <c r="AH1452"/>
      <c r="AI1452"/>
      <c r="AJ1452"/>
      <c r="AK1452"/>
      <c r="AL1452"/>
      <c r="AM1452"/>
      <c r="AN1452"/>
      <c r="AO1452"/>
    </row>
    <row r="1453" spans="1:41" ht="15">
      <c r="A1453"/>
      <c r="B1453"/>
      <c r="C1453" s="137"/>
      <c r="D1453" s="30"/>
      <c r="E1453" s="30"/>
      <c r="F1453" s="10"/>
      <c r="G1453" s="10"/>
      <c r="H1453" s="15"/>
      <c r="I1453" s="15"/>
      <c r="J1453" s="15"/>
      <c r="K1453" s="15"/>
      <c r="L1453" s="15"/>
      <c r="M1453" s="15"/>
      <c r="N1453" s="15"/>
      <c r="O1453" s="15"/>
      <c r="P1453" s="15"/>
      <c r="Q1453" s="71"/>
      <c r="R1453" s="84"/>
      <c r="S1453" s="10"/>
      <c r="T1453" s="10"/>
      <c r="U1453" s="10"/>
      <c r="V1453" s="10"/>
      <c r="W1453" s="138"/>
      <c r="Y1453"/>
      <c r="Z1453"/>
      <c r="AA1453"/>
      <c r="AB1453"/>
      <c r="AC1453"/>
      <c r="AD1453"/>
      <c r="AE1453"/>
      <c r="AF1453"/>
      <c r="AG1453"/>
      <c r="AH1453"/>
      <c r="AI1453"/>
      <c r="AJ1453"/>
      <c r="AK1453"/>
      <c r="AL1453"/>
      <c r="AM1453"/>
      <c r="AN1453"/>
      <c r="AO1453"/>
    </row>
    <row r="1454" spans="1:41" ht="15">
      <c r="A1454"/>
      <c r="B1454"/>
      <c r="C1454" s="137"/>
      <c r="D1454" s="30"/>
      <c r="E1454" s="30"/>
      <c r="F1454" s="10"/>
      <c r="G1454" s="10"/>
      <c r="H1454" s="15"/>
      <c r="I1454" s="15"/>
      <c r="J1454" s="15"/>
      <c r="K1454" s="15"/>
      <c r="L1454" s="15"/>
      <c r="M1454" s="15"/>
      <c r="N1454" s="15"/>
      <c r="O1454" s="15"/>
      <c r="P1454" s="15"/>
      <c r="Q1454" s="71"/>
      <c r="R1454" s="84"/>
      <c r="S1454" s="10"/>
      <c r="T1454" s="10"/>
      <c r="U1454" s="10"/>
      <c r="V1454" s="10"/>
      <c r="W1454" s="138"/>
      <c r="Y1454"/>
      <c r="Z1454"/>
      <c r="AA1454"/>
      <c r="AB1454"/>
      <c r="AC1454"/>
      <c r="AD1454"/>
      <c r="AE1454"/>
      <c r="AF1454"/>
      <c r="AG1454"/>
      <c r="AH1454"/>
      <c r="AI1454"/>
      <c r="AJ1454"/>
      <c r="AK1454"/>
      <c r="AL1454"/>
      <c r="AM1454"/>
      <c r="AN1454"/>
      <c r="AO1454"/>
    </row>
    <row r="1455" spans="1:41" ht="15">
      <c r="A1455"/>
      <c r="B1455"/>
      <c r="C1455" s="137"/>
      <c r="D1455" s="30"/>
      <c r="E1455" s="30"/>
      <c r="F1455" s="10"/>
      <c r="G1455" s="10"/>
      <c r="H1455" s="15"/>
      <c r="I1455" s="15"/>
      <c r="J1455" s="15"/>
      <c r="K1455" s="15"/>
      <c r="L1455" s="15"/>
      <c r="M1455" s="15"/>
      <c r="N1455" s="15"/>
      <c r="O1455" s="15"/>
      <c r="P1455" s="15"/>
      <c r="Q1455" s="71"/>
      <c r="R1455" s="84"/>
      <c r="S1455" s="10"/>
      <c r="T1455" s="10"/>
      <c r="U1455" s="10"/>
      <c r="V1455" s="10"/>
      <c r="W1455" s="138"/>
      <c r="Y1455"/>
      <c r="Z1455"/>
      <c r="AA1455"/>
      <c r="AB1455"/>
      <c r="AC1455"/>
      <c r="AD1455"/>
      <c r="AE1455"/>
      <c r="AF1455"/>
      <c r="AG1455"/>
      <c r="AH1455"/>
      <c r="AI1455"/>
      <c r="AJ1455"/>
      <c r="AK1455"/>
      <c r="AL1455"/>
      <c r="AM1455"/>
      <c r="AN1455"/>
      <c r="AO1455"/>
    </row>
    <row r="1456" spans="1:41" ht="15">
      <c r="A1456"/>
      <c r="B1456"/>
      <c r="C1456" s="137"/>
      <c r="D1456" s="30"/>
      <c r="E1456" s="30"/>
      <c r="F1456" s="10"/>
      <c r="G1456" s="10"/>
      <c r="H1456" s="15"/>
      <c r="I1456" s="15"/>
      <c r="J1456" s="15"/>
      <c r="K1456" s="15"/>
      <c r="L1456" s="15"/>
      <c r="M1456" s="15"/>
      <c r="N1456" s="15"/>
      <c r="O1456" s="15"/>
      <c r="P1456" s="15"/>
      <c r="Q1456" s="71"/>
      <c r="R1456" s="84"/>
      <c r="S1456" s="10"/>
      <c r="T1456" s="10"/>
      <c r="U1456" s="10"/>
      <c r="V1456" s="10"/>
      <c r="W1456" s="138"/>
      <c r="Y1456"/>
      <c r="Z1456"/>
      <c r="AA1456"/>
      <c r="AB1456"/>
      <c r="AC1456"/>
      <c r="AD1456"/>
      <c r="AE1456"/>
      <c r="AF1456"/>
      <c r="AG1456"/>
      <c r="AH1456"/>
      <c r="AI1456"/>
      <c r="AJ1456"/>
      <c r="AK1456"/>
      <c r="AL1456"/>
      <c r="AM1456"/>
      <c r="AN1456"/>
      <c r="AO1456"/>
    </row>
    <row r="1457" spans="1:41" ht="15">
      <c r="A1457"/>
      <c r="B1457"/>
      <c r="C1457" s="137"/>
      <c r="D1457" s="30"/>
      <c r="E1457" s="30"/>
      <c r="F1457" s="10"/>
      <c r="G1457" s="10"/>
      <c r="H1457" s="15"/>
      <c r="I1457" s="15"/>
      <c r="J1457" s="15"/>
      <c r="K1457" s="15"/>
      <c r="L1457" s="15"/>
      <c r="M1457" s="15"/>
      <c r="N1457" s="15"/>
      <c r="O1457" s="15"/>
      <c r="P1457" s="15"/>
      <c r="Q1457" s="71"/>
      <c r="R1457" s="84"/>
      <c r="S1457" s="10"/>
      <c r="T1457" s="10"/>
      <c r="U1457" s="10"/>
      <c r="V1457" s="10"/>
      <c r="W1457" s="138"/>
      <c r="Y1457"/>
      <c r="Z1457"/>
      <c r="AA1457"/>
      <c r="AB1457"/>
      <c r="AC1457"/>
      <c r="AD1457"/>
      <c r="AE1457"/>
      <c r="AF1457"/>
      <c r="AG1457"/>
      <c r="AH1457"/>
      <c r="AI1457"/>
      <c r="AJ1457"/>
      <c r="AK1457"/>
      <c r="AL1457"/>
      <c r="AM1457"/>
      <c r="AN1457"/>
      <c r="AO1457"/>
    </row>
    <row r="1458" spans="1:41" ht="15">
      <c r="A1458"/>
      <c r="B1458"/>
      <c r="C1458" s="137"/>
      <c r="D1458" s="30"/>
      <c r="E1458" s="30"/>
      <c r="F1458" s="10"/>
      <c r="G1458" s="10"/>
      <c r="H1458" s="15"/>
      <c r="I1458" s="15"/>
      <c r="J1458" s="15"/>
      <c r="K1458" s="15"/>
      <c r="L1458" s="15"/>
      <c r="M1458" s="15"/>
      <c r="N1458" s="15"/>
      <c r="O1458" s="15"/>
      <c r="P1458" s="15"/>
      <c r="Q1458" s="71"/>
      <c r="R1458" s="84"/>
      <c r="S1458" s="10"/>
      <c r="T1458" s="10"/>
      <c r="U1458" s="10"/>
      <c r="V1458" s="10"/>
      <c r="W1458" s="138"/>
      <c r="Y1458"/>
      <c r="Z1458"/>
      <c r="AA1458"/>
      <c r="AB1458"/>
      <c r="AC1458"/>
      <c r="AD1458"/>
      <c r="AE1458"/>
      <c r="AF1458"/>
      <c r="AG1458"/>
      <c r="AH1458"/>
      <c r="AI1458"/>
      <c r="AJ1458"/>
      <c r="AK1458"/>
      <c r="AL1458"/>
      <c r="AM1458"/>
      <c r="AN1458"/>
      <c r="AO1458"/>
    </row>
    <row r="1459" spans="1:41" ht="15">
      <c r="A1459"/>
      <c r="B1459"/>
      <c r="C1459" s="137"/>
      <c r="D1459" s="30"/>
      <c r="E1459" s="30"/>
      <c r="F1459" s="10"/>
      <c r="G1459" s="10"/>
      <c r="H1459" s="15"/>
      <c r="I1459" s="15"/>
      <c r="J1459" s="15"/>
      <c r="K1459" s="15"/>
      <c r="L1459" s="15"/>
      <c r="M1459" s="15"/>
      <c r="N1459" s="15"/>
      <c r="O1459" s="15"/>
      <c r="P1459" s="15"/>
      <c r="Q1459" s="71"/>
      <c r="R1459" s="84"/>
      <c r="S1459" s="10"/>
      <c r="T1459" s="10"/>
      <c r="U1459" s="10"/>
      <c r="V1459" s="10"/>
      <c r="W1459" s="138"/>
      <c r="Y1459"/>
      <c r="Z1459"/>
      <c r="AA1459"/>
      <c r="AB1459"/>
      <c r="AC1459"/>
      <c r="AD1459"/>
      <c r="AE1459"/>
      <c r="AF1459"/>
      <c r="AG1459"/>
      <c r="AH1459"/>
      <c r="AI1459"/>
      <c r="AJ1459"/>
      <c r="AK1459"/>
      <c r="AL1459"/>
      <c r="AM1459"/>
      <c r="AN1459"/>
      <c r="AO1459"/>
    </row>
    <row r="1460" spans="1:41" ht="15">
      <c r="A1460"/>
      <c r="B1460"/>
      <c r="C1460" s="137"/>
      <c r="D1460" s="30"/>
      <c r="E1460" s="30"/>
      <c r="F1460" s="10"/>
      <c r="G1460" s="10"/>
      <c r="H1460" s="15"/>
      <c r="I1460" s="15"/>
      <c r="J1460" s="15"/>
      <c r="K1460" s="15"/>
      <c r="L1460" s="15"/>
      <c r="M1460" s="15"/>
      <c r="N1460" s="15"/>
      <c r="O1460" s="15"/>
      <c r="P1460" s="15"/>
      <c r="Q1460" s="71"/>
      <c r="R1460" s="84"/>
      <c r="S1460" s="10"/>
      <c r="T1460" s="10"/>
      <c r="U1460" s="10"/>
      <c r="V1460" s="10"/>
      <c r="W1460" s="138"/>
      <c r="Y1460"/>
      <c r="Z1460"/>
      <c r="AA1460"/>
      <c r="AB1460"/>
      <c r="AC1460"/>
      <c r="AD1460"/>
      <c r="AE1460"/>
      <c r="AF1460"/>
      <c r="AG1460"/>
      <c r="AH1460"/>
      <c r="AI1460"/>
      <c r="AJ1460"/>
      <c r="AK1460"/>
      <c r="AL1460"/>
      <c r="AM1460"/>
      <c r="AN1460"/>
      <c r="AO1460"/>
    </row>
    <row r="1461" spans="1:41" ht="15">
      <c r="A1461"/>
      <c r="B1461"/>
      <c r="C1461" s="137"/>
      <c r="D1461" s="30"/>
      <c r="E1461" s="30"/>
      <c r="F1461" s="10"/>
      <c r="G1461" s="10"/>
      <c r="H1461" s="15"/>
      <c r="I1461" s="15"/>
      <c r="J1461" s="15"/>
      <c r="K1461" s="15"/>
      <c r="L1461" s="15"/>
      <c r="M1461" s="15"/>
      <c r="N1461" s="15"/>
      <c r="O1461" s="15"/>
      <c r="P1461" s="15"/>
      <c r="Q1461" s="71"/>
      <c r="R1461" s="84"/>
      <c r="S1461" s="10"/>
      <c r="T1461" s="10"/>
      <c r="U1461" s="10"/>
      <c r="V1461" s="10"/>
      <c r="W1461" s="138"/>
      <c r="Y1461"/>
      <c r="Z1461"/>
      <c r="AA1461"/>
      <c r="AB1461"/>
      <c r="AC1461"/>
      <c r="AD1461"/>
      <c r="AE1461"/>
      <c r="AF1461"/>
      <c r="AG1461"/>
      <c r="AH1461"/>
      <c r="AI1461"/>
      <c r="AJ1461"/>
      <c r="AK1461"/>
      <c r="AL1461"/>
      <c r="AM1461"/>
      <c r="AN1461"/>
      <c r="AO1461"/>
    </row>
    <row r="1462" spans="1:41" ht="15">
      <c r="A1462"/>
      <c r="B1462"/>
      <c r="C1462" s="137"/>
      <c r="D1462" s="30"/>
      <c r="E1462" s="30"/>
      <c r="F1462" s="10"/>
      <c r="G1462" s="10"/>
      <c r="H1462" s="15"/>
      <c r="I1462" s="15"/>
      <c r="J1462" s="15"/>
      <c r="K1462" s="15"/>
      <c r="L1462" s="15"/>
      <c r="M1462" s="15"/>
      <c r="N1462" s="15"/>
      <c r="O1462" s="15"/>
      <c r="P1462" s="15"/>
      <c r="Q1462" s="71"/>
      <c r="R1462" s="84"/>
      <c r="S1462" s="10"/>
      <c r="T1462" s="10"/>
      <c r="U1462" s="10"/>
      <c r="V1462" s="10"/>
      <c r="W1462" s="138"/>
      <c r="Y1462"/>
      <c r="Z1462"/>
      <c r="AA1462"/>
      <c r="AB1462"/>
      <c r="AC1462"/>
      <c r="AD1462"/>
      <c r="AE1462"/>
      <c r="AF1462"/>
      <c r="AG1462"/>
      <c r="AH1462"/>
      <c r="AI1462"/>
      <c r="AJ1462"/>
      <c r="AK1462"/>
      <c r="AL1462"/>
      <c r="AM1462"/>
      <c r="AN1462"/>
      <c r="AO1462"/>
    </row>
    <row r="1463" spans="1:41" ht="15">
      <c r="A1463"/>
      <c r="B1463"/>
      <c r="C1463" s="137"/>
      <c r="D1463" s="30"/>
      <c r="E1463" s="30"/>
      <c r="F1463" s="10"/>
      <c r="G1463" s="10"/>
      <c r="H1463" s="15"/>
      <c r="I1463" s="15"/>
      <c r="J1463" s="15"/>
      <c r="K1463" s="15"/>
      <c r="L1463" s="15"/>
      <c r="M1463" s="15"/>
      <c r="N1463" s="15"/>
      <c r="O1463" s="15"/>
      <c r="P1463" s="15"/>
      <c r="Q1463" s="71"/>
      <c r="R1463" s="84"/>
      <c r="S1463" s="10"/>
      <c r="T1463" s="10"/>
      <c r="U1463" s="10"/>
      <c r="V1463" s="10"/>
      <c r="W1463" s="138"/>
      <c r="Y1463"/>
      <c r="Z1463"/>
      <c r="AA1463"/>
      <c r="AB1463"/>
      <c r="AC1463"/>
      <c r="AD1463"/>
      <c r="AE1463"/>
      <c r="AF1463"/>
      <c r="AG1463"/>
      <c r="AH1463"/>
      <c r="AI1463"/>
      <c r="AJ1463"/>
      <c r="AK1463"/>
      <c r="AL1463"/>
      <c r="AM1463"/>
      <c r="AN1463"/>
      <c r="AO1463"/>
    </row>
    <row r="1464" spans="1:41" ht="15">
      <c r="A1464"/>
      <c r="B1464"/>
      <c r="C1464" s="137"/>
      <c r="D1464" s="30"/>
      <c r="E1464" s="30"/>
      <c r="F1464" s="10"/>
      <c r="G1464" s="10"/>
      <c r="H1464" s="15"/>
      <c r="I1464" s="15"/>
      <c r="J1464" s="15"/>
      <c r="K1464" s="15"/>
      <c r="L1464" s="15"/>
      <c r="M1464" s="15"/>
      <c r="N1464" s="15"/>
      <c r="O1464" s="15"/>
      <c r="P1464" s="15"/>
      <c r="Q1464" s="71"/>
      <c r="R1464" s="84"/>
      <c r="S1464" s="10"/>
      <c r="T1464" s="10"/>
      <c r="U1464" s="10"/>
      <c r="V1464" s="10"/>
      <c r="W1464" s="138"/>
      <c r="Y1464"/>
      <c r="Z1464"/>
      <c r="AA1464"/>
      <c r="AB1464"/>
      <c r="AC1464"/>
      <c r="AD1464"/>
      <c r="AE1464"/>
      <c r="AF1464"/>
      <c r="AG1464"/>
      <c r="AH1464"/>
      <c r="AI1464"/>
      <c r="AJ1464"/>
      <c r="AK1464"/>
      <c r="AL1464"/>
      <c r="AM1464"/>
      <c r="AN1464"/>
      <c r="AO1464"/>
    </row>
    <row r="1465" spans="1:41" ht="15">
      <c r="A1465"/>
      <c r="B1465"/>
      <c r="C1465" s="137"/>
      <c r="D1465" s="30"/>
      <c r="E1465" s="30"/>
      <c r="F1465" s="10"/>
      <c r="G1465" s="10"/>
      <c r="H1465" s="15"/>
      <c r="I1465" s="15"/>
      <c r="J1465" s="15"/>
      <c r="K1465" s="15"/>
      <c r="L1465" s="15"/>
      <c r="M1465" s="15"/>
      <c r="N1465" s="15"/>
      <c r="O1465" s="15"/>
      <c r="P1465" s="15"/>
      <c r="Q1465" s="71"/>
      <c r="R1465" s="84"/>
      <c r="S1465" s="10"/>
      <c r="T1465" s="10"/>
      <c r="U1465" s="10"/>
      <c r="V1465" s="10"/>
      <c r="W1465" s="138"/>
      <c r="Y1465"/>
      <c r="Z1465"/>
      <c r="AA1465"/>
      <c r="AB1465"/>
      <c r="AC1465"/>
      <c r="AD1465"/>
      <c r="AE1465"/>
      <c r="AF1465"/>
      <c r="AG1465"/>
      <c r="AH1465"/>
      <c r="AI1465"/>
      <c r="AJ1465"/>
      <c r="AK1465"/>
      <c r="AL1465"/>
      <c r="AM1465"/>
      <c r="AN1465"/>
      <c r="AO1465"/>
    </row>
    <row r="1466" spans="1:41" ht="15">
      <c r="A1466"/>
      <c r="B1466"/>
      <c r="C1466" s="137"/>
      <c r="D1466" s="30"/>
      <c r="E1466" s="30"/>
      <c r="F1466" s="10"/>
      <c r="G1466" s="10"/>
      <c r="H1466" s="15"/>
      <c r="I1466" s="15"/>
      <c r="J1466" s="15"/>
      <c r="K1466" s="15"/>
      <c r="L1466" s="15"/>
      <c r="M1466" s="15"/>
      <c r="N1466" s="15"/>
      <c r="O1466" s="15"/>
      <c r="P1466" s="15"/>
      <c r="Q1466" s="71"/>
      <c r="R1466" s="84"/>
      <c r="S1466" s="10"/>
      <c r="T1466" s="10"/>
      <c r="U1466" s="10"/>
      <c r="V1466" s="10"/>
      <c r="W1466" s="138"/>
      <c r="Y1466"/>
      <c r="Z1466"/>
      <c r="AA1466"/>
      <c r="AB1466"/>
      <c r="AC1466"/>
      <c r="AD1466"/>
      <c r="AE1466"/>
      <c r="AF1466"/>
      <c r="AG1466"/>
      <c r="AH1466"/>
      <c r="AI1466"/>
      <c r="AJ1466"/>
      <c r="AK1466"/>
      <c r="AL1466"/>
      <c r="AM1466"/>
      <c r="AN1466"/>
      <c r="AO1466"/>
    </row>
    <row r="1467" spans="1:41" ht="15">
      <c r="A1467"/>
      <c r="B1467"/>
      <c r="C1467" s="137"/>
      <c r="D1467" s="30"/>
      <c r="E1467" s="30"/>
      <c r="F1467" s="10"/>
      <c r="G1467" s="10"/>
      <c r="H1467" s="15"/>
      <c r="I1467" s="15"/>
      <c r="J1467" s="15"/>
      <c r="K1467" s="15"/>
      <c r="L1467" s="15"/>
      <c r="M1467" s="15"/>
      <c r="N1467" s="15"/>
      <c r="O1467" s="15"/>
      <c r="P1467" s="15"/>
      <c r="Q1467" s="71"/>
      <c r="R1467" s="84"/>
      <c r="S1467" s="10"/>
      <c r="T1467" s="10"/>
      <c r="U1467" s="10"/>
      <c r="V1467" s="10"/>
      <c r="W1467" s="138"/>
      <c r="Y1467"/>
      <c r="Z1467"/>
      <c r="AA1467"/>
      <c r="AB1467"/>
      <c r="AC1467"/>
      <c r="AD1467"/>
      <c r="AE1467"/>
      <c r="AF1467"/>
      <c r="AG1467"/>
      <c r="AH1467"/>
      <c r="AI1467"/>
      <c r="AJ1467"/>
      <c r="AK1467"/>
      <c r="AL1467"/>
      <c r="AM1467"/>
      <c r="AN1467"/>
      <c r="AO1467"/>
    </row>
    <row r="1468" spans="1:41" ht="15">
      <c r="A1468"/>
      <c r="B1468"/>
      <c r="C1468" s="137"/>
      <c r="D1468" s="30"/>
      <c r="E1468" s="30"/>
      <c r="F1468" s="10"/>
      <c r="G1468" s="10"/>
      <c r="H1468" s="15"/>
      <c r="I1468" s="15"/>
      <c r="J1468" s="15"/>
      <c r="K1468" s="15"/>
      <c r="L1468" s="15"/>
      <c r="M1468" s="15"/>
      <c r="N1468" s="15"/>
      <c r="O1468" s="15"/>
      <c r="P1468" s="15"/>
      <c r="Q1468" s="71"/>
      <c r="R1468" s="84"/>
      <c r="S1468" s="10"/>
      <c r="T1468" s="10"/>
      <c r="U1468" s="10"/>
      <c r="V1468" s="10"/>
      <c r="W1468" s="138"/>
      <c r="Y1468"/>
      <c r="Z1468"/>
      <c r="AA1468"/>
      <c r="AB1468"/>
      <c r="AC1468"/>
      <c r="AD1468"/>
      <c r="AE1468"/>
      <c r="AF1468"/>
      <c r="AG1468"/>
      <c r="AH1468"/>
      <c r="AI1468"/>
      <c r="AJ1468"/>
      <c r="AK1468"/>
      <c r="AL1468"/>
      <c r="AM1468"/>
      <c r="AN1468"/>
      <c r="AO1468"/>
    </row>
    <row r="1469" spans="1:41" ht="15">
      <c r="A1469"/>
      <c r="B1469"/>
      <c r="C1469" s="137"/>
      <c r="D1469" s="30"/>
      <c r="E1469" s="30"/>
      <c r="F1469" s="10"/>
      <c r="G1469" s="10"/>
      <c r="H1469" s="15"/>
      <c r="I1469" s="15"/>
      <c r="J1469" s="15"/>
      <c r="K1469" s="15"/>
      <c r="L1469" s="15"/>
      <c r="M1469" s="15"/>
      <c r="N1469" s="15"/>
      <c r="O1469" s="15"/>
      <c r="P1469" s="15"/>
      <c r="Q1469" s="71"/>
      <c r="R1469" s="84"/>
      <c r="S1469" s="10"/>
      <c r="T1469" s="10"/>
      <c r="U1469" s="10"/>
      <c r="V1469" s="10"/>
      <c r="W1469" s="138"/>
      <c r="Y1469"/>
      <c r="Z1469"/>
      <c r="AA1469"/>
      <c r="AB1469"/>
      <c r="AC1469"/>
      <c r="AD1469"/>
      <c r="AE1469"/>
      <c r="AF1469"/>
      <c r="AG1469"/>
      <c r="AH1469"/>
      <c r="AI1469"/>
      <c r="AJ1469"/>
      <c r="AK1469"/>
      <c r="AL1469"/>
      <c r="AM1469"/>
      <c r="AN1469"/>
      <c r="AO1469"/>
    </row>
    <row r="1470" spans="1:41" ht="15">
      <c r="A1470"/>
      <c r="B1470"/>
      <c r="C1470" s="137"/>
      <c r="D1470" s="30"/>
      <c r="E1470" s="30"/>
      <c r="F1470" s="10"/>
      <c r="G1470" s="10"/>
      <c r="H1470" s="15"/>
      <c r="I1470" s="15"/>
      <c r="J1470" s="15"/>
      <c r="K1470" s="15"/>
      <c r="L1470" s="15"/>
      <c r="M1470" s="15"/>
      <c r="N1470" s="15"/>
      <c r="O1470" s="15"/>
      <c r="P1470" s="15"/>
      <c r="Q1470" s="71"/>
      <c r="R1470" s="84"/>
      <c r="S1470" s="10"/>
      <c r="T1470" s="10"/>
      <c r="U1470" s="10"/>
      <c r="V1470" s="10"/>
      <c r="W1470" s="138"/>
      <c r="Y1470"/>
      <c r="Z1470"/>
      <c r="AA1470"/>
      <c r="AB1470"/>
      <c r="AC1470"/>
      <c r="AD1470"/>
      <c r="AE1470"/>
      <c r="AF1470"/>
      <c r="AG1470"/>
      <c r="AH1470"/>
      <c r="AI1470"/>
      <c r="AJ1470"/>
      <c r="AK1470"/>
      <c r="AL1470"/>
      <c r="AM1470"/>
      <c r="AN1470"/>
      <c r="AO1470"/>
    </row>
    <row r="1471" spans="1:41" ht="15">
      <c r="A1471"/>
      <c r="B1471"/>
      <c r="C1471" s="137"/>
      <c r="D1471" s="30"/>
      <c r="E1471" s="30"/>
      <c r="F1471" s="10"/>
      <c r="G1471" s="10"/>
      <c r="H1471" s="15"/>
      <c r="I1471" s="15"/>
      <c r="J1471" s="15"/>
      <c r="K1471" s="15"/>
      <c r="L1471" s="15"/>
      <c r="M1471" s="15"/>
      <c r="N1471" s="15"/>
      <c r="O1471" s="15"/>
      <c r="P1471" s="15"/>
      <c r="Q1471" s="71"/>
      <c r="R1471" s="84"/>
      <c r="S1471" s="10"/>
      <c r="T1471" s="10"/>
      <c r="U1471" s="10"/>
      <c r="V1471" s="10"/>
      <c r="W1471" s="138"/>
      <c r="Y1471"/>
      <c r="Z1471"/>
      <c r="AA1471"/>
      <c r="AB1471"/>
      <c r="AC1471"/>
      <c r="AD1471"/>
      <c r="AE1471"/>
      <c r="AF1471"/>
      <c r="AG1471"/>
      <c r="AH1471"/>
      <c r="AI1471"/>
      <c r="AJ1471"/>
      <c r="AK1471"/>
      <c r="AL1471"/>
      <c r="AM1471"/>
      <c r="AN1471"/>
      <c r="AO1471"/>
    </row>
    <row r="1472" spans="1:41" ht="15">
      <c r="A1472"/>
      <c r="B1472"/>
      <c r="C1472" s="137"/>
      <c r="D1472" s="30"/>
      <c r="E1472" s="30"/>
      <c r="F1472" s="10"/>
      <c r="G1472" s="10"/>
      <c r="H1472" s="15"/>
      <c r="I1472" s="15"/>
      <c r="J1472" s="15"/>
      <c r="K1472" s="15"/>
      <c r="L1472" s="15"/>
      <c r="M1472" s="15"/>
      <c r="N1472" s="15"/>
      <c r="O1472" s="15"/>
      <c r="P1472" s="15"/>
      <c r="Q1472" s="71"/>
      <c r="R1472" s="84"/>
      <c r="S1472" s="10"/>
      <c r="T1472" s="10"/>
      <c r="U1472" s="10"/>
      <c r="V1472" s="10"/>
      <c r="W1472" s="138"/>
      <c r="Y1472"/>
      <c r="Z1472"/>
      <c r="AA1472"/>
      <c r="AB1472"/>
      <c r="AC1472"/>
      <c r="AD1472"/>
      <c r="AE1472"/>
      <c r="AF1472"/>
      <c r="AG1472"/>
      <c r="AH1472"/>
      <c r="AI1472"/>
      <c r="AJ1472"/>
      <c r="AK1472"/>
      <c r="AL1472"/>
      <c r="AM1472"/>
      <c r="AN1472"/>
      <c r="AO1472"/>
    </row>
    <row r="1473" spans="1:41" ht="15">
      <c r="A1473"/>
      <c r="B1473"/>
      <c r="C1473" s="137"/>
      <c r="D1473" s="30"/>
      <c r="E1473" s="30"/>
      <c r="F1473" s="10"/>
      <c r="G1473" s="10"/>
      <c r="H1473" s="15"/>
      <c r="I1473" s="15"/>
      <c r="J1473" s="15"/>
      <c r="K1473" s="15"/>
      <c r="L1473" s="15"/>
      <c r="M1473" s="15"/>
      <c r="N1473" s="15"/>
      <c r="O1473" s="15"/>
      <c r="P1473" s="15"/>
      <c r="Q1473" s="71"/>
      <c r="R1473" s="84"/>
      <c r="S1473" s="10"/>
      <c r="T1473" s="10"/>
      <c r="U1473" s="10"/>
      <c r="V1473" s="10"/>
      <c r="W1473" s="138"/>
      <c r="Y1473"/>
      <c r="Z1473"/>
      <c r="AA1473"/>
      <c r="AB1473"/>
      <c r="AC1473"/>
      <c r="AD1473"/>
      <c r="AE1473"/>
      <c r="AF1473"/>
      <c r="AG1473"/>
      <c r="AH1473"/>
      <c r="AI1473"/>
      <c r="AJ1473"/>
      <c r="AK1473"/>
      <c r="AL1473"/>
      <c r="AM1473"/>
      <c r="AN1473"/>
      <c r="AO1473"/>
    </row>
    <row r="1474" spans="1:41" ht="15">
      <c r="A1474"/>
      <c r="B1474"/>
      <c r="C1474" s="137"/>
      <c r="D1474" s="30"/>
      <c r="E1474" s="30"/>
      <c r="F1474" s="10"/>
      <c r="G1474" s="10"/>
      <c r="H1474" s="15"/>
      <c r="I1474" s="15"/>
      <c r="J1474" s="15"/>
      <c r="K1474" s="15"/>
      <c r="L1474" s="15"/>
      <c r="M1474" s="15"/>
      <c r="N1474" s="15"/>
      <c r="O1474" s="15"/>
      <c r="P1474" s="15"/>
      <c r="Q1474" s="71"/>
      <c r="R1474" s="84"/>
      <c r="S1474" s="10"/>
      <c r="T1474" s="10"/>
      <c r="U1474" s="10"/>
      <c r="V1474" s="10"/>
      <c r="W1474" s="138"/>
      <c r="Y1474"/>
      <c r="Z1474"/>
      <c r="AA1474"/>
      <c r="AB1474"/>
      <c r="AC1474"/>
      <c r="AD1474"/>
      <c r="AE1474"/>
      <c r="AF1474"/>
      <c r="AG1474"/>
      <c r="AH1474"/>
      <c r="AI1474"/>
      <c r="AJ1474"/>
      <c r="AK1474"/>
      <c r="AL1474"/>
      <c r="AM1474"/>
      <c r="AN1474"/>
      <c r="AO1474"/>
    </row>
    <row r="1475" spans="1:41" ht="15">
      <c r="A1475"/>
      <c r="B1475"/>
      <c r="C1475" s="137"/>
      <c r="D1475" s="30"/>
      <c r="E1475" s="30"/>
      <c r="F1475" s="10"/>
      <c r="G1475" s="10"/>
      <c r="H1475" s="15"/>
      <c r="I1475" s="15"/>
      <c r="J1475" s="15"/>
      <c r="K1475" s="15"/>
      <c r="L1475" s="15"/>
      <c r="M1475" s="15"/>
      <c r="N1475" s="15"/>
      <c r="O1475" s="15"/>
      <c r="P1475" s="15"/>
      <c r="Q1475" s="71"/>
      <c r="R1475" s="84"/>
      <c r="S1475" s="10"/>
      <c r="T1475" s="10"/>
      <c r="U1475" s="10"/>
      <c r="V1475" s="10"/>
      <c r="W1475" s="138"/>
      <c r="Y1475"/>
      <c r="Z1475"/>
      <c r="AA1475"/>
      <c r="AB1475"/>
      <c r="AC1475"/>
      <c r="AD1475"/>
      <c r="AE1475"/>
      <c r="AF1475"/>
      <c r="AG1475"/>
      <c r="AH1475"/>
      <c r="AI1475"/>
      <c r="AJ1475"/>
      <c r="AK1475"/>
      <c r="AL1475"/>
      <c r="AM1475"/>
      <c r="AN1475"/>
      <c r="AO1475"/>
    </row>
    <row r="1476" spans="1:41" ht="15">
      <c r="A1476"/>
      <c r="B1476"/>
      <c r="C1476" s="137"/>
      <c r="D1476" s="30"/>
      <c r="E1476" s="30"/>
      <c r="F1476" s="10"/>
      <c r="G1476" s="10"/>
      <c r="H1476" s="15"/>
      <c r="I1476" s="15"/>
      <c r="J1476" s="15"/>
      <c r="K1476" s="15"/>
      <c r="L1476" s="15"/>
      <c r="M1476" s="15"/>
      <c r="N1476" s="15"/>
      <c r="O1476" s="15"/>
      <c r="P1476" s="15"/>
      <c r="Q1476" s="71"/>
      <c r="R1476" s="84"/>
      <c r="S1476" s="10"/>
      <c r="T1476" s="10"/>
      <c r="U1476" s="10"/>
      <c r="V1476" s="10"/>
      <c r="W1476" s="138"/>
      <c r="Y1476"/>
      <c r="Z1476"/>
      <c r="AA1476"/>
      <c r="AB1476"/>
      <c r="AC1476"/>
      <c r="AD1476"/>
      <c r="AE1476"/>
      <c r="AF1476"/>
      <c r="AG1476"/>
      <c r="AH1476"/>
      <c r="AI1476"/>
      <c r="AJ1476"/>
      <c r="AK1476"/>
      <c r="AL1476"/>
      <c r="AM1476"/>
      <c r="AN1476"/>
      <c r="AO1476"/>
    </row>
    <row r="1477" spans="1:41" ht="15">
      <c r="A1477"/>
      <c r="B1477"/>
      <c r="C1477" s="137"/>
      <c r="D1477" s="30"/>
      <c r="E1477" s="30"/>
      <c r="F1477" s="10"/>
      <c r="G1477" s="10"/>
      <c r="H1477" s="15"/>
      <c r="I1477" s="15"/>
      <c r="J1477" s="15"/>
      <c r="K1477" s="15"/>
      <c r="L1477" s="15"/>
      <c r="M1477" s="15"/>
      <c r="N1477" s="15"/>
      <c r="O1477" s="15"/>
      <c r="P1477" s="15"/>
      <c r="Q1477" s="71"/>
      <c r="R1477" s="84"/>
      <c r="S1477" s="10"/>
      <c r="T1477" s="10"/>
      <c r="U1477" s="10"/>
      <c r="V1477" s="10"/>
      <c r="W1477" s="138"/>
      <c r="Y1477"/>
      <c r="Z1477"/>
      <c r="AA1477"/>
      <c r="AB1477"/>
      <c r="AC1477"/>
      <c r="AD1477"/>
      <c r="AE1477"/>
      <c r="AF1477"/>
      <c r="AG1477"/>
      <c r="AH1477"/>
      <c r="AI1477"/>
      <c r="AJ1477"/>
      <c r="AK1477"/>
      <c r="AL1477"/>
      <c r="AM1477"/>
      <c r="AN1477"/>
      <c r="AO1477"/>
    </row>
    <row r="1478" spans="1:41" ht="15">
      <c r="A1478"/>
      <c r="B1478"/>
      <c r="C1478" s="137"/>
      <c r="D1478" s="30"/>
      <c r="E1478" s="30"/>
      <c r="F1478" s="10"/>
      <c r="G1478" s="10"/>
      <c r="H1478" s="15"/>
      <c r="I1478" s="15"/>
      <c r="J1478" s="15"/>
      <c r="K1478" s="15"/>
      <c r="L1478" s="15"/>
      <c r="M1478" s="15"/>
      <c r="N1478" s="15"/>
      <c r="O1478" s="15"/>
      <c r="P1478" s="15"/>
      <c r="Q1478" s="71"/>
      <c r="R1478" s="84"/>
      <c r="S1478" s="10"/>
      <c r="T1478" s="10"/>
      <c r="U1478" s="10"/>
      <c r="V1478" s="10"/>
      <c r="W1478" s="138"/>
      <c r="Y1478"/>
      <c r="Z1478"/>
      <c r="AA1478"/>
      <c r="AB1478"/>
      <c r="AC1478"/>
      <c r="AD1478"/>
      <c r="AE1478"/>
      <c r="AF1478"/>
      <c r="AG1478"/>
      <c r="AH1478"/>
      <c r="AI1478"/>
      <c r="AJ1478"/>
      <c r="AK1478"/>
      <c r="AL1478"/>
      <c r="AM1478"/>
      <c r="AN1478"/>
      <c r="AO1478"/>
    </row>
    <row r="1479" spans="1:41" ht="15">
      <c r="A1479"/>
      <c r="B1479"/>
      <c r="C1479" s="137"/>
      <c r="D1479" s="30"/>
      <c r="E1479" s="30"/>
      <c r="F1479" s="10"/>
      <c r="G1479" s="10"/>
      <c r="H1479" s="15"/>
      <c r="I1479" s="15"/>
      <c r="J1479" s="15"/>
      <c r="K1479" s="15"/>
      <c r="L1479" s="15"/>
      <c r="M1479" s="15"/>
      <c r="N1479" s="15"/>
      <c r="O1479" s="15"/>
      <c r="P1479" s="15"/>
      <c r="Q1479" s="71"/>
      <c r="R1479" s="84"/>
      <c r="S1479" s="10"/>
      <c r="T1479" s="10"/>
      <c r="U1479" s="10"/>
      <c r="V1479" s="10"/>
      <c r="W1479" s="138"/>
      <c r="Y1479"/>
      <c r="Z1479"/>
      <c r="AA1479"/>
      <c r="AB1479"/>
      <c r="AC1479"/>
      <c r="AD1479"/>
      <c r="AE1479"/>
      <c r="AF1479"/>
      <c r="AG1479"/>
      <c r="AH1479"/>
      <c r="AI1479"/>
      <c r="AJ1479"/>
      <c r="AK1479"/>
      <c r="AL1479"/>
      <c r="AM1479"/>
      <c r="AN1479"/>
      <c r="AO1479"/>
    </row>
    <row r="1480" spans="1:41" ht="15">
      <c r="A1480"/>
      <c r="B1480"/>
      <c r="C1480" s="137"/>
      <c r="D1480" s="30"/>
      <c r="E1480" s="30"/>
      <c r="F1480" s="10"/>
      <c r="G1480" s="10"/>
      <c r="H1480" s="15"/>
      <c r="I1480" s="15"/>
      <c r="J1480" s="15"/>
      <c r="K1480" s="15"/>
      <c r="L1480" s="15"/>
      <c r="M1480" s="15"/>
      <c r="N1480" s="15"/>
      <c r="O1480" s="15"/>
      <c r="P1480" s="15"/>
      <c r="Q1480" s="71"/>
      <c r="R1480" s="84"/>
      <c r="S1480" s="10"/>
      <c r="T1480" s="10"/>
      <c r="U1480" s="10"/>
      <c r="V1480" s="10"/>
      <c r="W1480" s="138"/>
      <c r="Y1480"/>
      <c r="Z1480"/>
      <c r="AA1480"/>
      <c r="AB1480"/>
      <c r="AC1480"/>
      <c r="AD1480"/>
      <c r="AE1480"/>
      <c r="AF1480"/>
      <c r="AG1480"/>
      <c r="AH1480"/>
      <c r="AI1480"/>
      <c r="AJ1480"/>
      <c r="AK1480"/>
      <c r="AL1480"/>
      <c r="AM1480"/>
      <c r="AN1480"/>
      <c r="AO1480"/>
    </row>
    <row r="1481" spans="1:41" ht="15">
      <c r="A1481"/>
      <c r="B1481"/>
      <c r="C1481" s="137"/>
      <c r="D1481" s="30"/>
      <c r="E1481" s="30"/>
      <c r="F1481" s="10"/>
      <c r="G1481" s="10"/>
      <c r="H1481" s="15"/>
      <c r="I1481" s="15"/>
      <c r="J1481" s="15"/>
      <c r="K1481" s="15"/>
      <c r="L1481" s="15"/>
      <c r="M1481" s="15"/>
      <c r="N1481" s="15"/>
      <c r="O1481" s="15"/>
      <c r="P1481" s="15"/>
      <c r="Q1481" s="71"/>
      <c r="R1481" s="84"/>
      <c r="S1481" s="10"/>
      <c r="T1481" s="10"/>
      <c r="U1481" s="10"/>
      <c r="V1481" s="10"/>
      <c r="W1481" s="138"/>
      <c r="Y1481"/>
      <c r="Z1481"/>
      <c r="AA1481"/>
      <c r="AB1481"/>
      <c r="AC1481"/>
      <c r="AD1481"/>
      <c r="AE1481"/>
      <c r="AF1481"/>
      <c r="AG1481"/>
      <c r="AH1481"/>
      <c r="AI1481"/>
      <c r="AJ1481"/>
      <c r="AK1481"/>
      <c r="AL1481"/>
      <c r="AM1481"/>
      <c r="AN1481"/>
      <c r="AO1481"/>
    </row>
    <row r="1482" spans="1:41" ht="15">
      <c r="A1482"/>
      <c r="B1482"/>
      <c r="C1482" s="137"/>
      <c r="D1482" s="30"/>
      <c r="E1482" s="30"/>
      <c r="F1482" s="10"/>
      <c r="G1482" s="10"/>
      <c r="H1482" s="15"/>
      <c r="I1482" s="15"/>
      <c r="J1482" s="15"/>
      <c r="K1482" s="15"/>
      <c r="L1482" s="15"/>
      <c r="M1482" s="15"/>
      <c r="N1482" s="15"/>
      <c r="O1482" s="15"/>
      <c r="P1482" s="15"/>
      <c r="Q1482" s="71"/>
      <c r="R1482" s="84"/>
      <c r="S1482" s="10"/>
      <c r="T1482" s="10"/>
      <c r="U1482" s="10"/>
      <c r="V1482" s="10"/>
      <c r="W1482" s="138"/>
      <c r="Y1482"/>
      <c r="Z1482"/>
      <c r="AA1482"/>
      <c r="AB1482"/>
      <c r="AC1482"/>
      <c r="AD1482"/>
      <c r="AE1482"/>
      <c r="AF1482"/>
      <c r="AG1482"/>
      <c r="AH1482"/>
      <c r="AI1482"/>
      <c r="AJ1482"/>
      <c r="AK1482"/>
      <c r="AL1482"/>
      <c r="AM1482"/>
      <c r="AN1482"/>
      <c r="AO1482"/>
    </row>
    <row r="1483" spans="1:41" ht="15">
      <c r="A1483"/>
      <c r="B1483"/>
      <c r="C1483" s="137"/>
      <c r="D1483" s="30"/>
      <c r="E1483" s="30"/>
      <c r="F1483" s="10"/>
      <c r="G1483" s="10"/>
      <c r="H1483" s="15"/>
      <c r="I1483" s="15"/>
      <c r="J1483" s="15"/>
      <c r="K1483" s="15"/>
      <c r="L1483" s="15"/>
      <c r="M1483" s="15"/>
      <c r="N1483" s="15"/>
      <c r="O1483" s="15"/>
      <c r="P1483" s="15"/>
      <c r="Q1483" s="71"/>
      <c r="R1483" s="84"/>
      <c r="S1483" s="10"/>
      <c r="T1483" s="10"/>
      <c r="U1483" s="10"/>
      <c r="V1483" s="10"/>
      <c r="W1483" s="138"/>
      <c r="Y1483"/>
      <c r="Z1483"/>
      <c r="AA1483"/>
      <c r="AB1483"/>
      <c r="AC1483"/>
      <c r="AD1483"/>
      <c r="AE1483"/>
      <c r="AF1483"/>
      <c r="AG1483"/>
      <c r="AH1483"/>
      <c r="AI1483"/>
      <c r="AJ1483"/>
      <c r="AK1483"/>
      <c r="AL1483"/>
      <c r="AM1483"/>
      <c r="AN1483"/>
      <c r="AO1483"/>
    </row>
    <row r="1484" spans="1:41" ht="15">
      <c r="A1484"/>
      <c r="B1484"/>
      <c r="C1484" s="137"/>
      <c r="D1484" s="30"/>
      <c r="E1484" s="30"/>
      <c r="F1484" s="10"/>
      <c r="G1484" s="10"/>
      <c r="H1484" s="15"/>
      <c r="I1484" s="15"/>
      <c r="J1484" s="15"/>
      <c r="K1484" s="15"/>
      <c r="L1484" s="15"/>
      <c r="M1484" s="15"/>
      <c r="N1484" s="15"/>
      <c r="O1484" s="15"/>
      <c r="P1484" s="15"/>
      <c r="Q1484" s="71"/>
      <c r="R1484" s="84"/>
      <c r="S1484" s="10"/>
      <c r="T1484" s="10"/>
      <c r="U1484" s="10"/>
      <c r="V1484" s="10"/>
      <c r="W1484" s="138"/>
      <c r="Y1484"/>
      <c r="Z1484"/>
      <c r="AA1484"/>
      <c r="AB1484"/>
      <c r="AC1484"/>
      <c r="AD1484"/>
      <c r="AE1484"/>
      <c r="AF1484"/>
      <c r="AG1484"/>
      <c r="AH1484"/>
      <c r="AI1484"/>
      <c r="AJ1484"/>
      <c r="AK1484"/>
      <c r="AL1484"/>
      <c r="AM1484"/>
      <c r="AN1484"/>
      <c r="AO1484"/>
    </row>
    <row r="1485" spans="1:41" ht="15">
      <c r="A1485"/>
      <c r="B1485"/>
      <c r="C1485" s="137"/>
      <c r="D1485" s="30"/>
      <c r="E1485" s="30"/>
      <c r="F1485" s="10"/>
      <c r="G1485" s="10"/>
      <c r="H1485" s="15"/>
      <c r="I1485" s="15"/>
      <c r="J1485" s="15"/>
      <c r="K1485" s="15"/>
      <c r="L1485" s="15"/>
      <c r="M1485" s="15"/>
      <c r="N1485" s="15"/>
      <c r="O1485" s="15"/>
      <c r="P1485" s="15"/>
      <c r="Q1485" s="71"/>
      <c r="R1485" s="84"/>
      <c r="S1485" s="10"/>
      <c r="T1485" s="10"/>
      <c r="U1485" s="10"/>
      <c r="V1485" s="10"/>
      <c r="W1485" s="138"/>
      <c r="Y1485"/>
      <c r="Z1485"/>
      <c r="AA1485"/>
      <c r="AB1485"/>
      <c r="AC1485"/>
      <c r="AD1485"/>
      <c r="AE1485"/>
      <c r="AF1485"/>
      <c r="AG1485"/>
      <c r="AH1485"/>
      <c r="AI1485"/>
      <c r="AJ1485"/>
      <c r="AK1485"/>
      <c r="AL1485"/>
      <c r="AM1485"/>
      <c r="AN1485"/>
      <c r="AO1485"/>
    </row>
    <row r="1486" spans="1:41" ht="15">
      <c r="A1486"/>
      <c r="B1486"/>
      <c r="C1486" s="137"/>
      <c r="D1486" s="30"/>
      <c r="E1486" s="30"/>
      <c r="F1486" s="10"/>
      <c r="G1486" s="10"/>
      <c r="H1486" s="15"/>
      <c r="I1486" s="15"/>
      <c r="J1486" s="15"/>
      <c r="K1486" s="15"/>
      <c r="L1486" s="15"/>
      <c r="M1486" s="15"/>
      <c r="N1486" s="15"/>
      <c r="O1486" s="15"/>
      <c r="P1486" s="15"/>
      <c r="Q1486" s="71"/>
      <c r="R1486" s="84"/>
      <c r="S1486" s="10"/>
      <c r="T1486" s="10"/>
      <c r="U1486" s="10"/>
      <c r="V1486" s="10"/>
      <c r="W1486" s="138"/>
      <c r="Y1486"/>
      <c r="Z1486"/>
      <c r="AA1486"/>
      <c r="AB1486"/>
      <c r="AC1486"/>
      <c r="AD1486"/>
      <c r="AE1486"/>
      <c r="AF1486"/>
      <c r="AG1486"/>
      <c r="AH1486"/>
      <c r="AI1486"/>
      <c r="AJ1486"/>
      <c r="AK1486"/>
      <c r="AL1486"/>
      <c r="AM1486"/>
      <c r="AN1486"/>
      <c r="AO1486"/>
    </row>
    <row r="1487" spans="1:41" ht="15">
      <c r="A1487"/>
      <c r="B1487"/>
      <c r="C1487" s="137"/>
      <c r="D1487" s="30"/>
      <c r="E1487" s="30"/>
      <c r="F1487" s="10"/>
      <c r="G1487" s="10"/>
      <c r="H1487" s="15"/>
      <c r="I1487" s="15"/>
      <c r="J1487" s="15"/>
      <c r="K1487" s="15"/>
      <c r="L1487" s="15"/>
      <c r="M1487" s="15"/>
      <c r="N1487" s="15"/>
      <c r="O1487" s="15"/>
      <c r="P1487" s="15"/>
      <c r="Q1487" s="71"/>
      <c r="R1487" s="84"/>
      <c r="S1487" s="10"/>
      <c r="T1487" s="10"/>
      <c r="U1487" s="10"/>
      <c r="V1487" s="10"/>
      <c r="W1487" s="138"/>
      <c r="Y1487"/>
      <c r="Z1487"/>
      <c r="AA1487"/>
      <c r="AB1487"/>
      <c r="AC1487"/>
      <c r="AD1487"/>
      <c r="AE1487"/>
      <c r="AF1487"/>
      <c r="AG1487"/>
      <c r="AH1487"/>
      <c r="AI1487"/>
      <c r="AJ1487"/>
      <c r="AK1487"/>
      <c r="AL1487"/>
      <c r="AM1487"/>
      <c r="AN1487"/>
      <c r="AO1487"/>
    </row>
    <row r="1488" spans="1:41" ht="15">
      <c r="A1488"/>
      <c r="B1488"/>
      <c r="C1488" s="137"/>
      <c r="D1488" s="30"/>
      <c r="E1488" s="30"/>
      <c r="F1488" s="10"/>
      <c r="G1488" s="10"/>
      <c r="H1488" s="15"/>
      <c r="I1488" s="15"/>
      <c r="J1488" s="15"/>
      <c r="K1488" s="15"/>
      <c r="L1488" s="15"/>
      <c r="M1488" s="15"/>
      <c r="N1488" s="15"/>
      <c r="O1488" s="15"/>
      <c r="P1488" s="15"/>
      <c r="Q1488" s="71"/>
      <c r="R1488" s="84"/>
      <c r="S1488" s="10"/>
      <c r="T1488" s="10"/>
      <c r="U1488" s="10"/>
      <c r="V1488" s="10"/>
      <c r="W1488" s="138"/>
      <c r="Y1488"/>
      <c r="Z1488"/>
      <c r="AA1488"/>
      <c r="AB1488"/>
      <c r="AC1488"/>
      <c r="AD1488"/>
      <c r="AE1488"/>
      <c r="AF1488"/>
      <c r="AG1488"/>
      <c r="AH1488"/>
      <c r="AI1488"/>
      <c r="AJ1488"/>
      <c r="AK1488"/>
      <c r="AL1488"/>
      <c r="AM1488"/>
      <c r="AN1488"/>
      <c r="AO1488"/>
    </row>
    <row r="1489" spans="1:41" ht="15">
      <c r="A1489"/>
      <c r="B1489"/>
      <c r="C1489" s="137"/>
      <c r="D1489" s="30"/>
      <c r="E1489" s="30"/>
      <c r="F1489" s="10"/>
      <c r="G1489" s="10"/>
      <c r="H1489" s="15"/>
      <c r="I1489" s="15"/>
      <c r="J1489" s="15"/>
      <c r="K1489" s="15"/>
      <c r="L1489" s="15"/>
      <c r="M1489" s="15"/>
      <c r="N1489" s="15"/>
      <c r="O1489" s="15"/>
      <c r="P1489" s="15"/>
      <c r="Q1489" s="71"/>
      <c r="R1489" s="84"/>
      <c r="S1489" s="10"/>
      <c r="T1489" s="10"/>
      <c r="U1489" s="10"/>
      <c r="V1489" s="10"/>
      <c r="W1489" s="138"/>
      <c r="Y1489"/>
      <c r="Z1489"/>
      <c r="AA1489"/>
      <c r="AB1489"/>
      <c r="AC1489"/>
      <c r="AD1489"/>
      <c r="AE1489"/>
      <c r="AF1489"/>
      <c r="AG1489"/>
      <c r="AH1489"/>
      <c r="AI1489"/>
      <c r="AJ1489"/>
      <c r="AK1489"/>
      <c r="AL1489"/>
      <c r="AM1489"/>
      <c r="AN1489"/>
      <c r="AO1489"/>
    </row>
    <row r="1490" spans="1:41" ht="15">
      <c r="A1490"/>
      <c r="B1490"/>
      <c r="C1490" s="137"/>
      <c r="D1490" s="30"/>
      <c r="E1490" s="30"/>
      <c r="F1490" s="10"/>
      <c r="G1490" s="10"/>
      <c r="H1490" s="15"/>
      <c r="I1490" s="15"/>
      <c r="J1490" s="15"/>
      <c r="K1490" s="15"/>
      <c r="L1490" s="15"/>
      <c r="M1490" s="15"/>
      <c r="N1490" s="15"/>
      <c r="O1490" s="15"/>
      <c r="P1490" s="15"/>
      <c r="Q1490" s="71"/>
      <c r="R1490" s="84"/>
      <c r="S1490" s="10"/>
      <c r="T1490" s="10"/>
      <c r="U1490" s="10"/>
      <c r="V1490" s="10"/>
      <c r="W1490" s="138"/>
      <c r="Y1490"/>
      <c r="Z1490"/>
      <c r="AA1490"/>
      <c r="AB1490"/>
      <c r="AC1490"/>
      <c r="AD1490"/>
      <c r="AE1490"/>
      <c r="AF1490"/>
      <c r="AG1490"/>
      <c r="AH1490"/>
      <c r="AI1490"/>
      <c r="AJ1490"/>
      <c r="AK1490"/>
      <c r="AL1490"/>
      <c r="AM1490"/>
      <c r="AN1490"/>
      <c r="AO1490"/>
    </row>
    <row r="1491" spans="1:41" ht="15">
      <c r="A1491"/>
      <c r="B1491"/>
      <c r="C1491" s="137"/>
      <c r="D1491" s="30"/>
      <c r="E1491" s="30"/>
      <c r="F1491" s="10"/>
      <c r="G1491" s="10"/>
      <c r="H1491" s="15"/>
      <c r="I1491" s="15"/>
      <c r="J1491" s="15"/>
      <c r="K1491" s="15"/>
      <c r="L1491" s="15"/>
      <c r="M1491" s="15"/>
      <c r="N1491" s="15"/>
      <c r="O1491" s="15"/>
      <c r="P1491" s="15"/>
      <c r="Q1491" s="71"/>
      <c r="R1491" s="84"/>
      <c r="S1491" s="10"/>
      <c r="T1491" s="10"/>
      <c r="U1491" s="10"/>
      <c r="V1491" s="10"/>
      <c r="W1491" s="138"/>
      <c r="Y1491"/>
      <c r="Z1491"/>
      <c r="AA1491"/>
      <c r="AB1491"/>
      <c r="AC1491"/>
      <c r="AD1491"/>
      <c r="AE1491"/>
      <c r="AF1491"/>
      <c r="AG1491"/>
      <c r="AH1491"/>
      <c r="AI1491"/>
      <c r="AJ1491"/>
      <c r="AK1491"/>
      <c r="AL1491"/>
      <c r="AM1491"/>
      <c r="AN1491"/>
      <c r="AO1491"/>
    </row>
    <row r="1492" spans="1:41" ht="15">
      <c r="A1492"/>
      <c r="B1492"/>
      <c r="C1492" s="137"/>
      <c r="D1492" s="30"/>
      <c r="E1492" s="30"/>
      <c r="F1492" s="10"/>
      <c r="G1492" s="10"/>
      <c r="H1492" s="15"/>
      <c r="I1492" s="15"/>
      <c r="J1492" s="15"/>
      <c r="K1492" s="15"/>
      <c r="L1492" s="15"/>
      <c r="M1492" s="15"/>
      <c r="N1492" s="15"/>
      <c r="O1492" s="15"/>
      <c r="P1492" s="15"/>
      <c r="Q1492" s="71"/>
      <c r="R1492" s="84"/>
      <c r="S1492" s="10"/>
      <c r="T1492" s="10"/>
      <c r="U1492" s="10"/>
      <c r="V1492" s="10"/>
      <c r="W1492" s="138"/>
      <c r="Y1492"/>
      <c r="Z1492"/>
      <c r="AA1492"/>
      <c r="AB1492"/>
      <c r="AC1492"/>
      <c r="AD1492"/>
      <c r="AE1492"/>
      <c r="AF1492"/>
      <c r="AG1492"/>
      <c r="AH1492"/>
      <c r="AI1492"/>
      <c r="AJ1492"/>
      <c r="AK1492"/>
      <c r="AL1492"/>
      <c r="AM1492"/>
      <c r="AN1492"/>
      <c r="AO1492"/>
    </row>
    <row r="1493" spans="1:41" ht="15">
      <c r="A1493"/>
      <c r="B1493"/>
      <c r="C1493" s="137"/>
      <c r="D1493" s="30"/>
      <c r="E1493" s="30"/>
      <c r="F1493" s="10"/>
      <c r="G1493" s="10"/>
      <c r="H1493" s="15"/>
      <c r="I1493" s="15"/>
      <c r="J1493" s="15"/>
      <c r="K1493" s="15"/>
      <c r="L1493" s="15"/>
      <c r="M1493" s="15"/>
      <c r="N1493" s="15"/>
      <c r="O1493" s="15"/>
      <c r="P1493" s="15"/>
      <c r="Q1493" s="71"/>
      <c r="R1493" s="84"/>
      <c r="S1493" s="10"/>
      <c r="T1493" s="10"/>
      <c r="U1493" s="10"/>
      <c r="V1493" s="10"/>
      <c r="W1493" s="138"/>
      <c r="Y1493"/>
      <c r="Z1493"/>
      <c r="AA1493"/>
      <c r="AB1493"/>
      <c r="AC1493"/>
      <c r="AD1493"/>
      <c r="AE1493"/>
      <c r="AF1493"/>
      <c r="AG1493"/>
      <c r="AH1493"/>
      <c r="AI1493"/>
      <c r="AJ1493"/>
      <c r="AK1493"/>
      <c r="AL1493"/>
      <c r="AM1493"/>
      <c r="AN1493"/>
      <c r="AO1493"/>
    </row>
    <row r="1494" spans="1:41" ht="15">
      <c r="A1494"/>
      <c r="B1494"/>
      <c r="C1494" s="137"/>
      <c r="D1494" s="30"/>
      <c r="E1494" s="30"/>
      <c r="F1494" s="10"/>
      <c r="G1494" s="10"/>
      <c r="H1494" s="15"/>
      <c r="I1494" s="15"/>
      <c r="J1494" s="15"/>
      <c r="K1494" s="15"/>
      <c r="L1494" s="15"/>
      <c r="M1494" s="15"/>
      <c r="N1494" s="15"/>
      <c r="O1494" s="15"/>
      <c r="P1494" s="15"/>
      <c r="Q1494" s="71"/>
      <c r="R1494" s="84"/>
      <c r="S1494" s="10"/>
      <c r="T1494" s="10"/>
      <c r="U1494" s="10"/>
      <c r="V1494" s="10"/>
      <c r="W1494" s="138"/>
      <c r="Y1494"/>
      <c r="Z1494"/>
      <c r="AA1494"/>
      <c r="AB1494"/>
      <c r="AC1494"/>
      <c r="AD1494"/>
      <c r="AE1494"/>
      <c r="AF1494"/>
      <c r="AG1494"/>
      <c r="AH1494"/>
      <c r="AI1494"/>
      <c r="AJ1494"/>
      <c r="AK1494"/>
      <c r="AL1494"/>
      <c r="AM1494"/>
      <c r="AN1494"/>
      <c r="AO1494"/>
    </row>
    <row r="1495" spans="1:41" ht="15">
      <c r="A1495"/>
      <c r="B1495"/>
      <c r="C1495" s="137"/>
      <c r="D1495" s="30"/>
      <c r="E1495" s="30"/>
      <c r="F1495" s="10"/>
      <c r="G1495" s="10"/>
      <c r="H1495" s="15"/>
      <c r="I1495" s="15"/>
      <c r="J1495" s="15"/>
      <c r="K1495" s="15"/>
      <c r="L1495" s="15"/>
      <c r="M1495" s="15"/>
      <c r="N1495" s="15"/>
      <c r="O1495" s="15"/>
      <c r="P1495" s="15"/>
      <c r="Q1495" s="71"/>
      <c r="R1495" s="84"/>
      <c r="S1495" s="10"/>
      <c r="T1495" s="10"/>
      <c r="U1495" s="10"/>
      <c r="V1495" s="10"/>
      <c r="W1495" s="138"/>
      <c r="Y1495"/>
      <c r="Z1495"/>
      <c r="AA1495"/>
      <c r="AB1495"/>
      <c r="AC1495"/>
      <c r="AD1495"/>
      <c r="AE1495"/>
      <c r="AF1495"/>
      <c r="AG1495"/>
      <c r="AH1495"/>
      <c r="AI1495"/>
      <c r="AJ1495"/>
      <c r="AK1495"/>
      <c r="AL1495"/>
      <c r="AM1495"/>
      <c r="AN1495"/>
      <c r="AO1495"/>
    </row>
    <row r="1496" spans="1:41" ht="15">
      <c r="A1496"/>
      <c r="B1496"/>
      <c r="C1496" s="137"/>
      <c r="D1496" s="30"/>
      <c r="E1496" s="30"/>
      <c r="F1496" s="10"/>
      <c r="G1496" s="10"/>
      <c r="H1496" s="15"/>
      <c r="I1496" s="15"/>
      <c r="J1496" s="15"/>
      <c r="K1496" s="15"/>
      <c r="L1496" s="15"/>
      <c r="M1496" s="15"/>
      <c r="N1496" s="15"/>
      <c r="O1496" s="15"/>
      <c r="P1496" s="15"/>
      <c r="Q1496" s="71"/>
      <c r="R1496" s="84"/>
      <c r="S1496" s="10"/>
      <c r="T1496" s="10"/>
      <c r="U1496" s="10"/>
      <c r="V1496" s="10"/>
      <c r="W1496" s="138"/>
      <c r="Y1496"/>
      <c r="Z1496"/>
      <c r="AA1496"/>
      <c r="AB1496"/>
      <c r="AC1496"/>
      <c r="AD1496"/>
      <c r="AE1496"/>
      <c r="AF1496"/>
      <c r="AG1496"/>
      <c r="AH1496"/>
      <c r="AI1496"/>
      <c r="AJ1496"/>
      <c r="AK1496"/>
      <c r="AL1496"/>
      <c r="AM1496"/>
      <c r="AN1496"/>
      <c r="AO1496"/>
    </row>
    <row r="1497" spans="1:41" ht="15">
      <c r="A1497"/>
      <c r="B1497"/>
      <c r="C1497" s="137"/>
      <c r="D1497" s="30"/>
      <c r="E1497" s="30"/>
      <c r="F1497" s="10"/>
      <c r="G1497" s="10"/>
      <c r="H1497" s="15"/>
      <c r="I1497" s="15"/>
      <c r="J1497" s="15"/>
      <c r="K1497" s="15"/>
      <c r="L1497" s="15"/>
      <c r="M1497" s="15"/>
      <c r="N1497" s="15"/>
      <c r="O1497" s="15"/>
      <c r="P1497" s="15"/>
      <c r="Q1497" s="71"/>
      <c r="R1497" s="84"/>
      <c r="S1497" s="10"/>
      <c r="T1497" s="10"/>
      <c r="U1497" s="10"/>
      <c r="V1497" s="10"/>
      <c r="W1497" s="138"/>
      <c r="Y1497"/>
      <c r="Z1497"/>
      <c r="AA1497"/>
      <c r="AB1497"/>
      <c r="AC1497"/>
      <c r="AD1497"/>
      <c r="AE1497"/>
      <c r="AF1497"/>
      <c r="AG1497"/>
      <c r="AH1497"/>
      <c r="AI1497"/>
      <c r="AJ1497"/>
      <c r="AK1497"/>
      <c r="AL1497"/>
      <c r="AM1497"/>
      <c r="AN1497"/>
      <c r="AO1497"/>
    </row>
    <row r="1498" spans="1:41" ht="15">
      <c r="A1498"/>
      <c r="B1498"/>
      <c r="C1498" s="137"/>
      <c r="D1498" s="30"/>
      <c r="E1498" s="30"/>
      <c r="F1498" s="10"/>
      <c r="G1498" s="10"/>
      <c r="H1498" s="15"/>
      <c r="I1498" s="15"/>
      <c r="J1498" s="15"/>
      <c r="K1498" s="15"/>
      <c r="L1498" s="15"/>
      <c r="M1498" s="15"/>
      <c r="N1498" s="15"/>
      <c r="O1498" s="15"/>
      <c r="P1498" s="15"/>
      <c r="Q1498" s="71"/>
      <c r="R1498" s="84"/>
      <c r="S1498" s="10"/>
      <c r="T1498" s="10"/>
      <c r="U1498" s="10"/>
      <c r="V1498" s="10"/>
      <c r="W1498" s="138"/>
      <c r="Y1498"/>
      <c r="Z1498"/>
      <c r="AA1498"/>
      <c r="AB1498"/>
      <c r="AC1498"/>
      <c r="AD1498"/>
      <c r="AE1498"/>
      <c r="AF1498"/>
      <c r="AG1498"/>
      <c r="AH1498"/>
      <c r="AI1498"/>
      <c r="AJ1498"/>
      <c r="AK1498"/>
      <c r="AL1498"/>
      <c r="AM1498"/>
      <c r="AN1498"/>
      <c r="AO1498"/>
    </row>
    <row r="1499" spans="1:41" ht="15">
      <c r="A1499"/>
      <c r="B1499"/>
      <c r="C1499" s="137"/>
      <c r="D1499" s="30"/>
      <c r="E1499" s="30"/>
      <c r="F1499" s="10"/>
      <c r="G1499" s="10"/>
      <c r="H1499" s="15"/>
      <c r="I1499" s="15"/>
      <c r="J1499" s="15"/>
      <c r="K1499" s="15"/>
      <c r="L1499" s="15"/>
      <c r="M1499" s="15"/>
      <c r="N1499" s="15"/>
      <c r="O1499" s="15"/>
      <c r="P1499" s="15"/>
      <c r="Q1499" s="71"/>
      <c r="R1499" s="84"/>
      <c r="S1499" s="10"/>
      <c r="T1499" s="10"/>
      <c r="U1499" s="10"/>
      <c r="V1499" s="10"/>
      <c r="W1499" s="138"/>
      <c r="Y1499"/>
      <c r="Z1499"/>
      <c r="AA1499"/>
      <c r="AB1499"/>
      <c r="AC1499"/>
      <c r="AD1499"/>
      <c r="AE1499"/>
      <c r="AF1499"/>
      <c r="AG1499"/>
      <c r="AH1499"/>
      <c r="AI1499"/>
      <c r="AJ1499"/>
      <c r="AK1499"/>
      <c r="AL1499"/>
      <c r="AM1499"/>
      <c r="AN1499"/>
      <c r="AO1499"/>
    </row>
    <row r="1500" spans="1:41" ht="15">
      <c r="A1500"/>
      <c r="B1500"/>
      <c r="C1500" s="137"/>
      <c r="D1500" s="30"/>
      <c r="E1500" s="30"/>
      <c r="F1500" s="10"/>
      <c r="G1500" s="10"/>
      <c r="H1500" s="15"/>
      <c r="I1500" s="15"/>
      <c r="J1500" s="15"/>
      <c r="K1500" s="15"/>
      <c r="L1500" s="15"/>
      <c r="M1500" s="15"/>
      <c r="N1500" s="15"/>
      <c r="O1500" s="15"/>
      <c r="P1500" s="15"/>
      <c r="Q1500" s="71"/>
      <c r="R1500" s="84"/>
      <c r="S1500" s="10"/>
      <c r="T1500" s="10"/>
      <c r="U1500" s="10"/>
      <c r="V1500" s="10"/>
      <c r="W1500" s="138"/>
      <c r="Y1500"/>
      <c r="Z1500"/>
      <c r="AA1500"/>
      <c r="AB1500"/>
      <c r="AC1500"/>
      <c r="AD1500"/>
      <c r="AE1500"/>
      <c r="AF1500"/>
      <c r="AG1500"/>
      <c r="AH1500"/>
      <c r="AI1500"/>
      <c r="AJ1500"/>
      <c r="AK1500"/>
      <c r="AL1500"/>
      <c r="AM1500"/>
      <c r="AN1500"/>
      <c r="AO1500"/>
    </row>
    <row r="1501" spans="1:41" ht="15">
      <c r="A1501"/>
      <c r="B1501"/>
      <c r="C1501" s="137"/>
      <c r="D1501" s="30"/>
      <c r="E1501" s="30"/>
      <c r="F1501" s="10"/>
      <c r="G1501" s="10"/>
      <c r="H1501" s="15"/>
      <c r="I1501" s="15"/>
      <c r="J1501" s="15"/>
      <c r="K1501" s="15"/>
      <c r="L1501" s="15"/>
      <c r="M1501" s="15"/>
      <c r="N1501" s="15"/>
      <c r="O1501" s="15"/>
      <c r="P1501" s="15"/>
      <c r="Q1501" s="71"/>
      <c r="R1501" s="84"/>
      <c r="S1501" s="10"/>
      <c r="T1501" s="10"/>
      <c r="U1501" s="10"/>
      <c r="V1501" s="10"/>
      <c r="W1501" s="138"/>
      <c r="Y1501"/>
      <c r="Z1501"/>
      <c r="AA1501"/>
      <c r="AB1501"/>
      <c r="AC1501"/>
      <c r="AD1501"/>
      <c r="AE1501"/>
      <c r="AF1501"/>
      <c r="AG1501"/>
      <c r="AH1501"/>
      <c r="AI1501"/>
      <c r="AJ1501"/>
      <c r="AK1501"/>
      <c r="AL1501"/>
      <c r="AM1501"/>
      <c r="AN1501"/>
      <c r="AO1501"/>
    </row>
    <row r="1502" spans="1:41" ht="15">
      <c r="A1502"/>
      <c r="B1502"/>
      <c r="C1502" s="137"/>
      <c r="D1502" s="30"/>
      <c r="E1502" s="30"/>
      <c r="F1502" s="10"/>
      <c r="G1502" s="10"/>
      <c r="H1502" s="15"/>
      <c r="I1502" s="15"/>
      <c r="J1502" s="15"/>
      <c r="K1502" s="15"/>
      <c r="L1502" s="15"/>
      <c r="M1502" s="15"/>
      <c r="N1502" s="15"/>
      <c r="O1502" s="15"/>
      <c r="P1502" s="15"/>
      <c r="Q1502" s="71"/>
      <c r="R1502" s="84"/>
      <c r="S1502" s="10"/>
      <c r="T1502" s="10"/>
      <c r="U1502" s="10"/>
      <c r="V1502" s="10"/>
      <c r="W1502" s="138"/>
      <c r="Y1502"/>
      <c r="Z1502"/>
      <c r="AA1502"/>
      <c r="AB1502"/>
      <c r="AC1502"/>
      <c r="AD1502"/>
      <c r="AE1502"/>
      <c r="AF1502"/>
      <c r="AG1502"/>
      <c r="AH1502"/>
      <c r="AI1502"/>
      <c r="AJ1502"/>
      <c r="AK1502"/>
      <c r="AL1502"/>
      <c r="AM1502"/>
      <c r="AN1502"/>
      <c r="AO1502"/>
    </row>
    <row r="1503" spans="1:41" ht="15">
      <c r="A1503"/>
      <c r="B1503"/>
      <c r="C1503" s="137"/>
      <c r="D1503" s="30"/>
      <c r="E1503" s="30"/>
      <c r="F1503" s="10"/>
      <c r="G1503" s="10"/>
      <c r="H1503" s="15"/>
      <c r="I1503" s="15"/>
      <c r="J1503" s="15"/>
      <c r="K1503" s="15"/>
      <c r="L1503" s="15"/>
      <c r="M1503" s="15"/>
      <c r="N1503" s="15"/>
      <c r="O1503" s="15"/>
      <c r="P1503" s="15"/>
      <c r="Q1503" s="71"/>
      <c r="R1503" s="84"/>
      <c r="S1503" s="10"/>
      <c r="T1503" s="10"/>
      <c r="U1503" s="10"/>
      <c r="V1503" s="10"/>
      <c r="W1503" s="138"/>
      <c r="Y1503"/>
      <c r="Z1503"/>
      <c r="AA1503"/>
      <c r="AB1503"/>
      <c r="AC1503"/>
      <c r="AD1503"/>
      <c r="AE1503"/>
      <c r="AF1503"/>
      <c r="AG1503"/>
      <c r="AH1503"/>
      <c r="AI1503"/>
      <c r="AJ1503"/>
      <c r="AK1503"/>
      <c r="AL1503"/>
      <c r="AM1503"/>
      <c r="AN1503"/>
      <c r="AO1503"/>
    </row>
    <row r="1504" spans="1:41" ht="15">
      <c r="A1504"/>
      <c r="B1504"/>
      <c r="C1504" s="137"/>
      <c r="D1504" s="30"/>
      <c r="E1504" s="30"/>
      <c r="F1504" s="10"/>
      <c r="G1504" s="10"/>
      <c r="H1504" s="15"/>
      <c r="I1504" s="15"/>
      <c r="J1504" s="15"/>
      <c r="K1504" s="15"/>
      <c r="L1504" s="15"/>
      <c r="M1504" s="15"/>
      <c r="N1504" s="15"/>
      <c r="O1504" s="15"/>
      <c r="P1504" s="15"/>
      <c r="Q1504" s="71"/>
      <c r="R1504" s="84"/>
      <c r="S1504" s="10"/>
      <c r="T1504" s="10"/>
      <c r="U1504" s="10"/>
      <c r="V1504" s="10"/>
      <c r="W1504" s="138"/>
      <c r="Y1504"/>
      <c r="Z1504"/>
      <c r="AA1504"/>
      <c r="AB1504"/>
      <c r="AC1504"/>
      <c r="AD1504"/>
      <c r="AE1504"/>
      <c r="AF1504"/>
      <c r="AG1504"/>
      <c r="AH1504"/>
      <c r="AI1504"/>
      <c r="AJ1504"/>
      <c r="AK1504"/>
      <c r="AL1504"/>
      <c r="AM1504"/>
      <c r="AN1504"/>
      <c r="AO1504"/>
    </row>
    <row r="1505" spans="1:41" ht="15">
      <c r="A1505"/>
      <c r="B1505"/>
      <c r="C1505" s="137"/>
      <c r="D1505" s="30"/>
      <c r="E1505" s="30"/>
      <c r="F1505" s="10"/>
      <c r="G1505" s="10"/>
      <c r="H1505" s="15"/>
      <c r="I1505" s="15"/>
      <c r="J1505" s="15"/>
      <c r="K1505" s="15"/>
      <c r="L1505" s="15"/>
      <c r="M1505" s="15"/>
      <c r="N1505" s="15"/>
      <c r="O1505" s="15"/>
      <c r="P1505" s="15"/>
      <c r="Q1505" s="71"/>
      <c r="R1505" s="84"/>
      <c r="S1505" s="10"/>
      <c r="T1505" s="10"/>
      <c r="U1505" s="10"/>
      <c r="V1505" s="10"/>
      <c r="W1505" s="138"/>
      <c r="Y1505"/>
      <c r="Z1505"/>
      <c r="AA1505"/>
      <c r="AB1505"/>
      <c r="AC1505"/>
      <c r="AD1505"/>
      <c r="AE1505"/>
      <c r="AF1505"/>
      <c r="AG1505"/>
      <c r="AH1505"/>
      <c r="AI1505"/>
      <c r="AJ1505"/>
      <c r="AK1505"/>
      <c r="AL1505"/>
      <c r="AM1505"/>
      <c r="AN1505"/>
      <c r="AO1505"/>
    </row>
    <row r="1506" spans="1:41" ht="15">
      <c r="A1506"/>
      <c r="B1506"/>
      <c r="C1506" s="137"/>
      <c r="D1506" s="30"/>
      <c r="E1506" s="30"/>
      <c r="F1506" s="10"/>
      <c r="G1506" s="10"/>
      <c r="H1506" s="15"/>
      <c r="I1506" s="15"/>
      <c r="J1506" s="15"/>
      <c r="K1506" s="15"/>
      <c r="L1506" s="15"/>
      <c r="M1506" s="15"/>
      <c r="N1506" s="15"/>
      <c r="O1506" s="15"/>
      <c r="P1506" s="15"/>
      <c r="Q1506" s="71"/>
      <c r="R1506" s="84"/>
      <c r="S1506" s="10"/>
      <c r="T1506" s="10"/>
      <c r="U1506" s="10"/>
      <c r="V1506" s="10"/>
      <c r="W1506" s="138"/>
      <c r="Y1506"/>
      <c r="Z1506"/>
      <c r="AA1506"/>
      <c r="AB1506"/>
      <c r="AC1506"/>
      <c r="AD1506"/>
      <c r="AE1506"/>
      <c r="AF1506"/>
      <c r="AG1506"/>
      <c r="AH1506"/>
      <c r="AI1506"/>
      <c r="AJ1506"/>
      <c r="AK1506"/>
      <c r="AL1506"/>
      <c r="AM1506"/>
      <c r="AN1506"/>
      <c r="AO1506"/>
    </row>
    <row r="1507" spans="1:41" ht="15">
      <c r="A1507"/>
      <c r="B1507"/>
      <c r="C1507" s="137"/>
      <c r="D1507" s="30"/>
      <c r="E1507" s="30"/>
      <c r="F1507" s="10"/>
      <c r="G1507" s="10"/>
      <c r="H1507" s="15"/>
      <c r="I1507" s="15"/>
      <c r="J1507" s="15"/>
      <c r="K1507" s="15"/>
      <c r="L1507" s="15"/>
      <c r="M1507" s="15"/>
      <c r="N1507" s="15"/>
      <c r="O1507" s="15"/>
      <c r="P1507" s="15"/>
      <c r="Q1507" s="71"/>
      <c r="R1507" s="84"/>
      <c r="S1507" s="10"/>
      <c r="T1507" s="10"/>
      <c r="U1507" s="10"/>
      <c r="V1507" s="10"/>
      <c r="W1507" s="138"/>
      <c r="Y1507"/>
      <c r="Z1507"/>
      <c r="AA1507"/>
      <c r="AB1507"/>
      <c r="AC1507"/>
      <c r="AD1507"/>
      <c r="AE1507"/>
      <c r="AF1507"/>
      <c r="AG1507"/>
      <c r="AH1507"/>
      <c r="AI1507"/>
      <c r="AJ1507"/>
      <c r="AK1507"/>
      <c r="AL1507"/>
      <c r="AM1507"/>
      <c r="AN1507"/>
      <c r="AO1507"/>
    </row>
    <row r="1508" spans="1:41" ht="15">
      <c r="A1508"/>
      <c r="B1508"/>
      <c r="C1508" s="137"/>
      <c r="D1508" s="30"/>
      <c r="E1508" s="30"/>
      <c r="F1508" s="10"/>
      <c r="G1508" s="10"/>
      <c r="H1508" s="15"/>
      <c r="I1508" s="15"/>
      <c r="J1508" s="15"/>
      <c r="K1508" s="15"/>
      <c r="L1508" s="15"/>
      <c r="M1508" s="15"/>
      <c r="N1508" s="15"/>
      <c r="O1508" s="15"/>
      <c r="P1508" s="15"/>
      <c r="Q1508" s="71"/>
      <c r="R1508" s="84"/>
      <c r="S1508" s="10"/>
      <c r="T1508" s="10"/>
      <c r="U1508" s="10"/>
      <c r="V1508" s="10"/>
      <c r="W1508" s="138"/>
      <c r="Y1508"/>
      <c r="Z1508"/>
      <c r="AA1508"/>
      <c r="AB1508"/>
      <c r="AC1508"/>
      <c r="AD1508"/>
      <c r="AE1508"/>
      <c r="AF1508"/>
      <c r="AG1508"/>
      <c r="AH1508"/>
      <c r="AI1508"/>
      <c r="AJ1508"/>
      <c r="AK1508"/>
      <c r="AL1508"/>
      <c r="AM1508"/>
      <c r="AN1508"/>
      <c r="AO1508"/>
    </row>
    <row r="1509" spans="1:41" ht="15">
      <c r="A1509"/>
      <c r="B1509"/>
      <c r="C1509" s="137"/>
      <c r="D1509" s="30"/>
      <c r="E1509" s="30"/>
      <c r="F1509" s="10"/>
      <c r="G1509" s="10"/>
      <c r="H1509" s="15"/>
      <c r="I1509" s="15"/>
      <c r="J1509" s="15"/>
      <c r="K1509" s="15"/>
      <c r="L1509" s="15"/>
      <c r="M1509" s="15"/>
      <c r="N1509" s="15"/>
      <c r="O1509" s="15"/>
      <c r="P1509" s="15"/>
      <c r="Q1509" s="71"/>
      <c r="R1509" s="84"/>
      <c r="S1509" s="10"/>
      <c r="T1509" s="10"/>
      <c r="U1509" s="10"/>
      <c r="V1509" s="10"/>
      <c r="W1509" s="138"/>
      <c r="Y1509"/>
      <c r="Z1509"/>
      <c r="AA1509"/>
      <c r="AB1509"/>
      <c r="AC1509"/>
      <c r="AD1509"/>
      <c r="AE1509"/>
      <c r="AF1509"/>
      <c r="AG1509"/>
      <c r="AH1509"/>
      <c r="AI1509"/>
      <c r="AJ1509"/>
      <c r="AK1509"/>
      <c r="AL1509"/>
      <c r="AM1509"/>
      <c r="AN1509"/>
      <c r="AO1509"/>
    </row>
    <row r="1510" spans="1:41" ht="15">
      <c r="A1510"/>
      <c r="B1510"/>
      <c r="C1510" s="137"/>
      <c r="D1510" s="30"/>
      <c r="E1510" s="30"/>
      <c r="F1510" s="10"/>
      <c r="G1510" s="10"/>
      <c r="H1510" s="15"/>
      <c r="I1510" s="15"/>
      <c r="J1510" s="15"/>
      <c r="K1510" s="15"/>
      <c r="L1510" s="15"/>
      <c r="M1510" s="15"/>
      <c r="N1510" s="15"/>
      <c r="O1510" s="15"/>
      <c r="P1510" s="15"/>
      <c r="Q1510" s="71"/>
      <c r="R1510" s="84"/>
      <c r="S1510" s="10"/>
      <c r="T1510" s="10"/>
      <c r="U1510" s="10"/>
      <c r="V1510" s="10"/>
      <c r="W1510" s="138"/>
      <c r="Y1510"/>
      <c r="Z1510"/>
      <c r="AA1510"/>
      <c r="AB1510"/>
      <c r="AC1510"/>
      <c r="AD1510"/>
      <c r="AE1510"/>
      <c r="AF1510"/>
      <c r="AG1510"/>
      <c r="AH1510"/>
      <c r="AI1510"/>
      <c r="AJ1510"/>
      <c r="AK1510"/>
      <c r="AL1510"/>
      <c r="AM1510"/>
      <c r="AN1510"/>
      <c r="AO1510"/>
    </row>
    <row r="1511" spans="1:41" ht="15">
      <c r="A1511"/>
      <c r="B1511"/>
      <c r="C1511" s="137"/>
      <c r="D1511" s="30"/>
      <c r="E1511" s="30"/>
      <c r="F1511" s="10"/>
      <c r="G1511" s="10"/>
      <c r="H1511" s="15"/>
      <c r="I1511" s="15"/>
      <c r="J1511" s="15"/>
      <c r="K1511" s="15"/>
      <c r="L1511" s="15"/>
      <c r="M1511" s="15"/>
      <c r="N1511" s="15"/>
      <c r="O1511" s="15"/>
      <c r="P1511" s="15"/>
      <c r="Q1511" s="71"/>
      <c r="R1511" s="84"/>
      <c r="S1511" s="10"/>
      <c r="T1511" s="10"/>
      <c r="U1511" s="10"/>
      <c r="V1511" s="10"/>
      <c r="W1511" s="138"/>
      <c r="Y1511"/>
      <c r="Z1511"/>
      <c r="AA1511"/>
      <c r="AB1511"/>
      <c r="AC1511"/>
      <c r="AD1511"/>
      <c r="AE1511"/>
      <c r="AF1511"/>
      <c r="AG1511"/>
      <c r="AH1511"/>
      <c r="AI1511"/>
      <c r="AJ1511"/>
      <c r="AK1511"/>
      <c r="AL1511"/>
      <c r="AM1511"/>
      <c r="AN1511"/>
      <c r="AO1511"/>
    </row>
    <row r="1512" spans="1:41" ht="15">
      <c r="A1512"/>
      <c r="B1512"/>
      <c r="C1512" s="137"/>
      <c r="D1512" s="30"/>
      <c r="E1512" s="30"/>
      <c r="F1512" s="10"/>
      <c r="G1512" s="10"/>
      <c r="H1512" s="15"/>
      <c r="I1512" s="15"/>
      <c r="J1512" s="15"/>
      <c r="K1512" s="15"/>
      <c r="L1512" s="15"/>
      <c r="M1512" s="15"/>
      <c r="N1512" s="15"/>
      <c r="O1512" s="15"/>
      <c r="P1512" s="15"/>
      <c r="Q1512" s="71"/>
      <c r="R1512" s="84"/>
      <c r="S1512" s="10"/>
      <c r="T1512" s="10"/>
      <c r="U1512" s="10"/>
      <c r="V1512" s="10"/>
      <c r="W1512" s="138"/>
      <c r="Y1512"/>
      <c r="Z1512"/>
      <c r="AA1512"/>
      <c r="AB1512"/>
      <c r="AC1512"/>
      <c r="AD1512"/>
      <c r="AE1512"/>
      <c r="AF1512"/>
      <c r="AG1512"/>
      <c r="AH1512"/>
      <c r="AI1512"/>
      <c r="AJ1512"/>
      <c r="AK1512"/>
      <c r="AL1512"/>
      <c r="AM1512"/>
      <c r="AN1512"/>
      <c r="AO1512"/>
    </row>
    <row r="1513" spans="1:41" ht="15">
      <c r="A1513"/>
      <c r="B1513"/>
      <c r="C1513" s="137"/>
      <c r="D1513" s="30"/>
      <c r="E1513" s="30"/>
      <c r="F1513" s="10"/>
      <c r="G1513" s="10"/>
      <c r="H1513" s="15"/>
      <c r="I1513" s="15"/>
      <c r="J1513" s="15"/>
      <c r="K1513" s="15"/>
      <c r="L1513" s="15"/>
      <c r="M1513" s="15"/>
      <c r="N1513" s="15"/>
      <c r="O1513" s="15"/>
      <c r="P1513" s="15"/>
      <c r="Q1513" s="71"/>
      <c r="R1513" s="84"/>
      <c r="S1513" s="10"/>
      <c r="T1513" s="10"/>
      <c r="U1513" s="10"/>
      <c r="V1513" s="10"/>
      <c r="W1513" s="138"/>
      <c r="Y1513"/>
      <c r="Z1513"/>
      <c r="AA1513"/>
      <c r="AB1513"/>
      <c r="AC1513"/>
      <c r="AD1513"/>
      <c r="AE1513"/>
      <c r="AF1513"/>
      <c r="AG1513"/>
      <c r="AH1513"/>
      <c r="AI1513"/>
      <c r="AJ1513"/>
      <c r="AK1513"/>
      <c r="AL1513"/>
      <c r="AM1513"/>
      <c r="AN1513"/>
      <c r="AO1513"/>
    </row>
    <row r="1514" spans="1:41" ht="15">
      <c r="A1514"/>
      <c r="B1514"/>
      <c r="C1514" s="137"/>
      <c r="D1514" s="30"/>
      <c r="E1514" s="30"/>
      <c r="F1514" s="10"/>
      <c r="G1514" s="10"/>
      <c r="H1514" s="15"/>
      <c r="I1514" s="15"/>
      <c r="J1514" s="15"/>
      <c r="K1514" s="15"/>
      <c r="L1514" s="15"/>
      <c r="M1514" s="15"/>
      <c r="N1514" s="15"/>
      <c r="O1514" s="15"/>
      <c r="P1514" s="15"/>
      <c r="Q1514" s="71"/>
      <c r="R1514" s="84"/>
      <c r="S1514" s="10"/>
      <c r="T1514" s="10"/>
      <c r="U1514" s="10"/>
      <c r="V1514" s="10"/>
      <c r="W1514" s="138"/>
      <c r="Y1514"/>
      <c r="Z1514"/>
      <c r="AA1514"/>
      <c r="AB1514"/>
      <c r="AC1514"/>
      <c r="AD1514"/>
      <c r="AE1514"/>
      <c r="AF1514"/>
      <c r="AG1514"/>
      <c r="AH1514"/>
      <c r="AI1514"/>
      <c r="AJ1514"/>
      <c r="AK1514"/>
      <c r="AL1514"/>
      <c r="AM1514"/>
      <c r="AN1514"/>
      <c r="AO1514"/>
    </row>
    <row r="1515" spans="1:41" ht="15">
      <c r="A1515"/>
      <c r="B1515"/>
      <c r="C1515" s="137"/>
      <c r="D1515" s="30"/>
      <c r="E1515" s="30"/>
      <c r="F1515" s="10"/>
      <c r="G1515" s="10"/>
      <c r="H1515" s="15"/>
      <c r="I1515" s="15"/>
      <c r="J1515" s="15"/>
      <c r="K1515" s="15"/>
      <c r="L1515" s="15"/>
      <c r="M1515" s="15"/>
      <c r="N1515" s="15"/>
      <c r="O1515" s="15"/>
      <c r="P1515" s="15"/>
      <c r="Q1515" s="71"/>
      <c r="R1515" s="84"/>
      <c r="S1515" s="10"/>
      <c r="T1515" s="10"/>
      <c r="U1515" s="10"/>
      <c r="V1515" s="10"/>
      <c r="W1515" s="138"/>
      <c r="Y1515"/>
      <c r="Z1515"/>
      <c r="AA1515"/>
      <c r="AB1515"/>
      <c r="AC1515"/>
      <c r="AD1515"/>
      <c r="AE1515"/>
      <c r="AF1515"/>
      <c r="AG1515"/>
      <c r="AH1515"/>
      <c r="AI1515"/>
      <c r="AJ1515"/>
      <c r="AK1515"/>
      <c r="AL1515"/>
      <c r="AM1515"/>
      <c r="AN1515"/>
      <c r="AO1515"/>
    </row>
    <row r="1516" spans="1:41" ht="15">
      <c r="A1516"/>
      <c r="B1516"/>
      <c r="C1516" s="137"/>
      <c r="D1516" s="30"/>
      <c r="E1516" s="30"/>
      <c r="F1516" s="10"/>
      <c r="G1516" s="10"/>
      <c r="H1516" s="15"/>
      <c r="I1516" s="15"/>
      <c r="J1516" s="15"/>
      <c r="K1516" s="15"/>
      <c r="L1516" s="15"/>
      <c r="M1516" s="15"/>
      <c r="N1516" s="15"/>
      <c r="O1516" s="15"/>
      <c r="P1516" s="15"/>
      <c r="Q1516" s="71"/>
      <c r="R1516" s="84"/>
      <c r="S1516" s="10"/>
      <c r="T1516" s="10"/>
      <c r="U1516" s="10"/>
      <c r="V1516" s="10"/>
      <c r="W1516" s="138"/>
      <c r="Y1516"/>
      <c r="Z1516"/>
      <c r="AA1516"/>
      <c r="AB1516"/>
      <c r="AC1516"/>
      <c r="AD1516"/>
      <c r="AE1516"/>
      <c r="AF1516"/>
      <c r="AG1516"/>
      <c r="AH1516"/>
      <c r="AI1516"/>
      <c r="AJ1516"/>
      <c r="AK1516"/>
      <c r="AL1516"/>
      <c r="AM1516"/>
      <c r="AN1516"/>
      <c r="AO1516"/>
    </row>
    <row r="1517" spans="1:41" ht="15">
      <c r="A1517"/>
      <c r="B1517"/>
      <c r="C1517" s="137"/>
      <c r="D1517" s="30"/>
      <c r="E1517" s="30"/>
      <c r="F1517" s="10"/>
      <c r="G1517" s="10"/>
      <c r="H1517" s="15"/>
      <c r="I1517" s="15"/>
      <c r="J1517" s="15"/>
      <c r="K1517" s="15"/>
      <c r="L1517" s="15"/>
      <c r="M1517" s="15"/>
      <c r="N1517" s="15"/>
      <c r="O1517" s="15"/>
      <c r="P1517" s="15"/>
      <c r="Q1517" s="71"/>
      <c r="R1517" s="84"/>
      <c r="S1517" s="10"/>
      <c r="T1517" s="10"/>
      <c r="U1517" s="10"/>
      <c r="V1517" s="10"/>
      <c r="W1517" s="138"/>
      <c r="Y1517"/>
      <c r="Z1517"/>
      <c r="AA1517"/>
      <c r="AB1517"/>
      <c r="AC1517"/>
      <c r="AD1517"/>
      <c r="AE1517"/>
      <c r="AF1517"/>
      <c r="AG1517"/>
      <c r="AH1517"/>
      <c r="AI1517"/>
      <c r="AJ1517"/>
      <c r="AK1517"/>
      <c r="AL1517"/>
      <c r="AM1517"/>
      <c r="AN1517"/>
      <c r="AO1517"/>
    </row>
    <row r="1518" spans="1:41" ht="15">
      <c r="A1518"/>
      <c r="B1518"/>
      <c r="C1518" s="137"/>
      <c r="D1518" s="30"/>
      <c r="E1518" s="30"/>
      <c r="F1518" s="10"/>
      <c r="G1518" s="10"/>
      <c r="H1518" s="15"/>
      <c r="I1518" s="15"/>
      <c r="J1518" s="15"/>
      <c r="K1518" s="15"/>
      <c r="L1518" s="15"/>
      <c r="M1518" s="15"/>
      <c r="N1518" s="15"/>
      <c r="O1518" s="15"/>
      <c r="P1518" s="15"/>
      <c r="Q1518" s="71"/>
      <c r="R1518" s="84"/>
      <c r="S1518" s="10"/>
      <c r="T1518" s="10"/>
      <c r="U1518" s="10"/>
      <c r="V1518" s="10"/>
      <c r="W1518" s="138"/>
      <c r="Y1518"/>
      <c r="Z1518"/>
      <c r="AA1518"/>
      <c r="AB1518"/>
      <c r="AC1518"/>
      <c r="AD1518"/>
      <c r="AE1518"/>
      <c r="AF1518"/>
      <c r="AG1518"/>
      <c r="AH1518"/>
      <c r="AI1518"/>
      <c r="AJ1518"/>
      <c r="AK1518"/>
      <c r="AL1518"/>
      <c r="AM1518"/>
      <c r="AN1518"/>
      <c r="AO1518"/>
    </row>
    <row r="1519" spans="1:41" ht="15">
      <c r="A1519"/>
      <c r="B1519"/>
      <c r="C1519" s="137"/>
      <c r="D1519" s="30"/>
      <c r="E1519" s="30"/>
      <c r="F1519" s="10"/>
      <c r="G1519" s="10"/>
      <c r="H1519" s="15"/>
      <c r="I1519" s="15"/>
      <c r="J1519" s="15"/>
      <c r="K1519" s="15"/>
      <c r="L1519" s="15"/>
      <c r="M1519" s="15"/>
      <c r="N1519" s="15"/>
      <c r="O1519" s="15"/>
      <c r="P1519" s="15"/>
      <c r="Q1519" s="71"/>
      <c r="R1519" s="84"/>
      <c r="S1519" s="10"/>
      <c r="T1519" s="10"/>
      <c r="U1519" s="10"/>
      <c r="V1519" s="10"/>
      <c r="W1519" s="138"/>
      <c r="Y1519"/>
      <c r="Z1519"/>
      <c r="AA1519"/>
      <c r="AB1519"/>
      <c r="AC1519"/>
      <c r="AD1519"/>
      <c r="AE1519"/>
      <c r="AF1519"/>
      <c r="AG1519"/>
      <c r="AH1519"/>
      <c r="AI1519"/>
      <c r="AJ1519"/>
      <c r="AK1519"/>
      <c r="AL1519"/>
      <c r="AM1519"/>
      <c r="AN1519"/>
      <c r="AO1519"/>
    </row>
    <row r="1520" spans="1:41" ht="15">
      <c r="A1520"/>
      <c r="B1520"/>
      <c r="C1520" s="137"/>
      <c r="D1520" s="30"/>
      <c r="E1520" s="30"/>
      <c r="F1520" s="10"/>
      <c r="G1520" s="10"/>
      <c r="H1520" s="15"/>
      <c r="I1520" s="15"/>
      <c r="J1520" s="15"/>
      <c r="K1520" s="15"/>
      <c r="L1520" s="15"/>
      <c r="M1520" s="15"/>
      <c r="N1520" s="15"/>
      <c r="O1520" s="15"/>
      <c r="P1520" s="15"/>
      <c r="Q1520" s="71"/>
      <c r="R1520" s="84"/>
      <c r="S1520" s="10"/>
      <c r="T1520" s="10"/>
      <c r="U1520" s="10"/>
      <c r="V1520" s="10"/>
      <c r="W1520" s="138"/>
      <c r="Y1520"/>
      <c r="Z1520"/>
      <c r="AA1520"/>
      <c r="AB1520"/>
      <c r="AC1520"/>
      <c r="AD1520"/>
      <c r="AE1520"/>
      <c r="AF1520"/>
      <c r="AG1520"/>
      <c r="AH1520"/>
      <c r="AI1520"/>
      <c r="AJ1520"/>
      <c r="AK1520"/>
      <c r="AL1520"/>
      <c r="AM1520"/>
      <c r="AN1520"/>
      <c r="AO1520"/>
    </row>
    <row r="1521" spans="1:41" ht="15">
      <c r="A1521"/>
      <c r="B1521"/>
      <c r="C1521" s="137"/>
      <c r="D1521" s="30"/>
      <c r="E1521" s="30"/>
      <c r="F1521" s="10"/>
      <c r="G1521" s="10"/>
      <c r="H1521" s="15"/>
      <c r="I1521" s="15"/>
      <c r="J1521" s="15"/>
      <c r="K1521" s="15"/>
      <c r="L1521" s="15"/>
      <c r="M1521" s="15"/>
      <c r="N1521" s="15"/>
      <c r="O1521" s="15"/>
      <c r="P1521" s="15"/>
      <c r="Q1521" s="71"/>
      <c r="R1521" s="84"/>
      <c r="S1521" s="10"/>
      <c r="T1521" s="10"/>
      <c r="U1521" s="10"/>
      <c r="V1521" s="10"/>
      <c r="W1521" s="138"/>
      <c r="Y1521"/>
      <c r="Z1521"/>
      <c r="AA1521"/>
      <c r="AB1521"/>
      <c r="AC1521"/>
      <c r="AD1521"/>
      <c r="AE1521"/>
      <c r="AF1521"/>
      <c r="AG1521"/>
      <c r="AH1521"/>
      <c r="AI1521"/>
      <c r="AJ1521"/>
      <c r="AK1521"/>
      <c r="AL1521"/>
      <c r="AM1521"/>
      <c r="AN1521"/>
      <c r="AO1521"/>
    </row>
    <row r="1522" spans="1:41" ht="15">
      <c r="A1522"/>
      <c r="B1522"/>
      <c r="C1522" s="137"/>
      <c r="D1522" s="30"/>
      <c r="E1522" s="30"/>
      <c r="F1522" s="10"/>
      <c r="G1522" s="10"/>
      <c r="H1522" s="15"/>
      <c r="I1522" s="15"/>
      <c r="J1522" s="15"/>
      <c r="K1522" s="15"/>
      <c r="L1522" s="15"/>
      <c r="M1522" s="15"/>
      <c r="N1522" s="15"/>
      <c r="O1522" s="15"/>
      <c r="P1522" s="15"/>
      <c r="Q1522" s="71"/>
      <c r="R1522" s="84"/>
      <c r="S1522" s="10"/>
      <c r="T1522" s="10"/>
      <c r="U1522" s="10"/>
      <c r="V1522" s="10"/>
      <c r="W1522" s="138"/>
      <c r="Y1522"/>
      <c r="Z1522"/>
      <c r="AA1522"/>
      <c r="AB1522"/>
      <c r="AC1522"/>
      <c r="AD1522"/>
      <c r="AE1522"/>
      <c r="AF1522"/>
      <c r="AG1522"/>
      <c r="AH1522"/>
      <c r="AI1522"/>
      <c r="AJ1522"/>
      <c r="AK1522"/>
      <c r="AL1522"/>
      <c r="AM1522"/>
      <c r="AN1522"/>
      <c r="AO1522"/>
    </row>
    <row r="1523" spans="1:41" ht="15">
      <c r="A1523"/>
      <c r="B1523"/>
      <c r="C1523" s="137"/>
      <c r="D1523" s="30"/>
      <c r="E1523" s="30"/>
      <c r="F1523" s="10"/>
      <c r="G1523" s="10"/>
      <c r="H1523" s="15"/>
      <c r="I1523" s="15"/>
      <c r="J1523" s="15"/>
      <c r="K1523" s="15"/>
      <c r="L1523" s="15"/>
      <c r="M1523" s="15"/>
      <c r="N1523" s="15"/>
      <c r="O1523" s="15"/>
      <c r="P1523" s="15"/>
      <c r="Q1523" s="71"/>
      <c r="R1523" s="84"/>
      <c r="S1523" s="10"/>
      <c r="T1523" s="10"/>
      <c r="U1523" s="10"/>
      <c r="V1523" s="10"/>
      <c r="W1523" s="138"/>
      <c r="Y1523"/>
      <c r="Z1523"/>
      <c r="AA1523"/>
      <c r="AB1523"/>
      <c r="AC1523"/>
      <c r="AD1523"/>
      <c r="AE1523"/>
      <c r="AF1523"/>
      <c r="AG1523"/>
      <c r="AH1523"/>
      <c r="AI1523"/>
      <c r="AJ1523"/>
      <c r="AK1523"/>
      <c r="AL1523"/>
      <c r="AM1523"/>
      <c r="AN1523"/>
      <c r="AO1523"/>
    </row>
    <row r="1524" spans="1:41" ht="15">
      <c r="A1524"/>
      <c r="B1524"/>
      <c r="C1524" s="137"/>
      <c r="D1524" s="30"/>
      <c r="E1524" s="30"/>
      <c r="F1524" s="10"/>
      <c r="G1524" s="10"/>
      <c r="H1524" s="15"/>
      <c r="I1524" s="15"/>
      <c r="J1524" s="15"/>
      <c r="K1524" s="15"/>
      <c r="L1524" s="15"/>
      <c r="M1524" s="15"/>
      <c r="N1524" s="15"/>
      <c r="O1524" s="15"/>
      <c r="P1524" s="15"/>
      <c r="Q1524" s="71"/>
      <c r="R1524" s="84"/>
      <c r="S1524" s="10"/>
      <c r="T1524" s="10"/>
      <c r="U1524" s="10"/>
      <c r="V1524" s="10"/>
      <c r="W1524" s="138"/>
      <c r="Y1524"/>
      <c r="Z1524"/>
      <c r="AA1524"/>
      <c r="AB1524"/>
      <c r="AC1524"/>
      <c r="AD1524"/>
      <c r="AE1524"/>
      <c r="AF1524"/>
      <c r="AG1524"/>
      <c r="AH1524"/>
      <c r="AI1524"/>
      <c r="AJ1524"/>
      <c r="AK1524"/>
      <c r="AL1524"/>
      <c r="AM1524"/>
      <c r="AN1524"/>
      <c r="AO1524"/>
    </row>
    <row r="1525" spans="1:41" ht="15">
      <c r="A1525"/>
      <c r="B1525"/>
      <c r="C1525" s="137"/>
      <c r="D1525" s="30"/>
      <c r="E1525" s="30"/>
      <c r="F1525" s="10"/>
      <c r="G1525" s="10"/>
      <c r="H1525" s="15"/>
      <c r="I1525" s="15"/>
      <c r="J1525" s="15"/>
      <c r="K1525" s="15"/>
      <c r="L1525" s="15"/>
      <c r="M1525" s="15"/>
      <c r="N1525" s="15"/>
      <c r="O1525" s="15"/>
      <c r="P1525" s="15"/>
      <c r="Q1525" s="71"/>
      <c r="R1525" s="84"/>
      <c r="S1525" s="10"/>
      <c r="T1525" s="10"/>
      <c r="U1525" s="10"/>
      <c r="V1525" s="10"/>
      <c r="W1525" s="138"/>
      <c r="Y1525"/>
      <c r="Z1525"/>
      <c r="AA1525"/>
      <c r="AB1525"/>
      <c r="AC1525"/>
      <c r="AD1525"/>
      <c r="AE1525"/>
      <c r="AF1525"/>
      <c r="AG1525"/>
      <c r="AH1525"/>
      <c r="AI1525"/>
      <c r="AJ1525"/>
      <c r="AK1525"/>
      <c r="AL1525"/>
      <c r="AM1525"/>
      <c r="AN1525"/>
      <c r="AO1525"/>
    </row>
    <row r="1526" spans="1:41" ht="15">
      <c r="A1526"/>
      <c r="B1526"/>
      <c r="C1526" s="137"/>
      <c r="D1526" s="30"/>
      <c r="E1526" s="30"/>
      <c r="F1526" s="10"/>
      <c r="G1526" s="10"/>
      <c r="H1526" s="15"/>
      <c r="I1526" s="15"/>
      <c r="J1526" s="15"/>
      <c r="K1526" s="15"/>
      <c r="L1526" s="15"/>
      <c r="M1526" s="15"/>
      <c r="N1526" s="15"/>
      <c r="O1526" s="15"/>
      <c r="P1526" s="15"/>
      <c r="Q1526" s="71"/>
      <c r="R1526" s="84"/>
      <c r="S1526" s="10"/>
      <c r="T1526" s="10"/>
      <c r="U1526" s="10"/>
      <c r="V1526" s="10"/>
      <c r="W1526" s="138"/>
      <c r="Y1526"/>
      <c r="Z1526"/>
      <c r="AA1526"/>
      <c r="AB1526"/>
      <c r="AC1526"/>
      <c r="AD1526"/>
      <c r="AE1526"/>
      <c r="AF1526"/>
      <c r="AG1526"/>
      <c r="AH1526"/>
      <c r="AI1526"/>
      <c r="AJ1526"/>
      <c r="AK1526"/>
      <c r="AL1526"/>
      <c r="AM1526"/>
      <c r="AN1526"/>
      <c r="AO1526"/>
    </row>
    <row r="1527" spans="1:41" ht="15">
      <c r="A1527"/>
      <c r="B1527"/>
      <c r="C1527" s="137"/>
      <c r="D1527" s="30"/>
      <c r="E1527" s="30"/>
      <c r="F1527" s="10"/>
      <c r="G1527" s="10"/>
      <c r="H1527" s="15"/>
      <c r="I1527" s="15"/>
      <c r="J1527" s="15"/>
      <c r="K1527" s="15"/>
      <c r="L1527" s="15"/>
      <c r="M1527" s="15"/>
      <c r="N1527" s="15"/>
      <c r="O1527" s="15"/>
      <c r="P1527" s="15"/>
      <c r="Q1527" s="71"/>
      <c r="R1527" s="84"/>
      <c r="S1527" s="10"/>
      <c r="T1527" s="10"/>
      <c r="U1527" s="10"/>
      <c r="V1527" s="10"/>
      <c r="W1527" s="138"/>
      <c r="Y1527"/>
      <c r="Z1527"/>
      <c r="AA1527"/>
      <c r="AB1527"/>
      <c r="AC1527"/>
      <c r="AD1527"/>
      <c r="AE1527"/>
      <c r="AF1527"/>
      <c r="AG1527"/>
      <c r="AH1527"/>
      <c r="AI1527"/>
      <c r="AJ1527"/>
      <c r="AK1527"/>
      <c r="AL1527"/>
      <c r="AM1527"/>
      <c r="AN1527"/>
      <c r="AO1527"/>
    </row>
    <row r="1528" spans="1:41" ht="15">
      <c r="A1528"/>
      <c r="B1528"/>
      <c r="C1528" s="137"/>
      <c r="D1528" s="30"/>
      <c r="E1528" s="30"/>
      <c r="F1528" s="10"/>
      <c r="G1528" s="10"/>
      <c r="H1528" s="15"/>
      <c r="I1528" s="15"/>
      <c r="J1528" s="15"/>
      <c r="K1528" s="15"/>
      <c r="L1528" s="15"/>
      <c r="M1528" s="15"/>
      <c r="N1528" s="15"/>
      <c r="O1528" s="15"/>
      <c r="P1528" s="15"/>
      <c r="Q1528" s="71"/>
      <c r="R1528" s="84"/>
      <c r="S1528" s="10"/>
      <c r="T1528" s="10"/>
      <c r="U1528" s="10"/>
      <c r="V1528" s="10"/>
      <c r="W1528" s="138"/>
      <c r="Y1528"/>
      <c r="Z1528"/>
      <c r="AA1528"/>
      <c r="AB1528"/>
      <c r="AC1528"/>
      <c r="AD1528"/>
      <c r="AE1528"/>
      <c r="AF1528"/>
      <c r="AG1528"/>
      <c r="AH1528"/>
      <c r="AI1528"/>
      <c r="AJ1528"/>
      <c r="AK1528"/>
      <c r="AL1528"/>
      <c r="AM1528"/>
      <c r="AN1528"/>
      <c r="AO1528"/>
    </row>
    <row r="1529" spans="1:41" ht="15">
      <c r="A1529"/>
      <c r="B1529"/>
      <c r="C1529" s="137"/>
      <c r="D1529" s="30"/>
      <c r="E1529" s="30"/>
      <c r="F1529" s="10"/>
      <c r="G1529" s="10"/>
      <c r="H1529" s="15"/>
      <c r="I1529" s="15"/>
      <c r="J1529" s="15"/>
      <c r="K1529" s="15"/>
      <c r="L1529" s="15"/>
      <c r="M1529" s="15"/>
      <c r="N1529" s="15"/>
      <c r="O1529" s="15"/>
      <c r="P1529" s="15"/>
      <c r="Q1529" s="71"/>
      <c r="R1529" s="84"/>
      <c r="S1529" s="10"/>
      <c r="T1529" s="10"/>
      <c r="U1529" s="10"/>
      <c r="V1529" s="10"/>
      <c r="W1529" s="138"/>
      <c r="Y1529"/>
      <c r="Z1529"/>
      <c r="AA1529"/>
      <c r="AB1529"/>
      <c r="AC1529"/>
      <c r="AD1529"/>
      <c r="AE1529"/>
      <c r="AF1529"/>
      <c r="AG1529"/>
      <c r="AH1529"/>
      <c r="AI1529"/>
      <c r="AJ1529"/>
      <c r="AK1529"/>
      <c r="AL1529"/>
      <c r="AM1529"/>
      <c r="AN1529"/>
      <c r="AO1529"/>
    </row>
    <row r="1530" spans="1:41" ht="15">
      <c r="A1530"/>
      <c r="B1530"/>
      <c r="C1530" s="137"/>
      <c r="D1530" s="30"/>
      <c r="E1530" s="30"/>
      <c r="F1530" s="10"/>
      <c r="G1530" s="10"/>
      <c r="H1530" s="15"/>
      <c r="I1530" s="15"/>
      <c r="J1530" s="15"/>
      <c r="K1530" s="15"/>
      <c r="L1530" s="15"/>
      <c r="M1530" s="15"/>
      <c r="N1530" s="15"/>
      <c r="O1530" s="15"/>
      <c r="P1530" s="15"/>
      <c r="Q1530" s="71"/>
      <c r="R1530" s="84"/>
      <c r="S1530" s="10"/>
      <c r="T1530" s="10"/>
      <c r="U1530" s="10"/>
      <c r="V1530" s="10"/>
      <c r="W1530" s="138"/>
      <c r="Y1530"/>
      <c r="Z1530"/>
      <c r="AA1530"/>
      <c r="AB1530"/>
      <c r="AC1530"/>
      <c r="AD1530"/>
      <c r="AE1530"/>
      <c r="AF1530"/>
      <c r="AG1530"/>
      <c r="AH1530"/>
      <c r="AI1530"/>
      <c r="AJ1530"/>
      <c r="AK1530"/>
      <c r="AL1530"/>
      <c r="AM1530"/>
      <c r="AN1530"/>
      <c r="AO1530"/>
    </row>
    <row r="1531" spans="1:41" ht="15">
      <c r="A1531"/>
      <c r="B1531"/>
      <c r="C1531" s="137"/>
      <c r="D1531" s="30"/>
      <c r="E1531" s="30"/>
      <c r="F1531" s="10"/>
      <c r="G1531" s="10"/>
      <c r="H1531" s="15"/>
      <c r="I1531" s="15"/>
      <c r="J1531" s="15"/>
      <c r="K1531" s="15"/>
      <c r="L1531" s="15"/>
      <c r="M1531" s="15"/>
      <c r="N1531" s="15"/>
      <c r="O1531" s="15"/>
      <c r="P1531" s="15"/>
      <c r="Q1531" s="71"/>
      <c r="R1531" s="84"/>
      <c r="S1531" s="10"/>
      <c r="T1531" s="10"/>
      <c r="U1531" s="10"/>
      <c r="V1531" s="10"/>
      <c r="W1531" s="138"/>
      <c r="Y1531"/>
      <c r="Z1531"/>
      <c r="AA1531"/>
      <c r="AB1531"/>
      <c r="AC1531"/>
      <c r="AD1531"/>
      <c r="AE1531"/>
      <c r="AF1531"/>
      <c r="AG1531"/>
      <c r="AH1531"/>
      <c r="AI1531"/>
      <c r="AJ1531"/>
      <c r="AK1531"/>
      <c r="AL1531"/>
      <c r="AM1531"/>
      <c r="AN1531"/>
      <c r="AO1531"/>
    </row>
    <row r="1532" spans="1:41" ht="15">
      <c r="A1532"/>
      <c r="B1532"/>
      <c r="C1532" s="137"/>
      <c r="D1532" s="30"/>
      <c r="E1532" s="30"/>
      <c r="F1532" s="10"/>
      <c r="G1532" s="10"/>
      <c r="H1532" s="15"/>
      <c r="I1532" s="15"/>
      <c r="J1532" s="15"/>
      <c r="K1532" s="15"/>
      <c r="L1532" s="15"/>
      <c r="M1532" s="15"/>
      <c r="N1532" s="15"/>
      <c r="O1532" s="15"/>
      <c r="P1532" s="15"/>
      <c r="Q1532" s="71"/>
      <c r="R1532" s="84"/>
      <c r="S1532" s="10"/>
      <c r="T1532" s="10"/>
      <c r="U1532" s="10"/>
      <c r="V1532" s="10"/>
      <c r="W1532" s="138"/>
      <c r="Y1532"/>
      <c r="Z1532"/>
      <c r="AA1532"/>
      <c r="AB1532"/>
      <c r="AC1532"/>
      <c r="AD1532"/>
      <c r="AE1532"/>
      <c r="AF1532"/>
      <c r="AG1532"/>
      <c r="AH1532"/>
      <c r="AI1532"/>
      <c r="AJ1532"/>
      <c r="AK1532"/>
      <c r="AL1532"/>
      <c r="AM1532"/>
      <c r="AN1532"/>
      <c r="AO1532"/>
    </row>
    <row r="1533" spans="1:41" ht="15">
      <c r="A1533"/>
      <c r="B1533"/>
      <c r="C1533" s="137"/>
      <c r="D1533" s="30"/>
      <c r="E1533" s="30"/>
      <c r="F1533" s="10"/>
      <c r="G1533" s="10"/>
      <c r="H1533" s="15"/>
      <c r="I1533" s="15"/>
      <c r="J1533" s="15"/>
      <c r="K1533" s="15"/>
      <c r="L1533" s="15"/>
      <c r="M1533" s="15"/>
      <c r="N1533" s="15"/>
      <c r="O1533" s="15"/>
      <c r="P1533" s="15"/>
      <c r="Q1533" s="71"/>
      <c r="R1533" s="84"/>
      <c r="S1533" s="10"/>
      <c r="T1533" s="10"/>
      <c r="U1533" s="10"/>
      <c r="V1533" s="10"/>
      <c r="W1533" s="138"/>
      <c r="Y1533"/>
      <c r="Z1533"/>
      <c r="AA1533"/>
      <c r="AB1533"/>
      <c r="AC1533"/>
      <c r="AD1533"/>
      <c r="AE1533"/>
      <c r="AF1533"/>
      <c r="AG1533"/>
      <c r="AH1533"/>
      <c r="AI1533"/>
      <c r="AJ1533"/>
      <c r="AK1533"/>
      <c r="AL1533"/>
      <c r="AM1533"/>
      <c r="AN1533"/>
      <c r="AO1533"/>
    </row>
    <row r="1534" spans="1:41" ht="15">
      <c r="A1534"/>
      <c r="B1534"/>
      <c r="C1534" s="137"/>
      <c r="D1534" s="30"/>
      <c r="E1534" s="30"/>
      <c r="F1534" s="10"/>
      <c r="G1534" s="10"/>
      <c r="H1534" s="15"/>
      <c r="I1534" s="15"/>
      <c r="J1534" s="15"/>
      <c r="K1534" s="15"/>
      <c r="L1534" s="15"/>
      <c r="M1534" s="15"/>
      <c r="N1534" s="15"/>
      <c r="O1534" s="15"/>
      <c r="P1534" s="15"/>
      <c r="Q1534" s="71"/>
      <c r="R1534" s="84"/>
      <c r="S1534" s="10"/>
      <c r="T1534" s="10"/>
      <c r="U1534" s="10"/>
      <c r="V1534" s="10"/>
      <c r="W1534" s="138"/>
      <c r="Y1534"/>
      <c r="Z1534"/>
      <c r="AA1534"/>
      <c r="AB1534"/>
      <c r="AC1534"/>
      <c r="AD1534"/>
      <c r="AE1534"/>
      <c r="AF1534"/>
      <c r="AG1534"/>
      <c r="AH1534"/>
      <c r="AI1534"/>
      <c r="AJ1534"/>
      <c r="AK1534"/>
      <c r="AL1534"/>
      <c r="AM1534"/>
      <c r="AN1534"/>
      <c r="AO1534"/>
    </row>
    <row r="1535" spans="1:41" ht="15">
      <c r="A1535"/>
      <c r="B1535"/>
      <c r="C1535" s="137"/>
      <c r="D1535" s="30"/>
      <c r="E1535" s="30"/>
      <c r="F1535" s="10"/>
      <c r="G1535" s="10"/>
      <c r="H1535" s="15"/>
      <c r="I1535" s="15"/>
      <c r="J1535" s="15"/>
      <c r="K1535" s="15"/>
      <c r="L1535" s="15"/>
      <c r="M1535" s="15"/>
      <c r="N1535" s="15"/>
      <c r="O1535" s="15"/>
      <c r="P1535" s="15"/>
      <c r="Q1535" s="71"/>
      <c r="R1535" s="84"/>
      <c r="S1535" s="10"/>
      <c r="T1535" s="10"/>
      <c r="U1535" s="10"/>
      <c r="V1535" s="10"/>
      <c r="W1535" s="138"/>
      <c r="Y1535"/>
      <c r="Z1535"/>
      <c r="AA1535"/>
      <c r="AB1535"/>
      <c r="AC1535"/>
      <c r="AD1535"/>
      <c r="AE1535"/>
      <c r="AF1535"/>
      <c r="AG1535"/>
      <c r="AH1535"/>
      <c r="AI1535"/>
      <c r="AJ1535"/>
      <c r="AK1535"/>
      <c r="AL1535"/>
      <c r="AM1535"/>
      <c r="AN1535"/>
      <c r="AO1535"/>
    </row>
    <row r="1536" spans="1:41" ht="15">
      <c r="A1536"/>
      <c r="B1536"/>
      <c r="C1536" s="137"/>
      <c r="D1536" s="30"/>
      <c r="E1536" s="30"/>
      <c r="F1536" s="10"/>
      <c r="G1536" s="10"/>
      <c r="H1536" s="15"/>
      <c r="I1536" s="15"/>
      <c r="J1536" s="15"/>
      <c r="K1536" s="15"/>
      <c r="L1536" s="15"/>
      <c r="M1536" s="15"/>
      <c r="N1536" s="15"/>
      <c r="O1536" s="15"/>
      <c r="P1536" s="15"/>
      <c r="Q1536" s="71"/>
      <c r="R1536" s="84"/>
      <c r="S1536" s="10"/>
      <c r="T1536" s="10"/>
      <c r="U1536" s="10"/>
      <c r="V1536" s="10"/>
      <c r="W1536" s="138"/>
      <c r="Y1536"/>
      <c r="Z1536"/>
      <c r="AA1536"/>
      <c r="AB1536"/>
      <c r="AC1536"/>
      <c r="AD1536"/>
      <c r="AE1536"/>
      <c r="AF1536"/>
      <c r="AG1536"/>
      <c r="AH1536"/>
      <c r="AI1536"/>
      <c r="AJ1536"/>
      <c r="AK1536"/>
      <c r="AL1536"/>
      <c r="AM1536"/>
      <c r="AN1536"/>
      <c r="AO1536"/>
    </row>
    <row r="1537" spans="1:41" ht="15">
      <c r="A1537"/>
      <c r="B1537"/>
      <c r="C1537" s="137"/>
      <c r="D1537" s="30"/>
      <c r="E1537" s="30"/>
      <c r="F1537" s="10"/>
      <c r="G1537" s="10"/>
      <c r="H1537" s="15"/>
      <c r="I1537" s="15"/>
      <c r="J1537" s="15"/>
      <c r="K1537" s="15"/>
      <c r="L1537" s="15"/>
      <c r="M1537" s="15"/>
      <c r="N1537" s="15"/>
      <c r="O1537" s="15"/>
      <c r="P1537" s="15"/>
      <c r="Q1537" s="71"/>
      <c r="R1537" s="84"/>
      <c r="S1537" s="10"/>
      <c r="T1537" s="10"/>
      <c r="U1537" s="10"/>
      <c r="V1537" s="10"/>
      <c r="W1537" s="138"/>
      <c r="Y1537"/>
      <c r="Z1537"/>
      <c r="AA1537"/>
      <c r="AB1537"/>
      <c r="AC1537"/>
      <c r="AD1537"/>
      <c r="AE1537"/>
      <c r="AF1537"/>
      <c r="AG1537"/>
      <c r="AH1537"/>
      <c r="AI1537"/>
      <c r="AJ1537"/>
      <c r="AK1537"/>
      <c r="AL1537"/>
      <c r="AM1537"/>
      <c r="AN1537"/>
      <c r="AO1537"/>
    </row>
    <row r="1538" spans="1:41" ht="15">
      <c r="A1538"/>
      <c r="B1538"/>
      <c r="C1538" s="137"/>
      <c r="D1538" s="30"/>
      <c r="E1538" s="30"/>
      <c r="F1538" s="10"/>
      <c r="G1538" s="10"/>
      <c r="H1538" s="15"/>
      <c r="I1538" s="15"/>
      <c r="J1538" s="15"/>
      <c r="K1538" s="15"/>
      <c r="L1538" s="15"/>
      <c r="M1538" s="15"/>
      <c r="N1538" s="15"/>
      <c r="O1538" s="15"/>
      <c r="P1538" s="15"/>
      <c r="Q1538" s="71"/>
      <c r="R1538" s="84"/>
      <c r="S1538" s="10"/>
      <c r="T1538" s="10"/>
      <c r="U1538" s="10"/>
      <c r="V1538" s="10"/>
      <c r="W1538" s="138"/>
      <c r="Y1538"/>
      <c r="Z1538"/>
      <c r="AA1538"/>
      <c r="AB1538"/>
      <c r="AC1538"/>
      <c r="AD1538"/>
      <c r="AE1538"/>
      <c r="AF1538"/>
      <c r="AG1538"/>
      <c r="AH1538"/>
      <c r="AI1538"/>
      <c r="AJ1538"/>
      <c r="AK1538"/>
      <c r="AL1538"/>
      <c r="AM1538"/>
      <c r="AN1538"/>
      <c r="AO1538"/>
    </row>
    <row r="1539" spans="1:41" ht="15">
      <c r="A1539"/>
      <c r="B1539"/>
      <c r="C1539" s="137"/>
      <c r="D1539" s="30"/>
      <c r="E1539" s="30"/>
      <c r="F1539" s="10"/>
      <c r="G1539" s="10"/>
      <c r="H1539" s="15"/>
      <c r="I1539" s="15"/>
      <c r="J1539" s="15"/>
      <c r="K1539" s="15"/>
      <c r="L1539" s="15"/>
      <c r="M1539" s="15"/>
      <c r="N1539" s="15"/>
      <c r="O1539" s="15"/>
      <c r="P1539" s="15"/>
      <c r="Q1539" s="71"/>
      <c r="R1539" s="84"/>
      <c r="S1539" s="10"/>
      <c r="T1539" s="10"/>
      <c r="U1539" s="10"/>
      <c r="V1539" s="10"/>
      <c r="W1539" s="138"/>
      <c r="Y1539"/>
      <c r="Z1539"/>
      <c r="AA1539"/>
      <c r="AB1539"/>
      <c r="AC1539"/>
      <c r="AD1539"/>
      <c r="AE1539"/>
      <c r="AF1539"/>
      <c r="AG1539"/>
      <c r="AH1539"/>
      <c r="AI1539"/>
      <c r="AJ1539"/>
      <c r="AK1539"/>
      <c r="AL1539"/>
      <c r="AM1539"/>
      <c r="AN1539"/>
      <c r="AO1539"/>
    </row>
    <row r="1540" spans="1:41" ht="15">
      <c r="A1540"/>
      <c r="B1540"/>
      <c r="C1540" s="137"/>
      <c r="D1540" s="30"/>
      <c r="E1540" s="30"/>
      <c r="F1540" s="10"/>
      <c r="G1540" s="10"/>
      <c r="H1540" s="15"/>
      <c r="I1540" s="15"/>
      <c r="J1540" s="15"/>
      <c r="K1540" s="15"/>
      <c r="L1540" s="15"/>
      <c r="M1540" s="15"/>
      <c r="N1540" s="15"/>
      <c r="O1540" s="15"/>
      <c r="P1540" s="15"/>
      <c r="Q1540" s="71"/>
      <c r="R1540" s="84"/>
      <c r="S1540" s="10"/>
      <c r="T1540" s="10"/>
      <c r="U1540" s="10"/>
      <c r="V1540" s="10"/>
      <c r="W1540" s="138"/>
      <c r="Y1540"/>
      <c r="Z1540"/>
      <c r="AA1540"/>
      <c r="AB1540"/>
      <c r="AC1540"/>
      <c r="AD1540"/>
      <c r="AE1540"/>
      <c r="AF1540"/>
      <c r="AG1540"/>
      <c r="AH1540"/>
      <c r="AI1540"/>
      <c r="AJ1540"/>
      <c r="AK1540"/>
      <c r="AL1540"/>
      <c r="AM1540"/>
      <c r="AN1540"/>
      <c r="AO1540"/>
    </row>
    <row r="1541" spans="1:41" ht="15">
      <c r="A1541"/>
      <c r="B1541"/>
      <c r="C1541" s="137"/>
      <c r="D1541" s="30"/>
      <c r="E1541" s="30"/>
      <c r="F1541" s="10"/>
      <c r="G1541" s="10"/>
      <c r="H1541" s="15"/>
      <c r="I1541" s="15"/>
      <c r="J1541" s="15"/>
      <c r="K1541" s="15"/>
      <c r="L1541" s="15"/>
      <c r="M1541" s="15"/>
      <c r="N1541" s="15"/>
      <c r="O1541" s="15"/>
      <c r="P1541" s="15"/>
      <c r="Q1541" s="71"/>
      <c r="R1541" s="84"/>
      <c r="S1541" s="10"/>
      <c r="T1541" s="10"/>
      <c r="U1541" s="10"/>
      <c r="V1541" s="10"/>
      <c r="W1541" s="138"/>
      <c r="Y1541"/>
      <c r="Z1541"/>
      <c r="AA1541"/>
      <c r="AB1541"/>
      <c r="AC1541"/>
      <c r="AD1541"/>
      <c r="AE1541"/>
      <c r="AF1541"/>
      <c r="AG1541"/>
      <c r="AH1541"/>
      <c r="AI1541"/>
      <c r="AJ1541"/>
      <c r="AK1541"/>
      <c r="AL1541"/>
      <c r="AM1541"/>
      <c r="AN1541"/>
      <c r="AO1541"/>
    </row>
    <row r="1542" spans="1:41" ht="15">
      <c r="A1542"/>
      <c r="B1542"/>
      <c r="C1542" s="137"/>
      <c r="D1542" s="30"/>
      <c r="E1542" s="30"/>
      <c r="F1542" s="10"/>
      <c r="G1542" s="10"/>
      <c r="H1542" s="15"/>
      <c r="I1542" s="15"/>
      <c r="J1542" s="15"/>
      <c r="K1542" s="15"/>
      <c r="L1542" s="15"/>
      <c r="M1542" s="15"/>
      <c r="N1542" s="15"/>
      <c r="O1542" s="15"/>
      <c r="P1542" s="15"/>
      <c r="Q1542" s="71"/>
      <c r="R1542" s="84"/>
      <c r="S1542" s="10"/>
      <c r="T1542" s="10"/>
      <c r="U1542" s="10"/>
      <c r="V1542" s="10"/>
      <c r="W1542" s="138"/>
      <c r="Y1542"/>
      <c r="Z1542"/>
      <c r="AA1542"/>
      <c r="AB1542"/>
      <c r="AC1542"/>
      <c r="AD1542"/>
      <c r="AE1542"/>
      <c r="AF1542"/>
      <c r="AG1542"/>
      <c r="AH1542"/>
      <c r="AI1542"/>
      <c r="AJ1542"/>
      <c r="AK1542"/>
      <c r="AL1542"/>
      <c r="AM1542"/>
      <c r="AN1542"/>
      <c r="AO1542"/>
    </row>
    <row r="1543" spans="1:41" ht="15">
      <c r="A1543"/>
      <c r="B1543"/>
      <c r="C1543" s="137"/>
      <c r="D1543" s="30"/>
      <c r="E1543" s="30"/>
      <c r="F1543" s="10"/>
      <c r="G1543" s="10"/>
      <c r="H1543" s="15"/>
      <c r="I1543" s="15"/>
      <c r="J1543" s="15"/>
      <c r="K1543" s="15"/>
      <c r="L1543" s="15"/>
      <c r="M1543" s="15"/>
      <c r="N1543" s="15"/>
      <c r="O1543" s="15"/>
      <c r="P1543" s="15"/>
      <c r="Q1543" s="71"/>
      <c r="R1543" s="84"/>
      <c r="S1543" s="10"/>
      <c r="T1543" s="10"/>
      <c r="U1543" s="10"/>
      <c r="V1543" s="10"/>
      <c r="W1543" s="138"/>
      <c r="Y1543"/>
      <c r="Z1543"/>
      <c r="AA1543"/>
      <c r="AB1543"/>
      <c r="AC1543"/>
      <c r="AD1543"/>
      <c r="AE1543"/>
      <c r="AF1543"/>
      <c r="AG1543"/>
      <c r="AH1543"/>
      <c r="AI1543"/>
      <c r="AJ1543"/>
      <c r="AK1543"/>
      <c r="AL1543"/>
      <c r="AM1543"/>
      <c r="AN1543"/>
      <c r="AO1543"/>
    </row>
    <row r="1544" spans="1:41" ht="15">
      <c r="A1544"/>
      <c r="B1544"/>
      <c r="C1544" s="137"/>
      <c r="D1544" s="30"/>
      <c r="E1544" s="30"/>
      <c r="F1544" s="10"/>
      <c r="G1544" s="10"/>
      <c r="H1544" s="15"/>
      <c r="I1544" s="15"/>
      <c r="J1544" s="15"/>
      <c r="K1544" s="15"/>
      <c r="L1544" s="15"/>
      <c r="M1544" s="15"/>
      <c r="N1544" s="15"/>
      <c r="O1544" s="15"/>
      <c r="P1544" s="15"/>
      <c r="Q1544" s="71"/>
      <c r="R1544" s="84"/>
      <c r="S1544" s="10"/>
      <c r="T1544" s="10"/>
      <c r="U1544" s="10"/>
      <c r="V1544" s="10"/>
      <c r="W1544" s="138"/>
      <c r="Y1544"/>
      <c r="Z1544"/>
      <c r="AA1544"/>
      <c r="AB1544"/>
      <c r="AC1544"/>
      <c r="AD1544"/>
      <c r="AE1544"/>
      <c r="AF1544"/>
      <c r="AG1544"/>
      <c r="AH1544"/>
      <c r="AI1544"/>
      <c r="AJ1544"/>
      <c r="AK1544"/>
      <c r="AL1544"/>
      <c r="AM1544"/>
      <c r="AN1544"/>
      <c r="AO1544"/>
    </row>
    <row r="1545" spans="1:41" ht="15">
      <c r="A1545"/>
      <c r="B1545"/>
      <c r="C1545" s="137"/>
      <c r="D1545" s="30"/>
      <c r="E1545" s="30"/>
      <c r="F1545" s="10"/>
      <c r="G1545" s="10"/>
      <c r="H1545" s="15"/>
      <c r="I1545" s="15"/>
      <c r="J1545" s="15"/>
      <c r="K1545" s="15"/>
      <c r="L1545" s="15"/>
      <c r="M1545" s="15"/>
      <c r="N1545" s="15"/>
      <c r="O1545" s="15"/>
      <c r="P1545" s="15"/>
      <c r="Q1545" s="71"/>
      <c r="R1545" s="84"/>
      <c r="S1545" s="10"/>
      <c r="T1545" s="10"/>
      <c r="U1545" s="10"/>
      <c r="V1545" s="10"/>
      <c r="W1545" s="138"/>
      <c r="Y1545"/>
      <c r="Z1545"/>
      <c r="AA1545"/>
      <c r="AB1545"/>
      <c r="AC1545"/>
      <c r="AD1545"/>
      <c r="AE1545"/>
      <c r="AF1545"/>
      <c r="AG1545"/>
      <c r="AH1545"/>
      <c r="AI1545"/>
      <c r="AJ1545"/>
      <c r="AK1545"/>
      <c r="AL1545"/>
      <c r="AM1545"/>
      <c r="AN1545"/>
      <c r="AO1545"/>
    </row>
    <row r="1546" spans="1:41" ht="15">
      <c r="A1546"/>
      <c r="B1546"/>
      <c r="C1546" s="137"/>
      <c r="D1546" s="30"/>
      <c r="E1546" s="30"/>
      <c r="F1546" s="10"/>
      <c r="G1546" s="10"/>
      <c r="H1546" s="15"/>
      <c r="I1546" s="15"/>
      <c r="J1546" s="15"/>
      <c r="K1546" s="15"/>
      <c r="L1546" s="15"/>
      <c r="M1546" s="15"/>
      <c r="N1546" s="15"/>
      <c r="O1546" s="15"/>
      <c r="P1546" s="15"/>
      <c r="Q1546" s="71"/>
      <c r="R1546" s="84"/>
      <c r="S1546" s="10"/>
      <c r="T1546" s="10"/>
      <c r="U1546" s="10"/>
      <c r="V1546" s="10"/>
      <c r="W1546" s="138"/>
      <c r="Y1546"/>
      <c r="Z1546"/>
      <c r="AA1546"/>
      <c r="AB1546"/>
      <c r="AC1546"/>
      <c r="AD1546"/>
      <c r="AE1546"/>
      <c r="AF1546"/>
      <c r="AG1546"/>
      <c r="AH1546"/>
      <c r="AI1546"/>
      <c r="AJ1546"/>
      <c r="AK1546"/>
      <c r="AL1546"/>
      <c r="AM1546"/>
      <c r="AN1546"/>
      <c r="AO1546"/>
    </row>
    <row r="1547" spans="1:41" ht="15">
      <c r="A1547"/>
      <c r="B1547"/>
      <c r="C1547" s="137"/>
      <c r="D1547" s="30"/>
      <c r="E1547" s="30"/>
      <c r="F1547" s="10"/>
      <c r="G1547" s="10"/>
      <c r="H1547" s="15"/>
      <c r="I1547" s="15"/>
      <c r="J1547" s="15"/>
      <c r="K1547" s="15"/>
      <c r="L1547" s="15"/>
      <c r="M1547" s="15"/>
      <c r="N1547" s="15"/>
      <c r="O1547" s="15"/>
      <c r="P1547" s="15"/>
      <c r="Q1547" s="71"/>
      <c r="R1547" s="84"/>
      <c r="S1547" s="10"/>
      <c r="T1547" s="10"/>
      <c r="U1547" s="10"/>
      <c r="V1547" s="10"/>
      <c r="W1547" s="138"/>
      <c r="Y1547"/>
      <c r="Z1547"/>
      <c r="AA1547"/>
      <c r="AB1547"/>
      <c r="AC1547"/>
      <c r="AD1547"/>
      <c r="AE1547"/>
      <c r="AF1547"/>
      <c r="AG1547"/>
      <c r="AH1547"/>
      <c r="AI1547"/>
      <c r="AJ1547"/>
      <c r="AK1547"/>
      <c r="AL1547"/>
      <c r="AM1547"/>
      <c r="AN1547"/>
      <c r="AO1547"/>
    </row>
    <row r="1548" spans="1:41" ht="15">
      <c r="A1548"/>
      <c r="B1548"/>
      <c r="C1548" s="137"/>
      <c r="D1548" s="30"/>
      <c r="E1548" s="30"/>
      <c r="F1548" s="10"/>
      <c r="G1548" s="10"/>
      <c r="H1548" s="15"/>
      <c r="I1548" s="15"/>
      <c r="J1548" s="15"/>
      <c r="K1548" s="15"/>
      <c r="L1548" s="15"/>
      <c r="M1548" s="15"/>
      <c r="N1548" s="15"/>
      <c r="O1548" s="15"/>
      <c r="P1548" s="15"/>
      <c r="Q1548" s="71"/>
      <c r="R1548" s="84"/>
      <c r="S1548" s="10"/>
      <c r="T1548" s="10"/>
      <c r="U1548" s="10"/>
      <c r="V1548" s="10"/>
      <c r="W1548" s="138"/>
      <c r="Y1548"/>
      <c r="Z1548"/>
      <c r="AA1548"/>
      <c r="AB1548"/>
      <c r="AC1548"/>
      <c r="AD1548"/>
      <c r="AE1548"/>
      <c r="AF1548"/>
      <c r="AG1548"/>
      <c r="AH1548"/>
      <c r="AI1548"/>
      <c r="AJ1548"/>
      <c r="AK1548"/>
      <c r="AL1548"/>
      <c r="AM1548"/>
      <c r="AN1548"/>
      <c r="AO1548"/>
    </row>
    <row r="1549" spans="1:41" ht="15">
      <c r="A1549"/>
      <c r="B1549"/>
      <c r="C1549" s="137"/>
      <c r="D1549" s="30"/>
      <c r="E1549" s="30"/>
      <c r="F1549" s="10"/>
      <c r="G1549" s="10"/>
      <c r="H1549" s="15"/>
      <c r="I1549" s="15"/>
      <c r="J1549" s="15"/>
      <c r="K1549" s="15"/>
      <c r="L1549" s="15"/>
      <c r="M1549" s="15"/>
      <c r="N1549" s="15"/>
      <c r="O1549" s="15"/>
      <c r="P1549" s="15"/>
      <c r="Q1549" s="71"/>
      <c r="R1549" s="84"/>
      <c r="S1549" s="10"/>
      <c r="T1549" s="10"/>
      <c r="U1549" s="10"/>
      <c r="V1549" s="10"/>
      <c r="W1549" s="138"/>
      <c r="Y1549"/>
      <c r="Z1549"/>
      <c r="AA1549"/>
      <c r="AB1549"/>
      <c r="AC1549"/>
      <c r="AD1549"/>
      <c r="AE1549"/>
      <c r="AF1549"/>
      <c r="AG1549"/>
      <c r="AH1549"/>
      <c r="AI1549"/>
      <c r="AJ1549"/>
      <c r="AK1549"/>
      <c r="AL1549"/>
      <c r="AM1549"/>
      <c r="AN1549"/>
      <c r="AO1549"/>
    </row>
    <row r="1550" spans="1:41" ht="15">
      <c r="A1550"/>
      <c r="B1550"/>
      <c r="C1550" s="137"/>
      <c r="D1550" s="30"/>
      <c r="E1550" s="30"/>
      <c r="F1550" s="10"/>
      <c r="G1550" s="10"/>
      <c r="H1550" s="15"/>
      <c r="I1550" s="15"/>
      <c r="J1550" s="15"/>
      <c r="K1550" s="15"/>
      <c r="L1550" s="15"/>
      <c r="M1550" s="15"/>
      <c r="N1550" s="15"/>
      <c r="O1550" s="15"/>
      <c r="P1550" s="15"/>
      <c r="Q1550" s="71"/>
      <c r="R1550" s="84"/>
      <c r="S1550" s="10"/>
      <c r="T1550" s="10"/>
      <c r="U1550" s="10"/>
      <c r="V1550" s="10"/>
      <c r="W1550" s="138"/>
      <c r="Y1550"/>
      <c r="Z1550"/>
      <c r="AA1550"/>
      <c r="AB1550"/>
      <c r="AC1550"/>
      <c r="AD1550"/>
      <c r="AE1550"/>
      <c r="AF1550"/>
      <c r="AG1550"/>
      <c r="AH1550"/>
      <c r="AI1550"/>
      <c r="AJ1550"/>
      <c r="AK1550"/>
      <c r="AL1550"/>
      <c r="AM1550"/>
      <c r="AN1550"/>
      <c r="AO1550"/>
    </row>
    <row r="1551" spans="1:41" ht="15">
      <c r="A1551"/>
      <c r="B1551"/>
      <c r="C1551" s="137"/>
      <c r="D1551" s="30"/>
      <c r="E1551" s="30"/>
      <c r="F1551" s="10"/>
      <c r="G1551" s="10"/>
      <c r="H1551" s="15"/>
      <c r="I1551" s="15"/>
      <c r="J1551" s="15"/>
      <c r="K1551" s="15"/>
      <c r="L1551" s="15"/>
      <c r="M1551" s="15"/>
      <c r="N1551" s="15"/>
      <c r="O1551" s="15"/>
      <c r="P1551" s="15"/>
      <c r="Q1551" s="71"/>
      <c r="R1551" s="84"/>
      <c r="S1551" s="10"/>
      <c r="T1551" s="10"/>
      <c r="U1551" s="10"/>
      <c r="V1551" s="10"/>
      <c r="W1551" s="138"/>
      <c r="Y1551"/>
      <c r="Z1551"/>
      <c r="AA1551"/>
      <c r="AB1551"/>
      <c r="AC1551"/>
      <c r="AD1551"/>
      <c r="AE1551"/>
      <c r="AF1551"/>
      <c r="AG1551"/>
      <c r="AH1551"/>
      <c r="AI1551"/>
      <c r="AJ1551"/>
      <c r="AK1551"/>
      <c r="AL1551"/>
      <c r="AM1551"/>
      <c r="AN1551"/>
      <c r="AO1551"/>
    </row>
    <row r="1552" spans="1:41" ht="15">
      <c r="A1552"/>
      <c r="B1552"/>
      <c r="C1552" s="137"/>
      <c r="D1552" s="30"/>
      <c r="E1552" s="30"/>
      <c r="F1552" s="10"/>
      <c r="G1552" s="10"/>
      <c r="H1552" s="15"/>
      <c r="I1552" s="15"/>
      <c r="J1552" s="15"/>
      <c r="K1552" s="15"/>
      <c r="L1552" s="15"/>
      <c r="M1552" s="15"/>
      <c r="N1552" s="15"/>
      <c r="O1552" s="15"/>
      <c r="P1552" s="15"/>
      <c r="Q1552" s="71"/>
      <c r="R1552" s="84"/>
      <c r="S1552" s="10"/>
      <c r="T1552" s="10"/>
      <c r="U1552" s="10"/>
      <c r="V1552" s="10"/>
      <c r="W1552" s="138"/>
      <c r="Y1552"/>
      <c r="Z1552"/>
      <c r="AA1552"/>
      <c r="AB1552"/>
      <c r="AC1552"/>
      <c r="AD1552"/>
      <c r="AE1552"/>
      <c r="AF1552"/>
      <c r="AG1552"/>
      <c r="AH1552"/>
      <c r="AI1552"/>
      <c r="AJ1552"/>
      <c r="AK1552"/>
      <c r="AL1552"/>
      <c r="AM1552"/>
      <c r="AN1552"/>
      <c r="AO1552"/>
    </row>
    <row r="1553" spans="1:41" ht="15">
      <c r="A1553"/>
      <c r="B1553"/>
      <c r="C1553" s="137"/>
      <c r="D1553" s="30"/>
      <c r="E1553" s="30"/>
      <c r="F1553" s="10"/>
      <c r="G1553" s="10"/>
      <c r="H1553" s="15"/>
      <c r="I1553" s="15"/>
      <c r="J1553" s="15"/>
      <c r="K1553" s="15"/>
      <c r="L1553" s="15"/>
      <c r="M1553" s="15"/>
      <c r="N1553" s="15"/>
      <c r="O1553" s="15"/>
      <c r="P1553" s="15"/>
      <c r="Q1553" s="71"/>
      <c r="R1553" s="84"/>
      <c r="S1553" s="10"/>
      <c r="T1553" s="10"/>
      <c r="U1553" s="10"/>
      <c r="V1553" s="10"/>
      <c r="W1553" s="138"/>
      <c r="Y1553"/>
      <c r="Z1553"/>
      <c r="AA1553"/>
      <c r="AB1553"/>
      <c r="AC1553"/>
      <c r="AD1553"/>
      <c r="AE1553"/>
      <c r="AF1553"/>
      <c r="AG1553"/>
      <c r="AH1553"/>
      <c r="AI1553"/>
      <c r="AJ1553"/>
      <c r="AK1553"/>
      <c r="AL1553"/>
      <c r="AM1553"/>
      <c r="AN1553"/>
      <c r="AO1553"/>
    </row>
    <row r="1554" spans="1:41" ht="15">
      <c r="A1554"/>
      <c r="B1554"/>
      <c r="C1554" s="137"/>
      <c r="D1554" s="30"/>
      <c r="E1554" s="30"/>
      <c r="F1554" s="10"/>
      <c r="G1554" s="10"/>
      <c r="H1554" s="15"/>
      <c r="I1554" s="15"/>
      <c r="J1554" s="15"/>
      <c r="K1554" s="15"/>
      <c r="L1554" s="15"/>
      <c r="M1554" s="15"/>
      <c r="N1554" s="15"/>
      <c r="O1554" s="15"/>
      <c r="P1554" s="15"/>
      <c r="Q1554" s="71"/>
      <c r="R1554" s="84"/>
      <c r="S1554" s="10"/>
      <c r="T1554" s="10"/>
      <c r="U1554" s="10"/>
      <c r="V1554" s="10"/>
      <c r="W1554" s="138"/>
      <c r="Y1554"/>
      <c r="Z1554"/>
      <c r="AA1554"/>
      <c r="AB1554"/>
      <c r="AC1554"/>
      <c r="AD1554"/>
      <c r="AE1554"/>
      <c r="AF1554"/>
      <c r="AG1554"/>
      <c r="AH1554"/>
      <c r="AI1554"/>
      <c r="AJ1554"/>
      <c r="AK1554"/>
      <c r="AL1554"/>
      <c r="AM1554"/>
      <c r="AN1554"/>
      <c r="AO1554"/>
    </row>
    <row r="1555" spans="1:41" ht="15">
      <c r="A1555"/>
      <c r="B1555"/>
      <c r="C1555" s="137"/>
      <c r="D1555" s="30"/>
      <c r="E1555" s="30"/>
      <c r="F1555" s="10"/>
      <c r="G1555" s="10"/>
      <c r="H1555" s="15"/>
      <c r="I1555" s="15"/>
      <c r="J1555" s="15"/>
      <c r="K1555" s="15"/>
      <c r="L1555" s="15"/>
      <c r="M1555" s="15"/>
      <c r="N1555" s="15"/>
      <c r="O1555" s="15"/>
      <c r="P1555" s="15"/>
      <c r="Q1555" s="71"/>
      <c r="R1555" s="84"/>
      <c r="S1555" s="10"/>
      <c r="T1555" s="10"/>
      <c r="U1555" s="10"/>
      <c r="V1555" s="10"/>
      <c r="W1555" s="138"/>
      <c r="Y1555"/>
      <c r="Z1555"/>
      <c r="AA1555"/>
      <c r="AB1555"/>
      <c r="AC1555"/>
      <c r="AD1555"/>
      <c r="AE1555"/>
      <c r="AF1555"/>
      <c r="AG1555"/>
      <c r="AH1555"/>
      <c r="AI1555"/>
      <c r="AJ1555"/>
      <c r="AK1555"/>
      <c r="AL1555"/>
      <c r="AM1555"/>
      <c r="AN1555"/>
      <c r="AO1555"/>
    </row>
    <row r="1556" spans="1:41" ht="15">
      <c r="A1556"/>
      <c r="B1556"/>
      <c r="C1556" s="137"/>
      <c r="D1556" s="30"/>
      <c r="E1556" s="30"/>
      <c r="F1556" s="10"/>
      <c r="G1556" s="10"/>
      <c r="H1556" s="15"/>
      <c r="I1556" s="15"/>
      <c r="J1556" s="15"/>
      <c r="K1556" s="15"/>
      <c r="L1556" s="15"/>
      <c r="M1556" s="15"/>
      <c r="N1556" s="15"/>
      <c r="O1556" s="15"/>
      <c r="P1556" s="15"/>
      <c r="Q1556" s="71"/>
      <c r="R1556" s="84"/>
      <c r="S1556" s="10"/>
      <c r="T1556" s="10"/>
      <c r="U1556" s="10"/>
      <c r="V1556" s="10"/>
      <c r="W1556" s="138"/>
      <c r="Y1556"/>
      <c r="Z1556"/>
      <c r="AA1556"/>
      <c r="AB1556"/>
      <c r="AC1556"/>
      <c r="AD1556"/>
      <c r="AE1556"/>
      <c r="AF1556"/>
      <c r="AG1556"/>
      <c r="AH1556"/>
      <c r="AI1556"/>
      <c r="AJ1556"/>
      <c r="AK1556"/>
      <c r="AL1556"/>
      <c r="AM1556"/>
      <c r="AN1556"/>
      <c r="AO1556"/>
    </row>
    <row r="1557" spans="1:41" ht="15">
      <c r="A1557"/>
      <c r="B1557"/>
      <c r="C1557" s="137"/>
      <c r="D1557" s="30"/>
      <c r="E1557" s="30"/>
      <c r="F1557" s="10"/>
      <c r="G1557" s="10"/>
      <c r="H1557" s="15"/>
      <c r="I1557" s="15"/>
      <c r="J1557" s="15"/>
      <c r="K1557" s="15"/>
      <c r="L1557" s="15"/>
      <c r="M1557" s="15"/>
      <c r="N1557" s="15"/>
      <c r="O1557" s="15"/>
      <c r="P1557" s="15"/>
      <c r="Q1557" s="71"/>
      <c r="R1557" s="84"/>
      <c r="S1557" s="10"/>
      <c r="T1557" s="10"/>
      <c r="U1557" s="10"/>
      <c r="V1557" s="10"/>
      <c r="W1557" s="138"/>
      <c r="Y1557"/>
      <c r="Z1557"/>
      <c r="AA1557"/>
      <c r="AB1557"/>
      <c r="AC1557"/>
      <c r="AD1557"/>
      <c r="AE1557"/>
      <c r="AF1557"/>
      <c r="AG1557"/>
      <c r="AH1557"/>
      <c r="AI1557"/>
      <c r="AJ1557"/>
      <c r="AK1557"/>
      <c r="AL1557"/>
      <c r="AM1557"/>
      <c r="AN1557"/>
      <c r="AO1557"/>
    </row>
    <row r="1558" spans="1:41" ht="15">
      <c r="A1558"/>
      <c r="B1558"/>
      <c r="C1558" s="137"/>
      <c r="D1558" s="30"/>
      <c r="E1558" s="30"/>
      <c r="F1558" s="10"/>
      <c r="G1558" s="10"/>
      <c r="H1558" s="15"/>
      <c r="I1558" s="15"/>
      <c r="J1558" s="15"/>
      <c r="K1558" s="15"/>
      <c r="L1558" s="15"/>
      <c r="M1558" s="15"/>
      <c r="N1558" s="15"/>
      <c r="O1558" s="15"/>
      <c r="P1558" s="15"/>
      <c r="Q1558" s="71"/>
      <c r="R1558" s="84"/>
      <c r="S1558" s="10"/>
      <c r="T1558" s="10"/>
      <c r="U1558" s="10"/>
      <c r="V1558" s="10"/>
      <c r="W1558" s="138"/>
      <c r="Y1558"/>
      <c r="Z1558"/>
      <c r="AA1558"/>
      <c r="AB1558"/>
      <c r="AC1558"/>
      <c r="AD1558"/>
      <c r="AE1558"/>
      <c r="AF1558"/>
      <c r="AG1558"/>
      <c r="AH1558"/>
      <c r="AI1558"/>
      <c r="AJ1558"/>
      <c r="AK1558"/>
      <c r="AL1558"/>
      <c r="AM1558"/>
      <c r="AN1558"/>
      <c r="AO1558"/>
    </row>
    <row r="1559" spans="1:41" ht="15">
      <c r="A1559"/>
      <c r="B1559"/>
      <c r="C1559" s="137"/>
      <c r="D1559" s="30"/>
      <c r="E1559" s="30"/>
      <c r="F1559" s="10"/>
      <c r="G1559" s="10"/>
      <c r="H1559" s="15"/>
      <c r="I1559" s="15"/>
      <c r="J1559" s="15"/>
      <c r="K1559" s="15"/>
      <c r="L1559" s="15"/>
      <c r="M1559" s="15"/>
      <c r="N1559" s="15"/>
      <c r="O1559" s="15"/>
      <c r="P1559" s="15"/>
      <c r="Q1559" s="71"/>
      <c r="R1559" s="84"/>
      <c r="S1559" s="10"/>
      <c r="T1559" s="10"/>
      <c r="U1559" s="10"/>
      <c r="V1559" s="10"/>
      <c r="W1559" s="138"/>
      <c r="Y1559"/>
      <c r="Z1559"/>
      <c r="AA1559"/>
      <c r="AB1559"/>
      <c r="AC1559"/>
      <c r="AD1559"/>
      <c r="AE1559"/>
      <c r="AF1559"/>
      <c r="AG1559"/>
      <c r="AH1559"/>
      <c r="AI1559"/>
      <c r="AJ1559"/>
      <c r="AK1559"/>
      <c r="AL1559"/>
      <c r="AM1559"/>
      <c r="AN1559"/>
      <c r="AO1559"/>
    </row>
    <row r="1560" spans="1:41" ht="15">
      <c r="A1560"/>
      <c r="B1560"/>
      <c r="C1560" s="137"/>
      <c r="D1560" s="30"/>
      <c r="E1560" s="30"/>
      <c r="F1560" s="10"/>
      <c r="G1560" s="10"/>
      <c r="H1560" s="15"/>
      <c r="I1560" s="15"/>
      <c r="J1560" s="15"/>
      <c r="K1560" s="15"/>
      <c r="L1560" s="15"/>
      <c r="M1560" s="15"/>
      <c r="N1560" s="15"/>
      <c r="O1560" s="15"/>
      <c r="P1560" s="15"/>
      <c r="Q1560" s="71"/>
      <c r="R1560" s="84"/>
      <c r="S1560" s="10"/>
      <c r="T1560" s="10"/>
      <c r="U1560" s="10"/>
      <c r="V1560" s="10"/>
      <c r="W1560" s="138"/>
      <c r="Y1560"/>
      <c r="Z1560"/>
      <c r="AA1560"/>
      <c r="AB1560"/>
      <c r="AC1560"/>
      <c r="AD1560"/>
      <c r="AE1560"/>
      <c r="AF1560"/>
      <c r="AG1560"/>
      <c r="AH1560"/>
      <c r="AI1560"/>
      <c r="AJ1560"/>
      <c r="AK1560"/>
      <c r="AL1560"/>
      <c r="AM1560"/>
      <c r="AN1560"/>
      <c r="AO1560"/>
    </row>
    <row r="1561" spans="1:41" ht="15">
      <c r="A1561"/>
      <c r="B1561"/>
      <c r="C1561" s="137"/>
      <c r="D1561" s="30"/>
      <c r="E1561" s="30"/>
      <c r="F1561" s="10"/>
      <c r="G1561" s="10"/>
      <c r="H1561" s="15"/>
      <c r="I1561" s="15"/>
      <c r="J1561" s="15"/>
      <c r="K1561" s="15"/>
      <c r="L1561" s="15"/>
      <c r="M1561" s="15"/>
      <c r="N1561" s="15"/>
      <c r="O1561" s="15"/>
      <c r="P1561" s="15"/>
      <c r="Q1561" s="71"/>
      <c r="R1561" s="84"/>
      <c r="S1561" s="10"/>
      <c r="T1561" s="10"/>
      <c r="U1561" s="10"/>
      <c r="V1561" s="10"/>
      <c r="W1561" s="138"/>
      <c r="Y1561"/>
      <c r="Z1561"/>
      <c r="AA1561"/>
      <c r="AB1561"/>
      <c r="AC1561"/>
      <c r="AD1561"/>
      <c r="AE1561"/>
      <c r="AF1561"/>
      <c r="AG1561"/>
      <c r="AH1561"/>
      <c r="AI1561"/>
      <c r="AJ1561"/>
      <c r="AK1561"/>
      <c r="AL1561"/>
      <c r="AM1561"/>
      <c r="AN1561"/>
      <c r="AO1561"/>
    </row>
    <row r="1562" spans="1:41" ht="15">
      <c r="A1562"/>
      <c r="B1562"/>
      <c r="C1562" s="137"/>
      <c r="D1562" s="30"/>
      <c r="E1562" s="30"/>
      <c r="F1562" s="10"/>
      <c r="G1562" s="10"/>
      <c r="H1562" s="15"/>
      <c r="I1562" s="15"/>
      <c r="J1562" s="15"/>
      <c r="K1562" s="15"/>
      <c r="L1562" s="15"/>
      <c r="M1562" s="15"/>
      <c r="N1562" s="15"/>
      <c r="O1562" s="15"/>
      <c r="P1562" s="15"/>
      <c r="Q1562" s="71"/>
      <c r="R1562" s="84"/>
      <c r="S1562" s="10"/>
      <c r="T1562" s="10"/>
      <c r="U1562" s="10"/>
      <c r="V1562" s="10"/>
      <c r="W1562" s="138"/>
      <c r="Y1562"/>
      <c r="Z1562"/>
      <c r="AA1562"/>
      <c r="AB1562"/>
      <c r="AC1562"/>
      <c r="AD1562"/>
      <c r="AE1562"/>
      <c r="AF1562"/>
      <c r="AG1562"/>
      <c r="AH1562"/>
      <c r="AI1562"/>
      <c r="AJ1562"/>
      <c r="AK1562"/>
      <c r="AL1562"/>
      <c r="AM1562"/>
      <c r="AN1562"/>
      <c r="AO1562"/>
    </row>
    <row r="1563" spans="1:41" ht="15">
      <c r="A1563"/>
      <c r="B1563"/>
      <c r="C1563" s="137"/>
      <c r="D1563" s="30"/>
      <c r="E1563" s="30"/>
      <c r="F1563" s="10"/>
      <c r="G1563" s="10"/>
      <c r="H1563" s="15"/>
      <c r="I1563" s="15"/>
      <c r="J1563" s="15"/>
      <c r="K1563" s="15"/>
      <c r="L1563" s="15"/>
      <c r="M1563" s="15"/>
      <c r="N1563" s="15"/>
      <c r="O1563" s="15"/>
      <c r="P1563" s="15"/>
      <c r="Q1563" s="71"/>
      <c r="R1563" s="84"/>
      <c r="S1563" s="10"/>
      <c r="T1563" s="10"/>
      <c r="U1563" s="10"/>
      <c r="V1563" s="10"/>
      <c r="W1563" s="138"/>
      <c r="Y1563"/>
      <c r="Z1563"/>
      <c r="AA1563"/>
      <c r="AB1563"/>
      <c r="AC1563"/>
      <c r="AD1563"/>
      <c r="AE1563"/>
      <c r="AF1563"/>
      <c r="AG1563"/>
      <c r="AH1563"/>
      <c r="AI1563"/>
      <c r="AJ1563"/>
      <c r="AK1563"/>
      <c r="AL1563"/>
      <c r="AM1563"/>
      <c r="AN1563"/>
      <c r="AO1563"/>
    </row>
    <row r="1564" spans="1:41" ht="15">
      <c r="A1564"/>
      <c r="B1564"/>
      <c r="C1564" s="137"/>
      <c r="D1564" s="30"/>
      <c r="E1564" s="30"/>
      <c r="F1564" s="10"/>
      <c r="G1564" s="10"/>
      <c r="H1564" s="15"/>
      <c r="I1564" s="15"/>
      <c r="J1564" s="15"/>
      <c r="K1564" s="15"/>
      <c r="L1564" s="15"/>
      <c r="M1564" s="15"/>
      <c r="N1564" s="15"/>
      <c r="O1564" s="15"/>
      <c r="P1564" s="15"/>
      <c r="Q1564" s="71"/>
      <c r="R1564" s="84"/>
      <c r="S1564" s="10"/>
      <c r="T1564" s="10"/>
      <c r="U1564" s="10"/>
      <c r="V1564" s="10"/>
      <c r="W1564" s="138"/>
      <c r="Y1564"/>
      <c r="Z1564"/>
      <c r="AA1564"/>
      <c r="AB1564"/>
      <c r="AC1564"/>
      <c r="AD1564"/>
      <c r="AE1564"/>
      <c r="AF1564"/>
      <c r="AG1564"/>
      <c r="AH1564"/>
      <c r="AI1564"/>
      <c r="AJ1564"/>
      <c r="AK1564"/>
      <c r="AL1564"/>
      <c r="AM1564"/>
      <c r="AN1564"/>
      <c r="AO1564"/>
    </row>
    <row r="1565" spans="1:41" ht="15">
      <c r="A1565"/>
      <c r="B1565"/>
      <c r="C1565" s="137"/>
      <c r="D1565" s="30"/>
      <c r="E1565" s="30"/>
      <c r="F1565" s="10"/>
      <c r="G1565" s="10"/>
      <c r="H1565" s="15"/>
      <c r="I1565" s="15"/>
      <c r="J1565" s="15"/>
      <c r="K1565" s="15"/>
      <c r="L1565" s="15"/>
      <c r="M1565" s="15"/>
      <c r="N1565" s="15"/>
      <c r="O1565" s="15"/>
      <c r="P1565" s="15"/>
      <c r="Q1565" s="71"/>
      <c r="R1565" s="84"/>
      <c r="S1565" s="10"/>
      <c r="T1565" s="10"/>
      <c r="U1565" s="10"/>
      <c r="V1565" s="10"/>
      <c r="W1565" s="138"/>
      <c r="Y1565"/>
      <c r="Z1565"/>
      <c r="AA1565"/>
      <c r="AB1565"/>
      <c r="AC1565"/>
      <c r="AD1565"/>
      <c r="AE1565"/>
      <c r="AF1565"/>
      <c r="AG1565"/>
      <c r="AH1565"/>
      <c r="AI1565"/>
      <c r="AJ1565"/>
      <c r="AK1565"/>
      <c r="AL1565"/>
      <c r="AM1565"/>
      <c r="AN1565"/>
      <c r="AO1565"/>
    </row>
    <row r="1566" spans="1:41" ht="15">
      <c r="A1566"/>
      <c r="B1566"/>
      <c r="C1566" s="137"/>
      <c r="D1566" s="30"/>
      <c r="E1566" s="30"/>
      <c r="F1566" s="10"/>
      <c r="G1566" s="10"/>
      <c r="H1566" s="15"/>
      <c r="I1566" s="15"/>
      <c r="J1566" s="15"/>
      <c r="K1566" s="15"/>
      <c r="L1566" s="15"/>
      <c r="M1566" s="15"/>
      <c r="N1566" s="15"/>
      <c r="O1566" s="15"/>
      <c r="P1566" s="15"/>
      <c r="Q1566" s="71"/>
      <c r="R1566" s="84"/>
      <c r="S1566" s="10"/>
      <c r="T1566" s="10"/>
      <c r="U1566" s="10"/>
      <c r="V1566" s="10"/>
      <c r="W1566" s="138"/>
      <c r="Y1566"/>
      <c r="Z1566"/>
      <c r="AA1566"/>
      <c r="AB1566"/>
      <c r="AC1566"/>
      <c r="AD1566"/>
      <c r="AE1566"/>
      <c r="AF1566"/>
      <c r="AG1566"/>
      <c r="AH1566"/>
      <c r="AI1566"/>
      <c r="AJ1566"/>
      <c r="AK1566"/>
      <c r="AL1566"/>
      <c r="AM1566"/>
      <c r="AN1566"/>
      <c r="AO1566"/>
    </row>
    <row r="1567" spans="1:41" ht="15">
      <c r="A1567"/>
      <c r="B1567"/>
      <c r="C1567" s="137"/>
      <c r="D1567" s="30"/>
      <c r="E1567" s="30"/>
      <c r="F1567" s="10"/>
      <c r="G1567" s="10"/>
      <c r="H1567" s="15"/>
      <c r="I1567" s="15"/>
      <c r="J1567" s="15"/>
      <c r="K1567" s="15"/>
      <c r="L1567" s="15"/>
      <c r="M1567" s="15"/>
      <c r="N1567" s="15"/>
      <c r="O1567" s="15"/>
      <c r="P1567" s="15"/>
      <c r="Q1567" s="71"/>
      <c r="R1567" s="84"/>
      <c r="S1567" s="10"/>
      <c r="T1567" s="10"/>
      <c r="U1567" s="10"/>
      <c r="V1567" s="10"/>
      <c r="W1567" s="138"/>
      <c r="Y1567"/>
      <c r="Z1567"/>
      <c r="AA1567"/>
      <c r="AB1567"/>
      <c r="AC1567"/>
      <c r="AD1567"/>
      <c r="AE1567"/>
      <c r="AF1567"/>
      <c r="AG1567"/>
      <c r="AH1567"/>
      <c r="AI1567"/>
      <c r="AJ1567"/>
      <c r="AK1567"/>
      <c r="AL1567"/>
      <c r="AM1567"/>
      <c r="AN1567"/>
      <c r="AO1567"/>
    </row>
    <row r="1568" spans="1:41" ht="15">
      <c r="A1568"/>
      <c r="B1568"/>
      <c r="C1568" s="137"/>
      <c r="D1568" s="30"/>
      <c r="E1568" s="30"/>
      <c r="F1568" s="10"/>
      <c r="G1568" s="10"/>
      <c r="H1568" s="15"/>
      <c r="I1568" s="15"/>
      <c r="J1568" s="15"/>
      <c r="K1568" s="15"/>
      <c r="L1568" s="15"/>
      <c r="M1568" s="15"/>
      <c r="N1568" s="15"/>
      <c r="O1568" s="15"/>
      <c r="P1568" s="15"/>
      <c r="Q1568" s="71"/>
      <c r="R1568" s="84"/>
      <c r="S1568" s="10"/>
      <c r="T1568" s="10"/>
      <c r="U1568" s="10"/>
      <c r="V1568" s="10"/>
      <c r="W1568" s="138"/>
      <c r="Y1568"/>
      <c r="Z1568"/>
      <c r="AA1568"/>
      <c r="AB1568"/>
      <c r="AC1568"/>
      <c r="AD1568"/>
      <c r="AE1568"/>
      <c r="AF1568"/>
      <c r="AG1568"/>
      <c r="AH1568"/>
      <c r="AI1568"/>
      <c r="AJ1568"/>
      <c r="AK1568"/>
      <c r="AL1568"/>
      <c r="AM1568"/>
      <c r="AN1568"/>
      <c r="AO1568"/>
    </row>
    <row r="1569" spans="1:41" ht="15">
      <c r="A1569"/>
      <c r="B1569"/>
      <c r="C1569" s="137"/>
      <c r="D1569" s="30"/>
      <c r="E1569" s="30"/>
      <c r="F1569" s="10"/>
      <c r="G1569" s="10"/>
      <c r="H1569" s="15"/>
      <c r="I1569" s="15"/>
      <c r="J1569" s="15"/>
      <c r="K1569" s="15"/>
      <c r="L1569" s="15"/>
      <c r="M1569" s="15"/>
      <c r="N1569" s="15"/>
      <c r="O1569" s="15"/>
      <c r="P1569" s="15"/>
      <c r="Q1569" s="71"/>
      <c r="R1569" s="84"/>
      <c r="S1569" s="10"/>
      <c r="T1569" s="10"/>
      <c r="U1569" s="10"/>
      <c r="V1569" s="10"/>
      <c r="W1569" s="138"/>
      <c r="Y1569"/>
      <c r="Z1569"/>
      <c r="AA1569"/>
      <c r="AB1569"/>
      <c r="AC1569"/>
      <c r="AD1569"/>
      <c r="AE1569"/>
      <c r="AF1569"/>
      <c r="AG1569"/>
      <c r="AH1569"/>
      <c r="AI1569"/>
      <c r="AJ1569"/>
      <c r="AK1569"/>
      <c r="AL1569"/>
      <c r="AM1569"/>
      <c r="AN1569"/>
      <c r="AO1569"/>
    </row>
    <row r="1570" spans="1:41" ht="15">
      <c r="A1570"/>
      <c r="B1570"/>
      <c r="C1570" s="137"/>
      <c r="D1570" s="30"/>
      <c r="E1570" s="30"/>
      <c r="F1570" s="10"/>
      <c r="G1570" s="10"/>
      <c r="H1570" s="15"/>
      <c r="I1570" s="15"/>
      <c r="J1570" s="15"/>
      <c r="K1570" s="15"/>
      <c r="L1570" s="15"/>
      <c r="M1570" s="15"/>
      <c r="N1570" s="15"/>
      <c r="O1570" s="15"/>
      <c r="P1570" s="15"/>
      <c r="Q1570" s="71"/>
      <c r="R1570" s="84"/>
      <c r="S1570" s="10"/>
      <c r="T1570" s="10"/>
      <c r="U1570" s="10"/>
      <c r="V1570" s="10"/>
      <c r="W1570" s="138"/>
      <c r="Y1570"/>
      <c r="Z1570"/>
      <c r="AA1570"/>
      <c r="AB1570"/>
      <c r="AC1570"/>
      <c r="AD1570"/>
      <c r="AE1570"/>
      <c r="AF1570"/>
      <c r="AG1570"/>
      <c r="AH1570"/>
      <c r="AI1570"/>
      <c r="AJ1570"/>
      <c r="AK1570"/>
      <c r="AL1570"/>
      <c r="AM1570"/>
      <c r="AN1570"/>
      <c r="AO1570"/>
    </row>
    <row r="1571" spans="1:41" ht="15">
      <c r="A1571"/>
      <c r="B1571"/>
      <c r="C1571" s="137"/>
      <c r="D1571" s="30"/>
      <c r="E1571" s="30"/>
      <c r="F1571" s="10"/>
      <c r="G1571" s="10"/>
      <c r="H1571" s="15"/>
      <c r="I1571" s="15"/>
      <c r="J1571" s="15"/>
      <c r="K1571" s="15"/>
      <c r="L1571" s="15"/>
      <c r="M1571" s="15"/>
      <c r="N1571" s="15"/>
      <c r="O1571" s="15"/>
      <c r="P1571" s="15"/>
      <c r="Q1571" s="71"/>
      <c r="R1571" s="84"/>
      <c r="S1571" s="10"/>
      <c r="T1571" s="10"/>
      <c r="U1571" s="10"/>
      <c r="V1571" s="10"/>
      <c r="W1571" s="138"/>
      <c r="Y1571"/>
      <c r="Z1571"/>
      <c r="AA1571"/>
      <c r="AB1571"/>
      <c r="AC1571"/>
      <c r="AD1571"/>
      <c r="AE1571"/>
      <c r="AF1571"/>
      <c r="AG1571"/>
      <c r="AH1571"/>
      <c r="AI1571"/>
      <c r="AJ1571"/>
      <c r="AK1571"/>
      <c r="AL1571"/>
      <c r="AM1571"/>
      <c r="AN1571"/>
      <c r="AO1571"/>
    </row>
    <row r="1572" spans="1:41" ht="15">
      <c r="A1572"/>
      <c r="B1572"/>
      <c r="C1572" s="137"/>
      <c r="D1572" s="30"/>
      <c r="E1572" s="30"/>
      <c r="F1572" s="10"/>
      <c r="G1572" s="10"/>
      <c r="H1572" s="15"/>
      <c r="I1572" s="15"/>
      <c r="J1572" s="15"/>
      <c r="K1572" s="15"/>
      <c r="L1572" s="15"/>
      <c r="M1572" s="15"/>
      <c r="N1572" s="15"/>
      <c r="O1572" s="15"/>
      <c r="P1572" s="15"/>
      <c r="Q1572" s="71"/>
      <c r="R1572" s="84"/>
      <c r="S1572" s="10"/>
      <c r="T1572" s="10"/>
      <c r="U1572" s="10"/>
      <c r="V1572" s="10"/>
      <c r="W1572" s="138"/>
      <c r="Y1572"/>
      <c r="Z1572"/>
      <c r="AA1572"/>
      <c r="AB1572"/>
      <c r="AC1572"/>
      <c r="AD1572"/>
      <c r="AE1572"/>
      <c r="AF1572"/>
      <c r="AG1572"/>
      <c r="AH1572"/>
      <c r="AI1572"/>
      <c r="AJ1572"/>
      <c r="AK1572"/>
      <c r="AL1572"/>
      <c r="AM1572"/>
      <c r="AN1572"/>
      <c r="AO1572"/>
    </row>
    <row r="1573" spans="1:41" ht="15">
      <c r="A1573"/>
      <c r="B1573"/>
      <c r="C1573" s="137"/>
      <c r="D1573" s="30"/>
      <c r="E1573" s="30"/>
      <c r="F1573" s="10"/>
      <c r="G1573" s="10"/>
      <c r="H1573" s="15"/>
      <c r="I1573" s="15"/>
      <c r="J1573" s="15"/>
      <c r="K1573" s="15"/>
      <c r="L1573" s="15"/>
      <c r="M1573" s="15"/>
      <c r="N1573" s="15"/>
      <c r="O1573" s="15"/>
      <c r="P1573" s="15"/>
      <c r="Q1573" s="71"/>
      <c r="R1573" s="84"/>
      <c r="S1573" s="10"/>
      <c r="T1573" s="10"/>
      <c r="U1573" s="10"/>
      <c r="V1573" s="10"/>
      <c r="W1573" s="138"/>
      <c r="Y1573"/>
      <c r="Z1573"/>
      <c r="AA1573"/>
      <c r="AB1573"/>
      <c r="AC1573"/>
      <c r="AD1573"/>
      <c r="AE1573"/>
      <c r="AF1573"/>
      <c r="AG1573"/>
      <c r="AH1573"/>
      <c r="AI1573"/>
      <c r="AJ1573"/>
      <c r="AK1573"/>
      <c r="AL1573"/>
      <c r="AM1573"/>
      <c r="AN1573"/>
      <c r="AO1573"/>
    </row>
    <row r="1574" spans="1:41" ht="15">
      <c r="A1574"/>
      <c r="B1574"/>
      <c r="C1574" s="137"/>
      <c r="D1574" s="30"/>
      <c r="E1574" s="30"/>
      <c r="F1574" s="10"/>
      <c r="G1574" s="10"/>
      <c r="H1574" s="15"/>
      <c r="I1574" s="15"/>
      <c r="J1574" s="15"/>
      <c r="K1574" s="15"/>
      <c r="L1574" s="15"/>
      <c r="M1574" s="15"/>
      <c r="N1574" s="15"/>
      <c r="O1574" s="15"/>
      <c r="P1574" s="15"/>
      <c r="Q1574" s="71"/>
      <c r="R1574" s="84"/>
      <c r="S1574" s="10"/>
      <c r="T1574" s="10"/>
      <c r="U1574" s="10"/>
      <c r="V1574" s="10"/>
      <c r="W1574" s="138"/>
      <c r="Y1574"/>
      <c r="Z1574"/>
      <c r="AA1574"/>
      <c r="AB1574"/>
      <c r="AC1574"/>
      <c r="AD1574"/>
      <c r="AE1574"/>
      <c r="AF1574"/>
      <c r="AG1574"/>
      <c r="AH1574"/>
      <c r="AI1574"/>
      <c r="AJ1574"/>
      <c r="AK1574"/>
      <c r="AL1574"/>
      <c r="AM1574"/>
      <c r="AN1574"/>
      <c r="AO1574"/>
    </row>
    <row r="1575" spans="1:41" ht="15">
      <c r="A1575"/>
      <c r="B1575"/>
      <c r="C1575" s="137"/>
      <c r="D1575" s="30"/>
      <c r="E1575" s="30"/>
      <c r="F1575" s="10"/>
      <c r="G1575" s="10"/>
      <c r="H1575" s="15"/>
      <c r="I1575" s="15"/>
      <c r="J1575" s="15"/>
      <c r="K1575" s="15"/>
      <c r="L1575" s="15"/>
      <c r="M1575" s="15"/>
      <c r="N1575" s="15"/>
      <c r="O1575" s="15"/>
      <c r="P1575" s="15"/>
      <c r="Q1575" s="71"/>
      <c r="R1575" s="84"/>
      <c r="S1575" s="10"/>
      <c r="T1575" s="10"/>
      <c r="U1575" s="10"/>
      <c r="V1575" s="10"/>
      <c r="W1575" s="138"/>
      <c r="Y1575"/>
      <c r="Z1575"/>
      <c r="AA1575"/>
      <c r="AB1575"/>
      <c r="AC1575"/>
      <c r="AD1575"/>
      <c r="AE1575"/>
      <c r="AF1575"/>
      <c r="AG1575"/>
      <c r="AH1575"/>
      <c r="AI1575"/>
      <c r="AJ1575"/>
      <c r="AK1575"/>
      <c r="AL1575"/>
      <c r="AM1575"/>
      <c r="AN1575"/>
      <c r="AO1575"/>
    </row>
    <row r="1576" spans="1:41" ht="15">
      <c r="A1576"/>
      <c r="B1576"/>
      <c r="C1576" s="137"/>
      <c r="D1576" s="30"/>
      <c r="E1576" s="30"/>
      <c r="F1576" s="10"/>
      <c r="G1576" s="10"/>
      <c r="H1576" s="15"/>
      <c r="I1576" s="15"/>
      <c r="J1576" s="15"/>
      <c r="K1576" s="15"/>
      <c r="L1576" s="15"/>
      <c r="M1576" s="15"/>
      <c r="N1576" s="15"/>
      <c r="O1576" s="15"/>
      <c r="P1576" s="15"/>
      <c r="Q1576" s="71"/>
      <c r="R1576" s="84"/>
      <c r="S1576" s="10"/>
      <c r="T1576" s="10"/>
      <c r="U1576" s="10"/>
      <c r="V1576" s="10"/>
      <c r="W1576" s="138"/>
      <c r="Y1576"/>
      <c r="Z1576"/>
      <c r="AA1576"/>
      <c r="AB1576"/>
      <c r="AC1576"/>
      <c r="AD1576"/>
      <c r="AE1576"/>
      <c r="AF1576"/>
      <c r="AG1576"/>
      <c r="AH1576"/>
      <c r="AI1576"/>
      <c r="AJ1576"/>
      <c r="AK1576"/>
      <c r="AL1576"/>
      <c r="AM1576"/>
      <c r="AN1576"/>
      <c r="AO1576"/>
    </row>
    <row r="1577" spans="1:41" ht="15">
      <c r="A1577"/>
      <c r="B1577"/>
      <c r="C1577" s="137"/>
      <c r="D1577" s="30"/>
      <c r="E1577" s="30"/>
      <c r="F1577" s="10"/>
      <c r="G1577" s="10"/>
      <c r="H1577" s="15"/>
      <c r="I1577" s="15"/>
      <c r="J1577" s="15"/>
      <c r="K1577" s="15"/>
      <c r="L1577" s="15"/>
      <c r="M1577" s="15"/>
      <c r="N1577" s="15"/>
      <c r="O1577" s="15"/>
      <c r="P1577" s="15"/>
      <c r="Q1577" s="71"/>
      <c r="R1577" s="84"/>
      <c r="S1577" s="10"/>
      <c r="T1577" s="10"/>
      <c r="U1577" s="10"/>
      <c r="V1577" s="10"/>
      <c r="W1577" s="138"/>
      <c r="Y1577"/>
      <c r="Z1577"/>
      <c r="AA1577"/>
      <c r="AB1577"/>
      <c r="AC1577"/>
      <c r="AD1577"/>
      <c r="AE1577"/>
      <c r="AF1577"/>
      <c r="AG1577"/>
      <c r="AH1577"/>
      <c r="AI1577"/>
      <c r="AJ1577"/>
      <c r="AK1577"/>
      <c r="AL1577"/>
      <c r="AM1577"/>
      <c r="AN1577"/>
      <c r="AO1577"/>
    </row>
    <row r="1578" spans="1:41" ht="15">
      <c r="A1578"/>
      <c r="B1578"/>
      <c r="C1578" s="137"/>
      <c r="D1578" s="30"/>
      <c r="E1578" s="30"/>
      <c r="F1578" s="10"/>
      <c r="G1578" s="10"/>
      <c r="H1578" s="15"/>
      <c r="I1578" s="15"/>
      <c r="J1578" s="15"/>
      <c r="K1578" s="15"/>
      <c r="L1578" s="15"/>
      <c r="M1578" s="15"/>
      <c r="N1578" s="15"/>
      <c r="O1578" s="15"/>
      <c r="P1578" s="15"/>
      <c r="Q1578" s="71"/>
      <c r="R1578" s="84"/>
      <c r="S1578" s="10"/>
      <c r="T1578" s="10"/>
      <c r="U1578" s="10"/>
      <c r="V1578" s="10"/>
      <c r="W1578" s="138"/>
      <c r="Y1578"/>
      <c r="Z1578"/>
      <c r="AA1578"/>
      <c r="AB1578"/>
      <c r="AC1578"/>
      <c r="AD1578"/>
      <c r="AE1578"/>
      <c r="AF1578"/>
      <c r="AG1578"/>
      <c r="AH1578"/>
      <c r="AI1578"/>
      <c r="AJ1578"/>
      <c r="AK1578"/>
      <c r="AL1578"/>
      <c r="AM1578"/>
      <c r="AN1578"/>
      <c r="AO1578"/>
    </row>
    <row r="1579" spans="1:41" ht="15">
      <c r="A1579"/>
      <c r="B1579"/>
      <c r="C1579" s="137"/>
      <c r="D1579" s="30"/>
      <c r="E1579" s="30"/>
      <c r="F1579" s="10"/>
      <c r="G1579" s="10"/>
      <c r="H1579" s="15"/>
      <c r="I1579" s="15"/>
      <c r="J1579" s="15"/>
      <c r="K1579" s="15"/>
      <c r="L1579" s="15"/>
      <c r="M1579" s="15"/>
      <c r="N1579" s="15"/>
      <c r="O1579" s="15"/>
      <c r="P1579" s="15"/>
      <c r="Q1579" s="71"/>
      <c r="R1579" s="84"/>
      <c r="S1579" s="10"/>
      <c r="T1579" s="10"/>
      <c r="U1579" s="10"/>
      <c r="V1579" s="10"/>
      <c r="W1579" s="138"/>
      <c r="Y1579"/>
      <c r="Z1579"/>
      <c r="AA1579"/>
      <c r="AB1579"/>
      <c r="AC1579"/>
      <c r="AD1579"/>
      <c r="AE1579"/>
      <c r="AF1579"/>
      <c r="AG1579"/>
      <c r="AH1579"/>
      <c r="AI1579"/>
      <c r="AJ1579"/>
      <c r="AK1579"/>
      <c r="AL1579"/>
      <c r="AM1579"/>
      <c r="AN1579"/>
      <c r="AO1579"/>
    </row>
    <row r="1580" spans="1:41" ht="15">
      <c r="A1580"/>
      <c r="B1580"/>
      <c r="C1580" s="137"/>
      <c r="D1580" s="30"/>
      <c r="E1580" s="30"/>
      <c r="F1580" s="10"/>
      <c r="G1580" s="10"/>
      <c r="H1580" s="15"/>
      <c r="I1580" s="15"/>
      <c r="J1580" s="15"/>
      <c r="K1580" s="15"/>
      <c r="L1580" s="15"/>
      <c r="M1580" s="15"/>
      <c r="N1580" s="15"/>
      <c r="O1580" s="15"/>
      <c r="P1580" s="15"/>
      <c r="Q1580" s="71"/>
      <c r="R1580" s="84"/>
      <c r="S1580" s="10"/>
      <c r="T1580" s="10"/>
      <c r="U1580" s="10"/>
      <c r="V1580" s="10"/>
      <c r="W1580" s="138"/>
      <c r="Y1580"/>
      <c r="Z1580"/>
      <c r="AA1580"/>
      <c r="AB1580"/>
      <c r="AC1580"/>
      <c r="AD1580"/>
      <c r="AE1580"/>
      <c r="AF1580"/>
      <c r="AG1580"/>
      <c r="AH1580"/>
      <c r="AI1580"/>
      <c r="AJ1580"/>
      <c r="AK1580"/>
      <c r="AL1580"/>
      <c r="AM1580"/>
      <c r="AN1580"/>
      <c r="AO1580"/>
    </row>
    <row r="1581" spans="1:41" ht="15">
      <c r="A1581"/>
      <c r="B1581"/>
      <c r="C1581" s="137"/>
      <c r="D1581" s="30"/>
      <c r="E1581" s="30"/>
      <c r="F1581" s="10"/>
      <c r="G1581" s="10"/>
      <c r="H1581" s="15"/>
      <c r="I1581" s="15"/>
      <c r="J1581" s="15"/>
      <c r="K1581" s="15"/>
      <c r="L1581" s="15"/>
      <c r="M1581" s="15"/>
      <c r="N1581" s="15"/>
      <c r="O1581" s="15"/>
      <c r="P1581" s="15"/>
      <c r="Q1581" s="71"/>
      <c r="R1581" s="84"/>
      <c r="S1581" s="10"/>
      <c r="T1581" s="10"/>
      <c r="U1581" s="10"/>
      <c r="V1581" s="10"/>
      <c r="W1581" s="138"/>
      <c r="Y1581"/>
      <c r="Z1581"/>
      <c r="AA1581"/>
      <c r="AB1581"/>
      <c r="AC1581"/>
      <c r="AD1581"/>
      <c r="AE1581"/>
      <c r="AF1581"/>
      <c r="AG1581"/>
      <c r="AH1581"/>
      <c r="AI1581"/>
      <c r="AJ1581"/>
      <c r="AK1581"/>
      <c r="AL1581"/>
      <c r="AM1581"/>
      <c r="AN1581"/>
      <c r="AO1581"/>
    </row>
    <row r="1582" spans="1:41" ht="15">
      <c r="A1582"/>
      <c r="B1582"/>
      <c r="C1582" s="137"/>
      <c r="D1582" s="30"/>
      <c r="E1582" s="30"/>
      <c r="F1582" s="10"/>
      <c r="G1582" s="10"/>
      <c r="H1582" s="15"/>
      <c r="I1582" s="15"/>
      <c r="J1582" s="15"/>
      <c r="K1582" s="15"/>
      <c r="L1582" s="15"/>
      <c r="M1582" s="15"/>
      <c r="N1582" s="15"/>
      <c r="O1582" s="15"/>
      <c r="P1582" s="15"/>
      <c r="Q1582" s="71"/>
      <c r="R1582" s="84"/>
      <c r="S1582" s="10"/>
      <c r="T1582" s="10"/>
      <c r="U1582" s="10"/>
      <c r="V1582" s="10"/>
      <c r="W1582" s="138"/>
      <c r="Y1582"/>
      <c r="Z1582"/>
      <c r="AA1582"/>
      <c r="AB1582"/>
      <c r="AC1582"/>
      <c r="AD1582"/>
      <c r="AE1582"/>
      <c r="AF1582"/>
      <c r="AG1582"/>
      <c r="AH1582"/>
      <c r="AI1582"/>
      <c r="AJ1582"/>
      <c r="AK1582"/>
      <c r="AL1582"/>
      <c r="AM1582"/>
      <c r="AN1582"/>
      <c r="AO1582"/>
    </row>
    <row r="1583" spans="1:41" ht="15">
      <c r="A1583"/>
      <c r="B1583"/>
      <c r="C1583" s="137"/>
      <c r="D1583" s="30"/>
      <c r="E1583" s="30"/>
      <c r="F1583" s="10"/>
      <c r="G1583" s="10"/>
      <c r="H1583" s="15"/>
      <c r="I1583" s="15"/>
      <c r="J1583" s="15"/>
      <c r="K1583" s="15"/>
      <c r="L1583" s="15"/>
      <c r="M1583" s="15"/>
      <c r="N1583" s="15"/>
      <c r="O1583" s="15"/>
      <c r="P1583" s="15"/>
      <c r="Q1583" s="71"/>
      <c r="R1583" s="84"/>
      <c r="S1583" s="10"/>
      <c r="T1583" s="10"/>
      <c r="U1583" s="10"/>
      <c r="V1583" s="10"/>
      <c r="W1583" s="138"/>
      <c r="Y1583"/>
      <c r="Z1583"/>
      <c r="AA1583"/>
      <c r="AB1583"/>
      <c r="AC1583"/>
      <c r="AD1583"/>
      <c r="AE1583"/>
      <c r="AF1583"/>
      <c r="AG1583"/>
      <c r="AH1583"/>
      <c r="AI1583"/>
      <c r="AJ1583"/>
      <c r="AK1583"/>
      <c r="AL1583"/>
      <c r="AM1583"/>
      <c r="AN1583"/>
      <c r="AO1583"/>
    </row>
    <row r="1584" spans="1:41" ht="15">
      <c r="A1584"/>
      <c r="B1584"/>
      <c r="C1584" s="137"/>
      <c r="D1584" s="30"/>
      <c r="E1584" s="30"/>
      <c r="F1584" s="10"/>
      <c r="G1584" s="10"/>
      <c r="H1584" s="15"/>
      <c r="I1584" s="15"/>
      <c r="J1584" s="15"/>
      <c r="K1584" s="15"/>
      <c r="L1584" s="15"/>
      <c r="M1584" s="15"/>
      <c r="N1584" s="15"/>
      <c r="O1584" s="15"/>
      <c r="P1584" s="15"/>
      <c r="Q1584" s="71"/>
      <c r="R1584" s="84"/>
      <c r="S1584" s="10"/>
      <c r="T1584" s="10"/>
      <c r="U1584" s="10"/>
      <c r="V1584" s="10"/>
      <c r="W1584" s="138"/>
      <c r="Y1584"/>
      <c r="Z1584"/>
      <c r="AA1584"/>
      <c r="AB1584"/>
      <c r="AC1584"/>
      <c r="AD1584"/>
      <c r="AE1584"/>
      <c r="AF1584"/>
      <c r="AG1584"/>
      <c r="AH1584"/>
      <c r="AI1584"/>
      <c r="AJ1584"/>
      <c r="AK1584"/>
      <c r="AL1584"/>
      <c r="AM1584"/>
      <c r="AN1584"/>
      <c r="AO1584"/>
    </row>
    <row r="1585" spans="1:41" ht="15">
      <c r="A1585"/>
      <c r="B1585"/>
      <c r="C1585" s="137"/>
      <c r="D1585" s="30"/>
      <c r="E1585" s="30"/>
      <c r="F1585" s="10"/>
      <c r="G1585" s="10"/>
      <c r="H1585" s="15"/>
      <c r="I1585" s="15"/>
      <c r="J1585" s="15"/>
      <c r="K1585" s="15"/>
      <c r="L1585" s="15"/>
      <c r="M1585" s="15"/>
      <c r="N1585" s="15"/>
      <c r="O1585" s="15"/>
      <c r="P1585" s="15"/>
      <c r="Q1585" s="71"/>
      <c r="R1585" s="84"/>
      <c r="S1585" s="10"/>
      <c r="T1585" s="10"/>
      <c r="U1585" s="10"/>
      <c r="V1585" s="10"/>
      <c r="W1585" s="138"/>
      <c r="Y1585"/>
      <c r="Z1585"/>
      <c r="AA1585"/>
      <c r="AB1585"/>
      <c r="AC1585"/>
      <c r="AD1585"/>
      <c r="AE1585"/>
      <c r="AF1585"/>
      <c r="AG1585"/>
      <c r="AH1585"/>
      <c r="AI1585"/>
      <c r="AJ1585"/>
      <c r="AK1585"/>
      <c r="AL1585"/>
      <c r="AM1585"/>
      <c r="AN1585"/>
      <c r="AO1585"/>
    </row>
    <row r="1586" spans="1:41" ht="15">
      <c r="A1586"/>
      <c r="B1586"/>
      <c r="C1586" s="137"/>
      <c r="D1586" s="30"/>
      <c r="E1586" s="30"/>
      <c r="F1586" s="10"/>
      <c r="G1586" s="10"/>
      <c r="H1586" s="15"/>
      <c r="I1586" s="15"/>
      <c r="J1586" s="15"/>
      <c r="K1586" s="15"/>
      <c r="L1586" s="15"/>
      <c r="M1586" s="15"/>
      <c r="N1586" s="15"/>
      <c r="O1586" s="15"/>
      <c r="P1586" s="15"/>
      <c r="Q1586" s="71"/>
      <c r="R1586" s="84"/>
      <c r="S1586" s="10"/>
      <c r="T1586" s="10"/>
      <c r="U1586" s="10"/>
      <c r="V1586" s="10"/>
      <c r="W1586" s="138"/>
      <c r="Y1586"/>
      <c r="Z1586"/>
      <c r="AA1586"/>
      <c r="AB1586"/>
      <c r="AC1586"/>
      <c r="AD1586"/>
      <c r="AE1586"/>
      <c r="AF1586"/>
      <c r="AG1586"/>
      <c r="AH1586"/>
      <c r="AI1586"/>
      <c r="AJ1586"/>
      <c r="AK1586"/>
      <c r="AL1586"/>
      <c r="AM1586"/>
      <c r="AN1586"/>
      <c r="AO1586"/>
    </row>
    <row r="1587" spans="1:41" ht="15">
      <c r="A1587"/>
      <c r="B1587"/>
      <c r="C1587" s="137"/>
      <c r="D1587" s="30"/>
      <c r="E1587" s="30"/>
      <c r="F1587" s="10"/>
      <c r="G1587" s="10"/>
      <c r="H1587" s="15"/>
      <c r="I1587" s="15"/>
      <c r="J1587" s="15"/>
      <c r="K1587" s="15"/>
      <c r="L1587" s="15"/>
      <c r="M1587" s="15"/>
      <c r="N1587" s="15"/>
      <c r="O1587" s="15"/>
      <c r="P1587" s="15"/>
      <c r="Q1587" s="71"/>
      <c r="R1587" s="84"/>
      <c r="S1587" s="10"/>
      <c r="T1587" s="10"/>
      <c r="U1587" s="10"/>
      <c r="V1587" s="10"/>
      <c r="W1587" s="138"/>
      <c r="Y1587"/>
      <c r="Z1587"/>
      <c r="AA1587"/>
      <c r="AB1587"/>
      <c r="AC1587"/>
      <c r="AD1587"/>
      <c r="AE1587"/>
      <c r="AF1587"/>
      <c r="AG1587"/>
      <c r="AH1587"/>
      <c r="AI1587"/>
      <c r="AJ1587"/>
      <c r="AK1587"/>
      <c r="AL1587"/>
      <c r="AM1587"/>
      <c r="AN1587"/>
      <c r="AO1587"/>
    </row>
    <row r="1588" spans="1:41" ht="15">
      <c r="A1588"/>
      <c r="B1588"/>
      <c r="C1588" s="137"/>
      <c r="D1588" s="30"/>
      <c r="E1588" s="30"/>
      <c r="F1588" s="10"/>
      <c r="G1588" s="10"/>
      <c r="H1588" s="15"/>
      <c r="I1588" s="15"/>
      <c r="J1588" s="15"/>
      <c r="K1588" s="15"/>
      <c r="L1588" s="15"/>
      <c r="M1588" s="15"/>
      <c r="N1588" s="15"/>
      <c r="O1588" s="15"/>
      <c r="P1588" s="15"/>
      <c r="Q1588" s="71"/>
      <c r="R1588" s="84"/>
      <c r="S1588" s="10"/>
      <c r="T1588" s="10"/>
      <c r="U1588" s="10"/>
      <c r="V1588" s="10"/>
      <c r="W1588" s="138"/>
      <c r="Y1588"/>
      <c r="Z1588"/>
      <c r="AA1588"/>
      <c r="AB1588"/>
      <c r="AC1588"/>
      <c r="AD1588"/>
      <c r="AE1588"/>
      <c r="AF1588"/>
      <c r="AG1588"/>
      <c r="AH1588"/>
      <c r="AI1588"/>
      <c r="AJ1588"/>
      <c r="AK1588"/>
      <c r="AL1588"/>
      <c r="AM1588"/>
      <c r="AN1588"/>
      <c r="AO1588"/>
    </row>
    <row r="1589" spans="1:41" ht="15">
      <c r="A1589"/>
      <c r="B1589"/>
      <c r="C1589" s="137"/>
      <c r="D1589" s="30"/>
      <c r="E1589" s="30"/>
      <c r="F1589" s="10"/>
      <c r="G1589" s="10"/>
      <c r="H1589" s="15"/>
      <c r="I1589" s="15"/>
      <c r="J1589" s="15"/>
      <c r="K1589" s="15"/>
      <c r="L1589" s="15"/>
      <c r="M1589" s="15"/>
      <c r="N1589" s="15"/>
      <c r="O1589" s="15"/>
      <c r="P1589" s="15"/>
      <c r="Q1589" s="71"/>
      <c r="R1589" s="84"/>
      <c r="S1589" s="10"/>
      <c r="T1589" s="10"/>
      <c r="U1589" s="10"/>
      <c r="V1589" s="10"/>
      <c r="W1589" s="138"/>
      <c r="Y1589"/>
      <c r="Z1589"/>
      <c r="AA1589"/>
      <c r="AB1589"/>
      <c r="AC1589"/>
      <c r="AD1589"/>
      <c r="AE1589"/>
      <c r="AF1589"/>
      <c r="AG1589"/>
      <c r="AH1589"/>
      <c r="AI1589"/>
      <c r="AJ1589"/>
      <c r="AK1589"/>
      <c r="AL1589"/>
      <c r="AM1589"/>
      <c r="AN1589"/>
      <c r="AO1589"/>
    </row>
    <row r="1590" spans="1:41" ht="15">
      <c r="A1590"/>
      <c r="B1590"/>
      <c r="C1590" s="137"/>
      <c r="D1590" s="30"/>
      <c r="E1590" s="30"/>
      <c r="F1590" s="10"/>
      <c r="G1590" s="10"/>
      <c r="H1590" s="15"/>
      <c r="I1590" s="15"/>
      <c r="J1590" s="15"/>
      <c r="K1590" s="15"/>
      <c r="L1590" s="15"/>
      <c r="M1590" s="15"/>
      <c r="N1590" s="15"/>
      <c r="O1590" s="15"/>
      <c r="P1590" s="15"/>
      <c r="Q1590" s="71"/>
      <c r="R1590" s="84"/>
      <c r="S1590" s="10"/>
      <c r="T1590" s="10"/>
      <c r="U1590" s="10"/>
      <c r="V1590" s="10"/>
      <c r="W1590" s="138"/>
      <c r="Y1590"/>
      <c r="Z1590"/>
      <c r="AA1590"/>
      <c r="AB1590"/>
      <c r="AC1590"/>
      <c r="AD1590"/>
      <c r="AE1590"/>
      <c r="AF1590"/>
      <c r="AG1590"/>
      <c r="AH1590"/>
      <c r="AI1590"/>
      <c r="AJ1590"/>
      <c r="AK1590"/>
      <c r="AL1590"/>
      <c r="AM1590"/>
      <c r="AN1590"/>
      <c r="AO1590"/>
    </row>
    <row r="1591" spans="1:41" ht="15">
      <c r="A1591"/>
      <c r="B1591"/>
      <c r="C1591" s="137"/>
      <c r="D1591" s="30"/>
      <c r="E1591" s="30"/>
      <c r="F1591" s="10"/>
      <c r="G1591" s="10"/>
      <c r="H1591" s="15"/>
      <c r="I1591" s="15"/>
      <c r="J1591" s="15"/>
      <c r="K1591" s="15"/>
      <c r="L1591" s="15"/>
      <c r="M1591" s="15"/>
      <c r="N1591" s="15"/>
      <c r="O1591" s="15"/>
      <c r="P1591" s="15"/>
      <c r="Q1591" s="71"/>
      <c r="R1591" s="84"/>
      <c r="S1591" s="10"/>
      <c r="T1591" s="10"/>
      <c r="U1591" s="10"/>
      <c r="V1591" s="10"/>
      <c r="W1591" s="138"/>
      <c r="Y1591"/>
      <c r="Z1591"/>
      <c r="AA1591"/>
      <c r="AB1591"/>
      <c r="AC1591"/>
      <c r="AD1591"/>
      <c r="AE1591"/>
      <c r="AF1591"/>
      <c r="AG1591"/>
      <c r="AH1591"/>
      <c r="AI1591"/>
      <c r="AJ1591"/>
      <c r="AK1591"/>
      <c r="AL1591"/>
      <c r="AM1591"/>
      <c r="AN1591"/>
      <c r="AO1591"/>
    </row>
    <row r="1592" spans="1:41" ht="15">
      <c r="A1592"/>
      <c r="B1592"/>
      <c r="C1592" s="137"/>
      <c r="D1592" s="30"/>
      <c r="E1592" s="30"/>
      <c r="F1592" s="10"/>
      <c r="G1592" s="10"/>
      <c r="H1592" s="15"/>
      <c r="I1592" s="15"/>
      <c r="J1592" s="15"/>
      <c r="K1592" s="15"/>
      <c r="L1592" s="15"/>
      <c r="M1592" s="15"/>
      <c r="N1592" s="15"/>
      <c r="O1592" s="15"/>
      <c r="P1592" s="15"/>
      <c r="Q1592" s="71"/>
      <c r="R1592" s="84"/>
      <c r="S1592" s="10"/>
      <c r="T1592" s="10"/>
      <c r="U1592" s="10"/>
      <c r="V1592" s="10"/>
      <c r="W1592" s="138"/>
      <c r="Y1592"/>
      <c r="Z1592"/>
      <c r="AA1592"/>
      <c r="AB1592"/>
      <c r="AC1592"/>
      <c r="AD1592"/>
      <c r="AE1592"/>
      <c r="AF1592"/>
      <c r="AG1592"/>
      <c r="AH1592"/>
      <c r="AI1592"/>
      <c r="AJ1592"/>
      <c r="AK1592"/>
      <c r="AL1592"/>
      <c r="AM1592"/>
      <c r="AN1592"/>
      <c r="AO1592"/>
    </row>
    <row r="1593" spans="1:41" ht="15">
      <c r="A1593"/>
      <c r="B1593"/>
      <c r="C1593" s="137"/>
      <c r="D1593" s="30"/>
      <c r="E1593" s="30"/>
      <c r="F1593" s="10"/>
      <c r="G1593" s="10"/>
      <c r="H1593" s="15"/>
      <c r="I1593" s="15"/>
      <c r="J1593" s="15"/>
      <c r="K1593" s="15"/>
      <c r="L1593" s="15"/>
      <c r="M1593" s="15"/>
      <c r="N1593" s="15"/>
      <c r="O1593" s="15"/>
      <c r="P1593" s="15"/>
      <c r="Q1593" s="71"/>
      <c r="R1593" s="84"/>
      <c r="S1593" s="10"/>
      <c r="T1593" s="10"/>
      <c r="U1593" s="10"/>
      <c r="V1593" s="10"/>
      <c r="W1593" s="138"/>
      <c r="Y1593"/>
      <c r="Z1593"/>
      <c r="AA1593"/>
      <c r="AB1593"/>
      <c r="AC1593"/>
      <c r="AD1593"/>
      <c r="AE1593"/>
      <c r="AF1593"/>
      <c r="AG1593"/>
      <c r="AH1593"/>
      <c r="AI1593"/>
      <c r="AJ1593"/>
      <c r="AK1593"/>
      <c r="AL1593"/>
      <c r="AM1593"/>
      <c r="AN1593"/>
      <c r="AO1593"/>
    </row>
    <row r="1594" spans="1:41" ht="15">
      <c r="A1594"/>
      <c r="B1594"/>
      <c r="C1594" s="137"/>
      <c r="D1594" s="30"/>
      <c r="E1594" s="30"/>
      <c r="F1594" s="10"/>
      <c r="G1594" s="10"/>
      <c r="H1594" s="15"/>
      <c r="I1594" s="15"/>
      <c r="J1594" s="15"/>
      <c r="K1594" s="15"/>
      <c r="L1594" s="15"/>
      <c r="M1594" s="15"/>
      <c r="N1594" s="15"/>
      <c r="O1594" s="15"/>
      <c r="P1594" s="15"/>
      <c r="Q1594" s="71"/>
      <c r="R1594" s="84"/>
      <c r="S1594" s="10"/>
      <c r="T1594" s="10"/>
      <c r="U1594" s="10"/>
      <c r="V1594" s="10"/>
      <c r="W1594" s="138"/>
      <c r="Y1594"/>
      <c r="Z1594"/>
      <c r="AA1594"/>
      <c r="AB1594"/>
      <c r="AC1594"/>
      <c r="AD1594"/>
      <c r="AE1594"/>
      <c r="AF1594"/>
      <c r="AG1594"/>
      <c r="AH1594"/>
      <c r="AI1594"/>
      <c r="AJ1594"/>
      <c r="AK1594"/>
      <c r="AL1594"/>
      <c r="AM1594"/>
      <c r="AN1594"/>
      <c r="AO1594"/>
    </row>
    <row r="1595" spans="1:41" ht="15">
      <c r="A1595"/>
      <c r="B1595"/>
      <c r="C1595" s="137"/>
      <c r="D1595" s="30"/>
      <c r="E1595" s="30"/>
      <c r="F1595" s="10"/>
      <c r="G1595" s="10"/>
      <c r="H1595" s="15"/>
      <c r="I1595" s="15"/>
      <c r="J1595" s="15"/>
      <c r="K1595" s="15"/>
      <c r="L1595" s="15"/>
      <c r="M1595" s="15"/>
      <c r="N1595" s="15"/>
      <c r="O1595" s="15"/>
      <c r="P1595" s="15"/>
      <c r="Q1595" s="71"/>
      <c r="R1595" s="84"/>
      <c r="S1595" s="10"/>
      <c r="T1595" s="10"/>
      <c r="U1595" s="10"/>
      <c r="V1595" s="10"/>
      <c r="W1595" s="138"/>
      <c r="Y1595"/>
      <c r="Z1595"/>
      <c r="AA1595"/>
      <c r="AB1595"/>
      <c r="AC1595"/>
      <c r="AD1595"/>
      <c r="AE1595"/>
      <c r="AF1595"/>
      <c r="AG1595"/>
      <c r="AH1595"/>
      <c r="AI1595"/>
      <c r="AJ1595"/>
      <c r="AK1595"/>
      <c r="AL1595"/>
      <c r="AM1595"/>
      <c r="AN1595"/>
      <c r="AO1595"/>
    </row>
    <row r="1596" spans="1:41" ht="15">
      <c r="A1596"/>
      <c r="B1596"/>
      <c r="C1596" s="137"/>
      <c r="D1596" s="30"/>
      <c r="E1596" s="30"/>
      <c r="F1596" s="10"/>
      <c r="G1596" s="10"/>
      <c r="H1596" s="15"/>
      <c r="I1596" s="15"/>
      <c r="J1596" s="15"/>
      <c r="K1596" s="15"/>
      <c r="L1596" s="15"/>
      <c r="M1596" s="15"/>
      <c r="N1596" s="15"/>
      <c r="O1596" s="15"/>
      <c r="P1596" s="15"/>
      <c r="Q1596" s="71"/>
      <c r="R1596" s="84"/>
      <c r="S1596" s="10"/>
      <c r="T1596" s="10"/>
      <c r="U1596" s="10"/>
      <c r="V1596" s="10"/>
      <c r="W1596" s="138"/>
      <c r="Y1596"/>
      <c r="Z1596"/>
      <c r="AA1596"/>
      <c r="AB1596"/>
      <c r="AC1596"/>
      <c r="AD1596"/>
      <c r="AE1596"/>
      <c r="AF1596"/>
      <c r="AG1596"/>
      <c r="AH1596"/>
      <c r="AI1596"/>
      <c r="AJ1596"/>
      <c r="AK1596"/>
      <c r="AL1596"/>
      <c r="AM1596"/>
      <c r="AN1596"/>
      <c r="AO1596"/>
    </row>
    <row r="1597" spans="1:41" ht="15">
      <c r="A1597"/>
      <c r="B1597"/>
      <c r="C1597" s="137"/>
      <c r="D1597" s="30"/>
      <c r="E1597" s="30"/>
      <c r="F1597" s="10"/>
      <c r="G1597" s="10"/>
      <c r="H1597" s="15"/>
      <c r="I1597" s="15"/>
      <c r="J1597" s="15"/>
      <c r="K1597" s="15"/>
      <c r="L1597" s="15"/>
      <c r="M1597" s="15"/>
      <c r="N1597" s="15"/>
      <c r="O1597" s="15"/>
      <c r="P1597" s="15"/>
      <c r="Q1597" s="71"/>
      <c r="R1597" s="84"/>
      <c r="S1597" s="10"/>
      <c r="T1597" s="10"/>
      <c r="U1597" s="10"/>
      <c r="V1597" s="10"/>
      <c r="W1597" s="138"/>
      <c r="Y1597"/>
      <c r="Z1597"/>
      <c r="AA1597"/>
      <c r="AB1597"/>
      <c r="AC1597"/>
      <c r="AD1597"/>
      <c r="AE1597"/>
      <c r="AF1597"/>
      <c r="AG1597"/>
      <c r="AH1597"/>
      <c r="AI1597"/>
      <c r="AJ1597"/>
      <c r="AK1597"/>
      <c r="AL1597"/>
      <c r="AM1597"/>
      <c r="AN1597"/>
      <c r="AO1597"/>
    </row>
    <row r="1598" spans="1:41" ht="15">
      <c r="A1598"/>
      <c r="B1598"/>
      <c r="C1598" s="137"/>
      <c r="D1598" s="30"/>
      <c r="E1598" s="30"/>
      <c r="F1598" s="10"/>
      <c r="G1598" s="10"/>
      <c r="H1598" s="15"/>
      <c r="I1598" s="15"/>
      <c r="J1598" s="15"/>
      <c r="K1598" s="15"/>
      <c r="L1598" s="15"/>
      <c r="M1598" s="15"/>
      <c r="N1598" s="15"/>
      <c r="O1598" s="15"/>
      <c r="P1598" s="15"/>
      <c r="Q1598" s="71"/>
      <c r="R1598" s="84"/>
      <c r="S1598" s="10"/>
      <c r="T1598" s="10"/>
      <c r="U1598" s="10"/>
      <c r="V1598" s="10"/>
      <c r="W1598" s="138"/>
      <c r="Y1598"/>
      <c r="Z1598"/>
      <c r="AA1598"/>
      <c r="AB1598"/>
      <c r="AC1598"/>
      <c r="AD1598"/>
      <c r="AE1598"/>
      <c r="AF1598"/>
      <c r="AG1598"/>
      <c r="AH1598"/>
      <c r="AI1598"/>
      <c r="AJ1598"/>
      <c r="AK1598"/>
      <c r="AL1598"/>
      <c r="AM1598"/>
      <c r="AN1598"/>
      <c r="AO1598"/>
    </row>
    <row r="1599" spans="1:41" ht="15">
      <c r="A1599"/>
      <c r="B1599"/>
      <c r="C1599" s="137"/>
      <c r="D1599" s="30"/>
      <c r="E1599" s="30"/>
      <c r="F1599" s="10"/>
      <c r="G1599" s="10"/>
      <c r="H1599" s="15"/>
      <c r="I1599" s="15"/>
      <c r="J1599" s="15"/>
      <c r="K1599" s="15"/>
      <c r="L1599" s="15"/>
      <c r="M1599" s="15"/>
      <c r="N1599" s="15"/>
      <c r="O1599" s="15"/>
      <c r="P1599" s="15"/>
      <c r="Q1599" s="71"/>
      <c r="R1599" s="84"/>
      <c r="S1599" s="10"/>
      <c r="T1599" s="10"/>
      <c r="U1599" s="10"/>
      <c r="V1599" s="10"/>
      <c r="W1599" s="138"/>
      <c r="Y1599"/>
      <c r="Z1599"/>
      <c r="AA1599"/>
      <c r="AB1599"/>
      <c r="AC1599"/>
      <c r="AD1599"/>
      <c r="AE1599"/>
      <c r="AF1599"/>
      <c r="AG1599"/>
      <c r="AH1599"/>
      <c r="AI1599"/>
      <c r="AJ1599"/>
      <c r="AK1599"/>
      <c r="AL1599"/>
      <c r="AM1599"/>
      <c r="AN1599"/>
      <c r="AO1599"/>
    </row>
    <row r="1600" spans="1:41" ht="15">
      <c r="A1600"/>
      <c r="B1600"/>
      <c r="C1600" s="137"/>
      <c r="D1600" s="30"/>
      <c r="E1600" s="30"/>
      <c r="F1600" s="10"/>
      <c r="G1600" s="10"/>
      <c r="H1600" s="15"/>
      <c r="I1600" s="15"/>
      <c r="J1600" s="15"/>
      <c r="K1600" s="15"/>
      <c r="L1600" s="15"/>
      <c r="M1600" s="15"/>
      <c r="N1600" s="15"/>
      <c r="O1600" s="15"/>
      <c r="P1600" s="15"/>
      <c r="Q1600" s="71"/>
      <c r="R1600" s="84"/>
      <c r="S1600" s="10"/>
      <c r="T1600" s="10"/>
      <c r="U1600" s="10"/>
      <c r="V1600" s="10"/>
      <c r="W1600" s="138"/>
      <c r="Y1600"/>
      <c r="Z1600"/>
      <c r="AA1600"/>
      <c r="AB1600"/>
      <c r="AC1600"/>
      <c r="AD1600"/>
      <c r="AE1600"/>
      <c r="AF1600"/>
      <c r="AG1600"/>
      <c r="AH1600"/>
      <c r="AI1600"/>
      <c r="AJ1600"/>
      <c r="AK1600"/>
      <c r="AL1600"/>
      <c r="AM1600"/>
      <c r="AN1600"/>
      <c r="AO1600"/>
    </row>
    <row r="1601" spans="1:41" ht="15">
      <c r="A1601"/>
      <c r="B1601"/>
      <c r="C1601" s="137"/>
      <c r="D1601" s="30"/>
      <c r="E1601" s="30"/>
      <c r="F1601" s="10"/>
      <c r="G1601" s="10"/>
      <c r="H1601" s="15"/>
      <c r="I1601" s="15"/>
      <c r="J1601" s="15"/>
      <c r="K1601" s="15"/>
      <c r="L1601" s="15"/>
      <c r="M1601" s="15"/>
      <c r="N1601" s="15"/>
      <c r="O1601" s="15"/>
      <c r="P1601" s="15"/>
      <c r="Q1601" s="71"/>
      <c r="R1601" s="84"/>
      <c r="S1601" s="10"/>
      <c r="T1601" s="10"/>
      <c r="U1601" s="10"/>
      <c r="V1601" s="10"/>
      <c r="W1601" s="138"/>
      <c r="Y1601"/>
      <c r="Z1601"/>
      <c r="AA1601"/>
      <c r="AB1601"/>
      <c r="AC1601"/>
      <c r="AD1601"/>
      <c r="AE1601"/>
      <c r="AF1601"/>
      <c r="AG1601"/>
      <c r="AH1601"/>
      <c r="AI1601"/>
      <c r="AJ1601"/>
      <c r="AK1601"/>
      <c r="AL1601"/>
      <c r="AM1601"/>
      <c r="AN1601"/>
      <c r="AO1601"/>
    </row>
    <row r="1602" spans="1:41" ht="15">
      <c r="A1602"/>
      <c r="B1602"/>
      <c r="C1602" s="137"/>
      <c r="D1602" s="30"/>
      <c r="E1602" s="30"/>
      <c r="F1602" s="10"/>
      <c r="G1602" s="10"/>
      <c r="H1602" s="15"/>
      <c r="I1602" s="15"/>
      <c r="J1602" s="15"/>
      <c r="K1602" s="15"/>
      <c r="L1602" s="15"/>
      <c r="M1602" s="15"/>
      <c r="N1602" s="15"/>
      <c r="O1602" s="15"/>
      <c r="P1602" s="15"/>
      <c r="Q1602" s="71"/>
      <c r="R1602" s="84"/>
      <c r="S1602" s="10"/>
      <c r="T1602" s="10"/>
      <c r="U1602" s="10"/>
      <c r="V1602" s="10"/>
      <c r="W1602" s="138"/>
      <c r="Y1602"/>
      <c r="Z1602"/>
      <c r="AA1602"/>
      <c r="AB1602"/>
      <c r="AC1602"/>
      <c r="AD1602"/>
      <c r="AE1602"/>
      <c r="AF1602"/>
      <c r="AG1602"/>
      <c r="AH1602"/>
      <c r="AI1602"/>
      <c r="AJ1602"/>
      <c r="AK1602"/>
      <c r="AL1602"/>
      <c r="AM1602"/>
      <c r="AN1602"/>
      <c r="AO1602"/>
    </row>
    <row r="1603" spans="1:41" ht="15">
      <c r="A1603"/>
      <c r="B1603"/>
      <c r="C1603" s="137"/>
      <c r="D1603" s="30"/>
      <c r="E1603" s="30"/>
      <c r="F1603" s="10"/>
      <c r="G1603" s="10"/>
      <c r="H1603" s="15"/>
      <c r="I1603" s="15"/>
      <c r="J1603" s="15"/>
      <c r="K1603" s="15"/>
      <c r="L1603" s="15"/>
      <c r="M1603" s="15"/>
      <c r="N1603" s="15"/>
      <c r="O1603" s="15"/>
      <c r="P1603" s="15"/>
      <c r="Q1603" s="71"/>
      <c r="R1603" s="84"/>
      <c r="S1603" s="10"/>
      <c r="T1603" s="10"/>
      <c r="U1603" s="10"/>
      <c r="V1603" s="10"/>
      <c r="W1603" s="138"/>
      <c r="Y1603"/>
      <c r="Z1603"/>
      <c r="AA1603"/>
      <c r="AB1603"/>
      <c r="AC1603"/>
      <c r="AD1603"/>
      <c r="AE1603"/>
      <c r="AF1603"/>
      <c r="AG1603"/>
      <c r="AH1603"/>
      <c r="AI1603"/>
      <c r="AJ1603"/>
      <c r="AK1603"/>
      <c r="AL1603"/>
      <c r="AM1603"/>
      <c r="AN1603"/>
      <c r="AO1603"/>
    </row>
    <row r="1604" spans="1:41" ht="15">
      <c r="A1604"/>
      <c r="B1604"/>
      <c r="C1604" s="137"/>
      <c r="D1604" s="30"/>
      <c r="E1604" s="30"/>
      <c r="F1604" s="10"/>
      <c r="G1604" s="10"/>
      <c r="H1604" s="15"/>
      <c r="I1604" s="15"/>
      <c r="J1604" s="15"/>
      <c r="K1604" s="15"/>
      <c r="L1604" s="15"/>
      <c r="M1604" s="15"/>
      <c r="N1604" s="15"/>
      <c r="O1604" s="15"/>
      <c r="P1604" s="15"/>
      <c r="Q1604" s="71"/>
      <c r="R1604" s="84"/>
      <c r="S1604" s="10"/>
      <c r="T1604" s="10"/>
      <c r="U1604" s="10"/>
      <c r="V1604" s="10"/>
      <c r="W1604" s="138"/>
      <c r="Y1604"/>
      <c r="Z1604"/>
      <c r="AA1604"/>
      <c r="AB1604"/>
      <c r="AC1604"/>
      <c r="AD1604"/>
      <c r="AE1604"/>
      <c r="AF1604"/>
      <c r="AG1604"/>
      <c r="AH1604"/>
      <c r="AI1604"/>
      <c r="AJ1604"/>
      <c r="AK1604"/>
      <c r="AL1604"/>
      <c r="AM1604"/>
      <c r="AN1604"/>
      <c r="AO1604"/>
    </row>
    <row r="1605" spans="1:41" ht="15">
      <c r="A1605"/>
      <c r="B1605"/>
      <c r="C1605" s="137"/>
      <c r="D1605" s="30"/>
      <c r="E1605" s="30"/>
      <c r="F1605" s="10"/>
      <c r="G1605" s="10"/>
      <c r="H1605" s="15"/>
      <c r="I1605" s="15"/>
      <c r="J1605" s="15"/>
      <c r="K1605" s="15"/>
      <c r="L1605" s="15"/>
      <c r="M1605" s="15"/>
      <c r="N1605" s="15"/>
      <c r="O1605" s="15"/>
      <c r="P1605" s="15"/>
      <c r="Q1605" s="71"/>
      <c r="R1605" s="84"/>
      <c r="S1605" s="10"/>
      <c r="T1605" s="10"/>
      <c r="U1605" s="10"/>
      <c r="V1605" s="10"/>
      <c r="W1605" s="138"/>
      <c r="Y1605"/>
      <c r="Z1605"/>
      <c r="AA1605"/>
      <c r="AB1605"/>
      <c r="AC1605"/>
      <c r="AD1605"/>
      <c r="AE1605"/>
      <c r="AF1605"/>
      <c r="AG1605"/>
      <c r="AH1605"/>
      <c r="AI1605"/>
      <c r="AJ1605"/>
      <c r="AK1605"/>
      <c r="AL1605"/>
      <c r="AM1605"/>
      <c r="AN1605"/>
      <c r="AO1605"/>
    </row>
    <row r="1606" spans="1:41" ht="15">
      <c r="A1606"/>
      <c r="B1606"/>
      <c r="C1606" s="137"/>
      <c r="D1606" s="30"/>
      <c r="E1606" s="30"/>
      <c r="F1606" s="10"/>
      <c r="G1606" s="10"/>
      <c r="H1606" s="15"/>
      <c r="I1606" s="15"/>
      <c r="J1606" s="15"/>
      <c r="K1606" s="15"/>
      <c r="L1606" s="15"/>
      <c r="M1606" s="15"/>
      <c r="N1606" s="15"/>
      <c r="O1606" s="15"/>
      <c r="P1606" s="15"/>
      <c r="Q1606" s="71"/>
      <c r="R1606" s="84"/>
      <c r="S1606" s="10"/>
      <c r="T1606" s="10"/>
      <c r="U1606" s="10"/>
      <c r="V1606" s="10"/>
      <c r="W1606" s="138"/>
      <c r="Y1606"/>
      <c r="Z1606"/>
      <c r="AA1606"/>
      <c r="AB1606"/>
      <c r="AC1606"/>
      <c r="AD1606"/>
      <c r="AE1606"/>
      <c r="AF1606"/>
      <c r="AG1606"/>
      <c r="AH1606"/>
      <c r="AI1606"/>
      <c r="AJ1606"/>
      <c r="AK1606"/>
      <c r="AL1606"/>
      <c r="AM1606"/>
      <c r="AN1606"/>
      <c r="AO1606"/>
    </row>
    <row r="1607" spans="1:41" ht="15">
      <c r="A1607"/>
      <c r="B1607"/>
      <c r="C1607" s="137"/>
      <c r="D1607" s="30"/>
      <c r="E1607" s="30"/>
      <c r="F1607" s="10"/>
      <c r="G1607" s="10"/>
      <c r="H1607" s="15"/>
      <c r="I1607" s="15"/>
      <c r="J1607" s="15"/>
      <c r="K1607" s="15"/>
      <c r="L1607" s="15"/>
      <c r="M1607" s="15"/>
      <c r="N1607" s="15"/>
      <c r="O1607" s="15"/>
      <c r="P1607" s="15"/>
      <c r="Q1607" s="71"/>
      <c r="R1607" s="84"/>
      <c r="S1607" s="10"/>
      <c r="T1607" s="10"/>
      <c r="U1607" s="10"/>
      <c r="V1607" s="10"/>
      <c r="W1607" s="138"/>
      <c r="Y1607"/>
      <c r="Z1607"/>
      <c r="AA1607"/>
      <c r="AB1607"/>
      <c r="AC1607"/>
      <c r="AD1607"/>
      <c r="AE1607"/>
      <c r="AF1607"/>
      <c r="AG1607"/>
      <c r="AH1607"/>
      <c r="AI1607"/>
      <c r="AJ1607"/>
      <c r="AK1607"/>
      <c r="AL1607"/>
      <c r="AM1607"/>
      <c r="AN1607"/>
      <c r="AO1607"/>
    </row>
    <row r="1608" spans="1:41" ht="15">
      <c r="A1608"/>
      <c r="B1608"/>
      <c r="C1608" s="137"/>
      <c r="D1608" s="30"/>
      <c r="E1608" s="30"/>
      <c r="F1608" s="10"/>
      <c r="G1608" s="10"/>
      <c r="H1608" s="15"/>
      <c r="I1608" s="15"/>
      <c r="J1608" s="15"/>
      <c r="K1608" s="15"/>
      <c r="L1608" s="15"/>
      <c r="M1608" s="15"/>
      <c r="N1608" s="15"/>
      <c r="O1608" s="15"/>
      <c r="P1608" s="15"/>
      <c r="Q1608" s="71"/>
      <c r="R1608" s="84"/>
      <c r="S1608" s="10"/>
      <c r="T1608" s="10"/>
      <c r="U1608" s="10"/>
      <c r="V1608" s="10"/>
      <c r="W1608" s="138"/>
      <c r="Y1608"/>
      <c r="Z1608"/>
      <c r="AA1608"/>
      <c r="AB1608"/>
      <c r="AC1608"/>
      <c r="AD1608"/>
      <c r="AE1608"/>
      <c r="AF1608"/>
      <c r="AG1608"/>
      <c r="AH1608"/>
      <c r="AI1608"/>
      <c r="AJ1608"/>
      <c r="AK1608"/>
      <c r="AL1608"/>
      <c r="AM1608"/>
      <c r="AN1608"/>
      <c r="AO1608"/>
    </row>
    <row r="1609" spans="1:41" ht="15">
      <c r="A1609"/>
      <c r="B1609"/>
      <c r="C1609" s="137"/>
      <c r="D1609" s="30"/>
      <c r="E1609" s="30"/>
      <c r="F1609" s="10"/>
      <c r="G1609" s="10"/>
      <c r="H1609" s="15"/>
      <c r="I1609" s="15"/>
      <c r="J1609" s="15"/>
      <c r="K1609" s="15"/>
      <c r="L1609" s="15"/>
      <c r="M1609" s="15"/>
      <c r="N1609" s="15"/>
      <c r="O1609" s="15"/>
      <c r="P1609" s="15"/>
      <c r="Q1609" s="71"/>
      <c r="R1609" s="84"/>
      <c r="S1609" s="10"/>
      <c r="T1609" s="10"/>
      <c r="U1609" s="10"/>
      <c r="V1609" s="10"/>
      <c r="W1609" s="138"/>
      <c r="Y1609"/>
      <c r="Z1609"/>
      <c r="AA1609"/>
      <c r="AB1609"/>
      <c r="AC1609"/>
      <c r="AD1609"/>
      <c r="AE1609"/>
      <c r="AF1609"/>
      <c r="AG1609"/>
      <c r="AH1609"/>
      <c r="AI1609"/>
      <c r="AJ1609"/>
      <c r="AK1609"/>
      <c r="AL1609"/>
      <c r="AM1609"/>
      <c r="AN1609"/>
      <c r="AO1609"/>
    </row>
    <row r="1610" spans="1:41" ht="15">
      <c r="A1610"/>
      <c r="B1610"/>
      <c r="C1610" s="137"/>
      <c r="D1610" s="30"/>
      <c r="E1610" s="30"/>
      <c r="F1610" s="10"/>
      <c r="G1610" s="10"/>
      <c r="H1610" s="15"/>
      <c r="I1610" s="15"/>
      <c r="J1610" s="15"/>
      <c r="K1610" s="15"/>
      <c r="L1610" s="15"/>
      <c r="M1610" s="15"/>
      <c r="N1610" s="15"/>
      <c r="O1610" s="15"/>
      <c r="P1610" s="15"/>
      <c r="Q1610" s="71"/>
      <c r="R1610" s="84"/>
      <c r="S1610" s="10"/>
      <c r="T1610" s="10"/>
      <c r="U1610" s="10"/>
      <c r="V1610" s="10"/>
      <c r="W1610" s="138"/>
      <c r="Y1610"/>
      <c r="Z1610"/>
      <c r="AA1610"/>
      <c r="AB1610"/>
      <c r="AC1610"/>
      <c r="AD1610"/>
      <c r="AE1610"/>
      <c r="AF1610"/>
      <c r="AG1610"/>
      <c r="AH1610"/>
      <c r="AI1610"/>
      <c r="AJ1610"/>
      <c r="AK1610"/>
      <c r="AL1610"/>
      <c r="AM1610"/>
      <c r="AN1610"/>
      <c r="AO1610"/>
    </row>
    <row r="1611" spans="1:41" ht="15">
      <c r="A1611"/>
      <c r="B1611"/>
      <c r="C1611" s="137"/>
      <c r="D1611" s="30"/>
      <c r="E1611" s="30"/>
      <c r="F1611" s="10"/>
      <c r="G1611" s="10"/>
      <c r="H1611" s="15"/>
      <c r="I1611" s="15"/>
      <c r="J1611" s="15"/>
      <c r="K1611" s="15"/>
      <c r="L1611" s="15"/>
      <c r="M1611" s="15"/>
      <c r="N1611" s="15"/>
      <c r="O1611" s="15"/>
      <c r="P1611" s="15"/>
      <c r="Q1611" s="71"/>
      <c r="R1611" s="84"/>
      <c r="S1611" s="10"/>
      <c r="T1611" s="10"/>
      <c r="U1611" s="10"/>
      <c r="V1611" s="10"/>
      <c r="W1611" s="138"/>
      <c r="Y1611"/>
      <c r="Z1611"/>
      <c r="AA1611"/>
      <c r="AB1611"/>
      <c r="AC1611"/>
      <c r="AD1611"/>
      <c r="AE1611"/>
      <c r="AF1611"/>
      <c r="AG1611"/>
      <c r="AH1611"/>
      <c r="AI1611"/>
      <c r="AJ1611"/>
      <c r="AK1611"/>
      <c r="AL1611"/>
      <c r="AM1611"/>
      <c r="AN1611"/>
      <c r="AO1611"/>
    </row>
    <row r="1612" spans="1:41" ht="15">
      <c r="A1612"/>
      <c r="B1612"/>
      <c r="C1612" s="137"/>
      <c r="D1612" s="30"/>
      <c r="E1612" s="30"/>
      <c r="F1612" s="10"/>
      <c r="G1612" s="10"/>
      <c r="H1612" s="15"/>
      <c r="I1612" s="15"/>
      <c r="J1612" s="15"/>
      <c r="K1612" s="15"/>
      <c r="L1612" s="15"/>
      <c r="M1612" s="15"/>
      <c r="N1612" s="15"/>
      <c r="O1612" s="15"/>
      <c r="P1612" s="15"/>
      <c r="Q1612" s="71"/>
      <c r="R1612" s="84"/>
      <c r="S1612" s="10"/>
      <c r="T1612" s="10"/>
      <c r="U1612" s="10"/>
      <c r="V1612" s="10"/>
      <c r="W1612" s="138"/>
      <c r="Y1612"/>
      <c r="Z1612"/>
      <c r="AA1612"/>
      <c r="AB1612"/>
      <c r="AC1612"/>
      <c r="AD1612"/>
      <c r="AE1612"/>
      <c r="AF1612"/>
      <c r="AG1612"/>
      <c r="AH1612"/>
      <c r="AI1612"/>
      <c r="AJ1612"/>
      <c r="AK1612"/>
      <c r="AL1612"/>
      <c r="AM1612"/>
      <c r="AN1612"/>
      <c r="AO1612"/>
    </row>
    <row r="1613" spans="1:41" ht="15">
      <c r="A1613"/>
      <c r="B1613"/>
      <c r="C1613" s="137"/>
      <c r="D1613" s="30"/>
      <c r="E1613" s="30"/>
      <c r="F1613" s="10"/>
      <c r="G1613" s="10"/>
      <c r="H1613" s="15"/>
      <c r="I1613" s="15"/>
      <c r="J1613" s="15"/>
      <c r="K1613" s="15"/>
      <c r="L1613" s="15"/>
      <c r="M1613" s="15"/>
      <c r="N1613" s="15"/>
      <c r="O1613" s="15"/>
      <c r="P1613" s="15"/>
      <c r="Q1613" s="71"/>
      <c r="R1613" s="84"/>
      <c r="S1613" s="10"/>
      <c r="T1613" s="10"/>
      <c r="U1613" s="10"/>
      <c r="V1613" s="10"/>
      <c r="W1613" s="138"/>
      <c r="Y1613"/>
      <c r="Z1613"/>
      <c r="AA1613"/>
      <c r="AB1613"/>
      <c r="AC1613"/>
      <c r="AD1613"/>
      <c r="AE1613"/>
      <c r="AF1613"/>
      <c r="AG1613"/>
      <c r="AH1613"/>
      <c r="AI1613"/>
      <c r="AJ1613"/>
      <c r="AK1613"/>
      <c r="AL1613"/>
      <c r="AM1613"/>
      <c r="AN1613"/>
      <c r="AO1613"/>
    </row>
    <row r="1614" spans="1:41" ht="15">
      <c r="A1614"/>
      <c r="B1614"/>
      <c r="C1614" s="137"/>
      <c r="D1614" s="30"/>
      <c r="E1614" s="30"/>
      <c r="F1614" s="10"/>
      <c r="G1614" s="10"/>
      <c r="H1614" s="15"/>
      <c r="I1614" s="15"/>
      <c r="J1614" s="15"/>
      <c r="K1614" s="15"/>
      <c r="L1614" s="15"/>
      <c r="M1614" s="15"/>
      <c r="N1614" s="15"/>
      <c r="O1614" s="15"/>
      <c r="P1614" s="15"/>
      <c r="Q1614" s="71"/>
      <c r="R1614" s="84"/>
      <c r="S1614" s="10"/>
      <c r="T1614" s="10"/>
      <c r="U1614" s="10"/>
      <c r="V1614" s="10"/>
      <c r="W1614" s="138"/>
      <c r="Y1614"/>
      <c r="Z1614"/>
      <c r="AA1614"/>
      <c r="AB1614"/>
      <c r="AC1614"/>
      <c r="AD1614"/>
      <c r="AE1614"/>
      <c r="AF1614"/>
      <c r="AG1614"/>
      <c r="AH1614"/>
      <c r="AI1614"/>
      <c r="AJ1614"/>
      <c r="AK1614"/>
      <c r="AL1614"/>
      <c r="AM1614"/>
      <c r="AN1614"/>
      <c r="AO1614"/>
    </row>
    <row r="1615" spans="1:41" ht="15">
      <c r="A1615"/>
      <c r="B1615"/>
      <c r="C1615" s="137"/>
      <c r="D1615" s="30"/>
      <c r="E1615" s="30"/>
      <c r="F1615" s="10"/>
      <c r="G1615" s="10"/>
      <c r="H1615" s="15"/>
      <c r="I1615" s="15"/>
      <c r="J1615" s="15"/>
      <c r="K1615" s="15"/>
      <c r="L1615" s="15"/>
      <c r="M1615" s="15"/>
      <c r="N1615" s="15"/>
      <c r="O1615" s="15"/>
      <c r="P1615" s="15"/>
      <c r="Q1615" s="71"/>
      <c r="R1615" s="84"/>
      <c r="S1615" s="10"/>
      <c r="T1615" s="10"/>
      <c r="U1615" s="10"/>
      <c r="V1615" s="10"/>
      <c r="W1615" s="138"/>
      <c r="Y1615"/>
      <c r="Z1615"/>
      <c r="AA1615"/>
      <c r="AB1615"/>
      <c r="AC1615"/>
      <c r="AD1615"/>
      <c r="AE1615"/>
      <c r="AF1615"/>
      <c r="AG1615"/>
      <c r="AH1615"/>
      <c r="AI1615"/>
      <c r="AJ1615"/>
      <c r="AK1615"/>
      <c r="AL1615"/>
      <c r="AM1615"/>
      <c r="AN1615"/>
      <c r="AO1615"/>
    </row>
    <row r="1616" spans="1:41" ht="15">
      <c r="A1616"/>
      <c r="B1616"/>
      <c r="C1616" s="137"/>
      <c r="D1616" s="30"/>
      <c r="E1616" s="30"/>
      <c r="F1616" s="10"/>
      <c r="G1616" s="10"/>
      <c r="H1616" s="15"/>
      <c r="I1616" s="15"/>
      <c r="J1616" s="15"/>
      <c r="K1616" s="15"/>
      <c r="L1616" s="15"/>
      <c r="M1616" s="15"/>
      <c r="N1616" s="15"/>
      <c r="O1616" s="15"/>
      <c r="P1616" s="15"/>
      <c r="Q1616" s="71"/>
      <c r="R1616" s="84"/>
      <c r="S1616" s="10"/>
      <c r="T1616" s="10"/>
      <c r="U1616" s="10"/>
      <c r="V1616" s="10"/>
      <c r="W1616" s="138"/>
      <c r="Y1616"/>
      <c r="Z1616"/>
      <c r="AA1616"/>
      <c r="AB1616"/>
      <c r="AC1616"/>
      <c r="AD1616"/>
      <c r="AE1616"/>
      <c r="AF1616"/>
      <c r="AG1616"/>
      <c r="AH1616"/>
      <c r="AI1616"/>
      <c r="AJ1616"/>
      <c r="AK1616"/>
      <c r="AL1616"/>
      <c r="AM1616"/>
      <c r="AN1616"/>
      <c r="AO1616"/>
    </row>
    <row r="1617" spans="1:41" ht="15">
      <c r="A1617"/>
      <c r="B1617"/>
      <c r="C1617" s="137"/>
      <c r="D1617" s="30"/>
      <c r="E1617" s="30"/>
      <c r="F1617" s="10"/>
      <c r="G1617" s="10"/>
      <c r="H1617" s="15"/>
      <c r="I1617" s="15"/>
      <c r="J1617" s="15"/>
      <c r="K1617" s="15"/>
      <c r="L1617" s="15"/>
      <c r="M1617" s="15"/>
      <c r="N1617" s="15"/>
      <c r="O1617" s="15"/>
      <c r="P1617" s="15"/>
      <c r="Q1617" s="71"/>
      <c r="R1617" s="84"/>
      <c r="S1617" s="10"/>
      <c r="T1617" s="10"/>
      <c r="U1617" s="10"/>
      <c r="V1617" s="10"/>
      <c r="W1617" s="138"/>
      <c r="Y1617"/>
      <c r="Z1617"/>
      <c r="AA1617"/>
      <c r="AB1617"/>
      <c r="AC1617"/>
      <c r="AD1617"/>
      <c r="AE1617"/>
      <c r="AF1617"/>
      <c r="AG1617"/>
      <c r="AH1617"/>
      <c r="AI1617"/>
      <c r="AJ1617"/>
      <c r="AK1617"/>
      <c r="AL1617"/>
      <c r="AM1617"/>
      <c r="AN1617"/>
      <c r="AO1617"/>
    </row>
    <row r="1618" spans="1:41" ht="15">
      <c r="A1618"/>
      <c r="B1618"/>
      <c r="C1618" s="137"/>
      <c r="D1618" s="30"/>
      <c r="E1618" s="30"/>
      <c r="F1618" s="10"/>
      <c r="G1618" s="10"/>
      <c r="H1618" s="15"/>
      <c r="I1618" s="15"/>
      <c r="J1618" s="15"/>
      <c r="K1618" s="15"/>
      <c r="L1618" s="15"/>
      <c r="M1618" s="15"/>
      <c r="N1618" s="15"/>
      <c r="O1618" s="15"/>
      <c r="P1618" s="15"/>
      <c r="Q1618" s="71"/>
      <c r="R1618" s="84"/>
      <c r="S1618" s="10"/>
      <c r="T1618" s="10"/>
      <c r="U1618" s="10"/>
      <c r="V1618" s="10"/>
      <c r="W1618" s="138"/>
      <c r="Y1618"/>
      <c r="Z1618"/>
      <c r="AA1618"/>
      <c r="AB1618"/>
      <c r="AC1618"/>
      <c r="AD1618"/>
      <c r="AE1618"/>
      <c r="AF1618"/>
      <c r="AG1618"/>
      <c r="AH1618"/>
      <c r="AI1618"/>
      <c r="AJ1618"/>
      <c r="AK1618"/>
      <c r="AL1618"/>
      <c r="AM1618"/>
      <c r="AN1618"/>
      <c r="AO1618"/>
    </row>
    <row r="1619" spans="1:41" ht="15">
      <c r="A1619"/>
      <c r="B1619"/>
      <c r="C1619" s="137"/>
      <c r="D1619" s="30"/>
      <c r="E1619" s="30"/>
      <c r="F1619" s="10"/>
      <c r="G1619" s="10"/>
      <c r="H1619" s="15"/>
      <c r="I1619" s="15"/>
      <c r="J1619" s="15"/>
      <c r="K1619" s="15"/>
      <c r="L1619" s="15"/>
      <c r="M1619" s="15"/>
      <c r="N1619" s="15"/>
      <c r="O1619" s="15"/>
      <c r="P1619" s="15"/>
      <c r="Q1619" s="71"/>
      <c r="R1619" s="84"/>
      <c r="S1619" s="10"/>
      <c r="T1619" s="10"/>
      <c r="U1619" s="10"/>
      <c r="V1619" s="10"/>
      <c r="W1619" s="138"/>
      <c r="Y1619"/>
      <c r="Z1619"/>
      <c r="AA1619"/>
      <c r="AB1619"/>
      <c r="AC1619"/>
      <c r="AD1619"/>
      <c r="AE1619"/>
      <c r="AF1619"/>
      <c r="AG1619"/>
      <c r="AH1619"/>
      <c r="AI1619"/>
      <c r="AJ1619"/>
      <c r="AK1619"/>
      <c r="AL1619"/>
      <c r="AM1619"/>
      <c r="AN1619"/>
      <c r="AO1619"/>
    </row>
    <row r="1620" spans="1:41" ht="15">
      <c r="A1620"/>
      <c r="B1620"/>
      <c r="C1620" s="137"/>
      <c r="D1620" s="30"/>
      <c r="E1620" s="30"/>
      <c r="F1620" s="10"/>
      <c r="G1620" s="10"/>
      <c r="H1620" s="15"/>
      <c r="I1620" s="15"/>
      <c r="J1620" s="15"/>
      <c r="K1620" s="15"/>
      <c r="L1620" s="15"/>
      <c r="M1620" s="15"/>
      <c r="N1620" s="15"/>
      <c r="O1620" s="15"/>
      <c r="P1620" s="15"/>
      <c r="Q1620" s="71"/>
      <c r="R1620" s="84"/>
      <c r="S1620" s="10"/>
      <c r="T1620" s="10"/>
      <c r="U1620" s="10"/>
      <c r="V1620" s="10"/>
      <c r="W1620" s="138"/>
      <c r="Y1620"/>
      <c r="Z1620"/>
      <c r="AA1620"/>
      <c r="AB1620"/>
      <c r="AC1620"/>
      <c r="AD1620"/>
      <c r="AE1620"/>
      <c r="AF1620"/>
      <c r="AG1620"/>
      <c r="AH1620"/>
      <c r="AI1620"/>
      <c r="AJ1620"/>
      <c r="AK1620"/>
      <c r="AL1620"/>
      <c r="AM1620"/>
      <c r="AN1620"/>
      <c r="AO1620"/>
    </row>
    <row r="1621" spans="1:41" ht="15">
      <c r="A1621"/>
      <c r="B1621"/>
      <c r="C1621" s="137"/>
      <c r="D1621" s="30"/>
      <c r="E1621" s="30"/>
      <c r="F1621" s="10"/>
      <c r="G1621" s="10"/>
      <c r="H1621" s="15"/>
      <c r="I1621" s="15"/>
      <c r="J1621" s="15"/>
      <c r="K1621" s="15"/>
      <c r="L1621" s="15"/>
      <c r="M1621" s="15"/>
      <c r="N1621" s="15"/>
      <c r="O1621" s="15"/>
      <c r="P1621" s="15"/>
      <c r="Q1621" s="71"/>
      <c r="R1621" s="84"/>
      <c r="S1621" s="10"/>
      <c r="T1621" s="10"/>
      <c r="U1621" s="10"/>
      <c r="V1621" s="10"/>
      <c r="W1621" s="138"/>
      <c r="Y1621"/>
      <c r="Z1621"/>
      <c r="AA1621"/>
      <c r="AB1621"/>
      <c r="AC1621"/>
      <c r="AD1621"/>
      <c r="AE1621"/>
      <c r="AF1621"/>
      <c r="AG1621"/>
      <c r="AH1621"/>
      <c r="AI1621"/>
      <c r="AJ1621"/>
      <c r="AK1621"/>
      <c r="AL1621"/>
      <c r="AM1621"/>
      <c r="AN1621"/>
      <c r="AO1621"/>
    </row>
    <row r="1622" spans="1:41" ht="15">
      <c r="A1622"/>
      <c r="B1622"/>
      <c r="C1622" s="137"/>
      <c r="D1622" s="30"/>
      <c r="E1622" s="30"/>
      <c r="F1622" s="10"/>
      <c r="G1622" s="10"/>
      <c r="H1622" s="15"/>
      <c r="I1622" s="15"/>
      <c r="J1622" s="15"/>
      <c r="K1622" s="15"/>
      <c r="L1622" s="15"/>
      <c r="M1622" s="15"/>
      <c r="N1622" s="15"/>
      <c r="O1622" s="15"/>
      <c r="P1622" s="15"/>
      <c r="Q1622" s="71"/>
      <c r="R1622" s="84"/>
      <c r="S1622" s="10"/>
      <c r="T1622" s="10"/>
      <c r="U1622" s="10"/>
      <c r="V1622" s="10"/>
      <c r="W1622" s="138"/>
      <c r="Y1622"/>
      <c r="Z1622"/>
      <c r="AA1622"/>
      <c r="AB1622"/>
      <c r="AC1622"/>
      <c r="AD1622"/>
      <c r="AE1622"/>
      <c r="AF1622"/>
      <c r="AG1622"/>
      <c r="AH1622"/>
      <c r="AI1622"/>
      <c r="AJ1622"/>
      <c r="AK1622"/>
      <c r="AL1622"/>
      <c r="AM1622"/>
      <c r="AN1622"/>
      <c r="AO1622"/>
    </row>
    <row r="1623" spans="1:41" ht="15">
      <c r="A1623"/>
      <c r="B1623"/>
      <c r="C1623" s="137"/>
      <c r="D1623" s="30"/>
      <c r="E1623" s="30"/>
      <c r="F1623" s="10"/>
      <c r="G1623" s="10"/>
      <c r="H1623" s="15"/>
      <c r="I1623" s="15"/>
      <c r="J1623" s="15"/>
      <c r="K1623" s="15"/>
      <c r="L1623" s="15"/>
      <c r="M1623" s="15"/>
      <c r="N1623" s="15"/>
      <c r="O1623" s="15"/>
      <c r="P1623" s="15"/>
      <c r="Q1623" s="71"/>
      <c r="R1623" s="84"/>
      <c r="S1623" s="10"/>
      <c r="T1623" s="10"/>
      <c r="U1623" s="10"/>
      <c r="V1623" s="10"/>
      <c r="W1623" s="138"/>
      <c r="Y1623"/>
      <c r="Z1623"/>
      <c r="AA1623"/>
      <c r="AB1623"/>
      <c r="AC1623"/>
      <c r="AD1623"/>
      <c r="AE1623"/>
      <c r="AF1623"/>
      <c r="AG1623"/>
      <c r="AH1623"/>
      <c r="AI1623"/>
      <c r="AJ1623"/>
      <c r="AK1623"/>
      <c r="AL1623"/>
      <c r="AM1623"/>
      <c r="AN1623"/>
      <c r="AO1623"/>
    </row>
    <row r="1624" spans="1:41" ht="15">
      <c r="A1624"/>
      <c r="B1624"/>
      <c r="C1624" s="137"/>
      <c r="D1624" s="30"/>
      <c r="E1624" s="30"/>
      <c r="F1624" s="10"/>
      <c r="G1624" s="10"/>
      <c r="H1624" s="15"/>
      <c r="I1624" s="15"/>
      <c r="J1624" s="15"/>
      <c r="K1624" s="15"/>
      <c r="L1624" s="15"/>
      <c r="M1624" s="15"/>
      <c r="N1624" s="15"/>
      <c r="O1624" s="15"/>
      <c r="P1624" s="15"/>
      <c r="Q1624" s="71"/>
      <c r="R1624" s="84"/>
      <c r="S1624" s="10"/>
      <c r="T1624" s="10"/>
      <c r="U1624" s="10"/>
      <c r="V1624" s="10"/>
      <c r="W1624" s="138"/>
      <c r="Y1624"/>
      <c r="Z1624"/>
      <c r="AA1624"/>
      <c r="AB1624"/>
      <c r="AC1624"/>
      <c r="AD1624"/>
      <c r="AE1624"/>
      <c r="AF1624"/>
      <c r="AG1624"/>
      <c r="AH1624"/>
      <c r="AI1624"/>
      <c r="AJ1624"/>
      <c r="AK1624"/>
      <c r="AL1624"/>
      <c r="AM1624"/>
      <c r="AN1624"/>
      <c r="AO1624"/>
    </row>
    <row r="1625" spans="1:41" ht="15">
      <c r="A1625"/>
      <c r="B1625"/>
      <c r="C1625" s="137"/>
      <c r="D1625" s="30"/>
      <c r="E1625" s="30"/>
      <c r="F1625" s="10"/>
      <c r="G1625" s="10"/>
      <c r="H1625" s="15"/>
      <c r="I1625" s="15"/>
      <c r="J1625" s="15"/>
      <c r="K1625" s="15"/>
      <c r="L1625" s="15"/>
      <c r="M1625" s="15"/>
      <c r="N1625" s="15"/>
      <c r="O1625" s="15"/>
      <c r="P1625" s="15"/>
      <c r="Q1625" s="71"/>
      <c r="R1625" s="84"/>
      <c r="S1625" s="10"/>
      <c r="T1625" s="10"/>
      <c r="U1625" s="10"/>
      <c r="V1625" s="10"/>
      <c r="W1625" s="138"/>
      <c r="Y1625"/>
      <c r="Z1625"/>
      <c r="AA1625"/>
      <c r="AB1625"/>
      <c r="AC1625"/>
      <c r="AD1625"/>
      <c r="AE1625"/>
      <c r="AF1625"/>
      <c r="AG1625"/>
      <c r="AH1625"/>
      <c r="AI1625"/>
      <c r="AJ1625"/>
      <c r="AK1625"/>
      <c r="AL1625"/>
      <c r="AM1625"/>
      <c r="AN1625"/>
      <c r="AO1625"/>
    </row>
    <row r="1626" spans="1:41" ht="15">
      <c r="A1626"/>
      <c r="B1626"/>
      <c r="C1626" s="137"/>
      <c r="D1626" s="30"/>
      <c r="E1626" s="30"/>
      <c r="F1626" s="10"/>
      <c r="G1626" s="10"/>
      <c r="H1626" s="15"/>
      <c r="I1626" s="15"/>
      <c r="J1626" s="15"/>
      <c r="K1626" s="15"/>
      <c r="L1626" s="15"/>
      <c r="M1626" s="15"/>
      <c r="N1626" s="15"/>
      <c r="O1626" s="15"/>
      <c r="P1626" s="15"/>
      <c r="Q1626" s="71"/>
      <c r="R1626" s="84"/>
      <c r="S1626" s="10"/>
      <c r="T1626" s="10"/>
      <c r="U1626" s="10"/>
      <c r="V1626" s="10"/>
      <c r="W1626" s="138"/>
      <c r="Y1626"/>
      <c r="Z1626"/>
      <c r="AA1626"/>
      <c r="AB1626"/>
      <c r="AC1626"/>
      <c r="AD1626"/>
      <c r="AE1626"/>
      <c r="AF1626"/>
      <c r="AG1626"/>
      <c r="AH1626"/>
      <c r="AI1626"/>
      <c r="AJ1626"/>
      <c r="AK1626"/>
      <c r="AL1626"/>
      <c r="AM1626"/>
      <c r="AN1626"/>
      <c r="AO1626"/>
    </row>
    <row r="1627" spans="1:41" ht="15">
      <c r="A1627"/>
      <c r="B1627"/>
      <c r="C1627" s="137"/>
      <c r="D1627" s="30"/>
      <c r="E1627" s="30"/>
      <c r="F1627" s="10"/>
      <c r="G1627" s="10"/>
      <c r="H1627" s="15"/>
      <c r="I1627" s="15"/>
      <c r="J1627" s="15"/>
      <c r="K1627" s="15"/>
      <c r="L1627" s="15"/>
      <c r="M1627" s="15"/>
      <c r="N1627" s="15"/>
      <c r="O1627" s="15"/>
      <c r="P1627" s="15"/>
      <c r="Q1627" s="71"/>
      <c r="R1627" s="84"/>
      <c r="S1627" s="10"/>
      <c r="T1627" s="10"/>
      <c r="U1627" s="10"/>
      <c r="V1627" s="10"/>
      <c r="W1627" s="138"/>
      <c r="Y1627"/>
      <c r="Z1627"/>
      <c r="AA1627"/>
      <c r="AB1627"/>
      <c r="AC1627"/>
      <c r="AD1627"/>
      <c r="AE1627"/>
      <c r="AF1627"/>
      <c r="AG1627"/>
      <c r="AH1627"/>
      <c r="AI1627"/>
      <c r="AJ1627"/>
      <c r="AK1627"/>
      <c r="AL1627"/>
      <c r="AM1627"/>
      <c r="AN1627"/>
      <c r="AO1627"/>
    </row>
    <row r="1628" spans="1:41" ht="15">
      <c r="A1628"/>
      <c r="B1628"/>
      <c r="C1628" s="137"/>
      <c r="D1628" s="30"/>
      <c r="E1628" s="30"/>
      <c r="F1628" s="10"/>
      <c r="G1628" s="10"/>
      <c r="H1628" s="15"/>
      <c r="I1628" s="15"/>
      <c r="J1628" s="15"/>
      <c r="K1628" s="15"/>
      <c r="L1628" s="15"/>
      <c r="M1628" s="15"/>
      <c r="N1628" s="15"/>
      <c r="O1628" s="15"/>
      <c r="P1628" s="15"/>
      <c r="Q1628" s="71"/>
      <c r="R1628" s="84"/>
      <c r="S1628" s="10"/>
      <c r="T1628" s="10"/>
      <c r="U1628" s="10"/>
      <c r="V1628" s="10"/>
      <c r="W1628" s="138"/>
      <c r="Y1628"/>
      <c r="Z1628"/>
      <c r="AA1628"/>
      <c r="AB1628"/>
      <c r="AC1628"/>
      <c r="AD1628"/>
      <c r="AE1628"/>
      <c r="AF1628"/>
      <c r="AG1628"/>
      <c r="AH1628"/>
      <c r="AI1628"/>
      <c r="AJ1628"/>
      <c r="AK1628"/>
      <c r="AL1628"/>
      <c r="AM1628"/>
      <c r="AN1628"/>
      <c r="AO1628"/>
    </row>
    <row r="1629" spans="1:41" ht="15">
      <c r="A1629"/>
      <c r="B1629"/>
      <c r="C1629" s="137"/>
      <c r="D1629" s="30"/>
      <c r="E1629" s="30"/>
      <c r="F1629" s="10"/>
      <c r="G1629" s="10"/>
      <c r="H1629" s="15"/>
      <c r="I1629" s="15"/>
      <c r="J1629" s="15"/>
      <c r="K1629" s="15"/>
      <c r="L1629" s="15"/>
      <c r="M1629" s="15"/>
      <c r="N1629" s="15"/>
      <c r="O1629" s="15"/>
      <c r="P1629" s="15"/>
      <c r="Q1629" s="71"/>
      <c r="R1629" s="84"/>
      <c r="S1629" s="10"/>
      <c r="T1629" s="10"/>
      <c r="U1629" s="10"/>
      <c r="V1629" s="10"/>
      <c r="W1629" s="138"/>
      <c r="Y1629"/>
      <c r="Z1629"/>
      <c r="AA1629"/>
      <c r="AB1629"/>
      <c r="AC1629"/>
      <c r="AD1629"/>
      <c r="AE1629"/>
      <c r="AF1629"/>
      <c r="AG1629"/>
      <c r="AH1629"/>
      <c r="AI1629"/>
      <c r="AJ1629"/>
      <c r="AK1629"/>
      <c r="AL1629"/>
      <c r="AM1629"/>
      <c r="AN1629"/>
      <c r="AO1629"/>
    </row>
    <row r="1630" spans="1:41" ht="15">
      <c r="A1630"/>
      <c r="B1630"/>
      <c r="C1630" s="137"/>
      <c r="D1630" s="30"/>
      <c r="E1630" s="30"/>
      <c r="F1630" s="10"/>
      <c r="G1630" s="10"/>
      <c r="H1630" s="15"/>
      <c r="I1630" s="15"/>
      <c r="J1630" s="15"/>
      <c r="K1630" s="15"/>
      <c r="L1630" s="15"/>
      <c r="M1630" s="15"/>
      <c r="N1630" s="15"/>
      <c r="O1630" s="15"/>
      <c r="P1630" s="15"/>
      <c r="Q1630" s="71"/>
      <c r="R1630" s="84"/>
      <c r="S1630" s="10"/>
      <c r="T1630" s="10"/>
      <c r="U1630" s="10"/>
      <c r="V1630" s="10"/>
      <c r="W1630" s="138"/>
      <c r="Y1630"/>
      <c r="Z1630"/>
      <c r="AA1630"/>
      <c r="AB1630"/>
      <c r="AC1630"/>
      <c r="AD1630"/>
      <c r="AE1630"/>
      <c r="AF1630"/>
      <c r="AG1630"/>
      <c r="AH1630"/>
      <c r="AI1630"/>
      <c r="AJ1630"/>
      <c r="AK1630"/>
      <c r="AL1630"/>
      <c r="AM1630"/>
      <c r="AN1630"/>
      <c r="AO1630"/>
    </row>
    <row r="1631" spans="1:41" ht="15">
      <c r="A1631"/>
      <c r="B1631"/>
      <c r="C1631" s="137"/>
      <c r="D1631" s="30"/>
      <c r="E1631" s="30"/>
      <c r="F1631" s="10"/>
      <c r="G1631" s="10"/>
      <c r="H1631" s="15"/>
      <c r="I1631" s="15"/>
      <c r="J1631" s="15"/>
      <c r="K1631" s="15"/>
      <c r="L1631" s="15"/>
      <c r="M1631" s="15"/>
      <c r="N1631" s="15"/>
      <c r="O1631" s="15"/>
      <c r="P1631" s="15"/>
      <c r="Q1631" s="71"/>
      <c r="R1631" s="84"/>
      <c r="S1631" s="10"/>
      <c r="T1631" s="10"/>
      <c r="U1631" s="10"/>
      <c r="V1631" s="10"/>
      <c r="W1631" s="138"/>
      <c r="Y1631"/>
      <c r="Z1631"/>
      <c r="AA1631"/>
      <c r="AB1631"/>
      <c r="AC1631"/>
      <c r="AD1631"/>
      <c r="AE1631"/>
      <c r="AF1631"/>
      <c r="AG1631"/>
      <c r="AH1631"/>
      <c r="AI1631"/>
      <c r="AJ1631"/>
      <c r="AK1631"/>
      <c r="AL1631"/>
      <c r="AM1631"/>
      <c r="AN1631"/>
      <c r="AO1631"/>
    </row>
    <row r="1632" spans="1:41" ht="15">
      <c r="A1632"/>
      <c r="B1632"/>
      <c r="C1632" s="137"/>
      <c r="D1632" s="30"/>
      <c r="E1632" s="30"/>
      <c r="F1632" s="10"/>
      <c r="G1632" s="10"/>
      <c r="H1632" s="15"/>
      <c r="I1632" s="15"/>
      <c r="J1632" s="15"/>
      <c r="K1632" s="15"/>
      <c r="L1632" s="15"/>
      <c r="M1632" s="15"/>
      <c r="N1632" s="15"/>
      <c r="O1632" s="15"/>
      <c r="P1632" s="15"/>
      <c r="Q1632" s="71"/>
      <c r="R1632" s="84"/>
      <c r="S1632" s="10"/>
      <c r="T1632" s="10"/>
      <c r="U1632" s="10"/>
      <c r="V1632" s="10"/>
      <c r="W1632" s="138"/>
      <c r="Y1632"/>
      <c r="Z1632"/>
      <c r="AA1632"/>
      <c r="AB1632"/>
      <c r="AC1632"/>
      <c r="AD1632"/>
      <c r="AE1632"/>
      <c r="AF1632"/>
      <c r="AG1632"/>
      <c r="AH1632"/>
      <c r="AI1632"/>
      <c r="AJ1632"/>
      <c r="AK1632"/>
      <c r="AL1632"/>
      <c r="AM1632"/>
      <c r="AN1632"/>
      <c r="AO1632"/>
    </row>
    <row r="1633" spans="1:41" ht="15">
      <c r="A1633"/>
      <c r="B1633"/>
      <c r="C1633" s="137"/>
      <c r="D1633" s="30"/>
      <c r="E1633" s="30"/>
      <c r="F1633" s="10"/>
      <c r="G1633" s="10"/>
      <c r="H1633" s="15"/>
      <c r="I1633" s="15"/>
      <c r="J1633" s="15"/>
      <c r="K1633" s="15"/>
      <c r="L1633" s="15"/>
      <c r="M1633" s="15"/>
      <c r="N1633" s="15"/>
      <c r="O1633" s="15"/>
      <c r="P1633" s="15"/>
      <c r="Q1633" s="71"/>
      <c r="R1633" s="84"/>
      <c r="S1633" s="10"/>
      <c r="T1633" s="10"/>
      <c r="U1633" s="10"/>
      <c r="V1633" s="10"/>
      <c r="W1633" s="138"/>
      <c r="Y1633"/>
      <c r="Z1633"/>
      <c r="AA1633"/>
      <c r="AB1633"/>
      <c r="AC1633"/>
      <c r="AD1633"/>
      <c r="AE1633"/>
      <c r="AF1633"/>
      <c r="AG1633"/>
      <c r="AH1633"/>
      <c r="AI1633"/>
      <c r="AJ1633"/>
      <c r="AK1633"/>
      <c r="AL1633"/>
      <c r="AM1633"/>
      <c r="AN1633"/>
      <c r="AO1633"/>
    </row>
    <row r="1634" spans="1:41" ht="15">
      <c r="A1634"/>
      <c r="B1634"/>
      <c r="C1634" s="137"/>
      <c r="D1634" s="30"/>
      <c r="E1634" s="30"/>
      <c r="F1634" s="10"/>
      <c r="G1634" s="10"/>
      <c r="H1634" s="15"/>
      <c r="I1634" s="15"/>
      <c r="J1634" s="15"/>
      <c r="K1634" s="15"/>
      <c r="L1634" s="15"/>
      <c r="M1634" s="15"/>
      <c r="N1634" s="15"/>
      <c r="O1634" s="15"/>
      <c r="P1634" s="15"/>
      <c r="Q1634" s="71"/>
      <c r="R1634" s="84"/>
      <c r="S1634" s="10"/>
      <c r="T1634" s="10"/>
      <c r="U1634" s="10"/>
      <c r="V1634" s="10"/>
      <c r="W1634" s="138"/>
      <c r="Y1634"/>
      <c r="Z1634"/>
      <c r="AA1634"/>
      <c r="AB1634"/>
      <c r="AC1634"/>
      <c r="AD1634"/>
      <c r="AE1634"/>
      <c r="AF1634"/>
      <c r="AG1634"/>
      <c r="AH1634"/>
      <c r="AI1634"/>
      <c r="AJ1634"/>
      <c r="AK1634"/>
      <c r="AL1634"/>
      <c r="AM1634"/>
      <c r="AN1634"/>
      <c r="AO1634"/>
    </row>
    <row r="1635" spans="1:41" ht="15">
      <c r="A1635"/>
      <c r="B1635"/>
      <c r="C1635" s="137"/>
      <c r="D1635" s="30"/>
      <c r="E1635" s="30"/>
      <c r="F1635" s="10"/>
      <c r="G1635" s="10"/>
      <c r="H1635" s="15"/>
      <c r="I1635" s="15"/>
      <c r="J1635" s="15"/>
      <c r="K1635" s="15"/>
      <c r="L1635" s="15"/>
      <c r="M1635" s="15"/>
      <c r="N1635" s="15"/>
      <c r="O1635" s="15"/>
      <c r="P1635" s="15"/>
      <c r="Q1635" s="71"/>
      <c r="R1635" s="84"/>
      <c r="S1635" s="10"/>
      <c r="T1635" s="10"/>
      <c r="U1635" s="10"/>
      <c r="V1635" s="10"/>
      <c r="W1635" s="138"/>
      <c r="Y1635"/>
      <c r="Z1635"/>
      <c r="AA1635"/>
      <c r="AB1635"/>
      <c r="AC1635"/>
      <c r="AD1635"/>
      <c r="AE1635"/>
      <c r="AF1635"/>
      <c r="AG1635"/>
      <c r="AH1635"/>
      <c r="AI1635"/>
      <c r="AJ1635"/>
      <c r="AK1635"/>
      <c r="AL1635"/>
      <c r="AM1635"/>
      <c r="AN1635"/>
      <c r="AO1635"/>
    </row>
    <row r="1636" spans="1:41" ht="15">
      <c r="A1636"/>
      <c r="B1636"/>
      <c r="C1636" s="137"/>
      <c r="D1636" s="30"/>
      <c r="E1636" s="30"/>
      <c r="F1636" s="10"/>
      <c r="G1636" s="10"/>
      <c r="H1636" s="15"/>
      <c r="I1636" s="15"/>
      <c r="J1636" s="15"/>
      <c r="K1636" s="15"/>
      <c r="L1636" s="15"/>
      <c r="M1636" s="15"/>
      <c r="N1636" s="15"/>
      <c r="O1636" s="15"/>
      <c r="P1636" s="15"/>
      <c r="Q1636" s="71"/>
      <c r="R1636" s="84"/>
      <c r="S1636" s="10"/>
      <c r="T1636" s="10"/>
      <c r="U1636" s="10"/>
      <c r="V1636" s="10"/>
      <c r="W1636" s="138"/>
      <c r="Y1636"/>
      <c r="Z1636"/>
      <c r="AA1636"/>
      <c r="AB1636"/>
      <c r="AC1636"/>
      <c r="AD1636"/>
      <c r="AE1636"/>
      <c r="AF1636"/>
      <c r="AG1636"/>
      <c r="AH1636"/>
      <c r="AI1636"/>
      <c r="AJ1636"/>
      <c r="AK1636"/>
      <c r="AL1636"/>
      <c r="AM1636"/>
      <c r="AN1636"/>
      <c r="AO1636"/>
    </row>
    <row r="1637" spans="1:41" ht="15">
      <c r="A1637"/>
      <c r="B1637"/>
      <c r="C1637" s="137"/>
      <c r="D1637" s="30"/>
      <c r="E1637" s="30"/>
      <c r="F1637" s="10"/>
      <c r="G1637" s="10"/>
      <c r="H1637" s="15"/>
      <c r="I1637" s="15"/>
      <c r="J1637" s="15"/>
      <c r="K1637" s="15"/>
      <c r="L1637" s="15"/>
      <c r="M1637" s="15"/>
      <c r="N1637" s="15"/>
      <c r="O1637" s="15"/>
      <c r="P1637" s="15"/>
      <c r="Q1637" s="71"/>
      <c r="R1637" s="84"/>
      <c r="S1637" s="10"/>
      <c r="T1637" s="10"/>
      <c r="U1637" s="10"/>
      <c r="V1637" s="10"/>
      <c r="W1637" s="138"/>
      <c r="Y1637"/>
      <c r="Z1637"/>
      <c r="AA1637"/>
      <c r="AB1637"/>
      <c r="AC1637"/>
      <c r="AD1637"/>
      <c r="AE1637"/>
      <c r="AF1637"/>
      <c r="AG1637"/>
      <c r="AH1637"/>
      <c r="AI1637"/>
      <c r="AJ1637"/>
      <c r="AK1637"/>
      <c r="AL1637"/>
      <c r="AM1637"/>
      <c r="AN1637"/>
      <c r="AO1637"/>
    </row>
    <row r="1638" spans="1:41" ht="15">
      <c r="A1638"/>
      <c r="B1638"/>
      <c r="C1638" s="137"/>
      <c r="D1638" s="30"/>
      <c r="E1638" s="30"/>
      <c r="F1638" s="10"/>
      <c r="G1638" s="10"/>
      <c r="H1638" s="15"/>
      <c r="I1638" s="15"/>
      <c r="J1638" s="15"/>
      <c r="K1638" s="15"/>
      <c r="L1638" s="15"/>
      <c r="M1638" s="15"/>
      <c r="N1638" s="15"/>
      <c r="O1638" s="15"/>
      <c r="P1638" s="15"/>
      <c r="Q1638" s="71"/>
      <c r="R1638" s="84"/>
      <c r="S1638" s="10"/>
      <c r="T1638" s="10"/>
      <c r="U1638" s="10"/>
      <c r="V1638" s="10"/>
      <c r="W1638" s="138"/>
      <c r="Y1638"/>
      <c r="Z1638"/>
      <c r="AA1638"/>
      <c r="AB1638"/>
      <c r="AC1638"/>
      <c r="AD1638"/>
      <c r="AE1638"/>
      <c r="AF1638"/>
      <c r="AG1638"/>
      <c r="AH1638"/>
      <c r="AI1638"/>
      <c r="AJ1638"/>
      <c r="AK1638"/>
      <c r="AL1638"/>
      <c r="AM1638"/>
      <c r="AN1638"/>
      <c r="AO1638"/>
    </row>
    <row r="1639" spans="1:41" ht="15">
      <c r="A1639"/>
      <c r="B1639"/>
      <c r="C1639" s="137"/>
      <c r="D1639" s="30"/>
      <c r="E1639" s="30"/>
      <c r="F1639" s="10"/>
      <c r="G1639" s="10"/>
      <c r="H1639" s="15"/>
      <c r="I1639" s="15"/>
      <c r="J1639" s="15"/>
      <c r="K1639" s="15"/>
      <c r="L1639" s="15"/>
      <c r="M1639" s="15"/>
      <c r="N1639" s="15"/>
      <c r="O1639" s="15"/>
      <c r="P1639" s="15"/>
      <c r="Q1639" s="71"/>
      <c r="R1639" s="84"/>
      <c r="S1639" s="10"/>
      <c r="T1639" s="10"/>
      <c r="U1639" s="10"/>
      <c r="V1639" s="10"/>
      <c r="W1639" s="138"/>
      <c r="Y1639"/>
      <c r="Z1639"/>
      <c r="AA1639"/>
      <c r="AB1639"/>
      <c r="AC1639"/>
      <c r="AD1639"/>
      <c r="AE1639"/>
      <c r="AF1639"/>
      <c r="AG1639"/>
      <c r="AH1639"/>
      <c r="AI1639"/>
      <c r="AJ1639"/>
      <c r="AK1639"/>
      <c r="AL1639"/>
      <c r="AM1639"/>
      <c r="AN1639"/>
      <c r="AO1639"/>
    </row>
    <row r="1640" spans="1:41" ht="15">
      <c r="A1640"/>
      <c r="B1640"/>
      <c r="C1640" s="137"/>
      <c r="D1640" s="30"/>
      <c r="E1640" s="30"/>
      <c r="F1640" s="10"/>
      <c r="G1640" s="10"/>
      <c r="H1640" s="15"/>
      <c r="I1640" s="15"/>
      <c r="J1640" s="15"/>
      <c r="K1640" s="15"/>
      <c r="L1640" s="15"/>
      <c r="M1640" s="15"/>
      <c r="N1640" s="15"/>
      <c r="O1640" s="15"/>
      <c r="P1640" s="15"/>
      <c r="Q1640" s="71"/>
      <c r="R1640" s="84"/>
      <c r="S1640" s="10"/>
      <c r="T1640" s="10"/>
      <c r="U1640" s="10"/>
      <c r="V1640" s="10"/>
      <c r="W1640" s="138"/>
      <c r="Y1640"/>
      <c r="Z1640"/>
      <c r="AA1640"/>
      <c r="AB1640"/>
      <c r="AC1640"/>
      <c r="AD1640"/>
      <c r="AE1640"/>
      <c r="AF1640"/>
      <c r="AG1640"/>
      <c r="AH1640"/>
      <c r="AI1640"/>
      <c r="AJ1640"/>
      <c r="AK1640"/>
      <c r="AL1640"/>
      <c r="AM1640"/>
      <c r="AN1640"/>
      <c r="AO1640"/>
    </row>
    <row r="1641" spans="1:41" ht="15">
      <c r="A1641"/>
      <c r="B1641"/>
      <c r="C1641" s="137"/>
      <c r="D1641" s="30"/>
      <c r="E1641" s="30"/>
      <c r="F1641" s="10"/>
      <c r="G1641" s="10"/>
      <c r="H1641" s="15"/>
      <c r="I1641" s="15"/>
      <c r="J1641" s="15"/>
      <c r="K1641" s="15"/>
      <c r="L1641" s="15"/>
      <c r="M1641" s="15"/>
      <c r="N1641" s="15"/>
      <c r="O1641" s="15"/>
      <c r="P1641" s="15"/>
      <c r="Q1641" s="71"/>
      <c r="R1641" s="84"/>
      <c r="S1641" s="10"/>
      <c r="T1641" s="10"/>
      <c r="U1641" s="10"/>
      <c r="V1641" s="10"/>
      <c r="W1641" s="138"/>
      <c r="Y1641"/>
      <c r="Z1641"/>
      <c r="AA1641"/>
      <c r="AB1641"/>
      <c r="AC1641"/>
      <c r="AD1641"/>
      <c r="AE1641"/>
      <c r="AF1641"/>
      <c r="AG1641"/>
      <c r="AH1641"/>
      <c r="AI1641"/>
      <c r="AJ1641"/>
      <c r="AK1641"/>
      <c r="AL1641"/>
      <c r="AM1641"/>
      <c r="AN1641"/>
      <c r="AO1641"/>
    </row>
    <row r="1642" spans="1:41" ht="15">
      <c r="A1642"/>
      <c r="B1642"/>
      <c r="C1642" s="137"/>
      <c r="D1642" s="30"/>
      <c r="E1642" s="30"/>
      <c r="F1642" s="10"/>
      <c r="G1642" s="10"/>
      <c r="H1642" s="15"/>
      <c r="I1642" s="15"/>
      <c r="J1642" s="15"/>
      <c r="K1642" s="15"/>
      <c r="L1642" s="15"/>
      <c r="M1642" s="15"/>
      <c r="N1642" s="15"/>
      <c r="O1642" s="15"/>
      <c r="P1642" s="15"/>
      <c r="Q1642" s="71"/>
      <c r="R1642" s="84"/>
      <c r="S1642" s="10"/>
      <c r="T1642" s="10"/>
      <c r="U1642" s="10"/>
      <c r="V1642" s="10"/>
      <c r="W1642" s="138"/>
      <c r="Y1642"/>
      <c r="Z1642"/>
      <c r="AA1642"/>
      <c r="AB1642"/>
      <c r="AC1642"/>
      <c r="AD1642"/>
      <c r="AE1642"/>
      <c r="AF1642"/>
      <c r="AG1642"/>
      <c r="AH1642"/>
      <c r="AI1642"/>
      <c r="AJ1642"/>
      <c r="AK1642"/>
      <c r="AL1642"/>
      <c r="AM1642"/>
      <c r="AN1642"/>
      <c r="AO1642"/>
    </row>
    <row r="1643" spans="1:41" ht="15">
      <c r="A1643"/>
      <c r="B1643"/>
      <c r="C1643" s="137"/>
      <c r="D1643" s="30"/>
      <c r="E1643" s="30"/>
      <c r="F1643" s="10"/>
      <c r="G1643" s="10"/>
      <c r="H1643" s="15"/>
      <c r="I1643" s="15"/>
      <c r="J1643" s="15"/>
      <c r="K1643" s="15"/>
      <c r="L1643" s="15"/>
      <c r="M1643" s="15"/>
      <c r="N1643" s="15"/>
      <c r="O1643" s="15"/>
      <c r="P1643" s="15"/>
      <c r="Q1643" s="71"/>
      <c r="R1643" s="84"/>
      <c r="S1643" s="10"/>
      <c r="T1643" s="10"/>
      <c r="U1643" s="10"/>
      <c r="V1643" s="10"/>
      <c r="W1643" s="138"/>
      <c r="Y1643"/>
      <c r="Z1643"/>
      <c r="AA1643"/>
      <c r="AB1643"/>
      <c r="AC1643"/>
      <c r="AD1643"/>
      <c r="AE1643"/>
      <c r="AF1643"/>
      <c r="AG1643"/>
      <c r="AH1643"/>
      <c r="AI1643"/>
      <c r="AJ1643"/>
      <c r="AK1643"/>
      <c r="AL1643"/>
      <c r="AM1643"/>
      <c r="AN1643"/>
      <c r="AO1643"/>
    </row>
    <row r="1644" spans="1:41" ht="15">
      <c r="A1644"/>
      <c r="B1644"/>
      <c r="C1644" s="137"/>
      <c r="D1644" s="30"/>
      <c r="E1644" s="30"/>
      <c r="F1644" s="10"/>
      <c r="G1644" s="10"/>
      <c r="H1644" s="15"/>
      <c r="I1644" s="15"/>
      <c r="J1644" s="15"/>
      <c r="K1644" s="15"/>
      <c r="L1644" s="15"/>
      <c r="M1644" s="15"/>
      <c r="N1644" s="15"/>
      <c r="O1644" s="15"/>
      <c r="P1644" s="15"/>
      <c r="Q1644" s="71"/>
      <c r="R1644" s="84"/>
      <c r="S1644" s="10"/>
      <c r="T1644" s="10"/>
      <c r="U1644" s="10"/>
      <c r="V1644" s="10"/>
      <c r="W1644" s="138"/>
      <c r="Y1644"/>
      <c r="Z1644"/>
      <c r="AA1644"/>
      <c r="AB1644"/>
      <c r="AC1644"/>
      <c r="AD1644"/>
      <c r="AE1644"/>
      <c r="AF1644"/>
      <c r="AG1644"/>
      <c r="AH1644"/>
      <c r="AI1644"/>
      <c r="AJ1644"/>
      <c r="AK1644"/>
      <c r="AL1644"/>
      <c r="AM1644"/>
      <c r="AN1644"/>
      <c r="AO1644"/>
    </row>
    <row r="1645" spans="1:41" ht="15">
      <c r="A1645"/>
      <c r="B1645"/>
      <c r="C1645" s="137"/>
      <c r="D1645" s="30"/>
      <c r="E1645" s="30"/>
      <c r="F1645" s="10"/>
      <c r="G1645" s="10"/>
      <c r="H1645" s="15"/>
      <c r="I1645" s="15"/>
      <c r="J1645" s="15"/>
      <c r="K1645" s="15"/>
      <c r="L1645" s="15"/>
      <c r="M1645" s="15"/>
      <c r="N1645" s="15"/>
      <c r="O1645" s="15"/>
      <c r="P1645" s="15"/>
      <c r="Q1645" s="71"/>
      <c r="R1645" s="84"/>
      <c r="S1645" s="10"/>
      <c r="T1645" s="10"/>
      <c r="U1645" s="10"/>
      <c r="V1645" s="10"/>
      <c r="W1645" s="138"/>
      <c r="Y1645"/>
      <c r="Z1645"/>
      <c r="AA1645"/>
      <c r="AB1645"/>
      <c r="AC1645"/>
      <c r="AD1645"/>
      <c r="AE1645"/>
      <c r="AF1645"/>
      <c r="AG1645"/>
      <c r="AH1645"/>
      <c r="AI1645"/>
      <c r="AJ1645"/>
      <c r="AK1645"/>
      <c r="AL1645"/>
      <c r="AM1645"/>
      <c r="AN1645"/>
      <c r="AO1645"/>
    </row>
    <row r="1646" spans="1:41" ht="15">
      <c r="A1646"/>
      <c r="B1646"/>
      <c r="C1646" s="137"/>
      <c r="D1646" s="30"/>
      <c r="E1646" s="30"/>
      <c r="F1646" s="10"/>
      <c r="G1646" s="10"/>
      <c r="H1646" s="15"/>
      <c r="I1646" s="15"/>
      <c r="J1646" s="15"/>
      <c r="K1646" s="15"/>
      <c r="L1646" s="15"/>
      <c r="M1646" s="15"/>
      <c r="N1646" s="15"/>
      <c r="O1646" s="15"/>
      <c r="P1646" s="15"/>
      <c r="Q1646" s="71"/>
      <c r="R1646" s="84"/>
      <c r="S1646" s="10"/>
      <c r="T1646" s="10"/>
      <c r="U1646" s="10"/>
      <c r="V1646" s="10"/>
      <c r="W1646" s="138"/>
      <c r="Y1646"/>
      <c r="Z1646"/>
      <c r="AA1646"/>
      <c r="AB1646"/>
      <c r="AC1646"/>
      <c r="AD1646"/>
      <c r="AE1646"/>
      <c r="AF1646"/>
      <c r="AG1646"/>
      <c r="AH1646"/>
      <c r="AI1646"/>
      <c r="AJ1646"/>
      <c r="AK1646"/>
      <c r="AL1646"/>
      <c r="AM1646"/>
      <c r="AN1646"/>
      <c r="AO1646"/>
    </row>
    <row r="1647" spans="1:41" ht="15">
      <c r="A1647"/>
      <c r="B1647"/>
      <c r="C1647" s="137"/>
      <c r="D1647" s="30"/>
      <c r="E1647" s="30"/>
      <c r="F1647" s="10"/>
      <c r="G1647" s="10"/>
      <c r="H1647" s="15"/>
      <c r="I1647" s="15"/>
      <c r="J1647" s="15"/>
      <c r="K1647" s="15"/>
      <c r="L1647" s="15"/>
      <c r="M1647" s="15"/>
      <c r="N1647" s="15"/>
      <c r="O1647" s="15"/>
      <c r="P1647" s="15"/>
      <c r="Q1647" s="71"/>
      <c r="R1647" s="84"/>
      <c r="S1647" s="10"/>
      <c r="T1647" s="10"/>
      <c r="U1647" s="10"/>
      <c r="V1647" s="10"/>
      <c r="W1647" s="138"/>
      <c r="Y1647"/>
      <c r="Z1647"/>
      <c r="AA1647"/>
      <c r="AB1647"/>
      <c r="AC1647"/>
      <c r="AD1647"/>
      <c r="AE1647"/>
      <c r="AF1647"/>
      <c r="AG1647"/>
      <c r="AH1647"/>
      <c r="AI1647"/>
      <c r="AJ1647"/>
      <c r="AK1647"/>
      <c r="AL1647"/>
      <c r="AM1647"/>
      <c r="AN1647"/>
      <c r="AO1647"/>
    </row>
    <row r="1648" spans="1:41" ht="15">
      <c r="A1648"/>
      <c r="B1648"/>
      <c r="C1648" s="137"/>
      <c r="D1648" s="30"/>
      <c r="E1648" s="30"/>
      <c r="F1648" s="10"/>
      <c r="G1648" s="10"/>
      <c r="H1648" s="15"/>
      <c r="I1648" s="15"/>
      <c r="J1648" s="15"/>
      <c r="K1648" s="15"/>
      <c r="L1648" s="15"/>
      <c r="M1648" s="15"/>
      <c r="N1648" s="15"/>
      <c r="O1648" s="15"/>
      <c r="P1648" s="15"/>
      <c r="Q1648" s="71"/>
      <c r="R1648" s="84"/>
      <c r="S1648" s="10"/>
      <c r="T1648" s="10"/>
      <c r="U1648" s="10"/>
      <c r="V1648" s="10"/>
      <c r="W1648" s="138"/>
      <c r="Y1648"/>
      <c r="Z1648"/>
      <c r="AA1648"/>
      <c r="AB1648"/>
      <c r="AC1648"/>
      <c r="AD1648"/>
      <c r="AE1648"/>
      <c r="AF1648"/>
      <c r="AG1648"/>
      <c r="AH1648"/>
      <c r="AI1648"/>
      <c r="AJ1648"/>
      <c r="AK1648"/>
      <c r="AL1648"/>
      <c r="AM1648"/>
      <c r="AN1648"/>
      <c r="AO1648"/>
    </row>
    <row r="1649" spans="1:41" ht="15">
      <c r="A1649"/>
      <c r="B1649"/>
      <c r="C1649" s="137"/>
      <c r="D1649" s="30"/>
      <c r="E1649" s="30"/>
      <c r="F1649" s="10"/>
      <c r="G1649" s="10"/>
      <c r="H1649" s="15"/>
      <c r="I1649" s="15"/>
      <c r="J1649" s="15"/>
      <c r="K1649" s="15"/>
      <c r="L1649" s="15"/>
      <c r="M1649" s="15"/>
      <c r="N1649" s="15"/>
      <c r="O1649" s="15"/>
      <c r="P1649" s="15"/>
      <c r="Q1649" s="71"/>
      <c r="R1649" s="84"/>
      <c r="S1649" s="10"/>
      <c r="T1649" s="10"/>
      <c r="U1649" s="10"/>
      <c r="V1649" s="10"/>
      <c r="W1649" s="138"/>
      <c r="Y1649"/>
      <c r="Z1649"/>
      <c r="AA1649"/>
      <c r="AB1649"/>
      <c r="AC1649"/>
      <c r="AD1649"/>
      <c r="AE1649"/>
      <c r="AF1649"/>
      <c r="AG1649"/>
      <c r="AH1649"/>
      <c r="AI1649"/>
      <c r="AJ1649"/>
      <c r="AK1649"/>
      <c r="AL1649"/>
      <c r="AM1649"/>
      <c r="AN1649"/>
      <c r="AO1649"/>
    </row>
    <row r="1650" spans="1:41" ht="15">
      <c r="A1650"/>
      <c r="B1650"/>
      <c r="C1650" s="137"/>
      <c r="D1650" s="30"/>
      <c r="E1650" s="30"/>
      <c r="F1650" s="10"/>
      <c r="G1650" s="10"/>
      <c r="H1650" s="15"/>
      <c r="I1650" s="15"/>
      <c r="J1650" s="15"/>
      <c r="K1650" s="15"/>
      <c r="L1650" s="15"/>
      <c r="M1650" s="15"/>
      <c r="N1650" s="15"/>
      <c r="O1650" s="15"/>
      <c r="P1650" s="15"/>
      <c r="Q1650" s="71"/>
      <c r="R1650" s="84"/>
      <c r="S1650" s="10"/>
      <c r="T1650" s="10"/>
      <c r="U1650" s="10"/>
      <c r="V1650" s="10"/>
      <c r="W1650" s="138"/>
      <c r="Y1650"/>
      <c r="Z1650"/>
      <c r="AA1650"/>
      <c r="AB1650"/>
      <c r="AC1650"/>
      <c r="AD1650"/>
      <c r="AE1650"/>
      <c r="AF1650"/>
      <c r="AG1650"/>
      <c r="AH1650"/>
      <c r="AI1650"/>
      <c r="AJ1650"/>
      <c r="AK1650"/>
      <c r="AL1650"/>
      <c r="AM1650"/>
      <c r="AN1650"/>
      <c r="AO1650"/>
    </row>
    <row r="1651" spans="1:41" ht="15">
      <c r="A1651"/>
      <c r="B1651"/>
      <c r="C1651" s="137"/>
      <c r="D1651" s="30"/>
      <c r="E1651" s="30"/>
      <c r="F1651" s="10"/>
      <c r="G1651" s="10"/>
      <c r="H1651" s="15"/>
      <c r="I1651" s="15"/>
      <c r="J1651" s="15"/>
      <c r="K1651" s="15"/>
      <c r="L1651" s="15"/>
      <c r="M1651" s="15"/>
      <c r="N1651" s="15"/>
      <c r="O1651" s="15"/>
      <c r="P1651" s="15"/>
      <c r="Q1651" s="71"/>
      <c r="R1651" s="84"/>
      <c r="S1651" s="10"/>
      <c r="T1651" s="10"/>
      <c r="U1651" s="10"/>
      <c r="V1651" s="10"/>
      <c r="W1651" s="138"/>
      <c r="Y1651"/>
      <c r="Z1651"/>
      <c r="AA1651"/>
      <c r="AB1651"/>
      <c r="AC1651"/>
      <c r="AD1651"/>
      <c r="AE1651"/>
      <c r="AF1651"/>
      <c r="AG1651"/>
      <c r="AH1651"/>
      <c r="AI1651"/>
      <c r="AJ1651"/>
      <c r="AK1651"/>
      <c r="AL1651"/>
      <c r="AM1651"/>
      <c r="AN1651"/>
      <c r="AO1651"/>
    </row>
    <row r="1652" spans="1:41" ht="15">
      <c r="A1652"/>
      <c r="B1652"/>
      <c r="C1652" s="137"/>
      <c r="D1652" s="30"/>
      <c r="E1652" s="30"/>
      <c r="F1652" s="10"/>
      <c r="G1652" s="10"/>
      <c r="H1652" s="15"/>
      <c r="I1652" s="15"/>
      <c r="J1652" s="15"/>
      <c r="K1652" s="15"/>
      <c r="L1652" s="15"/>
      <c r="M1652" s="15"/>
      <c r="N1652" s="15"/>
      <c r="O1652" s="15"/>
      <c r="P1652" s="15"/>
      <c r="Q1652" s="71"/>
      <c r="R1652" s="84"/>
      <c r="S1652" s="10"/>
      <c r="T1652" s="10"/>
      <c r="U1652" s="10"/>
      <c r="V1652" s="10"/>
      <c r="W1652" s="138"/>
      <c r="Y1652"/>
      <c r="Z1652"/>
      <c r="AA1652"/>
      <c r="AB1652"/>
      <c r="AC1652"/>
      <c r="AD1652"/>
      <c r="AE1652"/>
      <c r="AF1652"/>
      <c r="AG1652"/>
      <c r="AH1652"/>
      <c r="AI1652"/>
      <c r="AJ1652"/>
      <c r="AK1652"/>
      <c r="AL1652"/>
      <c r="AM1652"/>
      <c r="AN1652"/>
      <c r="AO1652"/>
    </row>
    <row r="1653" spans="1:41" ht="15">
      <c r="A1653"/>
      <c r="B1653"/>
      <c r="C1653" s="137"/>
      <c r="D1653" s="30"/>
      <c r="E1653" s="30"/>
      <c r="F1653" s="10"/>
      <c r="G1653" s="10"/>
      <c r="H1653" s="15"/>
      <c r="I1653" s="15"/>
      <c r="J1653" s="15"/>
      <c r="K1653" s="15"/>
      <c r="L1653" s="15"/>
      <c r="M1653" s="15"/>
      <c r="N1653" s="15"/>
      <c r="O1653" s="15"/>
      <c r="P1653" s="15"/>
      <c r="Q1653" s="71"/>
      <c r="R1653" s="84"/>
      <c r="S1653" s="10"/>
      <c r="T1653" s="10"/>
      <c r="U1653" s="10"/>
      <c r="V1653" s="10"/>
      <c r="W1653" s="138"/>
      <c r="Y1653"/>
      <c r="Z1653"/>
      <c r="AA1653"/>
      <c r="AB1653"/>
      <c r="AC1653"/>
      <c r="AD1653"/>
      <c r="AE1653"/>
      <c r="AF1653"/>
      <c r="AG1653"/>
      <c r="AH1653"/>
      <c r="AI1653"/>
      <c r="AJ1653"/>
      <c r="AK1653"/>
      <c r="AL1653"/>
      <c r="AM1653"/>
      <c r="AN1653"/>
      <c r="AO1653"/>
    </row>
    <row r="1654" spans="1:41" ht="15">
      <c r="A1654"/>
      <c r="B1654"/>
      <c r="C1654" s="137"/>
      <c r="D1654" s="30"/>
      <c r="E1654" s="30"/>
      <c r="F1654" s="10"/>
      <c r="G1654" s="10"/>
      <c r="H1654" s="15"/>
      <c r="I1654" s="15"/>
      <c r="J1654" s="15"/>
      <c r="K1654" s="15"/>
      <c r="L1654" s="15"/>
      <c r="M1654" s="15"/>
      <c r="N1654" s="15"/>
      <c r="O1654" s="15"/>
      <c r="P1654" s="15"/>
      <c r="Q1654" s="71"/>
      <c r="R1654" s="84"/>
      <c r="S1654" s="10"/>
      <c r="T1654" s="10"/>
      <c r="U1654" s="10"/>
      <c r="V1654" s="10"/>
      <c r="W1654" s="138"/>
      <c r="Y1654"/>
      <c r="Z1654"/>
      <c r="AA1654"/>
      <c r="AB1654"/>
      <c r="AC1654"/>
      <c r="AD1654"/>
      <c r="AE1654"/>
      <c r="AF1654"/>
      <c r="AG1654"/>
      <c r="AH1654"/>
      <c r="AI1654"/>
      <c r="AJ1654"/>
      <c r="AK1654"/>
      <c r="AL1654"/>
      <c r="AM1654"/>
      <c r="AN1654"/>
      <c r="AO1654"/>
    </row>
    <row r="1655" spans="1:41" ht="15">
      <c r="A1655"/>
      <c r="B1655"/>
      <c r="C1655" s="137"/>
      <c r="D1655" s="30"/>
      <c r="E1655" s="30"/>
      <c r="F1655" s="10"/>
      <c r="G1655" s="10"/>
      <c r="H1655" s="15"/>
      <c r="I1655" s="15"/>
      <c r="J1655" s="15"/>
      <c r="K1655" s="15"/>
      <c r="L1655" s="15"/>
      <c r="M1655" s="15"/>
      <c r="N1655" s="15"/>
      <c r="O1655" s="15"/>
      <c r="P1655" s="15"/>
      <c r="Q1655" s="71"/>
      <c r="R1655" s="84"/>
      <c r="S1655" s="10"/>
      <c r="T1655" s="10"/>
      <c r="U1655" s="10"/>
      <c r="V1655" s="10"/>
      <c r="W1655" s="138"/>
      <c r="Y1655"/>
      <c r="Z1655"/>
      <c r="AA1655"/>
      <c r="AB1655"/>
      <c r="AC1655"/>
      <c r="AD1655"/>
      <c r="AE1655"/>
      <c r="AF1655"/>
      <c r="AG1655"/>
      <c r="AH1655"/>
      <c r="AI1655"/>
      <c r="AJ1655"/>
      <c r="AK1655"/>
      <c r="AL1655"/>
      <c r="AM1655"/>
      <c r="AN1655"/>
      <c r="AO1655"/>
    </row>
    <row r="1656" spans="1:41" ht="15">
      <c r="A1656"/>
      <c r="B1656"/>
      <c r="C1656" s="137"/>
      <c r="D1656" s="30"/>
      <c r="E1656" s="30"/>
      <c r="F1656" s="10"/>
      <c r="G1656" s="10"/>
      <c r="H1656" s="15"/>
      <c r="I1656" s="15"/>
      <c r="J1656" s="15"/>
      <c r="K1656" s="15"/>
      <c r="L1656" s="15"/>
      <c r="M1656" s="15"/>
      <c r="N1656" s="15"/>
      <c r="O1656" s="15"/>
      <c r="P1656" s="15"/>
      <c r="Q1656" s="71"/>
      <c r="R1656" s="84"/>
      <c r="S1656" s="10"/>
      <c r="T1656" s="10"/>
      <c r="U1656" s="10"/>
      <c r="V1656" s="10"/>
      <c r="W1656" s="138"/>
      <c r="Y1656"/>
      <c r="Z1656"/>
      <c r="AA1656"/>
      <c r="AB1656"/>
      <c r="AC1656"/>
      <c r="AD1656"/>
      <c r="AE1656"/>
      <c r="AF1656"/>
      <c r="AG1656"/>
      <c r="AH1656"/>
      <c r="AI1656"/>
      <c r="AJ1656"/>
      <c r="AK1656"/>
      <c r="AL1656"/>
      <c r="AM1656"/>
      <c r="AN1656"/>
      <c r="AO1656"/>
    </row>
    <row r="1657" spans="1:41" ht="15">
      <c r="A1657"/>
      <c r="B1657"/>
      <c r="C1657" s="137"/>
      <c r="D1657" s="30"/>
      <c r="E1657" s="30"/>
      <c r="F1657" s="10"/>
      <c r="G1657" s="10"/>
      <c r="H1657" s="15"/>
      <c r="I1657" s="15"/>
      <c r="J1657" s="15"/>
      <c r="K1657" s="15"/>
      <c r="L1657" s="15"/>
      <c r="M1657" s="15"/>
      <c r="N1657" s="15"/>
      <c r="O1657" s="15"/>
      <c r="P1657" s="15"/>
      <c r="Q1657" s="71"/>
      <c r="R1657" s="84"/>
      <c r="S1657" s="10"/>
      <c r="T1657" s="10"/>
      <c r="U1657" s="10"/>
      <c r="V1657" s="10"/>
      <c r="W1657" s="138"/>
      <c r="Y1657"/>
      <c r="Z1657"/>
      <c r="AA1657"/>
      <c r="AB1657"/>
      <c r="AC1657"/>
      <c r="AD1657"/>
      <c r="AE1657"/>
      <c r="AF1657"/>
      <c r="AG1657"/>
      <c r="AH1657"/>
      <c r="AI1657"/>
      <c r="AJ1657"/>
      <c r="AK1657"/>
      <c r="AL1657"/>
      <c r="AM1657"/>
      <c r="AN1657"/>
      <c r="AO1657"/>
    </row>
    <row r="1658" spans="1:41" ht="15">
      <c r="A1658"/>
      <c r="B1658"/>
      <c r="C1658" s="137"/>
      <c r="D1658" s="30"/>
      <c r="E1658" s="30"/>
      <c r="F1658" s="10"/>
      <c r="G1658" s="10"/>
      <c r="H1658" s="15"/>
      <c r="I1658" s="15"/>
      <c r="J1658" s="15"/>
      <c r="K1658" s="15"/>
      <c r="L1658" s="15"/>
      <c r="M1658" s="15"/>
      <c r="N1658" s="15"/>
      <c r="O1658" s="15"/>
      <c r="P1658" s="15"/>
      <c r="Q1658" s="71"/>
      <c r="R1658" s="84"/>
      <c r="S1658" s="10"/>
      <c r="T1658" s="10"/>
      <c r="U1658" s="10"/>
      <c r="V1658" s="10"/>
      <c r="W1658" s="138"/>
      <c r="Y1658"/>
      <c r="Z1658"/>
      <c r="AA1658"/>
      <c r="AB1658"/>
      <c r="AC1658"/>
      <c r="AD1658"/>
      <c r="AE1658"/>
      <c r="AF1658"/>
      <c r="AG1658"/>
      <c r="AH1658"/>
      <c r="AI1658"/>
      <c r="AJ1658"/>
      <c r="AK1658"/>
      <c r="AL1658"/>
      <c r="AM1658"/>
      <c r="AN1658"/>
      <c r="AO1658"/>
    </row>
    <row r="1659" spans="1:41" ht="15">
      <c r="A1659"/>
      <c r="B1659"/>
      <c r="C1659" s="137"/>
      <c r="D1659" s="30"/>
      <c r="E1659" s="30"/>
      <c r="F1659" s="10"/>
      <c r="G1659" s="10"/>
      <c r="H1659" s="15"/>
      <c r="I1659" s="15"/>
      <c r="J1659" s="15"/>
      <c r="K1659" s="15"/>
      <c r="L1659" s="15"/>
      <c r="M1659" s="15"/>
      <c r="N1659" s="15"/>
      <c r="O1659" s="15"/>
      <c r="P1659" s="15"/>
      <c r="Q1659" s="71"/>
      <c r="R1659" s="84"/>
      <c r="S1659" s="10"/>
      <c r="T1659" s="10"/>
      <c r="U1659" s="10"/>
      <c r="V1659" s="10"/>
      <c r="W1659" s="138"/>
      <c r="Y1659"/>
      <c r="Z1659"/>
      <c r="AA1659"/>
      <c r="AB1659"/>
      <c r="AC1659"/>
      <c r="AD1659"/>
      <c r="AE1659"/>
      <c r="AF1659"/>
      <c r="AG1659"/>
      <c r="AH1659"/>
      <c r="AI1659"/>
      <c r="AJ1659"/>
      <c r="AK1659"/>
      <c r="AL1659"/>
      <c r="AM1659"/>
      <c r="AN1659"/>
      <c r="AO1659"/>
    </row>
    <row r="1660" spans="1:41" ht="15">
      <c r="A1660"/>
      <c r="B1660"/>
      <c r="C1660" s="137"/>
      <c r="D1660" s="30"/>
      <c r="E1660" s="30"/>
      <c r="F1660" s="10"/>
      <c r="G1660" s="10"/>
      <c r="H1660" s="15"/>
      <c r="I1660" s="15"/>
      <c r="J1660" s="15"/>
      <c r="K1660" s="15"/>
      <c r="L1660" s="15"/>
      <c r="M1660" s="15"/>
      <c r="N1660" s="15"/>
      <c r="O1660" s="15"/>
      <c r="P1660" s="15"/>
      <c r="Q1660" s="71"/>
      <c r="R1660" s="84"/>
      <c r="S1660" s="10"/>
      <c r="T1660" s="10"/>
      <c r="U1660" s="10"/>
      <c r="V1660" s="10"/>
      <c r="W1660" s="138"/>
      <c r="Y1660"/>
      <c r="Z1660"/>
      <c r="AA1660"/>
      <c r="AB1660"/>
      <c r="AC1660"/>
      <c r="AD1660"/>
      <c r="AE1660"/>
      <c r="AF1660"/>
      <c r="AG1660"/>
      <c r="AH1660"/>
      <c r="AI1660"/>
      <c r="AJ1660"/>
      <c r="AK1660"/>
      <c r="AL1660"/>
      <c r="AM1660"/>
      <c r="AN1660"/>
      <c r="AO1660"/>
    </row>
    <row r="1661" spans="1:41" ht="15">
      <c r="A1661"/>
      <c r="B1661"/>
      <c r="C1661" s="137"/>
      <c r="D1661" s="30"/>
      <c r="E1661" s="30"/>
      <c r="F1661" s="10"/>
      <c r="G1661" s="10"/>
      <c r="H1661" s="15"/>
      <c r="I1661" s="15"/>
      <c r="J1661" s="15"/>
      <c r="K1661" s="15"/>
      <c r="L1661" s="15"/>
      <c r="M1661" s="15"/>
      <c r="N1661" s="15"/>
      <c r="O1661" s="15"/>
      <c r="P1661" s="15"/>
      <c r="Q1661" s="71"/>
      <c r="R1661" s="84"/>
      <c r="S1661" s="10"/>
      <c r="T1661" s="10"/>
      <c r="U1661" s="10"/>
      <c r="V1661" s="10"/>
      <c r="W1661" s="138"/>
      <c r="Y1661"/>
      <c r="Z1661"/>
      <c r="AA1661"/>
      <c r="AB1661"/>
      <c r="AC1661"/>
      <c r="AD1661"/>
      <c r="AE1661"/>
      <c r="AF1661"/>
      <c r="AG1661"/>
      <c r="AH1661"/>
      <c r="AI1661"/>
      <c r="AJ1661"/>
      <c r="AK1661"/>
      <c r="AL1661"/>
      <c r="AM1661"/>
      <c r="AN1661"/>
      <c r="AO1661"/>
    </row>
    <row r="1662" spans="1:41" ht="15">
      <c r="A1662"/>
      <c r="B1662"/>
      <c r="C1662" s="137"/>
      <c r="D1662" s="30"/>
      <c r="E1662" s="30"/>
      <c r="F1662" s="10"/>
      <c r="G1662" s="10"/>
      <c r="H1662" s="15"/>
      <c r="I1662" s="15"/>
      <c r="J1662" s="15"/>
      <c r="K1662" s="15"/>
      <c r="L1662" s="15"/>
      <c r="M1662" s="15"/>
      <c r="N1662" s="15"/>
      <c r="O1662" s="15"/>
      <c r="P1662" s="15"/>
      <c r="Q1662" s="71"/>
      <c r="R1662" s="84"/>
      <c r="S1662" s="10"/>
      <c r="T1662" s="10"/>
      <c r="U1662" s="10"/>
      <c r="V1662" s="10"/>
      <c r="W1662" s="138"/>
      <c r="Y1662"/>
      <c r="Z1662"/>
      <c r="AA1662"/>
      <c r="AB1662"/>
      <c r="AC1662"/>
      <c r="AD1662"/>
      <c r="AE1662"/>
      <c r="AF1662"/>
      <c r="AG1662"/>
      <c r="AH1662"/>
      <c r="AI1662"/>
      <c r="AJ1662"/>
      <c r="AK1662"/>
      <c r="AL1662"/>
      <c r="AM1662"/>
      <c r="AN1662"/>
      <c r="AO1662"/>
    </row>
    <row r="1663" spans="1:41" ht="15">
      <c r="A1663"/>
      <c r="B1663"/>
      <c r="C1663" s="137"/>
      <c r="D1663" s="30"/>
      <c r="E1663" s="30"/>
      <c r="F1663" s="10"/>
      <c r="G1663" s="10"/>
      <c r="H1663" s="15"/>
      <c r="I1663" s="15"/>
      <c r="J1663" s="15"/>
      <c r="K1663" s="15"/>
      <c r="L1663" s="15"/>
      <c r="M1663" s="15"/>
      <c r="N1663" s="15"/>
      <c r="O1663" s="15"/>
      <c r="P1663" s="15"/>
      <c r="Q1663" s="71"/>
      <c r="R1663" s="84"/>
      <c r="S1663" s="10"/>
      <c r="T1663" s="10"/>
      <c r="U1663" s="10"/>
      <c r="V1663" s="10"/>
      <c r="W1663" s="138"/>
      <c r="Y1663"/>
      <c r="Z1663"/>
      <c r="AA1663"/>
      <c r="AB1663"/>
      <c r="AC1663"/>
      <c r="AD1663"/>
      <c r="AE1663"/>
      <c r="AF1663"/>
      <c r="AG1663"/>
      <c r="AH1663"/>
      <c r="AI1663"/>
      <c r="AJ1663"/>
      <c r="AK1663"/>
      <c r="AL1663"/>
      <c r="AM1663"/>
      <c r="AN1663"/>
      <c r="AO1663"/>
    </row>
    <row r="1664" spans="1:41" ht="15">
      <c r="A1664"/>
      <c r="B1664"/>
      <c r="C1664" s="137"/>
      <c r="D1664" s="30"/>
      <c r="E1664" s="30"/>
      <c r="F1664" s="10"/>
      <c r="G1664" s="10"/>
      <c r="H1664" s="15"/>
      <c r="I1664" s="15"/>
      <c r="J1664" s="15"/>
      <c r="K1664" s="15"/>
      <c r="L1664" s="15"/>
      <c r="M1664" s="15"/>
      <c r="N1664" s="15"/>
      <c r="O1664" s="15"/>
      <c r="P1664" s="15"/>
      <c r="Q1664" s="71"/>
      <c r="R1664" s="84"/>
      <c r="S1664" s="10"/>
      <c r="T1664" s="10"/>
      <c r="U1664" s="10"/>
      <c r="V1664" s="10"/>
      <c r="W1664" s="138"/>
      <c r="Y1664"/>
      <c r="Z1664"/>
      <c r="AA1664"/>
      <c r="AB1664"/>
      <c r="AC1664"/>
      <c r="AD1664"/>
      <c r="AE1664"/>
      <c r="AF1664"/>
      <c r="AG1664"/>
      <c r="AH1664"/>
      <c r="AI1664"/>
      <c r="AJ1664"/>
      <c r="AK1664"/>
      <c r="AL1664"/>
      <c r="AM1664"/>
      <c r="AN1664"/>
      <c r="AO1664"/>
    </row>
    <row r="1665" spans="1:41" ht="15">
      <c r="A1665"/>
      <c r="B1665"/>
      <c r="C1665" s="137"/>
      <c r="D1665" s="30"/>
      <c r="E1665" s="30"/>
      <c r="F1665" s="10"/>
      <c r="G1665" s="10"/>
      <c r="H1665" s="15"/>
      <c r="I1665" s="15"/>
      <c r="J1665" s="15"/>
      <c r="K1665" s="15"/>
      <c r="L1665" s="15"/>
      <c r="M1665" s="15"/>
      <c r="N1665" s="15"/>
      <c r="O1665" s="15"/>
      <c r="P1665" s="15"/>
      <c r="Q1665" s="71"/>
      <c r="R1665" s="84"/>
      <c r="S1665" s="10"/>
      <c r="T1665" s="10"/>
      <c r="U1665" s="10"/>
      <c r="V1665" s="10"/>
      <c r="W1665" s="138"/>
      <c r="Y1665"/>
      <c r="Z1665"/>
      <c r="AA1665"/>
      <c r="AB1665"/>
      <c r="AC1665"/>
      <c r="AD1665"/>
      <c r="AE1665"/>
      <c r="AF1665"/>
      <c r="AG1665"/>
      <c r="AH1665"/>
      <c r="AI1665"/>
      <c r="AJ1665"/>
      <c r="AK1665"/>
      <c r="AL1665"/>
      <c r="AM1665"/>
      <c r="AN1665"/>
      <c r="AO1665"/>
    </row>
    <row r="1666" spans="1:41" ht="15">
      <c r="A1666"/>
      <c r="B1666"/>
      <c r="C1666" s="137"/>
      <c r="D1666" s="30"/>
      <c r="E1666" s="30"/>
      <c r="F1666" s="10"/>
      <c r="G1666" s="10"/>
      <c r="H1666" s="15"/>
      <c r="I1666" s="15"/>
      <c r="J1666" s="15"/>
      <c r="K1666" s="15"/>
      <c r="L1666" s="15"/>
      <c r="M1666" s="15"/>
      <c r="N1666" s="15"/>
      <c r="O1666" s="15"/>
      <c r="P1666" s="15"/>
      <c r="Q1666" s="71"/>
      <c r="R1666" s="84"/>
      <c r="S1666" s="10"/>
      <c r="T1666" s="10"/>
      <c r="U1666" s="10"/>
      <c r="V1666" s="10"/>
      <c r="W1666" s="138"/>
      <c r="Y1666"/>
      <c r="Z1666"/>
      <c r="AA1666"/>
      <c r="AB1666"/>
      <c r="AC1666"/>
      <c r="AD1666"/>
      <c r="AE1666"/>
      <c r="AF1666"/>
      <c r="AG1666"/>
      <c r="AH1666"/>
      <c r="AI1666"/>
      <c r="AJ1666"/>
      <c r="AK1666"/>
      <c r="AL1666"/>
      <c r="AM1666"/>
      <c r="AN1666"/>
      <c r="AO1666"/>
    </row>
    <row r="1667" spans="1:41" ht="15">
      <c r="A1667"/>
      <c r="B1667"/>
      <c r="C1667" s="137"/>
      <c r="D1667" s="30"/>
      <c r="E1667" s="30"/>
      <c r="F1667" s="10"/>
      <c r="G1667" s="10"/>
      <c r="H1667" s="15"/>
      <c r="I1667" s="15"/>
      <c r="J1667" s="15"/>
      <c r="K1667" s="15"/>
      <c r="L1667" s="15"/>
      <c r="M1667" s="15"/>
      <c r="N1667" s="15"/>
      <c r="O1667" s="15"/>
      <c r="P1667" s="15"/>
      <c r="Q1667" s="71"/>
      <c r="R1667" s="84"/>
      <c r="S1667" s="10"/>
      <c r="T1667" s="10"/>
      <c r="U1667" s="10"/>
      <c r="V1667" s="10"/>
      <c r="W1667" s="138"/>
      <c r="Y1667"/>
      <c r="Z1667"/>
      <c r="AA1667"/>
      <c r="AB1667"/>
      <c r="AC1667"/>
      <c r="AD1667"/>
      <c r="AE1667"/>
      <c r="AF1667"/>
      <c r="AG1667"/>
      <c r="AH1667"/>
      <c r="AI1667"/>
      <c r="AJ1667"/>
      <c r="AK1667"/>
      <c r="AL1667"/>
      <c r="AM1667"/>
      <c r="AN1667"/>
      <c r="AO1667"/>
    </row>
    <row r="1668" spans="1:41" ht="15">
      <c r="A1668"/>
      <c r="B1668"/>
      <c r="C1668" s="137"/>
      <c r="D1668" s="30"/>
      <c r="E1668" s="30"/>
      <c r="F1668" s="10"/>
      <c r="G1668" s="10"/>
      <c r="H1668" s="15"/>
      <c r="I1668" s="15"/>
      <c r="J1668" s="15"/>
      <c r="K1668" s="15"/>
      <c r="L1668" s="15"/>
      <c r="M1668" s="15"/>
      <c r="N1668" s="15"/>
      <c r="O1668" s="15"/>
      <c r="P1668" s="15"/>
      <c r="Q1668" s="71"/>
      <c r="R1668" s="84"/>
      <c r="S1668" s="10"/>
      <c r="T1668" s="10"/>
      <c r="U1668" s="10"/>
      <c r="V1668" s="10"/>
      <c r="W1668" s="138"/>
      <c r="Y1668"/>
      <c r="Z1668"/>
      <c r="AA1668"/>
      <c r="AB1668"/>
      <c r="AC1668"/>
      <c r="AD1668"/>
      <c r="AE1668"/>
      <c r="AF1668"/>
      <c r="AG1668"/>
      <c r="AH1668"/>
      <c r="AI1668"/>
      <c r="AJ1668"/>
      <c r="AK1668"/>
      <c r="AL1668"/>
      <c r="AM1668"/>
      <c r="AN1668"/>
      <c r="AO1668"/>
    </row>
    <row r="1669" spans="1:41" ht="15">
      <c r="A1669"/>
      <c r="B1669"/>
      <c r="C1669" s="137"/>
      <c r="D1669" s="30"/>
      <c r="E1669" s="30"/>
      <c r="F1669" s="10"/>
      <c r="G1669" s="10"/>
      <c r="H1669" s="15"/>
      <c r="I1669" s="15"/>
      <c r="J1669" s="15"/>
      <c r="K1669" s="15"/>
      <c r="L1669" s="15"/>
      <c r="M1669" s="15"/>
      <c r="N1669" s="15"/>
      <c r="O1669" s="15"/>
      <c r="P1669" s="15"/>
      <c r="Q1669" s="71"/>
      <c r="R1669" s="84"/>
      <c r="S1669" s="10"/>
      <c r="T1669" s="10"/>
      <c r="U1669" s="10"/>
      <c r="V1669" s="10"/>
      <c r="W1669" s="138"/>
      <c r="Y1669"/>
      <c r="Z1669"/>
      <c r="AA1669"/>
      <c r="AB1669"/>
      <c r="AC1669"/>
      <c r="AD1669"/>
      <c r="AE1669"/>
      <c r="AF1669"/>
      <c r="AG1669"/>
      <c r="AH1669"/>
      <c r="AI1669"/>
      <c r="AJ1669"/>
      <c r="AK1669"/>
      <c r="AL1669"/>
      <c r="AM1669"/>
      <c r="AN1669"/>
      <c r="AO1669"/>
    </row>
    <row r="1670" spans="1:41" ht="15">
      <c r="A1670"/>
      <c r="B1670"/>
      <c r="C1670" s="137"/>
      <c r="D1670" s="30"/>
      <c r="E1670" s="30"/>
      <c r="F1670" s="10"/>
      <c r="G1670" s="10"/>
      <c r="H1670" s="15"/>
      <c r="I1670" s="15"/>
      <c r="J1670" s="15"/>
      <c r="K1670" s="15"/>
      <c r="L1670" s="15"/>
      <c r="M1670" s="15"/>
      <c r="N1670" s="15"/>
      <c r="O1670" s="15"/>
      <c r="P1670" s="15"/>
      <c r="Q1670" s="71"/>
      <c r="R1670" s="84"/>
      <c r="S1670" s="10"/>
      <c r="T1670" s="10"/>
      <c r="U1670" s="10"/>
      <c r="V1670" s="10"/>
      <c r="W1670" s="138"/>
      <c r="Y1670"/>
      <c r="Z1670"/>
      <c r="AA1670"/>
      <c r="AB1670"/>
      <c r="AC1670"/>
      <c r="AD1670"/>
      <c r="AE1670"/>
      <c r="AF1670"/>
      <c r="AG1670"/>
      <c r="AH1670"/>
      <c r="AI1670"/>
      <c r="AJ1670"/>
      <c r="AK1670"/>
      <c r="AL1670"/>
      <c r="AM1670"/>
      <c r="AN1670"/>
      <c r="AO1670"/>
    </row>
    <row r="1671" spans="1:41" ht="15">
      <c r="A1671"/>
      <c r="B1671"/>
      <c r="C1671" s="137"/>
      <c r="D1671" s="30"/>
      <c r="E1671" s="30"/>
      <c r="F1671" s="10"/>
      <c r="G1671" s="10"/>
      <c r="H1671" s="15"/>
      <c r="I1671" s="15"/>
      <c r="J1671" s="15"/>
      <c r="K1671" s="15"/>
      <c r="L1671" s="15"/>
      <c r="M1671" s="15"/>
      <c r="N1671" s="15"/>
      <c r="O1671" s="15"/>
      <c r="P1671" s="15"/>
      <c r="Q1671" s="71"/>
      <c r="R1671" s="84"/>
      <c r="S1671" s="10"/>
      <c r="T1671" s="10"/>
      <c r="U1671" s="10"/>
      <c r="V1671" s="10"/>
      <c r="W1671" s="138"/>
      <c r="Y1671"/>
      <c r="Z1671"/>
      <c r="AA1671"/>
      <c r="AB1671"/>
      <c r="AC1671"/>
      <c r="AD1671"/>
      <c r="AE1671"/>
      <c r="AF1671"/>
      <c r="AG1671"/>
      <c r="AH1671"/>
      <c r="AI1671"/>
      <c r="AJ1671"/>
      <c r="AK1671"/>
      <c r="AL1671"/>
      <c r="AM1671"/>
      <c r="AN1671"/>
      <c r="AO1671"/>
    </row>
    <row r="1672" spans="1:41" ht="15">
      <c r="A1672"/>
      <c r="B1672"/>
      <c r="C1672" s="137"/>
      <c r="D1672" s="30"/>
      <c r="E1672" s="30"/>
      <c r="F1672" s="10"/>
      <c r="G1672" s="10"/>
      <c r="H1672" s="15"/>
      <c r="I1672" s="15"/>
      <c r="J1672" s="15"/>
      <c r="K1672" s="15"/>
      <c r="L1672" s="15"/>
      <c r="M1672" s="15"/>
      <c r="N1672" s="15"/>
      <c r="O1672" s="15"/>
      <c r="P1672" s="15"/>
      <c r="Q1672" s="71"/>
      <c r="R1672" s="84"/>
      <c r="S1672" s="10"/>
      <c r="T1672" s="10"/>
      <c r="U1672" s="10"/>
      <c r="V1672" s="10"/>
      <c r="W1672" s="138"/>
      <c r="Y1672"/>
      <c r="Z1672"/>
      <c r="AA1672"/>
      <c r="AB1672"/>
      <c r="AC1672"/>
      <c r="AD1672"/>
      <c r="AE1672"/>
      <c r="AF1672"/>
      <c r="AG1672"/>
      <c r="AH1672"/>
      <c r="AI1672"/>
      <c r="AJ1672"/>
      <c r="AK1672"/>
      <c r="AL1672"/>
      <c r="AM1672"/>
      <c r="AN1672"/>
      <c r="AO1672"/>
    </row>
    <row r="1673" spans="1:41" ht="15">
      <c r="A1673"/>
      <c r="B1673"/>
      <c r="C1673" s="137"/>
      <c r="D1673" s="30"/>
      <c r="E1673" s="30"/>
      <c r="F1673" s="10"/>
      <c r="G1673" s="10"/>
      <c r="H1673" s="15"/>
      <c r="I1673" s="15"/>
      <c r="J1673" s="15"/>
      <c r="K1673" s="15"/>
      <c r="L1673" s="15"/>
      <c r="M1673" s="15"/>
      <c r="N1673" s="15"/>
      <c r="O1673" s="15"/>
      <c r="P1673" s="15"/>
      <c r="Q1673" s="71"/>
      <c r="R1673" s="84"/>
      <c r="S1673" s="10"/>
      <c r="T1673" s="10"/>
      <c r="U1673" s="10"/>
      <c r="V1673" s="10"/>
      <c r="W1673" s="138"/>
      <c r="Y1673"/>
      <c r="Z1673"/>
      <c r="AA1673"/>
      <c r="AB1673"/>
      <c r="AC1673"/>
      <c r="AD1673"/>
      <c r="AE1673"/>
      <c r="AF1673"/>
      <c r="AG1673"/>
      <c r="AH1673"/>
      <c r="AI1673"/>
      <c r="AJ1673"/>
      <c r="AK1673"/>
      <c r="AL1673"/>
      <c r="AM1673"/>
      <c r="AN1673"/>
      <c r="AO1673"/>
    </row>
    <row r="1674" spans="1:41" ht="15">
      <c r="A1674"/>
      <c r="B1674"/>
      <c r="C1674" s="137"/>
      <c r="D1674" s="30"/>
      <c r="E1674" s="30"/>
      <c r="F1674" s="10"/>
      <c r="G1674" s="10"/>
      <c r="H1674" s="15"/>
      <c r="I1674" s="15"/>
      <c r="J1674" s="15"/>
      <c r="K1674" s="15"/>
      <c r="L1674" s="15"/>
      <c r="M1674" s="15"/>
      <c r="N1674" s="15"/>
      <c r="O1674" s="15"/>
      <c r="P1674" s="15"/>
      <c r="Q1674" s="71"/>
      <c r="R1674" s="84"/>
      <c r="S1674" s="10"/>
      <c r="T1674" s="10"/>
      <c r="U1674" s="10"/>
      <c r="V1674" s="10"/>
      <c r="W1674" s="138"/>
      <c r="Y1674"/>
      <c r="Z1674"/>
      <c r="AA1674"/>
      <c r="AB1674"/>
      <c r="AC1674"/>
      <c r="AD1674"/>
      <c r="AE1674"/>
      <c r="AF1674"/>
      <c r="AG1674"/>
      <c r="AH1674"/>
      <c r="AI1674"/>
      <c r="AJ1674"/>
      <c r="AK1674"/>
      <c r="AL1674"/>
      <c r="AM1674"/>
      <c r="AN1674"/>
      <c r="AO1674"/>
    </row>
    <row r="1675" spans="1:41" ht="15">
      <c r="A1675"/>
      <c r="B1675"/>
      <c r="C1675" s="137"/>
      <c r="D1675" s="30"/>
      <c r="E1675" s="30"/>
      <c r="F1675" s="10"/>
      <c r="G1675" s="10"/>
      <c r="H1675" s="15"/>
      <c r="I1675" s="15"/>
      <c r="J1675" s="15"/>
      <c r="K1675" s="15"/>
      <c r="L1675" s="15"/>
      <c r="M1675" s="15"/>
      <c r="N1675" s="15"/>
      <c r="O1675" s="15"/>
      <c r="P1675" s="15"/>
      <c r="Q1675" s="71"/>
      <c r="R1675" s="84"/>
      <c r="S1675" s="10"/>
      <c r="T1675" s="10"/>
      <c r="U1675" s="10"/>
      <c r="V1675" s="10"/>
      <c r="W1675" s="138"/>
      <c r="Y1675"/>
      <c r="Z1675"/>
      <c r="AA1675"/>
      <c r="AB1675"/>
      <c r="AC1675"/>
      <c r="AD1675"/>
      <c r="AE1675"/>
      <c r="AF1675"/>
      <c r="AG1675"/>
      <c r="AH1675"/>
      <c r="AI1675"/>
      <c r="AJ1675"/>
      <c r="AK1675"/>
      <c r="AL1675"/>
      <c r="AM1675"/>
      <c r="AN1675"/>
      <c r="AO1675"/>
    </row>
    <row r="1676" spans="1:41" ht="15">
      <c r="A1676"/>
      <c r="B1676"/>
      <c r="C1676" s="137"/>
      <c r="D1676" s="30"/>
      <c r="E1676" s="30"/>
      <c r="F1676" s="10"/>
      <c r="G1676" s="10"/>
      <c r="H1676" s="15"/>
      <c r="I1676" s="15"/>
      <c r="J1676" s="15"/>
      <c r="K1676" s="15"/>
      <c r="L1676" s="15"/>
      <c r="M1676" s="15"/>
      <c r="N1676" s="15"/>
      <c r="O1676" s="15"/>
      <c r="P1676" s="15"/>
      <c r="Q1676" s="71"/>
      <c r="R1676" s="84"/>
      <c r="S1676" s="10"/>
      <c r="T1676" s="10"/>
      <c r="U1676" s="10"/>
      <c r="V1676" s="10"/>
      <c r="W1676" s="138"/>
      <c r="Y1676"/>
      <c r="Z1676"/>
      <c r="AA1676"/>
      <c r="AB1676"/>
      <c r="AC1676"/>
      <c r="AD1676"/>
      <c r="AE1676"/>
      <c r="AF1676"/>
      <c r="AG1676"/>
      <c r="AH1676"/>
      <c r="AI1676"/>
      <c r="AJ1676"/>
      <c r="AK1676"/>
      <c r="AL1676"/>
      <c r="AM1676"/>
      <c r="AN1676"/>
      <c r="AO1676"/>
    </row>
    <row r="1677" spans="1:41" ht="15">
      <c r="A1677"/>
      <c r="B1677"/>
      <c r="C1677" s="137"/>
      <c r="D1677" s="30"/>
      <c r="E1677" s="30"/>
      <c r="F1677" s="10"/>
      <c r="G1677" s="10"/>
      <c r="H1677" s="15"/>
      <c r="I1677" s="15"/>
      <c r="J1677" s="15"/>
      <c r="K1677" s="15"/>
      <c r="L1677" s="15"/>
      <c r="M1677" s="15"/>
      <c r="N1677" s="15"/>
      <c r="O1677" s="15"/>
      <c r="P1677" s="15"/>
      <c r="Q1677" s="71"/>
      <c r="R1677" s="84"/>
      <c r="S1677" s="10"/>
      <c r="T1677" s="10"/>
      <c r="U1677" s="10"/>
      <c r="V1677" s="10"/>
      <c r="W1677" s="138"/>
      <c r="Y1677"/>
      <c r="Z1677"/>
      <c r="AA1677"/>
      <c r="AB1677"/>
      <c r="AC1677"/>
      <c r="AD1677"/>
      <c r="AE1677"/>
      <c r="AF1677"/>
      <c r="AG1677"/>
      <c r="AH1677"/>
      <c r="AI1677"/>
      <c r="AJ1677"/>
      <c r="AK1677"/>
      <c r="AL1677"/>
      <c r="AM1677"/>
      <c r="AN1677"/>
      <c r="AO1677"/>
    </row>
    <row r="1678" spans="1:41" ht="15">
      <c r="A1678"/>
      <c r="B1678"/>
      <c r="C1678" s="137"/>
      <c r="D1678" s="30"/>
      <c r="E1678" s="30"/>
      <c r="F1678" s="10"/>
      <c r="G1678" s="10"/>
      <c r="H1678" s="15"/>
      <c r="I1678" s="15"/>
      <c r="J1678" s="15"/>
      <c r="K1678" s="15"/>
      <c r="L1678" s="15"/>
      <c r="M1678" s="15"/>
      <c r="N1678" s="15"/>
      <c r="O1678" s="15"/>
      <c r="P1678" s="15"/>
      <c r="Q1678" s="71"/>
      <c r="R1678" s="84"/>
      <c r="S1678" s="10"/>
      <c r="T1678" s="10"/>
      <c r="U1678" s="10"/>
      <c r="V1678" s="10"/>
      <c r="W1678" s="138"/>
      <c r="Y1678"/>
      <c r="Z1678"/>
      <c r="AA1678"/>
      <c r="AB1678"/>
      <c r="AC1678"/>
      <c r="AD1678"/>
      <c r="AE1678"/>
      <c r="AF1678"/>
      <c r="AG1678"/>
      <c r="AH1678"/>
      <c r="AI1678"/>
      <c r="AJ1678"/>
      <c r="AK1678"/>
      <c r="AL1678"/>
      <c r="AM1678"/>
      <c r="AN1678"/>
      <c r="AO1678"/>
    </row>
    <row r="1679" spans="1:41" ht="15">
      <c r="A1679"/>
      <c r="B1679"/>
      <c r="C1679" s="137"/>
      <c r="D1679" s="30"/>
      <c r="E1679" s="30"/>
      <c r="F1679" s="10"/>
      <c r="G1679" s="10"/>
      <c r="H1679" s="15"/>
      <c r="I1679" s="15"/>
      <c r="J1679" s="15"/>
      <c r="K1679" s="15"/>
      <c r="L1679" s="15"/>
      <c r="M1679" s="15"/>
      <c r="N1679" s="15"/>
      <c r="O1679" s="15"/>
      <c r="P1679" s="15"/>
      <c r="Q1679" s="71"/>
      <c r="R1679" s="84"/>
      <c r="S1679" s="10"/>
      <c r="T1679" s="10"/>
      <c r="U1679" s="10"/>
      <c r="V1679" s="10"/>
      <c r="W1679" s="138"/>
      <c r="Y1679"/>
      <c r="Z1679"/>
      <c r="AA1679"/>
      <c r="AB1679"/>
      <c r="AC1679"/>
      <c r="AD1679"/>
      <c r="AE1679"/>
      <c r="AF1679"/>
      <c r="AG1679"/>
      <c r="AH1679"/>
      <c r="AI1679"/>
      <c r="AJ1679"/>
      <c r="AK1679"/>
      <c r="AL1679"/>
      <c r="AM1679"/>
      <c r="AN1679"/>
      <c r="AO1679"/>
    </row>
    <row r="1680" spans="1:41" ht="15">
      <c r="A1680"/>
      <c r="B1680"/>
      <c r="C1680" s="137"/>
      <c r="D1680" s="30"/>
      <c r="E1680" s="30"/>
      <c r="F1680" s="10"/>
      <c r="G1680" s="10"/>
      <c r="H1680" s="15"/>
      <c r="I1680" s="15"/>
      <c r="J1680" s="15"/>
      <c r="K1680" s="15"/>
      <c r="L1680" s="15"/>
      <c r="M1680" s="15"/>
      <c r="N1680" s="15"/>
      <c r="O1680" s="15"/>
      <c r="P1680" s="15"/>
      <c r="Q1680" s="71"/>
      <c r="R1680" s="84"/>
      <c r="S1680" s="10"/>
      <c r="T1680" s="10"/>
      <c r="U1680" s="10"/>
      <c r="V1680" s="10"/>
      <c r="W1680" s="138"/>
      <c r="Y1680"/>
      <c r="Z1680"/>
      <c r="AA1680"/>
      <c r="AB1680"/>
      <c r="AC1680"/>
      <c r="AD1680"/>
      <c r="AE1680"/>
      <c r="AF1680"/>
      <c r="AG1680"/>
      <c r="AH1680"/>
      <c r="AI1680"/>
      <c r="AJ1680"/>
      <c r="AK1680"/>
      <c r="AL1680"/>
      <c r="AM1680"/>
      <c r="AN1680"/>
      <c r="AO1680"/>
    </row>
    <row r="1681" spans="1:41" ht="15">
      <c r="A1681"/>
      <c r="B1681"/>
      <c r="C1681" s="137"/>
      <c r="D1681" s="30"/>
      <c r="E1681" s="30"/>
      <c r="F1681" s="10"/>
      <c r="G1681" s="10"/>
      <c r="H1681" s="15"/>
      <c r="I1681" s="15"/>
      <c r="J1681" s="15"/>
      <c r="K1681" s="15"/>
      <c r="L1681" s="15"/>
      <c r="M1681" s="15"/>
      <c r="N1681" s="15"/>
      <c r="O1681" s="15"/>
      <c r="P1681" s="15"/>
      <c r="Q1681" s="71"/>
      <c r="R1681" s="84"/>
      <c r="S1681" s="10"/>
      <c r="T1681" s="10"/>
      <c r="U1681" s="10"/>
      <c r="V1681" s="10"/>
      <c r="W1681" s="138"/>
      <c r="Y1681"/>
      <c r="Z1681"/>
      <c r="AA1681"/>
      <c r="AB1681"/>
      <c r="AC1681"/>
      <c r="AD1681"/>
      <c r="AE1681"/>
      <c r="AF1681"/>
      <c r="AG1681"/>
      <c r="AH1681"/>
      <c r="AI1681"/>
      <c r="AJ1681"/>
      <c r="AK1681"/>
      <c r="AL1681"/>
      <c r="AM1681"/>
      <c r="AN1681"/>
      <c r="AO1681"/>
    </row>
    <row r="1682" spans="1:41" ht="15">
      <c r="A1682"/>
      <c r="B1682"/>
      <c r="C1682" s="137"/>
      <c r="D1682" s="30"/>
      <c r="E1682" s="30"/>
      <c r="F1682" s="10"/>
      <c r="G1682" s="10"/>
      <c r="H1682" s="15"/>
      <c r="I1682" s="15"/>
      <c r="J1682" s="15"/>
      <c r="K1682" s="15"/>
      <c r="L1682" s="15"/>
      <c r="M1682" s="15"/>
      <c r="N1682" s="15"/>
      <c r="O1682" s="15"/>
      <c r="P1682" s="15"/>
      <c r="Q1682" s="71"/>
      <c r="R1682" s="84"/>
      <c r="S1682" s="10"/>
      <c r="T1682" s="10"/>
      <c r="U1682" s="10"/>
      <c r="V1682" s="10"/>
      <c r="W1682" s="138"/>
      <c r="Y1682"/>
      <c r="Z1682"/>
      <c r="AA1682"/>
      <c r="AB1682"/>
      <c r="AC1682"/>
      <c r="AD1682"/>
      <c r="AE1682"/>
      <c r="AF1682"/>
      <c r="AG1682"/>
      <c r="AH1682"/>
      <c r="AI1682"/>
      <c r="AJ1682"/>
      <c r="AK1682"/>
      <c r="AL1682"/>
      <c r="AM1682"/>
      <c r="AN1682"/>
      <c r="AO1682"/>
    </row>
    <row r="1683" spans="1:41" ht="15">
      <c r="A1683"/>
      <c r="B1683"/>
      <c r="C1683" s="137"/>
      <c r="D1683" s="30"/>
      <c r="E1683" s="30"/>
      <c r="F1683" s="10"/>
      <c r="G1683" s="10"/>
      <c r="H1683" s="15"/>
      <c r="I1683" s="15"/>
      <c r="J1683" s="15"/>
      <c r="K1683" s="15"/>
      <c r="L1683" s="15"/>
      <c r="M1683" s="15"/>
      <c r="N1683" s="15"/>
      <c r="O1683" s="15"/>
      <c r="P1683" s="15"/>
      <c r="Q1683" s="71"/>
      <c r="R1683" s="84"/>
      <c r="S1683" s="10"/>
      <c r="T1683" s="10"/>
      <c r="U1683" s="10"/>
      <c r="V1683" s="10"/>
      <c r="W1683" s="138"/>
      <c r="Y1683"/>
      <c r="Z1683"/>
      <c r="AA1683"/>
      <c r="AB1683"/>
      <c r="AC1683"/>
      <c r="AD1683"/>
      <c r="AE1683"/>
      <c r="AF1683"/>
      <c r="AG1683"/>
      <c r="AH1683"/>
      <c r="AI1683"/>
      <c r="AJ1683"/>
      <c r="AK1683"/>
      <c r="AL1683"/>
      <c r="AM1683"/>
      <c r="AN1683"/>
      <c r="AO1683"/>
    </row>
    <row r="1684" spans="1:41" ht="15">
      <c r="A1684"/>
      <c r="B1684"/>
      <c r="C1684" s="137"/>
      <c r="D1684" s="30"/>
      <c r="E1684" s="30"/>
      <c r="F1684" s="10"/>
      <c r="G1684" s="10"/>
      <c r="H1684" s="15"/>
      <c r="I1684" s="15"/>
      <c r="J1684" s="15"/>
      <c r="K1684" s="15"/>
      <c r="L1684" s="15"/>
      <c r="M1684" s="15"/>
      <c r="N1684" s="15"/>
      <c r="O1684" s="15"/>
      <c r="P1684" s="15"/>
      <c r="Q1684" s="71"/>
      <c r="R1684" s="84"/>
      <c r="S1684" s="10"/>
      <c r="T1684" s="10"/>
      <c r="U1684" s="10"/>
      <c r="V1684" s="10"/>
      <c r="W1684" s="138"/>
      <c r="Y1684"/>
      <c r="Z1684"/>
      <c r="AA1684"/>
      <c r="AB1684"/>
      <c r="AC1684"/>
      <c r="AD1684"/>
      <c r="AE1684"/>
      <c r="AF1684"/>
      <c r="AG1684"/>
      <c r="AH1684"/>
      <c r="AI1684"/>
      <c r="AJ1684"/>
      <c r="AK1684"/>
      <c r="AL1684"/>
      <c r="AM1684"/>
      <c r="AN1684"/>
      <c r="AO1684"/>
    </row>
    <row r="1685" spans="1:41" ht="15">
      <c r="A1685"/>
      <c r="B1685"/>
      <c r="C1685" s="137"/>
      <c r="D1685" s="30"/>
      <c r="E1685" s="30"/>
      <c r="F1685" s="10"/>
      <c r="G1685" s="10"/>
      <c r="H1685" s="15"/>
      <c r="I1685" s="15"/>
      <c r="J1685" s="15"/>
      <c r="K1685" s="15"/>
      <c r="L1685" s="15"/>
      <c r="M1685" s="15"/>
      <c r="N1685" s="15"/>
      <c r="O1685" s="15"/>
      <c r="P1685" s="15"/>
      <c r="Q1685" s="71"/>
      <c r="R1685" s="84"/>
      <c r="S1685" s="10"/>
      <c r="T1685" s="10"/>
      <c r="U1685" s="10"/>
      <c r="V1685" s="10"/>
      <c r="W1685" s="138"/>
      <c r="Y1685"/>
      <c r="Z1685"/>
      <c r="AA1685"/>
      <c r="AB1685"/>
      <c r="AC1685"/>
      <c r="AD1685"/>
      <c r="AE1685"/>
      <c r="AF1685"/>
      <c r="AG1685"/>
      <c r="AH1685"/>
      <c r="AI1685"/>
      <c r="AJ1685"/>
      <c r="AK1685"/>
      <c r="AL1685"/>
      <c r="AM1685"/>
      <c r="AN1685"/>
      <c r="AO1685"/>
    </row>
    <row r="1686" spans="1:41" ht="15">
      <c r="A1686"/>
      <c r="B1686"/>
      <c r="C1686" s="137"/>
      <c r="D1686" s="30"/>
      <c r="E1686" s="30"/>
      <c r="F1686" s="10"/>
      <c r="G1686" s="10"/>
      <c r="H1686" s="15"/>
      <c r="I1686" s="15"/>
      <c r="J1686" s="15"/>
      <c r="K1686" s="15"/>
      <c r="L1686" s="15"/>
      <c r="M1686" s="15"/>
      <c r="N1686" s="15"/>
      <c r="O1686" s="15"/>
      <c r="P1686" s="15"/>
      <c r="Q1686" s="71"/>
      <c r="R1686" s="84"/>
      <c r="S1686" s="10"/>
      <c r="T1686" s="10"/>
      <c r="U1686" s="10"/>
      <c r="V1686" s="10"/>
      <c r="W1686" s="138"/>
      <c r="Y1686"/>
      <c r="Z1686"/>
      <c r="AA1686"/>
      <c r="AB1686"/>
      <c r="AC1686"/>
      <c r="AD1686"/>
      <c r="AE1686"/>
      <c r="AF1686"/>
      <c r="AG1686"/>
      <c r="AH1686"/>
      <c r="AI1686"/>
      <c r="AJ1686"/>
      <c r="AK1686"/>
      <c r="AL1686"/>
      <c r="AM1686"/>
      <c r="AN1686"/>
      <c r="AO1686"/>
    </row>
    <row r="1687" spans="1:41" ht="15">
      <c r="A1687"/>
      <c r="B1687"/>
      <c r="C1687" s="137"/>
      <c r="D1687" s="30"/>
      <c r="E1687" s="30"/>
      <c r="F1687" s="10"/>
      <c r="G1687" s="10"/>
      <c r="H1687" s="15"/>
      <c r="I1687" s="15"/>
      <c r="J1687" s="15"/>
      <c r="K1687" s="15"/>
      <c r="L1687" s="15"/>
      <c r="M1687" s="15"/>
      <c r="N1687" s="15"/>
      <c r="O1687" s="15"/>
      <c r="P1687" s="15"/>
      <c r="Q1687" s="71"/>
      <c r="R1687" s="84"/>
      <c r="S1687" s="10"/>
      <c r="T1687" s="10"/>
      <c r="U1687" s="10"/>
      <c r="V1687" s="10"/>
      <c r="W1687" s="138"/>
      <c r="Y1687"/>
      <c r="Z1687"/>
      <c r="AA1687"/>
      <c r="AB1687"/>
      <c r="AC1687"/>
      <c r="AD1687"/>
      <c r="AE1687"/>
      <c r="AF1687"/>
      <c r="AG1687"/>
      <c r="AH1687"/>
      <c r="AI1687"/>
      <c r="AJ1687"/>
      <c r="AK1687"/>
      <c r="AL1687"/>
      <c r="AM1687"/>
      <c r="AN1687"/>
      <c r="AO1687"/>
    </row>
    <row r="1688" spans="1:41" ht="15">
      <c r="A1688"/>
      <c r="B1688"/>
      <c r="C1688" s="137"/>
      <c r="D1688" s="30"/>
      <c r="E1688" s="30"/>
      <c r="F1688" s="10"/>
      <c r="G1688" s="10"/>
      <c r="H1688" s="15"/>
      <c r="I1688" s="15"/>
      <c r="J1688" s="15"/>
      <c r="K1688" s="15"/>
      <c r="L1688" s="15"/>
      <c r="M1688" s="15"/>
      <c r="N1688" s="15"/>
      <c r="O1688" s="15"/>
      <c r="P1688" s="15"/>
      <c r="Q1688" s="71"/>
      <c r="R1688" s="84"/>
      <c r="S1688" s="10"/>
      <c r="T1688" s="10"/>
      <c r="U1688" s="10"/>
      <c r="V1688" s="10"/>
      <c r="W1688" s="138"/>
      <c r="Y1688"/>
      <c r="Z1688"/>
      <c r="AA1688"/>
      <c r="AB1688"/>
      <c r="AC1688"/>
      <c r="AD1688"/>
      <c r="AE1688"/>
      <c r="AF1688"/>
      <c r="AG1688"/>
      <c r="AH1688"/>
      <c r="AI1688"/>
      <c r="AJ1688"/>
      <c r="AK1688"/>
      <c r="AL1688"/>
      <c r="AM1688"/>
      <c r="AN1688"/>
      <c r="AO1688"/>
    </row>
    <row r="1689" spans="1:41" ht="15">
      <c r="A1689"/>
      <c r="B1689"/>
      <c r="C1689" s="137"/>
      <c r="D1689" s="30"/>
      <c r="E1689" s="30"/>
      <c r="F1689" s="10"/>
      <c r="G1689" s="10"/>
      <c r="H1689" s="15"/>
      <c r="I1689" s="15"/>
      <c r="J1689" s="15"/>
      <c r="K1689" s="15"/>
      <c r="L1689" s="15"/>
      <c r="M1689" s="15"/>
      <c r="N1689" s="15"/>
      <c r="O1689" s="15"/>
      <c r="P1689" s="15"/>
      <c r="Q1689" s="71"/>
      <c r="R1689" s="84"/>
      <c r="S1689" s="10"/>
      <c r="T1689" s="10"/>
      <c r="U1689" s="10"/>
      <c r="V1689" s="10"/>
      <c r="W1689" s="138"/>
      <c r="Y1689"/>
      <c r="Z1689"/>
      <c r="AA1689"/>
      <c r="AB1689"/>
      <c r="AC1689"/>
      <c r="AD1689"/>
      <c r="AE1689"/>
      <c r="AF1689"/>
      <c r="AG1689"/>
      <c r="AH1689"/>
      <c r="AI1689"/>
      <c r="AJ1689"/>
      <c r="AK1689"/>
      <c r="AL1689"/>
      <c r="AM1689"/>
      <c r="AN1689"/>
      <c r="AO1689"/>
    </row>
    <row r="1690" spans="1:41" ht="15">
      <c r="A1690"/>
      <c r="B1690"/>
      <c r="C1690" s="137"/>
      <c r="D1690" s="30"/>
      <c r="E1690" s="30"/>
      <c r="F1690" s="10"/>
      <c r="G1690" s="10"/>
      <c r="H1690" s="15"/>
      <c r="I1690" s="15"/>
      <c r="J1690" s="15"/>
      <c r="K1690" s="15"/>
      <c r="L1690" s="15"/>
      <c r="M1690" s="15"/>
      <c r="N1690" s="15"/>
      <c r="O1690" s="15"/>
      <c r="P1690" s="15"/>
      <c r="Q1690" s="71"/>
      <c r="R1690" s="84"/>
      <c r="S1690" s="10"/>
      <c r="T1690" s="10"/>
      <c r="U1690" s="10"/>
      <c r="V1690" s="10"/>
      <c r="W1690" s="138"/>
      <c r="Y1690"/>
      <c r="Z1690"/>
      <c r="AA1690"/>
      <c r="AB1690"/>
      <c r="AC1690"/>
      <c r="AD1690"/>
      <c r="AE1690"/>
      <c r="AF1690"/>
      <c r="AG1690"/>
      <c r="AH1690"/>
      <c r="AI1690"/>
      <c r="AJ1690"/>
      <c r="AK1690"/>
      <c r="AL1690"/>
      <c r="AM1690"/>
      <c r="AN1690"/>
      <c r="AO1690"/>
    </row>
    <row r="1691" spans="1:41" ht="15">
      <c r="A1691"/>
      <c r="B1691"/>
      <c r="C1691" s="137"/>
      <c r="D1691" s="30"/>
      <c r="E1691" s="30"/>
      <c r="F1691" s="10"/>
      <c r="G1691" s="10"/>
      <c r="H1691" s="15"/>
      <c r="I1691" s="15"/>
      <c r="J1691" s="15"/>
      <c r="K1691" s="15"/>
      <c r="L1691" s="15"/>
      <c r="M1691" s="15"/>
      <c r="N1691" s="15"/>
      <c r="O1691" s="15"/>
      <c r="P1691" s="15"/>
      <c r="Q1691" s="71"/>
      <c r="R1691" s="84"/>
      <c r="S1691" s="10"/>
      <c r="T1691" s="10"/>
      <c r="U1691" s="10"/>
      <c r="V1691" s="10"/>
      <c r="W1691" s="138"/>
      <c r="Y1691"/>
      <c r="Z1691"/>
      <c r="AA1691"/>
      <c r="AB1691"/>
      <c r="AC1691"/>
      <c r="AD1691"/>
      <c r="AE1691"/>
      <c r="AF1691"/>
      <c r="AG1691"/>
      <c r="AH1691"/>
      <c r="AI1691"/>
      <c r="AJ1691"/>
      <c r="AK1691"/>
      <c r="AL1691"/>
      <c r="AM1691"/>
      <c r="AN1691"/>
      <c r="AO1691"/>
    </row>
    <row r="1692" spans="1:41" ht="15">
      <c r="A1692"/>
      <c r="B1692"/>
      <c r="C1692" s="137"/>
      <c r="D1692" s="30"/>
      <c r="E1692" s="30"/>
      <c r="F1692" s="10"/>
      <c r="G1692" s="10"/>
      <c r="H1692" s="15"/>
      <c r="I1692" s="15"/>
      <c r="J1692" s="15"/>
      <c r="K1692" s="15"/>
      <c r="L1692" s="15"/>
      <c r="M1692" s="15"/>
      <c r="N1692" s="15"/>
      <c r="O1692" s="15"/>
      <c r="P1692" s="15"/>
      <c r="Q1692" s="71"/>
      <c r="R1692" s="84"/>
      <c r="S1692" s="10"/>
      <c r="T1692" s="10"/>
      <c r="U1692" s="10"/>
      <c r="V1692" s="10"/>
      <c r="W1692" s="138"/>
      <c r="Y1692"/>
      <c r="Z1692"/>
      <c r="AA1692"/>
      <c r="AB1692"/>
      <c r="AC1692"/>
      <c r="AD1692"/>
      <c r="AE1692"/>
      <c r="AF1692"/>
      <c r="AG1692"/>
      <c r="AH1692"/>
      <c r="AI1692"/>
      <c r="AJ1692"/>
      <c r="AK1692"/>
      <c r="AL1692"/>
      <c r="AM1692"/>
      <c r="AN1692"/>
      <c r="AO1692"/>
    </row>
    <row r="1693" spans="1:41" ht="15">
      <c r="A1693"/>
      <c r="B1693"/>
      <c r="C1693" s="137"/>
      <c r="D1693" s="30"/>
      <c r="E1693" s="30"/>
      <c r="F1693" s="10"/>
      <c r="G1693" s="10"/>
      <c r="H1693" s="15"/>
      <c r="I1693" s="15"/>
      <c r="J1693" s="15"/>
      <c r="K1693" s="15"/>
      <c r="L1693" s="15"/>
      <c r="M1693" s="15"/>
      <c r="N1693" s="15"/>
      <c r="O1693" s="15"/>
      <c r="P1693" s="15"/>
      <c r="Q1693" s="71"/>
      <c r="R1693" s="84"/>
      <c r="S1693" s="10"/>
      <c r="T1693" s="10"/>
      <c r="U1693" s="10"/>
      <c r="V1693" s="10"/>
      <c r="W1693" s="138"/>
      <c r="Y1693"/>
      <c r="Z1693"/>
      <c r="AA1693"/>
      <c r="AB1693"/>
      <c r="AC1693"/>
      <c r="AD1693"/>
      <c r="AE1693"/>
      <c r="AF1693"/>
      <c r="AG1693"/>
      <c r="AH1693"/>
      <c r="AI1693"/>
      <c r="AJ1693"/>
      <c r="AK1693"/>
      <c r="AL1693"/>
      <c r="AM1693"/>
      <c r="AN1693"/>
      <c r="AO1693"/>
    </row>
    <row r="1694" spans="1:41" ht="15">
      <c r="A1694"/>
      <c r="B1694"/>
      <c r="C1694" s="137"/>
      <c r="D1694" s="30"/>
      <c r="E1694" s="30"/>
      <c r="F1694" s="10"/>
      <c r="G1694" s="10"/>
      <c r="H1694" s="15"/>
      <c r="I1694" s="15"/>
      <c r="J1694" s="15"/>
      <c r="K1694" s="15"/>
      <c r="L1694" s="15"/>
      <c r="M1694" s="15"/>
      <c r="N1694" s="15"/>
      <c r="O1694" s="15"/>
      <c r="P1694" s="15"/>
      <c r="Q1694" s="71"/>
      <c r="R1694" s="84"/>
      <c r="S1694" s="10"/>
      <c r="T1694" s="10"/>
      <c r="U1694" s="10"/>
      <c r="V1694" s="10"/>
      <c r="W1694" s="138"/>
      <c r="Y1694"/>
      <c r="Z1694"/>
      <c r="AA1694"/>
      <c r="AB1694"/>
      <c r="AC1694"/>
      <c r="AD1694"/>
      <c r="AE1694"/>
      <c r="AF1694"/>
      <c r="AG1694"/>
      <c r="AH1694"/>
      <c r="AI1694"/>
      <c r="AJ1694"/>
      <c r="AK1694"/>
      <c r="AL1694"/>
      <c r="AM1694"/>
      <c r="AN1694"/>
      <c r="AO1694"/>
    </row>
    <row r="1695" spans="1:41" ht="15">
      <c r="A1695"/>
      <c r="B1695"/>
      <c r="C1695" s="137"/>
      <c r="D1695" s="30"/>
      <c r="E1695" s="30"/>
      <c r="F1695" s="10"/>
      <c r="G1695" s="10"/>
      <c r="H1695" s="15"/>
      <c r="I1695" s="15"/>
      <c r="J1695" s="15"/>
      <c r="K1695" s="15"/>
      <c r="L1695" s="15"/>
      <c r="M1695" s="15"/>
      <c r="N1695" s="15"/>
      <c r="O1695" s="15"/>
      <c r="P1695" s="15"/>
      <c r="Q1695" s="71"/>
      <c r="R1695" s="84"/>
      <c r="S1695" s="10"/>
      <c r="T1695" s="10"/>
      <c r="U1695" s="10"/>
      <c r="V1695" s="10"/>
      <c r="W1695" s="138"/>
      <c r="Y1695"/>
      <c r="Z1695"/>
      <c r="AA1695"/>
      <c r="AB1695"/>
      <c r="AC1695"/>
      <c r="AD1695"/>
      <c r="AE1695"/>
      <c r="AF1695"/>
      <c r="AG1695"/>
      <c r="AH1695"/>
      <c r="AI1695"/>
      <c r="AJ1695"/>
      <c r="AK1695"/>
      <c r="AL1695"/>
      <c r="AM1695"/>
      <c r="AN1695"/>
      <c r="AO1695"/>
    </row>
    <row r="1696" spans="1:41" ht="15">
      <c r="A1696"/>
      <c r="B1696"/>
      <c r="C1696" s="137"/>
      <c r="D1696" s="30"/>
      <c r="E1696" s="30"/>
      <c r="F1696" s="10"/>
      <c r="G1696" s="10"/>
      <c r="H1696" s="15"/>
      <c r="I1696" s="15"/>
      <c r="J1696" s="15"/>
      <c r="K1696" s="15"/>
      <c r="L1696" s="15"/>
      <c r="M1696" s="15"/>
      <c r="N1696" s="15"/>
      <c r="O1696" s="15"/>
      <c r="P1696" s="15"/>
      <c r="Q1696" s="71"/>
      <c r="R1696" s="84"/>
      <c r="S1696" s="10"/>
      <c r="T1696" s="10"/>
      <c r="U1696" s="10"/>
      <c r="V1696" s="10"/>
      <c r="W1696" s="138"/>
      <c r="Y1696"/>
      <c r="Z1696"/>
      <c r="AA1696"/>
      <c r="AB1696"/>
      <c r="AC1696"/>
      <c r="AD1696"/>
      <c r="AE1696"/>
      <c r="AF1696"/>
      <c r="AG1696"/>
      <c r="AH1696"/>
      <c r="AI1696"/>
      <c r="AJ1696"/>
      <c r="AK1696"/>
      <c r="AL1696"/>
      <c r="AM1696"/>
      <c r="AN1696"/>
      <c r="AO1696"/>
    </row>
    <row r="1697" spans="1:41" ht="15">
      <c r="A1697"/>
      <c r="B1697"/>
      <c r="C1697" s="137"/>
      <c r="D1697" s="30"/>
      <c r="E1697" s="30"/>
      <c r="F1697" s="10"/>
      <c r="G1697" s="10"/>
      <c r="H1697" s="15"/>
      <c r="I1697" s="15"/>
      <c r="J1697" s="15"/>
      <c r="K1697" s="15"/>
      <c r="L1697" s="15"/>
      <c r="M1697" s="15"/>
      <c r="N1697" s="15"/>
      <c r="O1697" s="15"/>
      <c r="P1697" s="15"/>
      <c r="Q1697" s="71"/>
      <c r="R1697" s="84"/>
      <c r="S1697" s="10"/>
      <c r="T1697" s="10"/>
      <c r="U1697" s="10"/>
      <c r="V1697" s="10"/>
      <c r="W1697" s="138"/>
      <c r="Y1697"/>
      <c r="Z1697"/>
      <c r="AA1697"/>
      <c r="AB1697"/>
      <c r="AC1697"/>
      <c r="AD1697"/>
      <c r="AE1697"/>
      <c r="AF1697"/>
      <c r="AG1697"/>
      <c r="AH1697"/>
      <c r="AI1697"/>
      <c r="AJ1697"/>
      <c r="AK1697"/>
      <c r="AL1697"/>
      <c r="AM1697"/>
      <c r="AN1697"/>
      <c r="AO1697"/>
    </row>
    <row r="1698" spans="1:41" ht="15">
      <c r="A1698"/>
      <c r="B1698"/>
      <c r="C1698" s="137"/>
      <c r="D1698" s="30"/>
      <c r="E1698" s="30"/>
      <c r="F1698" s="10"/>
      <c r="G1698" s="10"/>
      <c r="H1698" s="15"/>
      <c r="I1698" s="15"/>
      <c r="J1698" s="15"/>
      <c r="K1698" s="15"/>
      <c r="L1698" s="15"/>
      <c r="M1698" s="15"/>
      <c r="N1698" s="15"/>
      <c r="O1698" s="15"/>
      <c r="P1698" s="15"/>
      <c r="Q1698" s="71"/>
      <c r="R1698" s="84"/>
      <c r="S1698" s="10"/>
      <c r="T1698" s="10"/>
      <c r="U1698" s="10"/>
      <c r="V1698" s="10"/>
      <c r="W1698" s="138"/>
      <c r="Y1698"/>
      <c r="Z1698"/>
      <c r="AA1698"/>
      <c r="AB1698"/>
      <c r="AC1698"/>
      <c r="AD1698"/>
      <c r="AE1698"/>
      <c r="AF1698"/>
      <c r="AG1698"/>
      <c r="AH1698"/>
      <c r="AI1698"/>
      <c r="AJ1698"/>
      <c r="AK1698"/>
      <c r="AL1698"/>
      <c r="AM1698"/>
      <c r="AN1698"/>
      <c r="AO1698"/>
    </row>
    <row r="1699" spans="1:41" ht="15">
      <c r="A1699"/>
      <c r="B1699"/>
      <c r="C1699" s="137"/>
      <c r="D1699" s="30"/>
      <c r="E1699" s="30"/>
      <c r="F1699" s="10"/>
      <c r="G1699" s="10"/>
      <c r="H1699" s="15"/>
      <c r="I1699" s="15"/>
      <c r="J1699" s="15"/>
      <c r="K1699" s="15"/>
      <c r="L1699" s="15"/>
      <c r="M1699" s="15"/>
      <c r="N1699" s="15"/>
      <c r="O1699" s="15"/>
      <c r="P1699" s="15"/>
      <c r="Q1699" s="71"/>
      <c r="R1699" s="84"/>
      <c r="S1699" s="10"/>
      <c r="T1699" s="10"/>
      <c r="U1699" s="10"/>
      <c r="V1699" s="10"/>
      <c r="W1699" s="138"/>
      <c r="Y1699"/>
      <c r="Z1699"/>
      <c r="AA1699"/>
      <c r="AB1699"/>
      <c r="AC1699"/>
      <c r="AD1699"/>
      <c r="AE1699"/>
      <c r="AF1699"/>
      <c r="AG1699"/>
      <c r="AH1699"/>
      <c r="AI1699"/>
      <c r="AJ1699"/>
      <c r="AK1699"/>
      <c r="AL1699"/>
      <c r="AM1699"/>
      <c r="AN1699"/>
      <c r="AO1699"/>
    </row>
    <row r="1700" spans="1:41" ht="15">
      <c r="A1700"/>
      <c r="B1700"/>
      <c r="C1700" s="137"/>
      <c r="D1700" s="30"/>
      <c r="E1700" s="30"/>
      <c r="F1700" s="10"/>
      <c r="G1700" s="10"/>
      <c r="H1700" s="15"/>
      <c r="I1700" s="15"/>
      <c r="J1700" s="15"/>
      <c r="K1700" s="15"/>
      <c r="L1700" s="15"/>
      <c r="M1700" s="15"/>
      <c r="N1700" s="15"/>
      <c r="O1700" s="15"/>
      <c r="P1700" s="15"/>
      <c r="Q1700" s="71"/>
      <c r="R1700" s="84"/>
      <c r="S1700" s="10"/>
      <c r="T1700" s="10"/>
      <c r="U1700" s="10"/>
      <c r="V1700" s="10"/>
      <c r="W1700" s="138"/>
      <c r="Y1700"/>
      <c r="Z1700"/>
      <c r="AA1700"/>
      <c r="AB1700"/>
      <c r="AC1700"/>
      <c r="AD1700"/>
      <c r="AE1700"/>
      <c r="AF1700"/>
      <c r="AG1700"/>
      <c r="AH1700"/>
      <c r="AI1700"/>
      <c r="AJ1700"/>
      <c r="AK1700"/>
      <c r="AL1700"/>
      <c r="AM1700"/>
      <c r="AN1700"/>
      <c r="AO1700"/>
    </row>
    <row r="1701" spans="1:41" ht="15">
      <c r="A1701"/>
      <c r="B1701"/>
      <c r="C1701" s="137"/>
      <c r="D1701" s="30"/>
      <c r="E1701" s="30"/>
      <c r="F1701" s="10"/>
      <c r="G1701" s="10"/>
      <c r="H1701" s="15"/>
      <c r="I1701" s="15"/>
      <c r="J1701" s="15"/>
      <c r="K1701" s="15"/>
      <c r="L1701" s="15"/>
      <c r="M1701" s="15"/>
      <c r="N1701" s="15"/>
      <c r="O1701" s="15"/>
      <c r="P1701" s="15"/>
      <c r="Q1701" s="71"/>
      <c r="R1701" s="84"/>
      <c r="S1701" s="10"/>
      <c r="T1701" s="10"/>
      <c r="U1701" s="10"/>
      <c r="V1701" s="10"/>
      <c r="W1701" s="138"/>
      <c r="Y1701"/>
      <c r="Z1701"/>
      <c r="AA1701"/>
      <c r="AB1701"/>
      <c r="AC1701"/>
      <c r="AD1701"/>
      <c r="AE1701"/>
      <c r="AF1701"/>
      <c r="AG1701"/>
      <c r="AH1701"/>
      <c r="AI1701"/>
      <c r="AJ1701"/>
      <c r="AK1701"/>
      <c r="AL1701"/>
      <c r="AM1701"/>
      <c r="AN1701"/>
      <c r="AO1701"/>
    </row>
    <row r="1702" spans="1:41" ht="15">
      <c r="A1702"/>
      <c r="B1702"/>
      <c r="C1702" s="137"/>
      <c r="D1702" s="30"/>
      <c r="E1702" s="30"/>
      <c r="F1702" s="10"/>
      <c r="G1702" s="10"/>
      <c r="H1702" s="15"/>
      <c r="I1702" s="15"/>
      <c r="J1702" s="15"/>
      <c r="K1702" s="15"/>
      <c r="L1702" s="15"/>
      <c r="M1702" s="15"/>
      <c r="N1702" s="15"/>
      <c r="O1702" s="15"/>
      <c r="P1702" s="15"/>
      <c r="Q1702" s="71"/>
      <c r="R1702" s="84"/>
      <c r="S1702" s="10"/>
      <c r="T1702" s="10"/>
      <c r="U1702" s="10"/>
      <c r="V1702" s="10"/>
      <c r="W1702" s="138"/>
      <c r="Y1702"/>
      <c r="Z1702"/>
      <c r="AA1702"/>
      <c r="AB1702"/>
      <c r="AC1702"/>
      <c r="AD1702"/>
      <c r="AE1702"/>
      <c r="AF1702"/>
      <c r="AG1702"/>
      <c r="AH1702"/>
      <c r="AI1702"/>
      <c r="AJ1702"/>
      <c r="AK1702"/>
      <c r="AL1702"/>
      <c r="AM1702"/>
      <c r="AN1702"/>
      <c r="AO1702"/>
    </row>
    <row r="1703" spans="1:41" ht="15">
      <c r="A1703"/>
      <c r="B1703"/>
      <c r="C1703" s="137"/>
      <c r="D1703" s="30"/>
      <c r="E1703" s="30"/>
      <c r="F1703" s="10"/>
      <c r="G1703" s="10"/>
      <c r="H1703" s="15"/>
      <c r="I1703" s="15"/>
      <c r="J1703" s="15"/>
      <c r="K1703" s="15"/>
      <c r="L1703" s="15"/>
      <c r="M1703" s="15"/>
      <c r="N1703" s="15"/>
      <c r="O1703" s="15"/>
      <c r="P1703" s="15"/>
      <c r="Q1703" s="71"/>
      <c r="R1703" s="84"/>
      <c r="S1703" s="10"/>
      <c r="T1703" s="10"/>
      <c r="U1703" s="10"/>
      <c r="V1703" s="10"/>
      <c r="W1703" s="138"/>
      <c r="Y1703"/>
      <c r="Z1703"/>
      <c r="AA1703"/>
      <c r="AB1703"/>
      <c r="AC1703"/>
      <c r="AD1703"/>
      <c r="AE1703"/>
      <c r="AF1703"/>
      <c r="AG1703"/>
      <c r="AH1703"/>
      <c r="AI1703"/>
      <c r="AJ1703"/>
      <c r="AK1703"/>
      <c r="AL1703"/>
      <c r="AM1703"/>
      <c r="AN1703"/>
      <c r="AO1703"/>
    </row>
    <row r="1704" spans="1:41" ht="15">
      <c r="A1704"/>
      <c r="B1704"/>
      <c r="C1704" s="137"/>
      <c r="D1704" s="30"/>
      <c r="E1704" s="30"/>
      <c r="F1704" s="10"/>
      <c r="G1704" s="10"/>
      <c r="H1704" s="15"/>
      <c r="I1704" s="15"/>
      <c r="J1704" s="15"/>
      <c r="K1704" s="15"/>
      <c r="L1704" s="15"/>
      <c r="M1704" s="15"/>
      <c r="N1704" s="15"/>
      <c r="O1704" s="15"/>
      <c r="P1704" s="15"/>
      <c r="Q1704" s="71"/>
      <c r="R1704" s="84"/>
      <c r="S1704" s="10"/>
      <c r="T1704" s="10"/>
      <c r="U1704" s="10"/>
      <c r="V1704" s="10"/>
      <c r="W1704" s="138"/>
      <c r="Y1704"/>
      <c r="Z1704"/>
      <c r="AA1704"/>
      <c r="AB1704"/>
      <c r="AC1704"/>
      <c r="AD1704"/>
      <c r="AE1704"/>
      <c r="AF1704"/>
      <c r="AG1704"/>
      <c r="AH1704"/>
      <c r="AI1704"/>
      <c r="AJ1704"/>
      <c r="AK1704"/>
      <c r="AL1704"/>
      <c r="AM1704"/>
      <c r="AN1704"/>
      <c r="AO1704"/>
    </row>
    <row r="1705" spans="1:41" ht="15">
      <c r="A1705"/>
      <c r="B1705"/>
      <c r="C1705" s="137"/>
      <c r="D1705" s="30"/>
      <c r="E1705" s="30"/>
      <c r="F1705" s="10"/>
      <c r="G1705" s="10"/>
      <c r="H1705" s="15"/>
      <c r="I1705" s="15"/>
      <c r="J1705" s="15"/>
      <c r="K1705" s="15"/>
      <c r="L1705" s="15"/>
      <c r="M1705" s="15"/>
      <c r="N1705" s="15"/>
      <c r="O1705" s="15"/>
      <c r="P1705" s="15"/>
      <c r="Q1705" s="71"/>
      <c r="R1705" s="84"/>
      <c r="S1705" s="10"/>
      <c r="T1705" s="10"/>
      <c r="U1705" s="10"/>
      <c r="V1705" s="10"/>
      <c r="W1705" s="138"/>
      <c r="Y1705"/>
      <c r="Z1705"/>
      <c r="AA1705"/>
      <c r="AB1705"/>
      <c r="AC1705"/>
      <c r="AD1705"/>
      <c r="AE1705"/>
      <c r="AF1705"/>
      <c r="AG1705"/>
      <c r="AH1705"/>
      <c r="AI1705"/>
      <c r="AJ1705"/>
      <c r="AK1705"/>
      <c r="AL1705"/>
      <c r="AM1705"/>
      <c r="AN1705"/>
      <c r="AO1705"/>
    </row>
    <row r="1706" spans="1:41" ht="15">
      <c r="A1706"/>
      <c r="B1706"/>
      <c r="C1706" s="137"/>
      <c r="D1706" s="30"/>
      <c r="E1706" s="30"/>
      <c r="F1706" s="10"/>
      <c r="G1706" s="10"/>
      <c r="H1706" s="15"/>
      <c r="I1706" s="15"/>
      <c r="J1706" s="15"/>
      <c r="K1706" s="15"/>
      <c r="L1706" s="15"/>
      <c r="M1706" s="15"/>
      <c r="N1706" s="15"/>
      <c r="O1706" s="15"/>
      <c r="P1706" s="15"/>
      <c r="Q1706" s="71"/>
      <c r="R1706" s="84"/>
      <c r="S1706" s="10"/>
      <c r="T1706" s="10"/>
      <c r="U1706" s="10"/>
      <c r="V1706" s="10"/>
      <c r="W1706" s="138"/>
      <c r="Y1706"/>
      <c r="Z1706"/>
      <c r="AA1706"/>
      <c r="AB1706"/>
      <c r="AC1706"/>
      <c r="AD1706"/>
      <c r="AE1706"/>
      <c r="AF1706"/>
      <c r="AG1706"/>
      <c r="AH1706"/>
      <c r="AI1706"/>
      <c r="AJ1706"/>
      <c r="AK1706"/>
      <c r="AL1706"/>
      <c r="AM1706"/>
      <c r="AN1706"/>
      <c r="AO1706"/>
    </row>
    <row r="1707" spans="1:41" ht="15">
      <c r="A1707"/>
      <c r="B1707"/>
      <c r="C1707" s="137"/>
      <c r="D1707" s="30"/>
      <c r="E1707" s="30"/>
      <c r="F1707" s="10"/>
      <c r="G1707" s="10"/>
      <c r="H1707" s="15"/>
      <c r="I1707" s="15"/>
      <c r="J1707" s="15"/>
      <c r="K1707" s="15"/>
      <c r="L1707" s="15"/>
      <c r="M1707" s="15"/>
      <c r="N1707" s="15"/>
      <c r="O1707" s="15"/>
      <c r="P1707" s="15"/>
      <c r="Q1707" s="71"/>
      <c r="R1707" s="84"/>
      <c r="S1707" s="10"/>
      <c r="T1707" s="10"/>
      <c r="U1707" s="10"/>
      <c r="V1707" s="10"/>
      <c r="W1707" s="138"/>
      <c r="Y1707"/>
      <c r="Z1707"/>
      <c r="AA1707"/>
      <c r="AB1707"/>
      <c r="AC1707"/>
      <c r="AD1707"/>
      <c r="AE1707"/>
      <c r="AF1707"/>
      <c r="AG1707"/>
      <c r="AH1707"/>
      <c r="AI1707"/>
      <c r="AJ1707"/>
      <c r="AK1707"/>
      <c r="AL1707"/>
      <c r="AM1707"/>
      <c r="AN1707"/>
      <c r="AO1707"/>
    </row>
    <row r="1708" spans="1:41" ht="15">
      <c r="A1708"/>
      <c r="B1708"/>
      <c r="C1708" s="137"/>
      <c r="D1708" s="30"/>
      <c r="E1708" s="30"/>
      <c r="F1708" s="10"/>
      <c r="G1708" s="10"/>
      <c r="H1708" s="15"/>
      <c r="I1708" s="15"/>
      <c r="J1708" s="15"/>
      <c r="K1708" s="15"/>
      <c r="L1708" s="15"/>
      <c r="M1708" s="15"/>
      <c r="N1708" s="15"/>
      <c r="O1708" s="15"/>
      <c r="P1708" s="15"/>
      <c r="Q1708" s="71"/>
      <c r="R1708" s="84"/>
      <c r="S1708" s="10"/>
      <c r="T1708" s="10"/>
      <c r="U1708" s="10"/>
      <c r="V1708" s="10"/>
      <c r="W1708" s="138"/>
      <c r="Y1708"/>
      <c r="Z1708"/>
      <c r="AA1708"/>
      <c r="AB1708"/>
      <c r="AC1708"/>
      <c r="AD1708"/>
      <c r="AE1708"/>
      <c r="AF1708"/>
      <c r="AG1708"/>
      <c r="AH1708"/>
      <c r="AI1708"/>
      <c r="AJ1708"/>
      <c r="AK1708"/>
      <c r="AL1708"/>
      <c r="AM1708"/>
      <c r="AN1708"/>
      <c r="AO1708"/>
    </row>
    <row r="1709" spans="1:41" ht="15">
      <c r="A1709"/>
      <c r="B1709"/>
      <c r="C1709" s="137"/>
      <c r="D1709" s="30"/>
      <c r="E1709" s="30"/>
      <c r="F1709" s="10"/>
      <c r="G1709" s="10"/>
      <c r="H1709" s="15"/>
      <c r="I1709" s="15"/>
      <c r="J1709" s="15"/>
      <c r="K1709" s="15"/>
      <c r="L1709" s="15"/>
      <c r="M1709" s="15"/>
      <c r="N1709" s="15"/>
      <c r="O1709" s="15"/>
      <c r="P1709" s="15"/>
      <c r="Q1709" s="71"/>
      <c r="R1709" s="84"/>
      <c r="S1709" s="10"/>
      <c r="T1709" s="10"/>
      <c r="U1709" s="10"/>
      <c r="V1709" s="10"/>
      <c r="W1709" s="138"/>
      <c r="Y1709"/>
      <c r="Z1709"/>
      <c r="AA1709"/>
      <c r="AB1709"/>
      <c r="AC1709"/>
      <c r="AD1709"/>
      <c r="AE1709"/>
      <c r="AF1709"/>
      <c r="AG1709"/>
      <c r="AH1709"/>
      <c r="AI1709"/>
      <c r="AJ1709"/>
      <c r="AK1709"/>
      <c r="AL1709"/>
      <c r="AM1709"/>
      <c r="AN1709"/>
      <c r="AO1709"/>
    </row>
    <row r="1710" spans="1:41" ht="15">
      <c r="A1710"/>
      <c r="B1710"/>
      <c r="C1710" s="137"/>
      <c r="D1710" s="30"/>
      <c r="E1710" s="30"/>
      <c r="F1710" s="10"/>
      <c r="G1710" s="10"/>
      <c r="H1710" s="15"/>
      <c r="I1710" s="15"/>
      <c r="J1710" s="15"/>
      <c r="K1710" s="15"/>
      <c r="L1710" s="15"/>
      <c r="M1710" s="15"/>
      <c r="N1710" s="15"/>
      <c r="O1710" s="15"/>
      <c r="P1710" s="15"/>
      <c r="Q1710" s="71"/>
      <c r="R1710" s="84"/>
      <c r="S1710" s="10"/>
      <c r="T1710" s="10"/>
      <c r="U1710" s="10"/>
      <c r="V1710" s="10"/>
      <c r="W1710" s="138"/>
      <c r="Y1710"/>
      <c r="Z1710"/>
      <c r="AA1710"/>
      <c r="AB1710"/>
      <c r="AC1710"/>
      <c r="AD1710"/>
      <c r="AE1710"/>
      <c r="AF1710"/>
      <c r="AG1710"/>
      <c r="AH1710"/>
      <c r="AI1710"/>
      <c r="AJ1710"/>
      <c r="AK1710"/>
      <c r="AL1710"/>
      <c r="AM1710"/>
      <c r="AN1710"/>
      <c r="AO1710"/>
    </row>
    <row r="1711" spans="1:41" ht="15">
      <c r="A1711"/>
      <c r="B1711"/>
      <c r="C1711" s="137"/>
      <c r="D1711" s="30"/>
      <c r="E1711" s="30"/>
      <c r="F1711" s="10"/>
      <c r="G1711" s="10"/>
      <c r="H1711" s="15"/>
      <c r="I1711" s="15"/>
      <c r="J1711" s="15"/>
      <c r="K1711" s="15"/>
      <c r="L1711" s="15"/>
      <c r="M1711" s="15"/>
      <c r="N1711" s="15"/>
      <c r="O1711" s="15"/>
      <c r="P1711" s="15"/>
      <c r="Q1711" s="71"/>
      <c r="R1711" s="84"/>
      <c r="S1711" s="10"/>
      <c r="T1711" s="10"/>
      <c r="U1711" s="10"/>
      <c r="V1711" s="10"/>
      <c r="W1711" s="138"/>
      <c r="Y1711"/>
      <c r="Z1711"/>
      <c r="AA1711"/>
      <c r="AB1711"/>
      <c r="AC1711"/>
      <c r="AD1711"/>
      <c r="AE1711"/>
      <c r="AF1711"/>
      <c r="AG1711"/>
      <c r="AH1711"/>
      <c r="AI1711"/>
      <c r="AJ1711"/>
      <c r="AK1711"/>
      <c r="AL1711"/>
      <c r="AM1711"/>
      <c r="AN1711"/>
      <c r="AO1711"/>
    </row>
    <row r="1712" spans="1:41" ht="15">
      <c r="A1712"/>
      <c r="B1712"/>
      <c r="C1712" s="137"/>
      <c r="D1712" s="30"/>
      <c r="E1712" s="30"/>
      <c r="F1712" s="10"/>
      <c r="G1712" s="10"/>
      <c r="H1712" s="15"/>
      <c r="I1712" s="15"/>
      <c r="J1712" s="15"/>
      <c r="K1712" s="15"/>
      <c r="L1712" s="15"/>
      <c r="M1712" s="15"/>
      <c r="N1712" s="15"/>
      <c r="O1712" s="15"/>
      <c r="P1712" s="15"/>
      <c r="Q1712" s="71"/>
      <c r="R1712" s="84"/>
      <c r="S1712" s="10"/>
      <c r="T1712" s="10"/>
      <c r="U1712" s="10"/>
      <c r="V1712" s="10"/>
      <c r="W1712" s="138"/>
      <c r="Y1712"/>
      <c r="Z1712"/>
      <c r="AA1712"/>
      <c r="AB1712"/>
      <c r="AC1712"/>
      <c r="AD1712"/>
      <c r="AE1712"/>
      <c r="AF1712"/>
      <c r="AG1712"/>
      <c r="AH1712"/>
      <c r="AI1712"/>
      <c r="AJ1712"/>
      <c r="AK1712"/>
      <c r="AL1712"/>
      <c r="AM1712"/>
      <c r="AN1712"/>
      <c r="AO1712"/>
    </row>
    <row r="1713" spans="1:41" ht="15">
      <c r="A1713"/>
      <c r="B1713"/>
      <c r="C1713" s="137"/>
      <c r="D1713" s="30"/>
      <c r="E1713" s="30"/>
      <c r="F1713" s="10"/>
      <c r="G1713" s="10"/>
      <c r="H1713" s="15"/>
      <c r="I1713" s="15"/>
      <c r="J1713" s="15"/>
      <c r="K1713" s="15"/>
      <c r="L1713" s="15"/>
      <c r="M1713" s="15"/>
      <c r="N1713" s="15"/>
      <c r="O1713" s="15"/>
      <c r="P1713" s="15"/>
      <c r="Q1713" s="71"/>
      <c r="R1713" s="84"/>
      <c r="S1713" s="10"/>
      <c r="T1713" s="10"/>
      <c r="U1713" s="10"/>
      <c r="V1713" s="10"/>
      <c r="W1713" s="138"/>
      <c r="Y1713"/>
      <c r="Z1713"/>
      <c r="AA1713"/>
      <c r="AB1713"/>
      <c r="AC1713"/>
      <c r="AD1713"/>
      <c r="AE1713"/>
      <c r="AF1713"/>
      <c r="AG1713"/>
      <c r="AH1713"/>
      <c r="AI1713"/>
      <c r="AJ1713"/>
      <c r="AK1713"/>
      <c r="AL1713"/>
      <c r="AM1713"/>
      <c r="AN1713"/>
      <c r="AO1713"/>
    </row>
    <row r="1714" spans="1:41" ht="15">
      <c r="A1714"/>
      <c r="B1714"/>
      <c r="C1714" s="137"/>
      <c r="D1714" s="30"/>
      <c r="E1714" s="30"/>
      <c r="F1714" s="10"/>
      <c r="G1714" s="10"/>
      <c r="H1714" s="15"/>
      <c r="I1714" s="15"/>
      <c r="J1714" s="15"/>
      <c r="K1714" s="15"/>
      <c r="L1714" s="15"/>
      <c r="M1714" s="15"/>
      <c r="N1714" s="15"/>
      <c r="O1714" s="15"/>
      <c r="P1714" s="15"/>
      <c r="Q1714" s="71"/>
      <c r="R1714" s="84"/>
      <c r="S1714" s="10"/>
      <c r="T1714" s="10"/>
      <c r="U1714" s="10"/>
      <c r="V1714" s="10"/>
      <c r="W1714" s="138"/>
      <c r="Y1714"/>
      <c r="Z1714"/>
      <c r="AA1714"/>
      <c r="AB1714"/>
      <c r="AC1714"/>
      <c r="AD1714"/>
      <c r="AE1714"/>
      <c r="AF1714"/>
      <c r="AG1714"/>
      <c r="AH1714"/>
      <c r="AI1714"/>
      <c r="AJ1714"/>
      <c r="AK1714"/>
      <c r="AL1714"/>
      <c r="AM1714"/>
      <c r="AN1714"/>
      <c r="AO1714"/>
    </row>
    <row r="1715" spans="1:41" ht="15">
      <c r="A1715"/>
      <c r="B1715"/>
      <c r="C1715" s="137"/>
      <c r="D1715" s="30"/>
      <c r="E1715" s="30"/>
      <c r="F1715" s="10"/>
      <c r="G1715" s="10"/>
      <c r="H1715" s="15"/>
      <c r="I1715" s="15"/>
      <c r="J1715" s="15"/>
      <c r="K1715" s="15"/>
      <c r="L1715" s="15"/>
      <c r="M1715" s="15"/>
      <c r="N1715" s="15"/>
      <c r="O1715" s="15"/>
      <c r="P1715" s="15"/>
      <c r="Q1715" s="71"/>
      <c r="R1715" s="84"/>
      <c r="S1715" s="10"/>
      <c r="T1715" s="10"/>
      <c r="U1715" s="10"/>
      <c r="V1715" s="10"/>
      <c r="W1715" s="138"/>
      <c r="Y1715"/>
      <c r="Z1715"/>
      <c r="AA1715"/>
      <c r="AB1715"/>
      <c r="AC1715"/>
      <c r="AD1715"/>
      <c r="AE1715"/>
      <c r="AF1715"/>
      <c r="AG1715"/>
      <c r="AH1715"/>
      <c r="AI1715"/>
      <c r="AJ1715"/>
      <c r="AK1715"/>
      <c r="AL1715"/>
      <c r="AM1715"/>
      <c r="AN1715"/>
      <c r="AO1715"/>
    </row>
    <row r="1716" spans="1:41" ht="15">
      <c r="A1716"/>
      <c r="B1716"/>
      <c r="C1716" s="137"/>
      <c r="D1716" s="30"/>
      <c r="E1716" s="30"/>
      <c r="F1716" s="10"/>
      <c r="G1716" s="10"/>
      <c r="H1716" s="15"/>
      <c r="I1716" s="15"/>
      <c r="J1716" s="15"/>
      <c r="K1716" s="15"/>
      <c r="L1716" s="15"/>
      <c r="M1716" s="15"/>
      <c r="N1716" s="15"/>
      <c r="O1716" s="15"/>
      <c r="P1716" s="15"/>
      <c r="Q1716" s="71"/>
      <c r="R1716" s="84"/>
      <c r="S1716" s="10"/>
      <c r="T1716" s="10"/>
      <c r="U1716" s="10"/>
      <c r="V1716" s="10"/>
      <c r="W1716" s="138"/>
      <c r="Y1716"/>
      <c r="Z1716"/>
      <c r="AA1716"/>
      <c r="AB1716"/>
      <c r="AC1716"/>
      <c r="AD1716"/>
      <c r="AE1716"/>
      <c r="AF1716"/>
      <c r="AG1716"/>
      <c r="AH1716"/>
      <c r="AI1716"/>
      <c r="AJ1716"/>
      <c r="AK1716"/>
      <c r="AL1716"/>
      <c r="AM1716"/>
      <c r="AN1716"/>
      <c r="AO1716"/>
    </row>
    <row r="1717" spans="1:41" ht="15">
      <c r="A1717"/>
      <c r="B1717"/>
      <c r="C1717" s="137"/>
      <c r="D1717" s="30"/>
      <c r="E1717" s="30"/>
      <c r="F1717" s="10"/>
      <c r="G1717" s="10"/>
      <c r="H1717" s="15"/>
      <c r="I1717" s="15"/>
      <c r="J1717" s="15"/>
      <c r="K1717" s="15"/>
      <c r="L1717" s="15"/>
      <c r="M1717" s="15"/>
      <c r="N1717" s="15"/>
      <c r="O1717" s="15"/>
      <c r="P1717" s="15"/>
      <c r="Q1717" s="71"/>
      <c r="R1717" s="84"/>
      <c r="S1717" s="10"/>
      <c r="T1717" s="10"/>
      <c r="U1717" s="10"/>
      <c r="V1717" s="10"/>
      <c r="W1717" s="138"/>
      <c r="Y1717"/>
      <c r="Z1717"/>
      <c r="AA1717"/>
      <c r="AB1717"/>
      <c r="AC1717"/>
      <c r="AD1717"/>
      <c r="AE1717"/>
      <c r="AF1717"/>
      <c r="AG1717"/>
      <c r="AH1717"/>
      <c r="AI1717"/>
      <c r="AJ1717"/>
      <c r="AK1717"/>
      <c r="AL1717"/>
      <c r="AM1717"/>
      <c r="AN1717"/>
      <c r="AO1717"/>
    </row>
    <row r="1718" spans="1:41" ht="15">
      <c r="A1718"/>
      <c r="B1718"/>
      <c r="C1718" s="137"/>
      <c r="D1718" s="30"/>
      <c r="E1718" s="30"/>
      <c r="F1718" s="10"/>
      <c r="G1718" s="10"/>
      <c r="H1718" s="15"/>
      <c r="I1718" s="15"/>
      <c r="J1718" s="15"/>
      <c r="K1718" s="15"/>
      <c r="L1718" s="15"/>
      <c r="M1718" s="15"/>
      <c r="N1718" s="15"/>
      <c r="O1718" s="15"/>
      <c r="P1718" s="15"/>
      <c r="Q1718" s="71"/>
      <c r="R1718" s="84"/>
      <c r="S1718" s="10"/>
      <c r="T1718" s="10"/>
      <c r="U1718" s="10"/>
      <c r="V1718" s="10"/>
      <c r="W1718" s="138"/>
      <c r="Y1718"/>
      <c r="Z1718"/>
      <c r="AA1718"/>
      <c r="AB1718"/>
      <c r="AC1718"/>
      <c r="AD1718"/>
      <c r="AE1718"/>
      <c r="AF1718"/>
      <c r="AG1718"/>
      <c r="AH1718"/>
      <c r="AI1718"/>
      <c r="AJ1718"/>
      <c r="AK1718"/>
      <c r="AL1718"/>
      <c r="AM1718"/>
      <c r="AN1718"/>
      <c r="AO1718"/>
    </row>
    <row r="1719" spans="1:41" ht="15">
      <c r="A1719"/>
      <c r="B1719"/>
      <c r="C1719" s="137"/>
      <c r="D1719" s="30"/>
      <c r="E1719" s="30"/>
      <c r="F1719" s="10"/>
      <c r="G1719" s="10"/>
      <c r="H1719" s="15"/>
      <c r="I1719" s="15"/>
      <c r="J1719" s="15"/>
      <c r="K1719" s="15"/>
      <c r="L1719" s="15"/>
      <c r="M1719" s="15"/>
      <c r="N1719" s="15"/>
      <c r="O1719" s="15"/>
      <c r="P1719" s="15"/>
      <c r="Q1719" s="71"/>
      <c r="R1719" s="84"/>
      <c r="S1719" s="10"/>
      <c r="T1719" s="10"/>
      <c r="U1719" s="10"/>
      <c r="V1719" s="10"/>
      <c r="W1719" s="138"/>
      <c r="Y1719"/>
      <c r="Z1719"/>
      <c r="AA1719"/>
      <c r="AB1719"/>
      <c r="AC1719"/>
      <c r="AD1719"/>
      <c r="AE1719"/>
      <c r="AF1719"/>
      <c r="AG1719"/>
      <c r="AH1719"/>
      <c r="AI1719"/>
      <c r="AJ1719"/>
      <c r="AK1719"/>
      <c r="AL1719"/>
      <c r="AM1719"/>
      <c r="AN1719"/>
      <c r="AO1719"/>
    </row>
    <row r="1720" spans="1:41" ht="15">
      <c r="A1720"/>
      <c r="B1720"/>
      <c r="C1720" s="137"/>
      <c r="D1720" s="30"/>
      <c r="E1720" s="30"/>
      <c r="F1720" s="10"/>
      <c r="G1720" s="10"/>
      <c r="H1720" s="15"/>
      <c r="I1720" s="15"/>
      <c r="J1720" s="15"/>
      <c r="K1720" s="15"/>
      <c r="L1720" s="15"/>
      <c r="M1720" s="15"/>
      <c r="N1720" s="15"/>
      <c r="O1720" s="15"/>
      <c r="P1720" s="15"/>
      <c r="Q1720" s="71"/>
      <c r="R1720" s="84"/>
      <c r="S1720" s="10"/>
      <c r="T1720" s="10"/>
      <c r="U1720" s="10"/>
      <c r="V1720" s="10"/>
      <c r="W1720" s="138"/>
      <c r="Y1720"/>
      <c r="Z1720"/>
      <c r="AA1720"/>
      <c r="AB1720"/>
      <c r="AC1720"/>
      <c r="AD1720"/>
      <c r="AE1720"/>
      <c r="AF1720"/>
      <c r="AG1720"/>
      <c r="AH1720"/>
      <c r="AI1720"/>
      <c r="AJ1720"/>
      <c r="AK1720"/>
      <c r="AL1720"/>
      <c r="AM1720"/>
      <c r="AN1720"/>
      <c r="AO1720"/>
    </row>
    <row r="1721" spans="1:41" ht="15">
      <c r="A1721"/>
      <c r="B1721"/>
      <c r="C1721" s="137"/>
      <c r="D1721" s="30"/>
      <c r="E1721" s="30"/>
      <c r="F1721" s="10"/>
      <c r="G1721" s="10"/>
      <c r="H1721" s="15"/>
      <c r="I1721" s="15"/>
      <c r="J1721" s="15"/>
      <c r="K1721" s="15"/>
      <c r="L1721" s="15"/>
      <c r="M1721" s="15"/>
      <c r="N1721" s="15"/>
      <c r="O1721" s="15"/>
      <c r="P1721" s="15"/>
      <c r="Q1721" s="71"/>
      <c r="R1721" s="84"/>
      <c r="S1721" s="10"/>
      <c r="T1721" s="10"/>
      <c r="U1721" s="10"/>
      <c r="V1721" s="10"/>
      <c r="W1721" s="138"/>
      <c r="Y1721"/>
      <c r="Z1721"/>
      <c r="AA1721"/>
      <c r="AB1721"/>
      <c r="AC1721"/>
      <c r="AD1721"/>
      <c r="AE1721"/>
      <c r="AF1721"/>
      <c r="AG1721"/>
      <c r="AH1721"/>
      <c r="AI1721"/>
      <c r="AJ1721"/>
      <c r="AK1721"/>
      <c r="AL1721"/>
      <c r="AM1721"/>
      <c r="AN1721"/>
      <c r="AO1721"/>
    </row>
    <row r="1722" spans="1:41" ht="15">
      <c r="A1722"/>
      <c r="B1722"/>
      <c r="C1722" s="137"/>
      <c r="D1722" s="30"/>
      <c r="E1722" s="30"/>
      <c r="F1722" s="10"/>
      <c r="G1722" s="10"/>
      <c r="H1722" s="15"/>
      <c r="I1722" s="15"/>
      <c r="J1722" s="15"/>
      <c r="K1722" s="15"/>
      <c r="L1722" s="15"/>
      <c r="M1722" s="15"/>
      <c r="N1722" s="15"/>
      <c r="O1722" s="15"/>
      <c r="P1722" s="15"/>
      <c r="Q1722" s="71"/>
      <c r="R1722" s="84"/>
      <c r="S1722" s="10"/>
      <c r="T1722" s="10"/>
      <c r="U1722" s="10"/>
      <c r="V1722" s="10"/>
      <c r="W1722" s="138"/>
      <c r="Y1722"/>
      <c r="Z1722"/>
      <c r="AA1722"/>
      <c r="AB1722"/>
      <c r="AC1722"/>
      <c r="AD1722"/>
      <c r="AE1722"/>
      <c r="AF1722"/>
      <c r="AG1722"/>
      <c r="AH1722"/>
      <c r="AI1722"/>
      <c r="AJ1722"/>
      <c r="AK1722"/>
      <c r="AL1722"/>
      <c r="AM1722"/>
      <c r="AN1722"/>
      <c r="AO1722"/>
    </row>
    <row r="1723" spans="1:41" ht="15">
      <c r="A1723"/>
      <c r="B1723"/>
      <c r="C1723" s="137"/>
      <c r="D1723" s="30"/>
      <c r="E1723" s="30"/>
      <c r="F1723" s="10"/>
      <c r="G1723" s="10"/>
      <c r="H1723" s="15"/>
      <c r="I1723" s="15"/>
      <c r="J1723" s="15"/>
      <c r="K1723" s="15"/>
      <c r="L1723" s="15"/>
      <c r="M1723" s="15"/>
      <c r="N1723" s="15"/>
      <c r="O1723" s="15"/>
      <c r="P1723" s="15"/>
      <c r="Q1723" s="71"/>
      <c r="R1723" s="84"/>
      <c r="S1723" s="10"/>
      <c r="T1723" s="10"/>
      <c r="U1723" s="10"/>
      <c r="V1723" s="10"/>
      <c r="W1723" s="138"/>
      <c r="Y1723"/>
      <c r="Z1723"/>
      <c r="AA1723"/>
      <c r="AB1723"/>
      <c r="AC1723"/>
      <c r="AD1723"/>
      <c r="AE1723"/>
      <c r="AF1723"/>
      <c r="AG1723"/>
      <c r="AH1723"/>
      <c r="AI1723"/>
      <c r="AJ1723"/>
      <c r="AK1723"/>
      <c r="AL1723"/>
      <c r="AM1723"/>
      <c r="AN1723"/>
      <c r="AO1723"/>
    </row>
    <row r="1724" spans="1:41" ht="15">
      <c r="A1724"/>
      <c r="B1724"/>
      <c r="C1724" s="137"/>
      <c r="D1724" s="30"/>
      <c r="E1724" s="30"/>
      <c r="F1724" s="10"/>
      <c r="G1724" s="10"/>
      <c r="H1724" s="15"/>
      <c r="I1724" s="15"/>
      <c r="J1724" s="15"/>
      <c r="K1724" s="15"/>
      <c r="L1724" s="15"/>
      <c r="M1724" s="15"/>
      <c r="N1724" s="15"/>
      <c r="O1724" s="15"/>
      <c r="P1724" s="15"/>
      <c r="Q1724" s="71"/>
      <c r="R1724" s="84"/>
      <c r="S1724" s="10"/>
      <c r="T1724" s="10"/>
      <c r="U1724" s="10"/>
      <c r="V1724" s="10"/>
      <c r="W1724" s="138"/>
      <c r="Y1724"/>
      <c r="Z1724"/>
      <c r="AA1724"/>
      <c r="AB1724"/>
      <c r="AC1724"/>
      <c r="AD1724"/>
      <c r="AE1724"/>
      <c r="AF1724"/>
      <c r="AG1724"/>
      <c r="AH1724"/>
      <c r="AI1724"/>
      <c r="AJ1724"/>
      <c r="AK1724"/>
      <c r="AL1724"/>
      <c r="AM1724"/>
      <c r="AN1724"/>
      <c r="AO1724"/>
    </row>
    <row r="1725" spans="1:41" ht="15">
      <c r="A1725"/>
      <c r="B1725"/>
      <c r="C1725" s="137"/>
      <c r="D1725" s="30"/>
      <c r="E1725" s="30"/>
      <c r="F1725" s="10"/>
      <c r="G1725" s="10"/>
      <c r="H1725" s="15"/>
      <c r="I1725" s="15"/>
      <c r="J1725" s="15"/>
      <c r="K1725" s="15"/>
      <c r="L1725" s="15"/>
      <c r="M1725" s="15"/>
      <c r="N1725" s="15"/>
      <c r="O1725" s="15"/>
      <c r="P1725" s="15"/>
      <c r="Q1725" s="71"/>
      <c r="R1725" s="84"/>
      <c r="S1725" s="10"/>
      <c r="T1725" s="10"/>
      <c r="U1725" s="10"/>
      <c r="V1725" s="10"/>
      <c r="W1725" s="138"/>
      <c r="Y1725"/>
      <c r="Z1725"/>
      <c r="AA1725"/>
      <c r="AB1725"/>
      <c r="AC1725"/>
      <c r="AD1725"/>
      <c r="AE1725"/>
      <c r="AF1725"/>
      <c r="AG1725"/>
      <c r="AH1725"/>
      <c r="AI1725"/>
      <c r="AJ1725"/>
      <c r="AK1725"/>
      <c r="AL1725"/>
      <c r="AM1725"/>
      <c r="AN1725"/>
      <c r="AO1725"/>
    </row>
    <row r="1726" spans="1:41" ht="15">
      <c r="A1726"/>
      <c r="B1726"/>
      <c r="C1726" s="137"/>
      <c r="D1726" s="30"/>
      <c r="E1726" s="30"/>
      <c r="F1726" s="10"/>
      <c r="G1726" s="10"/>
      <c r="H1726" s="15"/>
      <c r="I1726" s="15"/>
      <c r="J1726" s="15"/>
      <c r="K1726" s="15"/>
      <c r="L1726" s="15"/>
      <c r="M1726" s="15"/>
      <c r="N1726" s="15"/>
      <c r="O1726" s="15"/>
      <c r="P1726" s="15"/>
      <c r="Q1726" s="71"/>
      <c r="R1726" s="84"/>
      <c r="S1726" s="10"/>
      <c r="T1726" s="10"/>
      <c r="U1726" s="10"/>
      <c r="V1726" s="10"/>
      <c r="W1726" s="138"/>
      <c r="Y1726"/>
      <c r="Z1726"/>
      <c r="AA1726"/>
      <c r="AB1726"/>
      <c r="AC1726"/>
      <c r="AD1726"/>
      <c r="AE1726"/>
      <c r="AF1726"/>
      <c r="AG1726"/>
      <c r="AH1726"/>
      <c r="AI1726"/>
      <c r="AJ1726"/>
      <c r="AK1726"/>
      <c r="AL1726"/>
      <c r="AM1726"/>
      <c r="AN1726"/>
      <c r="AO1726"/>
    </row>
    <row r="1727" spans="1:41" ht="15">
      <c r="A1727"/>
      <c r="B1727"/>
      <c r="C1727" s="137"/>
      <c r="D1727" s="30"/>
      <c r="E1727" s="30"/>
      <c r="F1727" s="10"/>
      <c r="G1727" s="10"/>
      <c r="H1727" s="15"/>
      <c r="I1727" s="15"/>
      <c r="J1727" s="15"/>
      <c r="K1727" s="15"/>
      <c r="L1727" s="15"/>
      <c r="M1727" s="15"/>
      <c r="N1727" s="15"/>
      <c r="O1727" s="15"/>
      <c r="P1727" s="15"/>
      <c r="Q1727" s="71"/>
      <c r="R1727" s="84"/>
      <c r="S1727" s="10"/>
      <c r="T1727" s="10"/>
      <c r="U1727" s="10"/>
      <c r="V1727" s="10"/>
      <c r="W1727" s="138"/>
      <c r="Y1727"/>
      <c r="Z1727"/>
      <c r="AA1727"/>
      <c r="AB1727"/>
      <c r="AC1727"/>
      <c r="AD1727"/>
      <c r="AE1727"/>
      <c r="AF1727"/>
      <c r="AG1727"/>
      <c r="AH1727"/>
      <c r="AI1727"/>
      <c r="AJ1727"/>
      <c r="AK1727"/>
      <c r="AL1727"/>
      <c r="AM1727"/>
      <c r="AN1727"/>
      <c r="AO1727"/>
    </row>
    <row r="1728" spans="1:41" ht="15">
      <c r="A1728"/>
      <c r="B1728"/>
      <c r="C1728" s="137"/>
      <c r="D1728" s="30"/>
      <c r="E1728" s="30"/>
      <c r="F1728" s="10"/>
      <c r="G1728" s="10"/>
      <c r="H1728" s="15"/>
      <c r="I1728" s="15"/>
      <c r="J1728" s="15"/>
      <c r="K1728" s="15"/>
      <c r="L1728" s="15"/>
      <c r="M1728" s="15"/>
      <c r="N1728" s="15"/>
      <c r="O1728" s="15"/>
      <c r="P1728" s="15"/>
      <c r="Q1728" s="71"/>
      <c r="R1728" s="84"/>
      <c r="S1728" s="10"/>
      <c r="T1728" s="10"/>
      <c r="U1728" s="10"/>
      <c r="V1728" s="10"/>
      <c r="W1728" s="138"/>
      <c r="Y1728"/>
      <c r="Z1728"/>
      <c r="AA1728"/>
      <c r="AB1728"/>
      <c r="AC1728"/>
      <c r="AD1728"/>
      <c r="AE1728"/>
      <c r="AF1728"/>
      <c r="AG1728"/>
      <c r="AH1728"/>
      <c r="AI1728"/>
      <c r="AJ1728"/>
      <c r="AK1728"/>
      <c r="AL1728"/>
      <c r="AM1728"/>
      <c r="AN1728"/>
      <c r="AO1728"/>
    </row>
    <row r="1729" spans="1:41" ht="15">
      <c r="A1729"/>
      <c r="B1729"/>
      <c r="C1729" s="137"/>
      <c r="D1729" s="30"/>
      <c r="E1729" s="30"/>
      <c r="F1729" s="10"/>
      <c r="G1729" s="10"/>
      <c r="H1729" s="15"/>
      <c r="I1729" s="15"/>
      <c r="J1729" s="15"/>
      <c r="K1729" s="15"/>
      <c r="L1729" s="15"/>
      <c r="M1729" s="15"/>
      <c r="N1729" s="15"/>
      <c r="O1729" s="15"/>
      <c r="P1729" s="15"/>
      <c r="Q1729" s="71"/>
      <c r="R1729" s="84"/>
      <c r="S1729" s="10"/>
      <c r="T1729" s="10"/>
      <c r="U1729" s="10"/>
      <c r="V1729" s="10"/>
      <c r="W1729" s="138"/>
      <c r="Y1729"/>
      <c r="Z1729"/>
      <c r="AA1729"/>
      <c r="AB1729"/>
      <c r="AC1729"/>
      <c r="AD1729"/>
      <c r="AE1729"/>
      <c r="AF1729"/>
      <c r="AG1729"/>
      <c r="AH1729"/>
      <c r="AI1729"/>
      <c r="AJ1729"/>
      <c r="AK1729"/>
      <c r="AL1729"/>
      <c r="AM1729"/>
      <c r="AN1729"/>
      <c r="AO1729"/>
    </row>
    <row r="1730" spans="1:41" ht="15">
      <c r="A1730"/>
      <c r="B1730"/>
      <c r="C1730" s="137"/>
      <c r="D1730" s="30"/>
      <c r="E1730" s="30"/>
      <c r="F1730" s="10"/>
      <c r="G1730" s="10"/>
      <c r="H1730" s="15"/>
      <c r="I1730" s="15"/>
      <c r="J1730" s="15"/>
      <c r="K1730" s="15"/>
      <c r="L1730" s="15"/>
      <c r="M1730" s="15"/>
      <c r="N1730" s="15"/>
      <c r="O1730" s="15"/>
      <c r="P1730" s="15"/>
      <c r="Q1730" s="71"/>
      <c r="R1730" s="84"/>
      <c r="S1730" s="10"/>
      <c r="T1730" s="10"/>
      <c r="U1730" s="10"/>
      <c r="V1730" s="10"/>
      <c r="W1730" s="138"/>
      <c r="Y1730"/>
      <c r="Z1730"/>
      <c r="AA1730"/>
      <c r="AB1730"/>
      <c r="AC1730"/>
      <c r="AD1730"/>
      <c r="AE1730"/>
      <c r="AF1730"/>
      <c r="AG1730"/>
      <c r="AH1730"/>
      <c r="AI1730"/>
      <c r="AJ1730"/>
      <c r="AK1730"/>
      <c r="AL1730"/>
      <c r="AM1730"/>
      <c r="AN1730"/>
      <c r="AO1730"/>
    </row>
    <row r="1731" spans="1:41" ht="15">
      <c r="A1731"/>
      <c r="B1731"/>
      <c r="C1731" s="137"/>
      <c r="D1731" s="30"/>
      <c r="E1731" s="30"/>
      <c r="F1731" s="10"/>
      <c r="G1731" s="10"/>
      <c r="H1731" s="15"/>
      <c r="I1731" s="15"/>
      <c r="J1731" s="15"/>
      <c r="K1731" s="15"/>
      <c r="L1731" s="15"/>
      <c r="M1731" s="15"/>
      <c r="N1731" s="15"/>
      <c r="O1731" s="15"/>
      <c r="P1731" s="15"/>
      <c r="Q1731" s="71"/>
      <c r="R1731" s="84"/>
      <c r="S1731" s="10"/>
      <c r="T1731" s="10"/>
      <c r="U1731" s="10"/>
      <c r="V1731" s="10"/>
      <c r="W1731" s="138"/>
      <c r="Y1731"/>
      <c r="Z1731"/>
      <c r="AA1731"/>
      <c r="AB1731"/>
      <c r="AC1731"/>
      <c r="AD1731"/>
      <c r="AE1731"/>
      <c r="AF1731"/>
      <c r="AG1731"/>
      <c r="AH1731"/>
      <c r="AI1731"/>
      <c r="AJ1731"/>
      <c r="AK1731"/>
      <c r="AL1731"/>
      <c r="AM1731"/>
      <c r="AN1731"/>
      <c r="AO1731"/>
    </row>
    <row r="1732" spans="1:41" ht="15">
      <c r="A1732"/>
      <c r="B1732"/>
      <c r="C1732" s="137"/>
      <c r="D1732" s="30"/>
      <c r="E1732" s="30"/>
      <c r="F1732" s="10"/>
      <c r="G1732" s="10"/>
      <c r="H1732" s="15"/>
      <c r="I1732" s="15"/>
      <c r="J1732" s="15"/>
      <c r="K1732" s="15"/>
      <c r="L1732" s="15"/>
      <c r="M1732" s="15"/>
      <c r="N1732" s="15"/>
      <c r="O1732" s="15"/>
      <c r="P1732" s="15"/>
      <c r="Q1732" s="71"/>
      <c r="R1732" s="84"/>
      <c r="S1732" s="10"/>
      <c r="T1732" s="10"/>
      <c r="U1732" s="10"/>
      <c r="V1732" s="10"/>
      <c r="W1732" s="138"/>
      <c r="Y1732"/>
      <c r="Z1732"/>
      <c r="AA1732"/>
      <c r="AB1732"/>
      <c r="AC1732"/>
      <c r="AD1732"/>
      <c r="AE1732"/>
      <c r="AF1732"/>
      <c r="AG1732"/>
      <c r="AH1732"/>
      <c r="AI1732"/>
      <c r="AJ1732"/>
      <c r="AK1732"/>
      <c r="AL1732"/>
      <c r="AM1732"/>
      <c r="AN1732"/>
      <c r="AO1732"/>
    </row>
    <row r="1733" spans="1:41" ht="15">
      <c r="A1733"/>
      <c r="B1733"/>
      <c r="C1733" s="137"/>
      <c r="D1733" s="30"/>
      <c r="E1733" s="30"/>
      <c r="F1733" s="10"/>
      <c r="G1733" s="10"/>
      <c r="H1733" s="15"/>
      <c r="I1733" s="15"/>
      <c r="J1733" s="15"/>
      <c r="K1733" s="15"/>
      <c r="L1733" s="15"/>
      <c r="M1733" s="15"/>
      <c r="N1733" s="15"/>
      <c r="O1733" s="15"/>
      <c r="P1733" s="15"/>
      <c r="Q1733" s="71"/>
      <c r="R1733" s="84"/>
      <c r="S1733" s="10"/>
      <c r="T1733" s="10"/>
      <c r="U1733" s="10"/>
      <c r="V1733" s="10"/>
      <c r="W1733" s="138"/>
      <c r="Y1733"/>
      <c r="Z1733"/>
      <c r="AA1733"/>
      <c r="AB1733"/>
      <c r="AC1733"/>
      <c r="AD1733"/>
      <c r="AE1733"/>
      <c r="AF1733"/>
      <c r="AG1733"/>
      <c r="AH1733"/>
      <c r="AI1733"/>
      <c r="AJ1733"/>
      <c r="AK1733"/>
      <c r="AL1733"/>
      <c r="AM1733"/>
      <c r="AN1733"/>
      <c r="AO1733"/>
    </row>
    <row r="1734" spans="1:41" ht="15">
      <c r="A1734"/>
      <c r="B1734"/>
      <c r="C1734" s="137"/>
      <c r="D1734" s="30"/>
      <c r="E1734" s="30"/>
      <c r="F1734" s="10"/>
      <c r="G1734" s="10"/>
      <c r="H1734" s="15"/>
      <c r="I1734" s="15"/>
      <c r="J1734" s="15"/>
      <c r="K1734" s="15"/>
      <c r="L1734" s="15"/>
      <c r="M1734" s="15"/>
      <c r="N1734" s="15"/>
      <c r="O1734" s="15"/>
      <c r="P1734" s="15"/>
      <c r="Q1734" s="71"/>
      <c r="R1734" s="84"/>
      <c r="S1734" s="10"/>
      <c r="T1734" s="10"/>
      <c r="U1734" s="10"/>
      <c r="V1734" s="10"/>
      <c r="W1734" s="138"/>
      <c r="Y1734"/>
      <c r="Z1734"/>
      <c r="AA1734"/>
      <c r="AB1734"/>
      <c r="AC1734"/>
      <c r="AD1734"/>
      <c r="AE1734"/>
      <c r="AF1734"/>
      <c r="AG1734"/>
      <c r="AH1734"/>
      <c r="AI1734"/>
      <c r="AJ1734"/>
      <c r="AK1734"/>
      <c r="AL1734"/>
      <c r="AM1734"/>
      <c r="AN1734"/>
      <c r="AO1734"/>
    </row>
    <row r="1735" spans="1:41" ht="15">
      <c r="A1735"/>
      <c r="B1735"/>
      <c r="C1735" s="137"/>
      <c r="D1735" s="30"/>
      <c r="E1735" s="30"/>
      <c r="F1735" s="10"/>
      <c r="G1735" s="10"/>
      <c r="H1735" s="15"/>
      <c r="I1735" s="15"/>
      <c r="J1735" s="15"/>
      <c r="K1735" s="15"/>
      <c r="L1735" s="15"/>
      <c r="M1735" s="15"/>
      <c r="N1735" s="15"/>
      <c r="O1735" s="15"/>
      <c r="P1735" s="15"/>
      <c r="Q1735" s="71"/>
      <c r="R1735" s="84"/>
      <c r="S1735" s="10"/>
      <c r="T1735" s="10"/>
      <c r="U1735" s="10"/>
      <c r="V1735" s="10"/>
      <c r="W1735" s="138"/>
      <c r="Y1735"/>
      <c r="Z1735"/>
      <c r="AA1735"/>
      <c r="AB1735"/>
      <c r="AC1735"/>
      <c r="AD1735"/>
      <c r="AE1735"/>
      <c r="AF1735"/>
      <c r="AG1735"/>
      <c r="AH1735"/>
      <c r="AI1735"/>
      <c r="AJ1735"/>
      <c r="AK1735"/>
      <c r="AL1735"/>
      <c r="AM1735"/>
      <c r="AN1735"/>
      <c r="AO1735"/>
    </row>
    <row r="1736" spans="1:41" ht="15">
      <c r="A1736"/>
      <c r="B1736"/>
      <c r="C1736" s="137"/>
      <c r="D1736" s="30"/>
      <c r="E1736" s="30"/>
      <c r="F1736" s="10"/>
      <c r="G1736" s="10"/>
      <c r="H1736" s="15"/>
      <c r="I1736" s="15"/>
      <c r="J1736" s="15"/>
      <c r="K1736" s="15"/>
      <c r="L1736" s="15"/>
      <c r="M1736" s="15"/>
      <c r="N1736" s="15"/>
      <c r="O1736" s="15"/>
      <c r="P1736" s="15"/>
      <c r="Q1736" s="71"/>
      <c r="R1736" s="84"/>
      <c r="S1736" s="10"/>
      <c r="T1736" s="10"/>
      <c r="U1736" s="10"/>
      <c r="V1736" s="10"/>
      <c r="W1736" s="138"/>
      <c r="Y1736"/>
      <c r="Z1736"/>
      <c r="AA1736"/>
      <c r="AB1736"/>
      <c r="AC1736"/>
      <c r="AD1736"/>
      <c r="AE1736"/>
      <c r="AF1736"/>
      <c r="AG1736"/>
      <c r="AH1736"/>
      <c r="AI1736"/>
      <c r="AJ1736"/>
      <c r="AK1736"/>
      <c r="AL1736"/>
      <c r="AM1736"/>
      <c r="AN1736"/>
      <c r="AO1736"/>
    </row>
    <row r="1737" spans="1:41" ht="15">
      <c r="A1737"/>
      <c r="B1737"/>
      <c r="C1737" s="137"/>
      <c r="D1737" s="30"/>
      <c r="E1737" s="30"/>
      <c r="F1737" s="10"/>
      <c r="G1737" s="10"/>
      <c r="H1737" s="15"/>
      <c r="I1737" s="15"/>
      <c r="J1737" s="15"/>
      <c r="K1737" s="15"/>
      <c r="L1737" s="15"/>
      <c r="M1737" s="15"/>
      <c r="N1737" s="15"/>
      <c r="O1737" s="15"/>
      <c r="P1737" s="15"/>
      <c r="Q1737" s="71"/>
      <c r="R1737" s="84"/>
      <c r="S1737" s="10"/>
      <c r="T1737" s="10"/>
      <c r="U1737" s="10"/>
      <c r="V1737" s="10"/>
      <c r="W1737" s="138"/>
      <c r="Y1737"/>
      <c r="Z1737"/>
      <c r="AA1737"/>
      <c r="AB1737"/>
      <c r="AC1737"/>
      <c r="AD1737"/>
      <c r="AE1737"/>
      <c r="AF1737"/>
      <c r="AG1737"/>
      <c r="AH1737"/>
      <c r="AI1737"/>
      <c r="AJ1737"/>
      <c r="AK1737"/>
      <c r="AL1737"/>
      <c r="AM1737"/>
      <c r="AN1737"/>
      <c r="AO1737"/>
    </row>
    <row r="1738" spans="1:41" ht="15">
      <c r="A1738"/>
      <c r="B1738"/>
      <c r="C1738" s="137"/>
      <c r="D1738" s="30"/>
      <c r="E1738" s="30"/>
      <c r="F1738" s="10"/>
      <c r="G1738" s="10"/>
      <c r="H1738" s="15"/>
      <c r="I1738" s="15"/>
      <c r="J1738" s="15"/>
      <c r="K1738" s="15"/>
      <c r="L1738" s="15"/>
      <c r="M1738" s="15"/>
      <c r="N1738" s="15"/>
      <c r="O1738" s="15"/>
      <c r="P1738" s="15"/>
      <c r="Q1738" s="71"/>
      <c r="R1738" s="84"/>
      <c r="S1738" s="10"/>
      <c r="T1738" s="10"/>
      <c r="U1738" s="10"/>
      <c r="V1738" s="10"/>
      <c r="W1738" s="138"/>
      <c r="Y1738"/>
      <c r="Z1738"/>
      <c r="AA1738"/>
      <c r="AB1738"/>
      <c r="AC1738"/>
      <c r="AD1738"/>
      <c r="AE1738"/>
      <c r="AF1738"/>
      <c r="AG1738"/>
      <c r="AH1738"/>
      <c r="AI1738"/>
      <c r="AJ1738"/>
      <c r="AK1738"/>
      <c r="AL1738"/>
      <c r="AM1738"/>
      <c r="AN1738"/>
      <c r="AO1738"/>
    </row>
    <row r="1739" spans="1:41" ht="15">
      <c r="A1739"/>
      <c r="B1739"/>
      <c r="C1739" s="137"/>
      <c r="D1739" s="30"/>
      <c r="E1739" s="30"/>
      <c r="F1739" s="10"/>
      <c r="G1739" s="10"/>
      <c r="H1739" s="15"/>
      <c r="I1739" s="15"/>
      <c r="J1739" s="15"/>
      <c r="K1739" s="15"/>
      <c r="L1739" s="15"/>
      <c r="M1739" s="15"/>
      <c r="N1739" s="15"/>
      <c r="O1739" s="15"/>
      <c r="P1739" s="15"/>
      <c r="Q1739" s="71"/>
      <c r="R1739" s="84"/>
      <c r="S1739" s="10"/>
      <c r="T1739" s="10"/>
      <c r="U1739" s="10"/>
      <c r="V1739" s="10"/>
      <c r="W1739" s="138"/>
      <c r="Y1739"/>
      <c r="Z1739"/>
      <c r="AA1739"/>
      <c r="AB1739"/>
      <c r="AC1739"/>
      <c r="AD1739"/>
      <c r="AE1739"/>
      <c r="AF1739"/>
      <c r="AG1739"/>
      <c r="AH1739"/>
      <c r="AI1739"/>
      <c r="AJ1739"/>
      <c r="AK1739"/>
      <c r="AL1739"/>
      <c r="AM1739"/>
      <c r="AN1739"/>
      <c r="AO1739"/>
    </row>
    <row r="1740" spans="1:41" ht="15">
      <c r="A1740"/>
      <c r="B1740"/>
      <c r="C1740" s="137"/>
      <c r="D1740" s="30"/>
      <c r="E1740" s="30"/>
      <c r="F1740" s="10"/>
      <c r="G1740" s="10"/>
      <c r="H1740" s="15"/>
      <c r="I1740" s="15"/>
      <c r="J1740" s="15"/>
      <c r="K1740" s="15"/>
      <c r="L1740" s="15"/>
      <c r="M1740" s="15"/>
      <c r="N1740" s="15"/>
      <c r="O1740" s="15"/>
      <c r="P1740" s="15"/>
      <c r="Q1740" s="71"/>
      <c r="R1740" s="84"/>
      <c r="S1740" s="10"/>
      <c r="T1740" s="10"/>
      <c r="U1740" s="10"/>
      <c r="V1740" s="10"/>
      <c r="W1740" s="138"/>
      <c r="Y1740"/>
      <c r="Z1740"/>
      <c r="AA1740"/>
      <c r="AB1740"/>
      <c r="AC1740"/>
      <c r="AD1740"/>
      <c r="AE1740"/>
      <c r="AF1740"/>
      <c r="AG1740"/>
      <c r="AH1740"/>
      <c r="AI1740"/>
      <c r="AJ1740"/>
      <c r="AK1740"/>
      <c r="AL1740"/>
      <c r="AM1740"/>
      <c r="AN1740"/>
      <c r="AO1740"/>
    </row>
    <row r="1741" spans="1:41" ht="15">
      <c r="A1741"/>
      <c r="B1741"/>
      <c r="C1741" s="137"/>
      <c r="D1741" s="30"/>
      <c r="E1741" s="30"/>
      <c r="F1741" s="10"/>
      <c r="G1741" s="10"/>
      <c r="H1741" s="15"/>
      <c r="I1741" s="15"/>
      <c r="J1741" s="15"/>
      <c r="K1741" s="15"/>
      <c r="L1741" s="15"/>
      <c r="M1741" s="15"/>
      <c r="N1741" s="15"/>
      <c r="O1741" s="15"/>
      <c r="P1741" s="15"/>
      <c r="Q1741" s="71"/>
      <c r="R1741" s="84"/>
      <c r="S1741" s="10"/>
      <c r="T1741" s="10"/>
      <c r="U1741" s="10"/>
      <c r="V1741" s="10"/>
      <c r="W1741" s="138"/>
      <c r="Y1741"/>
      <c r="Z1741"/>
      <c r="AA1741"/>
      <c r="AB1741"/>
      <c r="AC1741"/>
      <c r="AD1741"/>
      <c r="AE1741"/>
      <c r="AF1741"/>
      <c r="AG1741"/>
      <c r="AH1741"/>
      <c r="AI1741"/>
      <c r="AJ1741"/>
      <c r="AK1741"/>
      <c r="AL1741"/>
      <c r="AM1741"/>
      <c r="AN1741"/>
      <c r="AO1741"/>
    </row>
    <row r="1742" spans="1:41" ht="15">
      <c r="A1742"/>
      <c r="B1742"/>
      <c r="C1742" s="137"/>
      <c r="D1742" s="30"/>
      <c r="E1742" s="30"/>
      <c r="F1742" s="10"/>
      <c r="G1742" s="10"/>
      <c r="H1742" s="15"/>
      <c r="I1742" s="15"/>
      <c r="J1742" s="15"/>
      <c r="K1742" s="15"/>
      <c r="L1742" s="15"/>
      <c r="M1742" s="15"/>
      <c r="N1742" s="15"/>
      <c r="O1742" s="15"/>
      <c r="P1742" s="15"/>
      <c r="Q1742" s="71"/>
      <c r="R1742" s="84"/>
      <c r="S1742" s="10"/>
      <c r="T1742" s="10"/>
      <c r="U1742" s="10"/>
      <c r="V1742" s="10"/>
      <c r="W1742" s="138"/>
      <c r="Y1742"/>
      <c r="Z1742"/>
      <c r="AA1742"/>
      <c r="AB1742"/>
      <c r="AC1742"/>
      <c r="AD1742"/>
      <c r="AE1742"/>
      <c r="AF1742"/>
      <c r="AG1742"/>
      <c r="AH1742"/>
      <c r="AI1742"/>
      <c r="AJ1742"/>
      <c r="AK1742"/>
      <c r="AL1742"/>
      <c r="AM1742"/>
      <c r="AN1742"/>
      <c r="AO1742"/>
    </row>
    <row r="1743" spans="1:41" ht="15">
      <c r="A1743"/>
      <c r="B1743"/>
      <c r="C1743" s="137"/>
      <c r="D1743" s="30"/>
      <c r="E1743" s="30"/>
      <c r="F1743" s="10"/>
      <c r="G1743" s="10"/>
      <c r="H1743" s="15"/>
      <c r="I1743" s="15"/>
      <c r="J1743" s="15"/>
      <c r="K1743" s="15"/>
      <c r="L1743" s="15"/>
      <c r="M1743" s="15"/>
      <c r="N1743" s="15"/>
      <c r="O1743" s="15"/>
      <c r="P1743" s="15"/>
      <c r="Q1743" s="71"/>
      <c r="R1743" s="84"/>
      <c r="S1743" s="10"/>
      <c r="T1743" s="10"/>
      <c r="U1743" s="10"/>
      <c r="V1743" s="10"/>
      <c r="W1743" s="138"/>
      <c r="Y1743"/>
      <c r="Z1743"/>
      <c r="AA1743"/>
      <c r="AB1743"/>
      <c r="AC1743"/>
      <c r="AD1743"/>
      <c r="AE1743"/>
      <c r="AF1743"/>
      <c r="AG1743"/>
      <c r="AH1743"/>
      <c r="AI1743"/>
      <c r="AJ1743"/>
      <c r="AK1743"/>
      <c r="AL1743"/>
      <c r="AM1743"/>
      <c r="AN1743"/>
      <c r="AO1743"/>
    </row>
    <row r="1744" spans="1:41" ht="15">
      <c r="A1744"/>
      <c r="B1744"/>
      <c r="C1744" s="137"/>
      <c r="D1744" s="30"/>
      <c r="E1744" s="30"/>
      <c r="F1744" s="10"/>
      <c r="G1744" s="10"/>
      <c r="H1744" s="15"/>
      <c r="I1744" s="15"/>
      <c r="J1744" s="15"/>
      <c r="K1744" s="15"/>
      <c r="L1744" s="15"/>
      <c r="M1744" s="15"/>
      <c r="N1744" s="15"/>
      <c r="O1744" s="15"/>
      <c r="P1744" s="15"/>
      <c r="Q1744" s="71"/>
      <c r="R1744" s="84"/>
      <c r="S1744" s="10"/>
      <c r="T1744" s="10"/>
      <c r="U1744" s="10"/>
      <c r="V1744" s="10"/>
      <c r="W1744" s="138"/>
      <c r="Y1744"/>
      <c r="Z1744"/>
      <c r="AA1744"/>
      <c r="AB1744"/>
      <c r="AC1744"/>
      <c r="AD1744"/>
      <c r="AE1744"/>
      <c r="AF1744"/>
      <c r="AG1744"/>
      <c r="AH1744"/>
      <c r="AI1744"/>
      <c r="AJ1744"/>
      <c r="AK1744"/>
      <c r="AL1744"/>
      <c r="AM1744"/>
      <c r="AN1744"/>
      <c r="AO1744"/>
    </row>
    <row r="1745" spans="1:41" ht="15">
      <c r="A1745"/>
      <c r="B1745"/>
      <c r="C1745" s="137"/>
      <c r="D1745" s="30"/>
      <c r="E1745" s="30"/>
      <c r="F1745" s="10"/>
      <c r="G1745" s="10"/>
      <c r="H1745" s="15"/>
      <c r="I1745" s="15"/>
      <c r="J1745" s="15"/>
      <c r="K1745" s="15"/>
      <c r="L1745" s="15"/>
      <c r="M1745" s="15"/>
      <c r="N1745" s="15"/>
      <c r="O1745" s="15"/>
      <c r="P1745" s="15"/>
      <c r="Q1745" s="71"/>
      <c r="R1745" s="84"/>
      <c r="S1745" s="10"/>
      <c r="T1745" s="10"/>
      <c r="U1745" s="10"/>
      <c r="V1745" s="10"/>
      <c r="W1745" s="138"/>
      <c r="Y1745"/>
      <c r="Z1745"/>
      <c r="AA1745"/>
      <c r="AB1745"/>
      <c r="AC1745"/>
      <c r="AD1745"/>
      <c r="AE1745"/>
      <c r="AF1745"/>
      <c r="AG1745"/>
      <c r="AH1745"/>
      <c r="AI1745"/>
      <c r="AJ1745"/>
      <c r="AK1745"/>
      <c r="AL1745"/>
      <c r="AM1745"/>
      <c r="AN1745"/>
      <c r="AO1745"/>
    </row>
    <row r="1746" spans="1:41" ht="15">
      <c r="A1746"/>
      <c r="B1746"/>
      <c r="C1746" s="137"/>
      <c r="D1746" s="30"/>
      <c r="E1746" s="30"/>
      <c r="F1746" s="10"/>
      <c r="G1746" s="10"/>
      <c r="H1746" s="15"/>
      <c r="I1746" s="15"/>
      <c r="J1746" s="15"/>
      <c r="K1746" s="15"/>
      <c r="L1746" s="15"/>
      <c r="M1746" s="15"/>
      <c r="N1746" s="15"/>
      <c r="O1746" s="15"/>
      <c r="P1746" s="15"/>
      <c r="Q1746" s="71"/>
      <c r="R1746" s="84"/>
      <c r="S1746" s="10"/>
      <c r="T1746" s="10"/>
      <c r="U1746" s="10"/>
      <c r="V1746" s="10"/>
      <c r="W1746" s="138"/>
      <c r="Y1746"/>
      <c r="Z1746"/>
      <c r="AA1746"/>
      <c r="AB1746"/>
      <c r="AC1746"/>
      <c r="AD1746"/>
      <c r="AE1746"/>
      <c r="AF1746"/>
      <c r="AG1746"/>
      <c r="AH1746"/>
      <c r="AI1746"/>
      <c r="AJ1746"/>
      <c r="AK1746"/>
      <c r="AL1746"/>
      <c r="AM1746"/>
      <c r="AN1746"/>
      <c r="AO1746"/>
    </row>
    <row r="1747" spans="1:41" ht="15">
      <c r="A1747"/>
      <c r="B1747"/>
      <c r="C1747" s="137"/>
      <c r="D1747" s="30"/>
      <c r="E1747" s="30"/>
      <c r="F1747" s="10"/>
      <c r="G1747" s="10"/>
      <c r="H1747" s="15"/>
      <c r="I1747" s="15"/>
      <c r="J1747" s="15"/>
      <c r="K1747" s="15"/>
      <c r="L1747" s="15"/>
      <c r="M1747" s="15"/>
      <c r="N1747" s="15"/>
      <c r="O1747" s="15"/>
      <c r="P1747" s="15"/>
      <c r="Q1747" s="71"/>
      <c r="R1747" s="84"/>
      <c r="S1747" s="10"/>
      <c r="T1747" s="10"/>
      <c r="U1747" s="10"/>
      <c r="V1747" s="10"/>
      <c r="W1747" s="138"/>
      <c r="Y1747"/>
      <c r="Z1747"/>
      <c r="AA1747"/>
      <c r="AB1747"/>
      <c r="AC1747"/>
      <c r="AD1747"/>
      <c r="AE1747"/>
      <c r="AF1747"/>
      <c r="AG1747"/>
      <c r="AH1747"/>
      <c r="AI1747"/>
      <c r="AJ1747"/>
      <c r="AK1747"/>
      <c r="AL1747"/>
      <c r="AM1747"/>
      <c r="AN1747"/>
      <c r="AO1747"/>
    </row>
    <row r="1748" spans="1:41" ht="15">
      <c r="A1748"/>
      <c r="B1748"/>
      <c r="C1748" s="137"/>
      <c r="D1748" s="30"/>
      <c r="E1748" s="30"/>
      <c r="F1748" s="10"/>
      <c r="G1748" s="10"/>
      <c r="H1748" s="15"/>
      <c r="I1748" s="15"/>
      <c r="J1748" s="15"/>
      <c r="K1748" s="15"/>
      <c r="L1748" s="15"/>
      <c r="M1748" s="15"/>
      <c r="N1748" s="15"/>
      <c r="O1748" s="15"/>
      <c r="P1748" s="15"/>
      <c r="Q1748" s="71"/>
      <c r="R1748" s="84"/>
      <c r="S1748" s="10"/>
      <c r="T1748" s="10"/>
      <c r="U1748" s="10"/>
      <c r="V1748" s="10"/>
      <c r="W1748" s="138"/>
      <c r="Y1748"/>
      <c r="Z1748"/>
      <c r="AA1748"/>
      <c r="AB1748"/>
      <c r="AC1748"/>
      <c r="AD1748"/>
      <c r="AE1748"/>
      <c r="AF1748"/>
      <c r="AG1748"/>
      <c r="AH1748"/>
      <c r="AI1748"/>
      <c r="AJ1748"/>
      <c r="AK1748"/>
      <c r="AL1748"/>
      <c r="AM1748"/>
      <c r="AN1748"/>
      <c r="AO1748"/>
    </row>
    <row r="1749" spans="1:41" ht="15">
      <c r="A1749"/>
      <c r="B1749"/>
      <c r="C1749" s="137"/>
      <c r="D1749" s="30"/>
      <c r="E1749" s="30"/>
      <c r="F1749" s="10"/>
      <c r="G1749" s="10"/>
      <c r="H1749" s="15"/>
      <c r="I1749" s="15"/>
      <c r="J1749" s="15"/>
      <c r="K1749" s="15"/>
      <c r="L1749" s="15"/>
      <c r="M1749" s="15"/>
      <c r="N1749" s="15"/>
      <c r="O1749" s="15"/>
      <c r="P1749" s="15"/>
      <c r="Q1749" s="71"/>
      <c r="R1749" s="84"/>
      <c r="S1749" s="10"/>
      <c r="T1749" s="10"/>
      <c r="U1749" s="10"/>
      <c r="V1749" s="10"/>
      <c r="W1749" s="138"/>
      <c r="Y1749"/>
      <c r="Z1749"/>
      <c r="AA1749"/>
      <c r="AB1749"/>
      <c r="AC1749"/>
      <c r="AD1749"/>
      <c r="AE1749"/>
      <c r="AF1749"/>
      <c r="AG1749"/>
      <c r="AH1749"/>
      <c r="AI1749"/>
      <c r="AJ1749"/>
      <c r="AK1749"/>
      <c r="AL1749"/>
      <c r="AM1749"/>
      <c r="AN1749"/>
      <c r="AO1749"/>
    </row>
    <row r="1750" spans="1:41" ht="15">
      <c r="A1750"/>
      <c r="B1750"/>
      <c r="C1750" s="137"/>
      <c r="D1750" s="30"/>
      <c r="E1750" s="30"/>
      <c r="F1750" s="10"/>
      <c r="G1750" s="10"/>
      <c r="H1750" s="15"/>
      <c r="I1750" s="15"/>
      <c r="J1750" s="15"/>
      <c r="K1750" s="15"/>
      <c r="L1750" s="15"/>
      <c r="M1750" s="15"/>
      <c r="N1750" s="15"/>
      <c r="O1750" s="15"/>
      <c r="P1750" s="15"/>
      <c r="Q1750" s="71"/>
      <c r="R1750" s="84"/>
      <c r="S1750" s="10"/>
      <c r="T1750" s="10"/>
      <c r="U1750" s="10"/>
      <c r="V1750" s="10"/>
      <c r="W1750" s="138"/>
      <c r="Y1750"/>
      <c r="Z1750"/>
      <c r="AA1750"/>
      <c r="AB1750"/>
      <c r="AC1750"/>
      <c r="AD1750"/>
      <c r="AE1750"/>
      <c r="AF1750"/>
      <c r="AG1750"/>
      <c r="AH1750"/>
      <c r="AI1750"/>
      <c r="AJ1750"/>
      <c r="AK1750"/>
      <c r="AL1750"/>
      <c r="AM1750"/>
      <c r="AN1750"/>
      <c r="AO1750"/>
    </row>
    <row r="1751" spans="1:41" ht="15">
      <c r="A1751"/>
      <c r="B1751"/>
      <c r="C1751" s="137"/>
      <c r="D1751" s="30"/>
      <c r="E1751" s="30"/>
      <c r="F1751" s="10"/>
      <c r="G1751" s="10"/>
      <c r="H1751" s="15"/>
      <c r="I1751" s="15"/>
      <c r="J1751" s="15"/>
      <c r="K1751" s="15"/>
      <c r="L1751" s="15"/>
      <c r="M1751" s="15"/>
      <c r="N1751" s="15"/>
      <c r="O1751" s="15"/>
      <c r="P1751" s="15"/>
      <c r="Q1751" s="71"/>
      <c r="R1751" s="84"/>
      <c r="S1751" s="10"/>
      <c r="T1751" s="10"/>
      <c r="U1751" s="10"/>
      <c r="V1751" s="10"/>
      <c r="W1751" s="138"/>
      <c r="Y1751"/>
      <c r="Z1751"/>
      <c r="AA1751"/>
      <c r="AB1751"/>
      <c r="AC1751"/>
      <c r="AD1751"/>
      <c r="AE1751"/>
      <c r="AF1751"/>
      <c r="AG1751"/>
      <c r="AH1751"/>
      <c r="AI1751"/>
      <c r="AJ1751"/>
      <c r="AK1751"/>
      <c r="AL1751"/>
      <c r="AM1751"/>
      <c r="AN1751"/>
      <c r="AO1751"/>
    </row>
    <row r="1752" spans="1:41" ht="15">
      <c r="A1752"/>
      <c r="B1752"/>
      <c r="C1752" s="137"/>
      <c r="D1752" s="30"/>
      <c r="E1752" s="30"/>
      <c r="F1752" s="10"/>
      <c r="G1752" s="10"/>
      <c r="H1752" s="15"/>
      <c r="I1752" s="15"/>
      <c r="J1752" s="15"/>
      <c r="K1752" s="15"/>
      <c r="L1752" s="15"/>
      <c r="M1752" s="15"/>
      <c r="N1752" s="15"/>
      <c r="O1752" s="15"/>
      <c r="P1752" s="15"/>
      <c r="Q1752" s="71"/>
      <c r="R1752" s="84"/>
      <c r="S1752" s="10"/>
      <c r="T1752" s="10"/>
      <c r="U1752" s="10"/>
      <c r="V1752" s="10"/>
      <c r="W1752" s="138"/>
      <c r="Y1752"/>
      <c r="Z1752"/>
      <c r="AA1752"/>
      <c r="AB1752"/>
      <c r="AC1752"/>
      <c r="AD1752"/>
      <c r="AE1752"/>
      <c r="AF1752"/>
      <c r="AG1752"/>
      <c r="AH1752"/>
      <c r="AI1752"/>
      <c r="AJ1752"/>
      <c r="AK1752"/>
      <c r="AL1752"/>
      <c r="AM1752"/>
      <c r="AN1752"/>
      <c r="AO1752"/>
    </row>
    <row r="1753" spans="1:41" ht="15">
      <c r="A1753"/>
      <c r="B1753"/>
      <c r="C1753" s="137"/>
      <c r="D1753" s="30"/>
      <c r="E1753" s="30"/>
      <c r="F1753" s="10"/>
      <c r="G1753" s="10"/>
      <c r="H1753" s="15"/>
      <c r="I1753" s="15"/>
      <c r="J1753" s="15"/>
      <c r="K1753" s="15"/>
      <c r="L1753" s="15"/>
      <c r="M1753" s="15"/>
      <c r="N1753" s="15"/>
      <c r="O1753" s="15"/>
      <c r="P1753" s="15"/>
      <c r="Q1753" s="71"/>
      <c r="R1753" s="84"/>
      <c r="S1753" s="10"/>
      <c r="T1753" s="10"/>
      <c r="U1753" s="10"/>
      <c r="V1753" s="10"/>
      <c r="W1753" s="138"/>
      <c r="Y1753"/>
      <c r="Z1753"/>
      <c r="AA1753"/>
      <c r="AB1753"/>
      <c r="AC1753"/>
      <c r="AD1753"/>
      <c r="AE1753"/>
      <c r="AF1753"/>
      <c r="AG1753"/>
      <c r="AH1753"/>
      <c r="AI1753"/>
      <c r="AJ1753"/>
      <c r="AK1753"/>
      <c r="AL1753"/>
      <c r="AM1753"/>
      <c r="AN1753"/>
      <c r="AO1753"/>
    </row>
    <row r="1754" spans="1:41" ht="15">
      <c r="A1754"/>
      <c r="B1754"/>
      <c r="C1754" s="137"/>
      <c r="D1754" s="30"/>
      <c r="E1754" s="30"/>
      <c r="F1754" s="10"/>
      <c r="G1754" s="10"/>
      <c r="H1754" s="15"/>
      <c r="I1754" s="15"/>
      <c r="J1754" s="15"/>
      <c r="K1754" s="15"/>
      <c r="L1754" s="15"/>
      <c r="M1754" s="15"/>
      <c r="N1754" s="15"/>
      <c r="O1754" s="15"/>
      <c r="P1754" s="15"/>
      <c r="Q1754" s="71"/>
      <c r="R1754" s="84"/>
      <c r="S1754" s="10"/>
      <c r="T1754" s="10"/>
      <c r="U1754" s="10"/>
      <c r="V1754" s="10"/>
      <c r="W1754" s="138"/>
      <c r="Y1754"/>
      <c r="Z1754"/>
      <c r="AA1754"/>
      <c r="AB1754"/>
      <c r="AC1754"/>
      <c r="AD1754"/>
      <c r="AE1754"/>
      <c r="AF1754"/>
      <c r="AG1754"/>
      <c r="AH1754"/>
      <c r="AI1754"/>
      <c r="AJ1754"/>
      <c r="AK1754"/>
      <c r="AL1754"/>
      <c r="AM1754"/>
      <c r="AN1754"/>
      <c r="AO1754"/>
    </row>
    <row r="1755" spans="1:41" ht="15">
      <c r="A1755"/>
      <c r="B1755"/>
      <c r="C1755" s="137"/>
      <c r="D1755" s="30"/>
      <c r="E1755" s="30"/>
      <c r="F1755" s="10"/>
      <c r="G1755" s="10"/>
      <c r="H1755" s="15"/>
      <c r="I1755" s="15"/>
      <c r="J1755" s="15"/>
      <c r="K1755" s="15"/>
      <c r="L1755" s="15"/>
      <c r="M1755" s="15"/>
      <c r="N1755" s="15"/>
      <c r="O1755" s="15"/>
      <c r="P1755" s="15"/>
      <c r="Q1755" s="71"/>
      <c r="R1755" s="84"/>
      <c r="S1755" s="10"/>
      <c r="T1755" s="10"/>
      <c r="U1755" s="10"/>
      <c r="V1755" s="10"/>
      <c r="W1755" s="138"/>
      <c r="Y1755"/>
      <c r="Z1755"/>
      <c r="AA1755"/>
      <c r="AB1755"/>
      <c r="AC1755"/>
      <c r="AD1755"/>
      <c r="AE1755"/>
      <c r="AF1755"/>
      <c r="AG1755"/>
      <c r="AH1755"/>
      <c r="AI1755"/>
      <c r="AJ1755"/>
      <c r="AK1755"/>
      <c r="AL1755"/>
      <c r="AM1755"/>
      <c r="AN1755"/>
      <c r="AO1755"/>
    </row>
    <row r="1756" spans="1:41" ht="15">
      <c r="A1756"/>
      <c r="B1756"/>
      <c r="C1756" s="137"/>
      <c r="D1756" s="30"/>
      <c r="E1756" s="30"/>
      <c r="F1756" s="10"/>
      <c r="G1756" s="10"/>
      <c r="H1756" s="15"/>
      <c r="I1756" s="15"/>
      <c r="J1756" s="15"/>
      <c r="K1756" s="15"/>
      <c r="L1756" s="15"/>
      <c r="M1756" s="15"/>
      <c r="N1756" s="15"/>
      <c r="O1756" s="15"/>
      <c r="P1756" s="15"/>
      <c r="Q1756" s="71"/>
      <c r="R1756" s="84"/>
      <c r="S1756" s="10"/>
      <c r="T1756" s="10"/>
      <c r="U1756" s="10"/>
      <c r="V1756" s="10"/>
      <c r="W1756" s="138"/>
      <c r="Y1756"/>
      <c r="Z1756"/>
      <c r="AA1756"/>
      <c r="AB1756"/>
      <c r="AC1756"/>
      <c r="AD1756"/>
      <c r="AE1756"/>
      <c r="AF1756"/>
      <c r="AG1756"/>
      <c r="AH1756"/>
      <c r="AI1756"/>
      <c r="AJ1756"/>
      <c r="AK1756"/>
      <c r="AL1756"/>
      <c r="AM1756"/>
      <c r="AN1756"/>
      <c r="AO1756"/>
    </row>
    <row r="1757" spans="1:41" ht="15">
      <c r="A1757"/>
      <c r="B1757"/>
      <c r="C1757" s="137"/>
      <c r="D1757" s="30"/>
      <c r="E1757" s="30"/>
      <c r="F1757" s="10"/>
      <c r="G1757" s="10"/>
      <c r="H1757" s="15"/>
      <c r="I1757" s="15"/>
      <c r="J1757" s="15"/>
      <c r="K1757" s="15"/>
      <c r="L1757" s="15"/>
      <c r="M1757" s="15"/>
      <c r="N1757" s="15"/>
      <c r="O1757" s="15"/>
      <c r="P1757" s="15"/>
      <c r="Q1757" s="71"/>
      <c r="R1757" s="84"/>
      <c r="S1757" s="10"/>
      <c r="T1757" s="10"/>
      <c r="U1757" s="10"/>
      <c r="V1757" s="10"/>
      <c r="W1757" s="138"/>
      <c r="Y1757"/>
      <c r="Z1757"/>
      <c r="AA1757"/>
      <c r="AB1757"/>
      <c r="AC1757"/>
      <c r="AD1757"/>
      <c r="AE1757"/>
      <c r="AF1757"/>
      <c r="AG1757"/>
      <c r="AH1757"/>
      <c r="AI1757"/>
      <c r="AJ1757"/>
      <c r="AK1757"/>
      <c r="AL1757"/>
      <c r="AM1757"/>
      <c r="AN1757"/>
      <c r="AO1757"/>
    </row>
    <row r="1758" spans="1:41" ht="15">
      <c r="A1758"/>
      <c r="B1758"/>
      <c r="C1758" s="137"/>
      <c r="D1758" s="30"/>
      <c r="E1758" s="30"/>
      <c r="F1758" s="10"/>
      <c r="G1758" s="10"/>
      <c r="H1758" s="15"/>
      <c r="I1758" s="15"/>
      <c r="J1758" s="15"/>
      <c r="K1758" s="15"/>
      <c r="L1758" s="15"/>
      <c r="M1758" s="15"/>
      <c r="N1758" s="15"/>
      <c r="O1758" s="15"/>
      <c r="P1758" s="15"/>
      <c r="Q1758" s="71"/>
      <c r="R1758" s="84"/>
      <c r="S1758" s="10"/>
      <c r="T1758" s="10"/>
      <c r="U1758" s="10"/>
      <c r="V1758" s="10"/>
      <c r="W1758" s="138"/>
      <c r="Y1758"/>
      <c r="Z1758"/>
      <c r="AA1758"/>
      <c r="AB1758"/>
      <c r="AC1758"/>
      <c r="AD1758"/>
      <c r="AE1758"/>
      <c r="AF1758"/>
      <c r="AG1758"/>
      <c r="AH1758"/>
      <c r="AI1758"/>
      <c r="AJ1758"/>
      <c r="AK1758"/>
      <c r="AL1758"/>
      <c r="AM1758"/>
      <c r="AN1758"/>
      <c r="AO1758"/>
    </row>
    <row r="1759" spans="1:41" ht="15">
      <c r="A1759"/>
      <c r="B1759"/>
      <c r="C1759" s="137"/>
      <c r="D1759" s="30"/>
      <c r="E1759" s="30"/>
      <c r="F1759" s="10"/>
      <c r="G1759" s="10"/>
      <c r="H1759" s="15"/>
      <c r="I1759" s="15"/>
      <c r="J1759" s="15"/>
      <c r="K1759" s="15"/>
      <c r="L1759" s="15"/>
      <c r="M1759" s="15"/>
      <c r="N1759" s="15"/>
      <c r="O1759" s="15"/>
      <c r="P1759" s="15"/>
      <c r="Q1759" s="71"/>
      <c r="R1759" s="84"/>
      <c r="S1759" s="10"/>
      <c r="T1759" s="10"/>
      <c r="U1759" s="10"/>
      <c r="V1759" s="10"/>
      <c r="W1759" s="138"/>
      <c r="Y1759"/>
      <c r="Z1759"/>
      <c r="AA1759"/>
      <c r="AB1759"/>
      <c r="AC1759"/>
      <c r="AD1759"/>
      <c r="AE1759"/>
      <c r="AF1759"/>
      <c r="AG1759"/>
      <c r="AH1759"/>
      <c r="AI1759"/>
      <c r="AJ1759"/>
      <c r="AK1759"/>
      <c r="AL1759"/>
      <c r="AM1759"/>
      <c r="AN1759"/>
      <c r="AO1759"/>
    </row>
    <row r="1760" spans="1:41" ht="15">
      <c r="A1760"/>
      <c r="B1760"/>
      <c r="C1760" s="137"/>
      <c r="D1760" s="30"/>
      <c r="E1760" s="30"/>
      <c r="F1760" s="10"/>
      <c r="G1760" s="10"/>
      <c r="H1760" s="15"/>
      <c r="I1760" s="15"/>
      <c r="J1760" s="15"/>
      <c r="K1760" s="15"/>
      <c r="L1760" s="15"/>
      <c r="M1760" s="15"/>
      <c r="N1760" s="15"/>
      <c r="O1760" s="15"/>
      <c r="P1760" s="15"/>
      <c r="Q1760" s="71"/>
      <c r="R1760" s="84"/>
      <c r="S1760" s="10"/>
      <c r="T1760" s="10"/>
      <c r="U1760" s="10"/>
      <c r="V1760" s="10"/>
      <c r="W1760" s="138"/>
      <c r="Y1760"/>
      <c r="Z1760"/>
      <c r="AA1760"/>
      <c r="AB1760"/>
      <c r="AC1760"/>
      <c r="AD1760"/>
      <c r="AE1760"/>
      <c r="AF1760"/>
      <c r="AG1760"/>
      <c r="AH1760"/>
      <c r="AI1760"/>
      <c r="AJ1760"/>
      <c r="AK1760"/>
      <c r="AL1760"/>
      <c r="AM1760"/>
      <c r="AN1760"/>
      <c r="AO1760"/>
    </row>
    <row r="1761" spans="1:41" ht="15">
      <c r="A1761"/>
      <c r="B1761"/>
      <c r="C1761" s="137"/>
      <c r="D1761" s="30"/>
      <c r="E1761" s="30"/>
      <c r="F1761" s="10"/>
      <c r="G1761" s="10"/>
      <c r="H1761" s="15"/>
      <c r="I1761" s="15"/>
      <c r="J1761" s="15"/>
      <c r="K1761" s="15"/>
      <c r="L1761" s="15"/>
      <c r="M1761" s="15"/>
      <c r="N1761" s="15"/>
      <c r="O1761" s="15"/>
      <c r="P1761" s="15"/>
      <c r="Q1761" s="71"/>
      <c r="R1761" s="84"/>
      <c r="S1761" s="10"/>
      <c r="T1761" s="10"/>
      <c r="U1761" s="10"/>
      <c r="V1761" s="10"/>
      <c r="W1761" s="138"/>
      <c r="Y1761"/>
      <c r="Z1761"/>
      <c r="AA1761"/>
      <c r="AB1761"/>
      <c r="AC1761"/>
      <c r="AD1761"/>
      <c r="AE1761"/>
      <c r="AF1761"/>
      <c r="AG1761"/>
      <c r="AH1761"/>
      <c r="AI1761"/>
      <c r="AJ1761"/>
      <c r="AK1761"/>
      <c r="AL1761"/>
      <c r="AM1761"/>
      <c r="AN1761"/>
      <c r="AO1761"/>
    </row>
    <row r="1762" spans="1:41" ht="15">
      <c r="A1762"/>
      <c r="B1762"/>
      <c r="C1762" s="137"/>
      <c r="D1762" s="30"/>
      <c r="E1762" s="30"/>
      <c r="F1762" s="10"/>
      <c r="G1762" s="10"/>
      <c r="H1762" s="15"/>
      <c r="I1762" s="15"/>
      <c r="J1762" s="15"/>
      <c r="K1762" s="15"/>
      <c r="L1762" s="15"/>
      <c r="M1762" s="15"/>
      <c r="N1762" s="15"/>
      <c r="O1762" s="15"/>
      <c r="P1762" s="15"/>
      <c r="Q1762" s="71"/>
      <c r="R1762" s="84"/>
      <c r="S1762" s="10"/>
      <c r="T1762" s="10"/>
      <c r="U1762" s="10"/>
      <c r="V1762" s="10"/>
      <c r="W1762" s="138"/>
      <c r="Y1762"/>
      <c r="Z1762"/>
      <c r="AA1762"/>
      <c r="AB1762"/>
      <c r="AC1762"/>
      <c r="AD1762"/>
      <c r="AE1762"/>
      <c r="AF1762"/>
      <c r="AG1762"/>
      <c r="AH1762"/>
      <c r="AI1762"/>
      <c r="AJ1762"/>
      <c r="AK1762"/>
      <c r="AL1762"/>
      <c r="AM1762"/>
      <c r="AN1762"/>
      <c r="AO1762"/>
    </row>
    <row r="1763" spans="1:41" ht="15">
      <c r="A1763"/>
      <c r="B1763"/>
      <c r="C1763" s="137"/>
      <c r="D1763" s="30"/>
      <c r="E1763" s="30"/>
      <c r="F1763" s="10"/>
      <c r="G1763" s="10"/>
      <c r="H1763" s="15"/>
      <c r="I1763" s="15"/>
      <c r="J1763" s="15"/>
      <c r="K1763" s="15"/>
      <c r="L1763" s="15"/>
      <c r="M1763" s="15"/>
      <c r="N1763" s="15"/>
      <c r="O1763" s="15"/>
      <c r="P1763" s="15"/>
      <c r="Q1763" s="71"/>
      <c r="R1763" s="84"/>
      <c r="S1763" s="10"/>
      <c r="T1763" s="10"/>
      <c r="U1763" s="10"/>
      <c r="V1763" s="10"/>
      <c r="W1763" s="138"/>
      <c r="Y1763"/>
      <c r="Z1763"/>
      <c r="AA1763"/>
      <c r="AB1763"/>
      <c r="AC1763"/>
      <c r="AD1763"/>
      <c r="AE1763"/>
      <c r="AF1763"/>
      <c r="AG1763"/>
      <c r="AH1763"/>
      <c r="AI1763"/>
      <c r="AJ1763"/>
      <c r="AK1763"/>
      <c r="AL1763"/>
      <c r="AM1763"/>
      <c r="AN1763"/>
      <c r="AO1763"/>
    </row>
    <row r="1764" spans="1:41" ht="15">
      <c r="A1764"/>
      <c r="B1764"/>
      <c r="C1764" s="137"/>
      <c r="D1764" s="30"/>
      <c r="E1764" s="30"/>
      <c r="F1764" s="10"/>
      <c r="G1764" s="10"/>
      <c r="H1764" s="15"/>
      <c r="I1764" s="15"/>
      <c r="J1764" s="15"/>
      <c r="K1764" s="15"/>
      <c r="L1764" s="15"/>
      <c r="M1764" s="15"/>
      <c r="N1764" s="15"/>
      <c r="O1764" s="15"/>
      <c r="P1764" s="15"/>
      <c r="Q1764" s="71"/>
      <c r="R1764" s="84"/>
      <c r="S1764" s="10"/>
      <c r="T1764" s="10"/>
      <c r="U1764" s="10"/>
      <c r="V1764" s="10"/>
      <c r="W1764" s="138"/>
      <c r="Y1764"/>
      <c r="Z1764"/>
      <c r="AA1764"/>
      <c r="AB1764"/>
      <c r="AC1764"/>
      <c r="AD1764"/>
      <c r="AE1764"/>
      <c r="AF1764"/>
      <c r="AG1764"/>
      <c r="AH1764"/>
      <c r="AI1764"/>
      <c r="AJ1764"/>
      <c r="AK1764"/>
      <c r="AL1764"/>
      <c r="AM1764"/>
      <c r="AN1764"/>
      <c r="AO1764"/>
    </row>
    <row r="1765" spans="1:41" ht="15">
      <c r="A1765"/>
      <c r="B1765"/>
      <c r="C1765" s="137"/>
      <c r="D1765" s="30"/>
      <c r="E1765" s="30"/>
      <c r="F1765" s="10"/>
      <c r="G1765" s="10"/>
      <c r="H1765" s="15"/>
      <c r="I1765" s="15"/>
      <c r="J1765" s="15"/>
      <c r="K1765" s="15"/>
      <c r="L1765" s="15"/>
      <c r="M1765" s="15"/>
      <c r="N1765" s="15"/>
      <c r="O1765" s="15"/>
      <c r="P1765" s="15"/>
      <c r="Q1765" s="71"/>
      <c r="R1765" s="84"/>
      <c r="S1765" s="10"/>
      <c r="T1765" s="10"/>
      <c r="U1765" s="10"/>
      <c r="V1765" s="10"/>
      <c r="W1765" s="138"/>
      <c r="Y1765"/>
      <c r="Z1765"/>
      <c r="AA1765"/>
      <c r="AB1765"/>
      <c r="AC1765"/>
      <c r="AD1765"/>
      <c r="AE1765"/>
      <c r="AF1765"/>
      <c r="AG1765"/>
      <c r="AH1765"/>
      <c r="AI1765"/>
      <c r="AJ1765"/>
      <c r="AK1765"/>
      <c r="AL1765"/>
      <c r="AM1765"/>
      <c r="AN1765"/>
      <c r="AO1765"/>
    </row>
    <row r="1766" spans="1:41" ht="15">
      <c r="A1766"/>
      <c r="B1766"/>
      <c r="C1766" s="137"/>
      <c r="D1766" s="30"/>
      <c r="E1766" s="30"/>
      <c r="F1766" s="10"/>
      <c r="G1766" s="10"/>
      <c r="H1766" s="15"/>
      <c r="I1766" s="15"/>
      <c r="J1766" s="15"/>
      <c r="K1766" s="15"/>
      <c r="L1766" s="15"/>
      <c r="M1766" s="15"/>
      <c r="N1766" s="15"/>
      <c r="O1766" s="15"/>
      <c r="P1766" s="15"/>
      <c r="Q1766" s="71"/>
      <c r="R1766" s="84"/>
      <c r="S1766" s="10"/>
      <c r="T1766" s="10"/>
      <c r="U1766" s="10"/>
      <c r="V1766" s="10"/>
      <c r="W1766" s="138"/>
      <c r="Y1766"/>
      <c r="Z1766"/>
      <c r="AA1766"/>
      <c r="AB1766"/>
      <c r="AC1766"/>
      <c r="AD1766"/>
      <c r="AE1766"/>
      <c r="AF1766"/>
      <c r="AG1766"/>
      <c r="AH1766"/>
      <c r="AI1766"/>
      <c r="AJ1766"/>
      <c r="AK1766"/>
      <c r="AL1766"/>
      <c r="AM1766"/>
      <c r="AN1766"/>
      <c r="AO1766"/>
    </row>
    <row r="1767" spans="1:41" ht="15">
      <c r="A1767"/>
      <c r="B1767"/>
      <c r="C1767" s="137"/>
      <c r="D1767" s="30"/>
      <c r="E1767" s="30"/>
      <c r="F1767" s="10"/>
      <c r="G1767" s="10"/>
      <c r="H1767" s="15"/>
      <c r="I1767" s="15"/>
      <c r="J1767" s="15"/>
      <c r="K1767" s="15"/>
      <c r="L1767" s="15"/>
      <c r="M1767" s="15"/>
      <c r="N1767" s="15"/>
      <c r="O1767" s="15"/>
      <c r="P1767" s="15"/>
      <c r="Q1767" s="71"/>
      <c r="R1767" s="84"/>
      <c r="S1767" s="10"/>
      <c r="T1767" s="10"/>
      <c r="U1767" s="10"/>
      <c r="V1767" s="10"/>
      <c r="W1767" s="138"/>
      <c r="Y1767"/>
      <c r="Z1767"/>
      <c r="AA1767"/>
      <c r="AB1767"/>
      <c r="AC1767"/>
      <c r="AD1767"/>
      <c r="AE1767"/>
      <c r="AF1767"/>
      <c r="AG1767"/>
      <c r="AH1767"/>
      <c r="AI1767"/>
      <c r="AJ1767"/>
      <c r="AK1767"/>
      <c r="AL1767"/>
      <c r="AM1767"/>
      <c r="AN1767"/>
      <c r="AO1767"/>
    </row>
    <row r="1768" spans="1:41" ht="15">
      <c r="A1768"/>
      <c r="B1768"/>
      <c r="C1768" s="137"/>
      <c r="D1768" s="30"/>
      <c r="E1768" s="30"/>
      <c r="F1768" s="10"/>
      <c r="G1768" s="10"/>
      <c r="H1768" s="15"/>
      <c r="I1768" s="15"/>
      <c r="J1768" s="15"/>
      <c r="K1768" s="15"/>
      <c r="L1768" s="15"/>
      <c r="M1768" s="15"/>
      <c r="N1768" s="15"/>
      <c r="O1768" s="15"/>
      <c r="P1768" s="15"/>
      <c r="Q1768" s="71"/>
      <c r="R1768" s="84"/>
      <c r="S1768" s="10"/>
      <c r="T1768" s="10"/>
      <c r="U1768" s="10"/>
      <c r="V1768" s="10"/>
      <c r="W1768" s="138"/>
      <c r="Y1768"/>
      <c r="Z1768"/>
      <c r="AA1768"/>
      <c r="AB1768"/>
      <c r="AC1768"/>
      <c r="AD1768"/>
      <c r="AE1768"/>
      <c r="AF1768"/>
      <c r="AG1768"/>
      <c r="AH1768"/>
      <c r="AI1768"/>
      <c r="AJ1768"/>
      <c r="AK1768"/>
      <c r="AL1768"/>
      <c r="AM1768"/>
      <c r="AN1768"/>
      <c r="AO1768"/>
    </row>
    <row r="1769" spans="1:41" ht="15">
      <c r="A1769"/>
      <c r="B1769"/>
      <c r="C1769" s="137"/>
      <c r="D1769" s="30"/>
      <c r="E1769" s="30"/>
      <c r="F1769" s="10"/>
      <c r="G1769" s="10"/>
      <c r="H1769" s="15"/>
      <c r="I1769" s="15"/>
      <c r="J1769" s="15"/>
      <c r="K1769" s="15"/>
      <c r="L1769" s="15"/>
      <c r="M1769" s="15"/>
      <c r="N1769" s="15"/>
      <c r="O1769" s="15"/>
      <c r="P1769" s="15"/>
      <c r="Q1769" s="71"/>
      <c r="R1769" s="84"/>
      <c r="S1769" s="10"/>
      <c r="T1769" s="10"/>
      <c r="U1769" s="10"/>
      <c r="V1769" s="10"/>
      <c r="W1769" s="138"/>
      <c r="Y1769"/>
      <c r="Z1769"/>
      <c r="AA1769"/>
      <c r="AB1769"/>
      <c r="AC1769"/>
      <c r="AD1769"/>
      <c r="AE1769"/>
      <c r="AF1769"/>
      <c r="AG1769"/>
      <c r="AH1769"/>
      <c r="AI1769"/>
      <c r="AJ1769"/>
      <c r="AK1769"/>
      <c r="AL1769"/>
      <c r="AM1769"/>
      <c r="AN1769"/>
      <c r="AO1769"/>
    </row>
    <row r="1770" spans="1:41" ht="15">
      <c r="A1770"/>
      <c r="B1770"/>
      <c r="C1770" s="137"/>
      <c r="D1770" s="30"/>
      <c r="E1770" s="30"/>
      <c r="F1770" s="10"/>
      <c r="G1770" s="10"/>
      <c r="H1770" s="15"/>
      <c r="I1770" s="15"/>
      <c r="J1770" s="15"/>
      <c r="K1770" s="15"/>
      <c r="L1770" s="15"/>
      <c r="M1770" s="15"/>
      <c r="N1770" s="15"/>
      <c r="O1770" s="15"/>
      <c r="P1770" s="15"/>
      <c r="Q1770" s="71"/>
      <c r="R1770" s="84"/>
      <c r="S1770" s="10"/>
      <c r="T1770" s="10"/>
      <c r="U1770" s="10"/>
      <c r="V1770" s="10"/>
      <c r="W1770" s="138"/>
      <c r="Y1770"/>
      <c r="Z1770"/>
      <c r="AA1770"/>
      <c r="AB1770"/>
      <c r="AC1770"/>
      <c r="AD1770"/>
      <c r="AE1770"/>
      <c r="AF1770"/>
      <c r="AG1770"/>
      <c r="AH1770"/>
      <c r="AI1770"/>
      <c r="AJ1770"/>
      <c r="AK1770"/>
      <c r="AL1770"/>
      <c r="AM1770"/>
      <c r="AN1770"/>
      <c r="AO1770"/>
    </row>
    <row r="1771" spans="1:41" ht="15">
      <c r="A1771"/>
      <c r="B1771"/>
      <c r="C1771" s="137"/>
      <c r="D1771" s="30"/>
      <c r="E1771" s="30"/>
      <c r="F1771" s="10"/>
      <c r="G1771" s="10"/>
      <c r="H1771" s="15"/>
      <c r="I1771" s="15"/>
      <c r="J1771" s="15"/>
      <c r="K1771" s="15"/>
      <c r="L1771" s="15"/>
      <c r="M1771" s="15"/>
      <c r="N1771" s="15"/>
      <c r="O1771" s="15"/>
      <c r="P1771" s="15"/>
      <c r="Q1771" s="71"/>
      <c r="R1771" s="84"/>
      <c r="S1771" s="10"/>
      <c r="T1771" s="10"/>
      <c r="U1771" s="10"/>
      <c r="V1771" s="10"/>
      <c r="W1771" s="138"/>
      <c r="Y1771"/>
      <c r="Z1771"/>
      <c r="AA1771"/>
      <c r="AB1771"/>
      <c r="AC1771"/>
      <c r="AD1771"/>
      <c r="AE1771"/>
      <c r="AF1771"/>
      <c r="AG1771"/>
      <c r="AH1771"/>
      <c r="AI1771"/>
      <c r="AJ1771"/>
      <c r="AK1771"/>
      <c r="AL1771"/>
      <c r="AM1771"/>
      <c r="AN1771"/>
      <c r="AO1771"/>
    </row>
    <row r="1772" spans="1:41" ht="15">
      <c r="A1772"/>
      <c r="B1772"/>
      <c r="C1772" s="137"/>
      <c r="D1772" s="30"/>
      <c r="E1772" s="30"/>
      <c r="F1772" s="10"/>
      <c r="G1772" s="10"/>
      <c r="H1772" s="15"/>
      <c r="I1772" s="15"/>
      <c r="J1772" s="15"/>
      <c r="K1772" s="15"/>
      <c r="L1772" s="15"/>
      <c r="M1772" s="15"/>
      <c r="N1772" s="15"/>
      <c r="O1772" s="15"/>
      <c r="P1772" s="15"/>
      <c r="Q1772" s="71"/>
      <c r="R1772" s="84"/>
      <c r="S1772" s="10"/>
      <c r="T1772" s="10"/>
      <c r="U1772" s="10"/>
      <c r="V1772" s="10"/>
      <c r="W1772" s="138"/>
      <c r="Y1772"/>
      <c r="Z1772"/>
      <c r="AA1772"/>
      <c r="AB1772"/>
      <c r="AC1772"/>
      <c r="AD1772"/>
      <c r="AE1772"/>
      <c r="AF1772"/>
      <c r="AG1772"/>
      <c r="AH1772"/>
      <c r="AI1772"/>
      <c r="AJ1772"/>
      <c r="AK1772"/>
      <c r="AL1772"/>
      <c r="AM1772"/>
      <c r="AN1772"/>
      <c r="AO1772"/>
    </row>
    <row r="1773" spans="1:41" ht="15">
      <c r="A1773"/>
      <c r="B1773"/>
      <c r="C1773" s="137"/>
      <c r="D1773" s="30"/>
      <c r="E1773" s="30"/>
      <c r="F1773" s="10"/>
      <c r="G1773" s="10"/>
      <c r="H1773" s="15"/>
      <c r="I1773" s="15"/>
      <c r="J1773" s="15"/>
      <c r="K1773" s="15"/>
      <c r="L1773" s="15"/>
      <c r="M1773" s="15"/>
      <c r="N1773" s="15"/>
      <c r="O1773" s="15"/>
      <c r="P1773" s="15"/>
      <c r="Q1773" s="71"/>
      <c r="R1773" s="84"/>
      <c r="S1773" s="10"/>
      <c r="T1773" s="10"/>
      <c r="U1773" s="10"/>
      <c r="V1773" s="10"/>
      <c r="W1773" s="138"/>
      <c r="Y1773"/>
      <c r="Z1773"/>
      <c r="AA1773"/>
      <c r="AB1773"/>
      <c r="AC1773"/>
      <c r="AD1773"/>
      <c r="AE1773"/>
      <c r="AF1773"/>
      <c r="AG1773"/>
      <c r="AH1773"/>
      <c r="AI1773"/>
      <c r="AJ1773"/>
      <c r="AK1773"/>
      <c r="AL1773"/>
      <c r="AM1773"/>
      <c r="AN1773"/>
      <c r="AO1773"/>
    </row>
    <row r="1774" spans="1:41" ht="15">
      <c r="A1774"/>
      <c r="B1774"/>
      <c r="C1774" s="137"/>
      <c r="D1774" s="30"/>
      <c r="E1774" s="30"/>
      <c r="F1774" s="10"/>
      <c r="G1774" s="10"/>
      <c r="H1774" s="15"/>
      <c r="I1774" s="15"/>
      <c r="J1774" s="15"/>
      <c r="K1774" s="15"/>
      <c r="L1774" s="15"/>
      <c r="M1774" s="15"/>
      <c r="N1774" s="15"/>
      <c r="O1774" s="15"/>
      <c r="P1774" s="15"/>
      <c r="Q1774" s="71"/>
      <c r="R1774" s="84"/>
      <c r="S1774" s="10"/>
      <c r="T1774" s="10"/>
      <c r="U1774" s="10"/>
      <c r="V1774" s="10"/>
      <c r="W1774" s="138"/>
      <c r="Y1774"/>
      <c r="Z1774"/>
      <c r="AA1774"/>
      <c r="AB1774"/>
      <c r="AC1774"/>
      <c r="AD1774"/>
      <c r="AE1774"/>
      <c r="AF1774"/>
      <c r="AG1774"/>
      <c r="AH1774"/>
      <c r="AI1774"/>
      <c r="AJ1774"/>
      <c r="AK1774"/>
      <c r="AL1774"/>
      <c r="AM1774"/>
      <c r="AN1774"/>
      <c r="AO1774"/>
    </row>
    <row r="1775" spans="1:41" ht="15">
      <c r="A1775"/>
      <c r="B1775"/>
      <c r="C1775" s="137"/>
      <c r="D1775" s="30"/>
      <c r="E1775" s="30"/>
      <c r="F1775" s="10"/>
      <c r="G1775" s="10"/>
      <c r="H1775" s="15"/>
      <c r="I1775" s="15"/>
      <c r="J1775" s="15"/>
      <c r="K1775" s="15"/>
      <c r="L1775" s="15"/>
      <c r="M1775" s="15"/>
      <c r="N1775" s="15"/>
      <c r="O1775" s="15"/>
      <c r="P1775" s="15"/>
      <c r="Q1775" s="71"/>
      <c r="R1775" s="84"/>
      <c r="S1775" s="10"/>
      <c r="T1775" s="10"/>
      <c r="U1775" s="10"/>
      <c r="V1775" s="10"/>
      <c r="W1775" s="138"/>
      <c r="Y1775"/>
      <c r="Z1775"/>
      <c r="AA1775"/>
      <c r="AB1775"/>
      <c r="AC1775"/>
      <c r="AD1775"/>
      <c r="AE1775"/>
      <c r="AF1775"/>
      <c r="AG1775"/>
      <c r="AH1775"/>
      <c r="AI1775"/>
      <c r="AJ1775"/>
      <c r="AK1775"/>
      <c r="AL1775"/>
      <c r="AM1775"/>
      <c r="AN1775"/>
      <c r="AO1775"/>
    </row>
    <row r="1776" spans="1:41" ht="15">
      <c r="A1776"/>
      <c r="B1776"/>
      <c r="C1776" s="137"/>
      <c r="D1776" s="30"/>
      <c r="E1776" s="30"/>
      <c r="F1776" s="10"/>
      <c r="G1776" s="10"/>
      <c r="H1776" s="15"/>
      <c r="I1776" s="15"/>
      <c r="J1776" s="15"/>
      <c r="K1776" s="15"/>
      <c r="L1776" s="15"/>
      <c r="M1776" s="15"/>
      <c r="N1776" s="15"/>
      <c r="O1776" s="15"/>
      <c r="P1776" s="15"/>
      <c r="Q1776" s="71"/>
      <c r="R1776" s="84"/>
      <c r="S1776" s="10"/>
      <c r="T1776" s="10"/>
      <c r="U1776" s="10"/>
      <c r="V1776" s="10"/>
      <c r="W1776" s="138"/>
      <c r="Y1776"/>
      <c r="Z1776"/>
      <c r="AA1776"/>
      <c r="AB1776"/>
      <c r="AC1776"/>
      <c r="AD1776"/>
      <c r="AE1776"/>
      <c r="AF1776"/>
      <c r="AG1776"/>
      <c r="AH1776"/>
      <c r="AI1776"/>
      <c r="AJ1776"/>
      <c r="AK1776"/>
      <c r="AL1776"/>
      <c r="AM1776"/>
      <c r="AN1776"/>
      <c r="AO1776"/>
    </row>
    <row r="1777" spans="1:41" ht="15">
      <c r="A1777"/>
      <c r="B1777"/>
      <c r="C1777" s="137"/>
      <c r="D1777" s="30"/>
      <c r="E1777" s="30"/>
      <c r="F1777" s="10"/>
      <c r="G1777" s="10"/>
      <c r="H1777" s="15"/>
      <c r="I1777" s="15"/>
      <c r="J1777" s="15"/>
      <c r="K1777" s="15"/>
      <c r="L1777" s="15"/>
      <c r="M1777" s="15"/>
      <c r="N1777" s="15"/>
      <c r="O1777" s="15"/>
      <c r="P1777" s="15"/>
      <c r="Q1777" s="71"/>
      <c r="R1777" s="84"/>
      <c r="S1777" s="10"/>
      <c r="T1777" s="10"/>
      <c r="U1777" s="10"/>
      <c r="V1777" s="10"/>
      <c r="W1777" s="138"/>
      <c r="Y1777"/>
      <c r="Z1777"/>
      <c r="AA1777"/>
      <c r="AB1777"/>
      <c r="AC1777"/>
      <c r="AD1777"/>
      <c r="AE1777"/>
      <c r="AF1777"/>
      <c r="AG1777"/>
      <c r="AH1777"/>
      <c r="AI1777"/>
      <c r="AJ1777"/>
      <c r="AK1777"/>
      <c r="AL1777"/>
      <c r="AM1777"/>
      <c r="AN1777"/>
      <c r="AO1777"/>
    </row>
    <row r="1778" spans="1:41" ht="15">
      <c r="A1778"/>
      <c r="B1778"/>
      <c r="C1778" s="137"/>
      <c r="D1778" s="30"/>
      <c r="E1778" s="30"/>
      <c r="F1778" s="10"/>
      <c r="G1778" s="10"/>
      <c r="H1778" s="15"/>
      <c r="I1778" s="15"/>
      <c r="J1778" s="15"/>
      <c r="K1778" s="15"/>
      <c r="L1778" s="15"/>
      <c r="M1778" s="15"/>
      <c r="N1778" s="15"/>
      <c r="O1778" s="15"/>
      <c r="P1778" s="15"/>
      <c r="Q1778" s="71"/>
      <c r="R1778" s="84"/>
      <c r="S1778" s="10"/>
      <c r="T1778" s="10"/>
      <c r="U1778" s="10"/>
      <c r="V1778" s="10"/>
      <c r="W1778" s="138"/>
      <c r="Y1778"/>
      <c r="Z1778"/>
      <c r="AA1778"/>
      <c r="AB1778"/>
      <c r="AC1778"/>
      <c r="AD1778"/>
      <c r="AE1778"/>
      <c r="AF1778"/>
      <c r="AG1778"/>
      <c r="AH1778"/>
      <c r="AI1778"/>
      <c r="AJ1778"/>
      <c r="AK1778"/>
      <c r="AL1778"/>
      <c r="AM1778"/>
      <c r="AN1778"/>
      <c r="AO1778"/>
    </row>
    <row r="1779" spans="1:41" ht="15">
      <c r="A1779"/>
      <c r="B1779"/>
      <c r="C1779" s="137"/>
      <c r="D1779" s="30"/>
      <c r="E1779" s="30"/>
      <c r="F1779" s="10"/>
      <c r="G1779" s="10"/>
      <c r="H1779" s="15"/>
      <c r="I1779" s="15"/>
      <c r="J1779" s="15"/>
      <c r="K1779" s="15"/>
      <c r="L1779" s="15"/>
      <c r="M1779" s="15"/>
      <c r="N1779" s="15"/>
      <c r="O1779" s="15"/>
      <c r="P1779" s="15"/>
      <c r="Q1779" s="71"/>
      <c r="R1779" s="84"/>
      <c r="S1779" s="10"/>
      <c r="T1779" s="10"/>
      <c r="U1779" s="10"/>
      <c r="V1779" s="10"/>
      <c r="W1779" s="138"/>
      <c r="Y1779"/>
      <c r="Z1779"/>
      <c r="AA1779"/>
      <c r="AB1779"/>
      <c r="AC1779"/>
      <c r="AD1779"/>
      <c r="AE1779"/>
      <c r="AF1779"/>
      <c r="AG1779"/>
      <c r="AH1779"/>
      <c r="AI1779"/>
      <c r="AJ1779"/>
      <c r="AK1779"/>
      <c r="AL1779"/>
      <c r="AM1779"/>
      <c r="AN1779"/>
      <c r="AO1779"/>
    </row>
    <row r="1780" spans="1:41" ht="15">
      <c r="A1780"/>
      <c r="B1780"/>
      <c r="C1780" s="137"/>
      <c r="D1780" s="30"/>
      <c r="E1780" s="30"/>
      <c r="F1780" s="10"/>
      <c r="G1780" s="10"/>
      <c r="H1780" s="15"/>
      <c r="I1780" s="15"/>
      <c r="J1780" s="15"/>
      <c r="K1780" s="15"/>
      <c r="L1780" s="15"/>
      <c r="M1780" s="15"/>
      <c r="N1780" s="15"/>
      <c r="O1780" s="15"/>
      <c r="P1780" s="15"/>
      <c r="Q1780" s="71"/>
      <c r="R1780" s="84"/>
      <c r="S1780" s="10"/>
      <c r="T1780" s="10"/>
      <c r="U1780" s="10"/>
      <c r="V1780" s="10"/>
      <c r="W1780" s="138"/>
      <c r="Y1780"/>
      <c r="Z1780"/>
      <c r="AA1780"/>
      <c r="AB1780"/>
      <c r="AC1780"/>
      <c r="AD1780"/>
      <c r="AE1780"/>
      <c r="AF1780"/>
      <c r="AG1780"/>
      <c r="AH1780"/>
      <c r="AI1780"/>
      <c r="AJ1780"/>
      <c r="AK1780"/>
      <c r="AL1780"/>
      <c r="AM1780"/>
      <c r="AN1780"/>
      <c r="AO1780"/>
    </row>
    <row r="1781" spans="1:41" ht="15">
      <c r="A1781"/>
      <c r="B1781"/>
      <c r="C1781" s="137"/>
      <c r="D1781" s="30"/>
      <c r="E1781" s="30"/>
      <c r="F1781" s="10"/>
      <c r="G1781" s="10"/>
      <c r="H1781" s="15"/>
      <c r="I1781" s="15"/>
      <c r="J1781" s="15"/>
      <c r="K1781" s="15"/>
      <c r="L1781" s="15"/>
      <c r="M1781" s="15"/>
      <c r="N1781" s="15"/>
      <c r="O1781" s="15"/>
      <c r="P1781" s="15"/>
      <c r="Q1781" s="71"/>
      <c r="R1781" s="84"/>
      <c r="S1781" s="10"/>
      <c r="T1781" s="10"/>
      <c r="U1781" s="10"/>
      <c r="V1781" s="10"/>
      <c r="W1781" s="138"/>
      <c r="Y1781"/>
      <c r="Z1781"/>
      <c r="AA1781"/>
      <c r="AB1781"/>
      <c r="AC1781"/>
      <c r="AD1781"/>
      <c r="AE1781"/>
      <c r="AF1781"/>
      <c r="AG1781"/>
      <c r="AH1781"/>
      <c r="AI1781"/>
      <c r="AJ1781"/>
      <c r="AK1781"/>
      <c r="AL1781"/>
      <c r="AM1781"/>
      <c r="AN1781"/>
      <c r="AO1781"/>
    </row>
    <row r="1782" spans="1:41" ht="15">
      <c r="A1782"/>
      <c r="B1782"/>
      <c r="C1782" s="137"/>
      <c r="D1782" s="30"/>
      <c r="E1782" s="30"/>
      <c r="F1782" s="10"/>
      <c r="G1782" s="10"/>
      <c r="H1782" s="15"/>
      <c r="I1782" s="15"/>
      <c r="J1782" s="15"/>
      <c r="K1782" s="15"/>
      <c r="L1782" s="15"/>
      <c r="M1782" s="15"/>
      <c r="N1782" s="15"/>
      <c r="O1782" s="15"/>
      <c r="P1782" s="15"/>
      <c r="Q1782" s="71"/>
      <c r="R1782" s="84"/>
      <c r="S1782" s="10"/>
      <c r="T1782" s="10"/>
      <c r="U1782" s="10"/>
      <c r="V1782" s="10"/>
      <c r="W1782" s="138"/>
      <c r="Y1782"/>
      <c r="Z1782"/>
      <c r="AA1782"/>
      <c r="AB1782"/>
      <c r="AC1782"/>
      <c r="AD1782"/>
      <c r="AE1782"/>
      <c r="AF1782"/>
      <c r="AG1782"/>
      <c r="AH1782"/>
      <c r="AI1782"/>
      <c r="AJ1782"/>
      <c r="AK1782"/>
      <c r="AL1782"/>
      <c r="AM1782"/>
      <c r="AN1782"/>
      <c r="AO1782"/>
    </row>
    <row r="1783" spans="1:41" ht="15">
      <c r="A1783"/>
      <c r="B1783"/>
      <c r="C1783" s="137"/>
      <c r="D1783" s="30"/>
      <c r="E1783" s="30"/>
      <c r="F1783" s="10"/>
      <c r="G1783" s="10"/>
      <c r="H1783" s="15"/>
      <c r="I1783" s="15"/>
      <c r="J1783" s="15"/>
      <c r="K1783" s="15"/>
      <c r="L1783" s="15"/>
      <c r="M1783" s="15"/>
      <c r="N1783" s="15"/>
      <c r="O1783" s="15"/>
      <c r="P1783" s="15"/>
      <c r="Q1783" s="71"/>
      <c r="R1783" s="84"/>
      <c r="S1783" s="10"/>
      <c r="T1783" s="10"/>
      <c r="U1783" s="10"/>
      <c r="V1783" s="10"/>
      <c r="W1783" s="138"/>
      <c r="Y1783"/>
      <c r="Z1783"/>
      <c r="AA1783"/>
      <c r="AB1783"/>
      <c r="AC1783"/>
      <c r="AD1783"/>
      <c r="AE1783"/>
      <c r="AF1783"/>
      <c r="AG1783"/>
      <c r="AH1783"/>
      <c r="AI1783"/>
      <c r="AJ1783"/>
      <c r="AK1783"/>
      <c r="AL1783"/>
      <c r="AM1783"/>
      <c r="AN1783"/>
      <c r="AO1783"/>
    </row>
    <row r="1784" spans="1:41" ht="15">
      <c r="A1784"/>
      <c r="B1784"/>
      <c r="C1784" s="137"/>
      <c r="D1784" s="30"/>
      <c r="E1784" s="30"/>
      <c r="F1784" s="10"/>
      <c r="G1784" s="10"/>
      <c r="H1784" s="15"/>
      <c r="I1784" s="15"/>
      <c r="J1784" s="15"/>
      <c r="K1784" s="15"/>
      <c r="L1784" s="15"/>
      <c r="M1784" s="15"/>
      <c r="N1784" s="15"/>
      <c r="O1784" s="15"/>
      <c r="P1784" s="15"/>
      <c r="Q1784" s="71"/>
      <c r="R1784" s="84"/>
      <c r="S1784" s="10"/>
      <c r="T1784" s="10"/>
      <c r="U1784" s="10"/>
      <c r="V1784" s="10"/>
      <c r="W1784" s="138"/>
      <c r="Y1784"/>
      <c r="Z1784"/>
      <c r="AA1784"/>
      <c r="AB1784"/>
      <c r="AC1784"/>
      <c r="AD1784"/>
      <c r="AE1784"/>
      <c r="AF1784"/>
      <c r="AG1784"/>
      <c r="AH1784"/>
      <c r="AI1784"/>
      <c r="AJ1784"/>
      <c r="AK1784"/>
      <c r="AL1784"/>
      <c r="AM1784"/>
      <c r="AN1784"/>
      <c r="AO1784"/>
    </row>
    <row r="1785" spans="1:41" ht="15">
      <c r="A1785"/>
      <c r="B1785"/>
      <c r="C1785" s="137"/>
      <c r="D1785" s="30"/>
      <c r="E1785" s="30"/>
      <c r="F1785" s="10"/>
      <c r="G1785" s="10"/>
      <c r="H1785" s="15"/>
      <c r="I1785" s="15"/>
      <c r="J1785" s="15"/>
      <c r="K1785" s="15"/>
      <c r="L1785" s="15"/>
      <c r="M1785" s="15"/>
      <c r="N1785" s="15"/>
      <c r="O1785" s="15"/>
      <c r="P1785" s="15"/>
      <c r="Q1785" s="71"/>
      <c r="R1785" s="84"/>
      <c r="S1785" s="10"/>
      <c r="T1785" s="10"/>
      <c r="U1785" s="10"/>
      <c r="V1785" s="10"/>
      <c r="W1785" s="138"/>
      <c r="Y1785"/>
      <c r="Z1785"/>
      <c r="AA1785"/>
      <c r="AB1785"/>
      <c r="AC1785"/>
      <c r="AD1785"/>
      <c r="AE1785"/>
      <c r="AF1785"/>
      <c r="AG1785"/>
      <c r="AH1785"/>
      <c r="AI1785"/>
      <c r="AJ1785"/>
      <c r="AK1785"/>
      <c r="AL1785"/>
      <c r="AM1785"/>
      <c r="AN1785"/>
      <c r="AO1785"/>
    </row>
    <row r="1786" spans="1:41" ht="15">
      <c r="A1786"/>
      <c r="B1786"/>
      <c r="C1786" s="137"/>
      <c r="D1786" s="30"/>
      <c r="E1786" s="30"/>
      <c r="F1786" s="10"/>
      <c r="G1786" s="10"/>
      <c r="H1786" s="15"/>
      <c r="I1786" s="15"/>
      <c r="J1786" s="15"/>
      <c r="K1786" s="15"/>
      <c r="L1786" s="15"/>
      <c r="M1786" s="15"/>
      <c r="N1786" s="15"/>
      <c r="O1786" s="15"/>
      <c r="P1786" s="15"/>
      <c r="Q1786" s="71"/>
      <c r="R1786" s="84"/>
      <c r="S1786" s="10"/>
      <c r="T1786" s="10"/>
      <c r="U1786" s="10"/>
      <c r="V1786" s="10"/>
      <c r="W1786" s="138"/>
      <c r="Y1786"/>
      <c r="Z1786"/>
      <c r="AA1786"/>
      <c r="AB1786"/>
      <c r="AC1786"/>
      <c r="AD1786"/>
      <c r="AE1786"/>
      <c r="AF1786"/>
      <c r="AG1786"/>
      <c r="AH1786"/>
      <c r="AI1786"/>
      <c r="AJ1786"/>
      <c r="AK1786"/>
      <c r="AL1786"/>
      <c r="AM1786"/>
      <c r="AN1786"/>
      <c r="AO1786"/>
    </row>
    <row r="1787" spans="1:41" ht="15">
      <c r="A1787"/>
      <c r="B1787"/>
      <c r="C1787" s="137"/>
      <c r="D1787" s="30"/>
      <c r="E1787" s="30"/>
      <c r="F1787" s="10"/>
      <c r="G1787" s="10"/>
      <c r="H1787" s="15"/>
      <c r="I1787" s="15"/>
      <c r="J1787" s="15"/>
      <c r="K1787" s="15"/>
      <c r="L1787" s="15"/>
      <c r="M1787" s="15"/>
      <c r="N1787" s="15"/>
      <c r="O1787" s="15"/>
      <c r="P1787" s="15"/>
      <c r="Q1787" s="71"/>
      <c r="R1787" s="84"/>
      <c r="S1787" s="10"/>
      <c r="T1787" s="10"/>
      <c r="U1787" s="10"/>
      <c r="V1787" s="10"/>
      <c r="W1787" s="138"/>
      <c r="Y1787"/>
      <c r="Z1787"/>
      <c r="AA1787"/>
      <c r="AB1787"/>
      <c r="AC1787"/>
      <c r="AD1787"/>
      <c r="AE1787"/>
      <c r="AF1787"/>
      <c r="AG1787"/>
      <c r="AH1787"/>
      <c r="AI1787"/>
      <c r="AJ1787"/>
      <c r="AK1787"/>
      <c r="AL1787"/>
      <c r="AM1787"/>
      <c r="AN1787"/>
      <c r="AO1787"/>
    </row>
    <row r="1788" spans="1:41" ht="15">
      <c r="A1788"/>
      <c r="B1788"/>
      <c r="C1788" s="137"/>
      <c r="D1788" s="30"/>
      <c r="E1788" s="30"/>
      <c r="F1788" s="10"/>
      <c r="G1788" s="10"/>
      <c r="H1788" s="15"/>
      <c r="I1788" s="15"/>
      <c r="J1788" s="15"/>
      <c r="K1788" s="15"/>
      <c r="L1788" s="15"/>
      <c r="M1788" s="15"/>
      <c r="N1788" s="15"/>
      <c r="O1788" s="15"/>
      <c r="P1788" s="15"/>
      <c r="Q1788" s="71"/>
      <c r="R1788" s="84"/>
      <c r="S1788" s="10"/>
      <c r="T1788" s="10"/>
      <c r="U1788" s="10"/>
      <c r="V1788" s="10"/>
      <c r="W1788" s="138"/>
      <c r="Y1788"/>
      <c r="Z1788"/>
      <c r="AA1788"/>
      <c r="AB1788"/>
      <c r="AC1788"/>
      <c r="AD1788"/>
      <c r="AE1788"/>
      <c r="AF1788"/>
      <c r="AG1788"/>
      <c r="AH1788"/>
      <c r="AI1788"/>
      <c r="AJ1788"/>
      <c r="AK1788"/>
      <c r="AL1788"/>
      <c r="AM1788"/>
      <c r="AN1788"/>
      <c r="AO1788"/>
    </row>
    <row r="1789" spans="1:41" ht="15">
      <c r="A1789"/>
      <c r="B1789"/>
      <c r="C1789" s="137"/>
      <c r="D1789" s="30"/>
      <c r="E1789" s="30"/>
      <c r="F1789" s="10"/>
      <c r="G1789" s="10"/>
      <c r="H1789" s="15"/>
      <c r="I1789" s="15"/>
      <c r="J1789" s="15"/>
      <c r="K1789" s="15"/>
      <c r="L1789" s="15"/>
      <c r="M1789" s="15"/>
      <c r="N1789" s="15"/>
      <c r="O1789" s="15"/>
      <c r="P1789" s="15"/>
      <c r="Q1789" s="71"/>
      <c r="R1789" s="84"/>
      <c r="S1789" s="10"/>
      <c r="T1789" s="10"/>
      <c r="U1789" s="10"/>
      <c r="V1789" s="10"/>
      <c r="W1789" s="138"/>
      <c r="Y1789"/>
      <c r="Z1789"/>
      <c r="AA1789"/>
      <c r="AB1789"/>
      <c r="AC1789"/>
      <c r="AD1789"/>
      <c r="AE1789"/>
      <c r="AF1789"/>
      <c r="AG1789"/>
      <c r="AH1789"/>
      <c r="AI1789"/>
      <c r="AJ1789"/>
      <c r="AK1789"/>
      <c r="AL1789"/>
      <c r="AM1789"/>
      <c r="AN1789"/>
      <c r="AO1789"/>
    </row>
    <row r="1790" spans="1:41" ht="15">
      <c r="A1790"/>
      <c r="B1790"/>
      <c r="C1790" s="137"/>
      <c r="D1790" s="30"/>
      <c r="E1790" s="30"/>
      <c r="F1790" s="10"/>
      <c r="G1790" s="10"/>
      <c r="H1790" s="15"/>
      <c r="I1790" s="15"/>
      <c r="J1790" s="15"/>
      <c r="K1790" s="15"/>
      <c r="L1790" s="15"/>
      <c r="M1790" s="15"/>
      <c r="N1790" s="15"/>
      <c r="O1790" s="15"/>
      <c r="P1790" s="15"/>
      <c r="Q1790" s="71"/>
      <c r="R1790" s="84"/>
      <c r="S1790" s="10"/>
      <c r="T1790" s="10"/>
      <c r="U1790" s="10"/>
      <c r="V1790" s="10"/>
      <c r="W1790" s="138"/>
      <c r="Y1790"/>
      <c r="Z1790"/>
      <c r="AA1790"/>
      <c r="AB1790"/>
      <c r="AC1790"/>
      <c r="AD1790"/>
      <c r="AE1790"/>
      <c r="AF1790"/>
      <c r="AG1790"/>
      <c r="AH1790"/>
      <c r="AI1790"/>
      <c r="AJ1790"/>
      <c r="AK1790"/>
      <c r="AL1790"/>
      <c r="AM1790"/>
      <c r="AN1790"/>
      <c r="AO1790"/>
    </row>
    <row r="1791" spans="1:41" ht="15">
      <c r="A1791"/>
      <c r="B1791"/>
      <c r="C1791" s="137"/>
      <c r="D1791" s="30"/>
      <c r="E1791" s="30"/>
      <c r="F1791" s="10"/>
      <c r="G1791" s="10"/>
      <c r="H1791" s="15"/>
      <c r="I1791" s="15"/>
      <c r="J1791" s="15"/>
      <c r="K1791" s="15"/>
      <c r="L1791" s="15"/>
      <c r="M1791" s="15"/>
      <c r="N1791" s="15"/>
      <c r="O1791" s="15"/>
      <c r="P1791" s="15"/>
      <c r="Q1791" s="71"/>
      <c r="R1791" s="84"/>
      <c r="S1791" s="10"/>
      <c r="T1791" s="10"/>
      <c r="U1791" s="10"/>
      <c r="V1791" s="10"/>
      <c r="W1791" s="138"/>
      <c r="Y1791"/>
      <c r="Z1791"/>
      <c r="AA1791"/>
      <c r="AB1791"/>
      <c r="AC1791"/>
      <c r="AD1791"/>
      <c r="AE1791"/>
      <c r="AF1791"/>
      <c r="AG1791"/>
      <c r="AH1791"/>
      <c r="AI1791"/>
      <c r="AJ1791"/>
      <c r="AK1791"/>
      <c r="AL1791"/>
      <c r="AM1791"/>
      <c r="AN1791"/>
      <c r="AO1791"/>
    </row>
    <row r="1792" spans="1:41" ht="15">
      <c r="A1792"/>
      <c r="B1792"/>
      <c r="C1792" s="137"/>
      <c r="D1792" s="30"/>
      <c r="E1792" s="30"/>
      <c r="F1792" s="10"/>
      <c r="G1792" s="10"/>
      <c r="H1792" s="15"/>
      <c r="I1792" s="15"/>
      <c r="J1792" s="15"/>
      <c r="K1792" s="15"/>
      <c r="L1792" s="15"/>
      <c r="M1792" s="15"/>
      <c r="N1792" s="15"/>
      <c r="O1792" s="15"/>
      <c r="P1792" s="15"/>
      <c r="Q1792" s="71"/>
      <c r="R1792" s="84"/>
      <c r="S1792" s="10"/>
      <c r="T1792" s="10"/>
      <c r="U1792" s="10"/>
      <c r="V1792" s="10"/>
      <c r="W1792" s="138"/>
      <c r="Y1792"/>
      <c r="Z1792"/>
      <c r="AA1792"/>
      <c r="AB1792"/>
      <c r="AC1792"/>
      <c r="AD1792"/>
      <c r="AE1792"/>
      <c r="AF1792"/>
      <c r="AG1792"/>
      <c r="AH1792"/>
      <c r="AI1792"/>
      <c r="AJ1792"/>
      <c r="AK1792"/>
      <c r="AL1792"/>
      <c r="AM1792"/>
      <c r="AN1792"/>
      <c r="AO1792"/>
    </row>
    <row r="1793" spans="1:41" ht="15">
      <c r="A1793"/>
      <c r="B1793"/>
      <c r="C1793" s="137"/>
      <c r="D1793" s="30"/>
      <c r="E1793" s="30"/>
      <c r="F1793" s="10"/>
      <c r="G1793" s="10"/>
      <c r="H1793" s="15"/>
      <c r="I1793" s="15"/>
      <c r="J1793" s="15"/>
      <c r="K1793" s="15"/>
      <c r="L1793" s="15"/>
      <c r="M1793" s="15"/>
      <c r="N1793" s="15"/>
      <c r="O1793" s="15"/>
      <c r="P1793" s="15"/>
      <c r="Q1793" s="71"/>
      <c r="R1793" s="84"/>
      <c r="S1793" s="10"/>
      <c r="T1793" s="10"/>
      <c r="U1793" s="10"/>
      <c r="V1793" s="10"/>
      <c r="W1793" s="138"/>
      <c r="Y1793"/>
      <c r="Z1793"/>
      <c r="AA1793"/>
      <c r="AB1793"/>
      <c r="AC1793"/>
      <c r="AD1793"/>
      <c r="AE1793"/>
      <c r="AF1793"/>
      <c r="AG1793"/>
      <c r="AH1793"/>
      <c r="AI1793"/>
      <c r="AJ1793"/>
      <c r="AK1793"/>
      <c r="AL1793"/>
      <c r="AM1793"/>
      <c r="AN1793"/>
      <c r="AO1793"/>
    </row>
    <row r="1794" spans="1:41" ht="15">
      <c r="A1794"/>
      <c r="B1794"/>
      <c r="C1794" s="137"/>
      <c r="D1794" s="30"/>
      <c r="E1794" s="30"/>
      <c r="F1794" s="10"/>
      <c r="G1794" s="10"/>
      <c r="H1794" s="15"/>
      <c r="I1794" s="15"/>
      <c r="J1794" s="15"/>
      <c r="K1794" s="15"/>
      <c r="L1794" s="15"/>
      <c r="M1794" s="15"/>
      <c r="N1794" s="15"/>
      <c r="O1794" s="15"/>
      <c r="P1794" s="15"/>
      <c r="Q1794" s="71"/>
      <c r="R1794" s="84"/>
      <c r="S1794" s="10"/>
      <c r="T1794" s="10"/>
      <c r="U1794" s="10"/>
      <c r="V1794" s="10"/>
      <c r="W1794" s="138"/>
      <c r="Y1794"/>
      <c r="Z1794"/>
      <c r="AA1794"/>
      <c r="AB1794"/>
      <c r="AC1794"/>
      <c r="AD1794"/>
      <c r="AE1794"/>
      <c r="AF1794"/>
      <c r="AG1794"/>
      <c r="AH1794"/>
      <c r="AI1794"/>
      <c r="AJ1794"/>
      <c r="AK1794"/>
      <c r="AL1794"/>
      <c r="AM1794"/>
      <c r="AN1794"/>
      <c r="AO1794"/>
    </row>
    <row r="1795" spans="1:41" ht="15">
      <c r="A1795"/>
      <c r="B1795"/>
      <c r="C1795" s="137"/>
      <c r="D1795" s="30"/>
      <c r="E1795" s="30"/>
      <c r="F1795" s="10"/>
      <c r="G1795" s="10"/>
      <c r="H1795" s="15"/>
      <c r="I1795" s="15"/>
      <c r="J1795" s="15"/>
      <c r="K1795" s="15"/>
      <c r="L1795" s="15"/>
      <c r="M1795" s="15"/>
      <c r="N1795" s="15"/>
      <c r="O1795" s="15"/>
      <c r="P1795" s="15"/>
      <c r="Q1795" s="71"/>
      <c r="R1795" s="84"/>
      <c r="S1795" s="10"/>
      <c r="T1795" s="10"/>
      <c r="U1795" s="10"/>
      <c r="V1795" s="10"/>
      <c r="W1795" s="138"/>
      <c r="Y1795"/>
      <c r="Z1795"/>
      <c r="AA1795"/>
      <c r="AB1795"/>
      <c r="AC1795"/>
      <c r="AD1795"/>
      <c r="AE1795"/>
      <c r="AF1795"/>
      <c r="AG1795"/>
      <c r="AH1795"/>
      <c r="AI1795"/>
      <c r="AJ1795"/>
      <c r="AK1795"/>
      <c r="AL1795"/>
      <c r="AM1795"/>
      <c r="AN1795"/>
      <c r="AO1795"/>
    </row>
    <row r="1796" spans="1:41" ht="15">
      <c r="A1796"/>
      <c r="B1796"/>
      <c r="C1796" s="137"/>
      <c r="D1796" s="30"/>
      <c r="E1796" s="30"/>
      <c r="F1796" s="10"/>
      <c r="G1796" s="10"/>
      <c r="H1796" s="15"/>
      <c r="I1796" s="15"/>
      <c r="J1796" s="15"/>
      <c r="K1796" s="15"/>
      <c r="L1796" s="15"/>
      <c r="M1796" s="15"/>
      <c r="N1796" s="15"/>
      <c r="O1796" s="15"/>
      <c r="P1796" s="15"/>
      <c r="Q1796" s="71"/>
      <c r="R1796" s="84"/>
      <c r="S1796" s="10"/>
      <c r="T1796" s="10"/>
      <c r="U1796" s="10"/>
      <c r="V1796" s="10"/>
      <c r="W1796" s="138"/>
      <c r="Y1796"/>
      <c r="Z1796"/>
      <c r="AA1796"/>
      <c r="AB1796"/>
      <c r="AC1796"/>
      <c r="AD1796"/>
      <c r="AE1796"/>
      <c r="AF1796"/>
      <c r="AG1796"/>
      <c r="AH1796"/>
      <c r="AI1796"/>
      <c r="AJ1796"/>
      <c r="AK1796"/>
      <c r="AL1796"/>
      <c r="AM1796"/>
      <c r="AN1796"/>
      <c r="AO1796"/>
    </row>
    <row r="1797" spans="1:41" ht="15">
      <c r="A1797"/>
      <c r="B1797"/>
      <c r="C1797" s="137"/>
      <c r="D1797" s="30"/>
      <c r="E1797" s="30"/>
      <c r="F1797" s="10"/>
      <c r="G1797" s="10"/>
      <c r="H1797" s="15"/>
      <c r="I1797" s="15"/>
      <c r="J1797" s="15"/>
      <c r="K1797" s="15"/>
      <c r="L1797" s="15"/>
      <c r="M1797" s="15"/>
      <c r="N1797" s="15"/>
      <c r="O1797" s="15"/>
      <c r="P1797" s="15"/>
      <c r="Q1797" s="71"/>
      <c r="R1797" s="84"/>
      <c r="S1797" s="10"/>
      <c r="T1797" s="10"/>
      <c r="U1797" s="10"/>
      <c r="V1797" s="10"/>
      <c r="W1797" s="138"/>
      <c r="Y1797"/>
      <c r="Z1797"/>
      <c r="AA1797"/>
      <c r="AB1797"/>
      <c r="AC1797"/>
      <c r="AD1797"/>
      <c r="AE1797"/>
      <c r="AF1797"/>
      <c r="AG1797"/>
      <c r="AH1797"/>
      <c r="AI1797"/>
      <c r="AJ1797"/>
      <c r="AK1797"/>
      <c r="AL1797"/>
      <c r="AM1797"/>
      <c r="AN1797"/>
      <c r="AO1797"/>
    </row>
    <row r="1798" spans="1:41" ht="15">
      <c r="A1798"/>
      <c r="B1798"/>
      <c r="C1798" s="137"/>
      <c r="D1798" s="30"/>
      <c r="E1798" s="30"/>
      <c r="F1798" s="10"/>
      <c r="G1798" s="10"/>
      <c r="H1798" s="15"/>
      <c r="I1798" s="15"/>
      <c r="J1798" s="15"/>
      <c r="K1798" s="15"/>
      <c r="L1798" s="15"/>
      <c r="M1798" s="15"/>
      <c r="N1798" s="15"/>
      <c r="O1798" s="15"/>
      <c r="P1798" s="15"/>
      <c r="Q1798" s="71"/>
      <c r="R1798" s="84"/>
      <c r="S1798" s="10"/>
      <c r="T1798" s="10"/>
      <c r="U1798" s="10"/>
      <c r="V1798" s="10"/>
      <c r="W1798" s="138"/>
      <c r="Y1798"/>
      <c r="Z1798"/>
      <c r="AA1798"/>
      <c r="AB1798"/>
      <c r="AC1798"/>
      <c r="AD1798"/>
      <c r="AE1798"/>
      <c r="AF1798"/>
      <c r="AG1798"/>
      <c r="AH1798"/>
      <c r="AI1798"/>
      <c r="AJ1798"/>
      <c r="AK1798"/>
      <c r="AL1798"/>
      <c r="AM1798"/>
      <c r="AN1798"/>
      <c r="AO1798"/>
    </row>
    <row r="1799" spans="1:41" ht="15">
      <c r="A1799"/>
      <c r="B1799"/>
      <c r="C1799" s="137"/>
      <c r="D1799" s="30"/>
      <c r="E1799" s="30"/>
      <c r="F1799" s="10"/>
      <c r="G1799" s="10"/>
      <c r="H1799" s="15"/>
      <c r="I1799" s="15"/>
      <c r="J1799" s="15"/>
      <c r="K1799" s="15"/>
      <c r="L1799" s="15"/>
      <c r="M1799" s="15"/>
      <c r="N1799" s="15"/>
      <c r="O1799" s="15"/>
      <c r="P1799" s="15"/>
      <c r="Q1799" s="71"/>
      <c r="R1799" s="84"/>
      <c r="S1799" s="10"/>
      <c r="T1799" s="10"/>
      <c r="U1799" s="10"/>
      <c r="V1799" s="10"/>
      <c r="W1799" s="138"/>
      <c r="Y1799"/>
      <c r="Z1799"/>
      <c r="AA1799"/>
      <c r="AB1799"/>
      <c r="AC1799"/>
      <c r="AD1799"/>
      <c r="AE1799"/>
      <c r="AF1799"/>
      <c r="AG1799"/>
      <c r="AH1799"/>
      <c r="AI1799"/>
      <c r="AJ1799"/>
      <c r="AK1799"/>
      <c r="AL1799"/>
      <c r="AM1799"/>
      <c r="AN1799"/>
      <c r="AO1799"/>
    </row>
    <row r="1800" spans="1:41" ht="15">
      <c r="A1800"/>
      <c r="B1800"/>
      <c r="C1800" s="137"/>
      <c r="D1800" s="30"/>
      <c r="E1800" s="30"/>
      <c r="F1800" s="10"/>
      <c r="G1800" s="10"/>
      <c r="H1800" s="15"/>
      <c r="I1800" s="15"/>
      <c r="J1800" s="15"/>
      <c r="K1800" s="15"/>
      <c r="L1800" s="15"/>
      <c r="M1800" s="15"/>
      <c r="N1800" s="15"/>
      <c r="O1800" s="15"/>
      <c r="P1800" s="15"/>
      <c r="Q1800" s="71"/>
      <c r="R1800" s="84"/>
      <c r="S1800" s="10"/>
      <c r="T1800" s="10"/>
      <c r="U1800" s="10"/>
      <c r="V1800" s="10"/>
      <c r="W1800" s="138"/>
      <c r="Y1800"/>
      <c r="Z1800"/>
      <c r="AA1800"/>
      <c r="AB1800"/>
      <c r="AC1800"/>
      <c r="AD1800"/>
      <c r="AE1800"/>
      <c r="AF1800"/>
      <c r="AG1800"/>
      <c r="AH1800"/>
      <c r="AI1800"/>
      <c r="AJ1800"/>
      <c r="AK1800"/>
      <c r="AL1800"/>
      <c r="AM1800"/>
      <c r="AN1800"/>
      <c r="AO1800"/>
    </row>
    <row r="1801" spans="1:41" ht="15">
      <c r="A1801"/>
      <c r="B1801"/>
      <c r="C1801" s="137"/>
      <c r="D1801" s="30"/>
      <c r="E1801" s="30"/>
      <c r="F1801" s="10"/>
      <c r="G1801" s="10"/>
      <c r="H1801" s="15"/>
      <c r="I1801" s="15"/>
      <c r="J1801" s="15"/>
      <c r="K1801" s="15"/>
      <c r="L1801" s="15"/>
      <c r="M1801" s="15"/>
      <c r="N1801" s="15"/>
      <c r="O1801" s="15"/>
      <c r="P1801" s="15"/>
      <c r="Q1801" s="71"/>
      <c r="R1801" s="84"/>
      <c r="S1801" s="10"/>
      <c r="T1801" s="10"/>
      <c r="U1801" s="10"/>
      <c r="V1801" s="10"/>
      <c r="W1801" s="138"/>
      <c r="Y1801"/>
      <c r="Z1801"/>
      <c r="AA1801"/>
      <c r="AB1801"/>
      <c r="AC1801"/>
      <c r="AD1801"/>
      <c r="AE1801"/>
      <c r="AF1801"/>
      <c r="AG1801"/>
      <c r="AH1801"/>
      <c r="AI1801"/>
      <c r="AJ1801"/>
      <c r="AK1801"/>
      <c r="AL1801"/>
      <c r="AM1801"/>
      <c r="AN1801"/>
      <c r="AO1801"/>
    </row>
    <row r="1802" spans="1:41" ht="15">
      <c r="A1802"/>
      <c r="B1802"/>
      <c r="C1802" s="137"/>
      <c r="D1802" s="30"/>
      <c r="E1802" s="30"/>
      <c r="F1802" s="10"/>
      <c r="G1802" s="10"/>
      <c r="H1802" s="15"/>
      <c r="I1802" s="15"/>
      <c r="J1802" s="15"/>
      <c r="K1802" s="15"/>
      <c r="L1802" s="15"/>
      <c r="M1802" s="15"/>
      <c r="N1802" s="15"/>
      <c r="O1802" s="15"/>
      <c r="P1802" s="15"/>
      <c r="Q1802" s="71"/>
      <c r="R1802" s="84"/>
      <c r="S1802" s="10"/>
      <c r="T1802" s="10"/>
      <c r="U1802" s="10"/>
      <c r="V1802" s="10"/>
      <c r="W1802" s="138"/>
      <c r="Y1802"/>
      <c r="Z1802"/>
      <c r="AA1802"/>
      <c r="AB1802"/>
      <c r="AC1802"/>
      <c r="AD1802"/>
      <c r="AE1802"/>
      <c r="AF1802"/>
      <c r="AG1802"/>
      <c r="AH1802"/>
      <c r="AI1802"/>
      <c r="AJ1802"/>
      <c r="AK1802"/>
      <c r="AL1802"/>
      <c r="AM1802"/>
      <c r="AN1802"/>
      <c r="AO1802"/>
    </row>
    <row r="1803" spans="1:41" ht="15">
      <c r="A1803"/>
      <c r="B1803"/>
      <c r="C1803" s="137"/>
      <c r="D1803" s="30"/>
      <c r="E1803" s="30"/>
      <c r="F1803" s="10"/>
      <c r="G1803" s="10"/>
      <c r="H1803" s="15"/>
      <c r="I1803" s="15"/>
      <c r="J1803" s="15"/>
      <c r="K1803" s="15"/>
      <c r="L1803" s="15"/>
      <c r="M1803" s="15"/>
      <c r="N1803" s="15"/>
      <c r="O1803" s="15"/>
      <c r="P1803" s="15"/>
      <c r="Q1803" s="71"/>
      <c r="R1803" s="84"/>
      <c r="S1803" s="10"/>
      <c r="T1803" s="10"/>
      <c r="U1803" s="10"/>
      <c r="V1803" s="10"/>
      <c r="W1803" s="138"/>
      <c r="Y1803"/>
      <c r="Z1803"/>
      <c r="AA1803"/>
      <c r="AB1803"/>
      <c r="AC1803"/>
      <c r="AD1803"/>
      <c r="AE1803"/>
      <c r="AF1803"/>
      <c r="AG1803"/>
      <c r="AH1803"/>
      <c r="AI1803"/>
      <c r="AJ1803"/>
      <c r="AK1803"/>
      <c r="AL1803"/>
      <c r="AM1803"/>
      <c r="AN1803"/>
      <c r="AO1803"/>
    </row>
    <row r="1804" spans="1:41" ht="15">
      <c r="A1804"/>
      <c r="B1804"/>
      <c r="C1804" s="137"/>
      <c r="D1804" s="30"/>
      <c r="E1804" s="30"/>
      <c r="F1804" s="10"/>
      <c r="G1804" s="10"/>
      <c r="H1804" s="15"/>
      <c r="I1804" s="15"/>
      <c r="J1804" s="15"/>
      <c r="K1804" s="15"/>
      <c r="L1804" s="15"/>
      <c r="M1804" s="15"/>
      <c r="N1804" s="15"/>
      <c r="O1804" s="15"/>
      <c r="P1804" s="15"/>
      <c r="Q1804" s="71"/>
      <c r="R1804" s="84"/>
      <c r="S1804" s="10"/>
      <c r="T1804" s="10"/>
      <c r="U1804" s="10"/>
      <c r="V1804" s="10"/>
      <c r="W1804" s="138"/>
      <c r="Y1804"/>
      <c r="Z1804"/>
      <c r="AA1804"/>
      <c r="AB1804"/>
      <c r="AC1804"/>
      <c r="AD1804"/>
      <c r="AE1804"/>
      <c r="AF1804"/>
      <c r="AG1804"/>
      <c r="AH1804"/>
      <c r="AI1804"/>
      <c r="AJ1804"/>
      <c r="AK1804"/>
      <c r="AL1804"/>
      <c r="AM1804"/>
      <c r="AN1804"/>
      <c r="AO1804"/>
    </row>
    <row r="1805" spans="1:41" ht="15">
      <c r="A1805"/>
      <c r="B1805"/>
      <c r="C1805" s="137"/>
      <c r="D1805" s="30"/>
      <c r="E1805" s="30"/>
      <c r="F1805" s="10"/>
      <c r="G1805" s="10"/>
      <c r="H1805" s="15"/>
      <c r="I1805" s="15"/>
      <c r="J1805" s="15"/>
      <c r="K1805" s="15"/>
      <c r="L1805" s="15"/>
      <c r="M1805" s="15"/>
      <c r="N1805" s="15"/>
      <c r="O1805" s="15"/>
      <c r="P1805" s="15"/>
      <c r="Q1805" s="71"/>
      <c r="R1805" s="84"/>
      <c r="S1805" s="10"/>
      <c r="T1805" s="10"/>
      <c r="U1805" s="10"/>
      <c r="V1805" s="10"/>
      <c r="W1805" s="138"/>
      <c r="Y1805"/>
      <c r="Z1805"/>
      <c r="AA1805"/>
      <c r="AB1805"/>
      <c r="AC1805"/>
      <c r="AD1805"/>
      <c r="AE1805"/>
      <c r="AF1805"/>
      <c r="AG1805"/>
      <c r="AH1805"/>
      <c r="AI1805"/>
      <c r="AJ1805"/>
      <c r="AK1805"/>
      <c r="AL1805"/>
      <c r="AM1805"/>
      <c r="AN1805"/>
      <c r="AO1805"/>
    </row>
    <row r="1806" spans="1:41" ht="15">
      <c r="A1806"/>
      <c r="B1806"/>
      <c r="C1806" s="137"/>
      <c r="D1806" s="30"/>
      <c r="E1806" s="30"/>
      <c r="F1806" s="10"/>
      <c r="G1806" s="10"/>
      <c r="H1806" s="15"/>
      <c r="I1806" s="15"/>
      <c r="J1806" s="15"/>
      <c r="K1806" s="15"/>
      <c r="L1806" s="15"/>
      <c r="M1806" s="15"/>
      <c r="N1806" s="15"/>
      <c r="O1806" s="15"/>
      <c r="P1806" s="15"/>
      <c r="Q1806" s="71"/>
      <c r="R1806" s="84"/>
      <c r="S1806" s="10"/>
      <c r="T1806" s="10"/>
      <c r="U1806" s="10"/>
      <c r="V1806" s="10"/>
      <c r="W1806" s="138"/>
      <c r="Y1806"/>
      <c r="Z1806"/>
      <c r="AA1806"/>
      <c r="AB1806"/>
      <c r="AC1806"/>
      <c r="AD1806"/>
      <c r="AE1806"/>
      <c r="AF1806"/>
      <c r="AG1806"/>
      <c r="AH1806"/>
      <c r="AI1806"/>
      <c r="AJ1806"/>
      <c r="AK1806"/>
      <c r="AL1806"/>
      <c r="AM1806"/>
      <c r="AN1806"/>
      <c r="AO1806"/>
    </row>
    <row r="1807" spans="1:41" ht="15">
      <c r="A1807"/>
      <c r="B1807"/>
      <c r="C1807" s="137"/>
      <c r="D1807" s="30"/>
      <c r="E1807" s="30"/>
      <c r="F1807" s="10"/>
      <c r="G1807" s="10"/>
      <c r="H1807" s="15"/>
      <c r="I1807" s="15"/>
      <c r="J1807" s="15"/>
      <c r="K1807" s="15"/>
      <c r="L1807" s="15"/>
      <c r="M1807" s="15"/>
      <c r="N1807" s="15"/>
      <c r="O1807" s="15"/>
      <c r="P1807" s="15"/>
      <c r="Q1807" s="71"/>
      <c r="R1807" s="84"/>
      <c r="S1807" s="10"/>
      <c r="T1807" s="10"/>
      <c r="U1807" s="10"/>
      <c r="V1807" s="10"/>
      <c r="W1807" s="138"/>
      <c r="Y1807"/>
      <c r="Z1807"/>
      <c r="AA1807"/>
      <c r="AB1807"/>
      <c r="AC1807"/>
      <c r="AD1807"/>
      <c r="AE1807"/>
      <c r="AF1807"/>
      <c r="AG1807"/>
      <c r="AH1807"/>
      <c r="AI1807"/>
      <c r="AJ1807"/>
      <c r="AK1807"/>
      <c r="AL1807"/>
      <c r="AM1807"/>
      <c r="AN1807"/>
      <c r="AO1807"/>
    </row>
    <row r="1808" spans="1:41" ht="15">
      <c r="A1808"/>
      <c r="B1808"/>
      <c r="C1808" s="137"/>
      <c r="D1808" s="30"/>
      <c r="E1808" s="30"/>
      <c r="F1808" s="10"/>
      <c r="G1808" s="10"/>
      <c r="H1808" s="15"/>
      <c r="I1808" s="15"/>
      <c r="J1808" s="15"/>
      <c r="K1808" s="15"/>
      <c r="L1808" s="15"/>
      <c r="M1808" s="15"/>
      <c r="N1808" s="15"/>
      <c r="O1808" s="15"/>
      <c r="P1808" s="15"/>
      <c r="Q1808" s="71"/>
      <c r="R1808" s="84"/>
      <c r="S1808" s="10"/>
      <c r="T1808" s="10"/>
      <c r="U1808" s="10"/>
      <c r="V1808" s="10"/>
      <c r="W1808" s="138"/>
      <c r="Y1808"/>
      <c r="Z1808"/>
      <c r="AA1808"/>
      <c r="AB1808"/>
      <c r="AC1808"/>
      <c r="AD1808"/>
      <c r="AE1808"/>
      <c r="AF1808"/>
      <c r="AG1808"/>
      <c r="AH1808"/>
      <c r="AI1808"/>
      <c r="AJ1808"/>
      <c r="AK1808"/>
      <c r="AL1808"/>
      <c r="AM1808"/>
      <c r="AN1808"/>
      <c r="AO1808"/>
    </row>
    <row r="1809" spans="1:41" ht="15">
      <c r="A1809"/>
      <c r="B1809"/>
      <c r="C1809" s="137"/>
      <c r="D1809" s="30"/>
      <c r="E1809" s="30"/>
      <c r="F1809" s="10"/>
      <c r="G1809" s="10"/>
      <c r="H1809" s="15"/>
      <c r="I1809" s="15"/>
      <c r="J1809" s="15"/>
      <c r="K1809" s="15"/>
      <c r="L1809" s="15"/>
      <c r="M1809" s="15"/>
      <c r="N1809" s="15"/>
      <c r="O1809" s="15"/>
      <c r="P1809" s="15"/>
      <c r="Q1809" s="71"/>
      <c r="R1809" s="84"/>
      <c r="S1809" s="10"/>
      <c r="T1809" s="10"/>
      <c r="U1809" s="10"/>
      <c r="V1809" s="10"/>
      <c r="W1809" s="138"/>
      <c r="Y1809"/>
      <c r="Z1809"/>
      <c r="AA1809"/>
      <c r="AB1809"/>
      <c r="AC1809"/>
      <c r="AD1809"/>
      <c r="AE1809"/>
      <c r="AF1809"/>
      <c r="AG1809"/>
      <c r="AH1809"/>
      <c r="AI1809"/>
      <c r="AJ1809"/>
      <c r="AK1809"/>
      <c r="AL1809"/>
      <c r="AM1809"/>
      <c r="AN1809"/>
      <c r="AO1809"/>
    </row>
    <row r="1810" spans="1:41" ht="15">
      <c r="A1810"/>
      <c r="B1810"/>
      <c r="C1810" s="137"/>
      <c r="D1810" s="30"/>
      <c r="E1810" s="30"/>
      <c r="F1810" s="10"/>
      <c r="G1810" s="10"/>
      <c r="H1810" s="15"/>
      <c r="I1810" s="15"/>
      <c r="J1810" s="15"/>
      <c r="K1810" s="15"/>
      <c r="L1810" s="15"/>
      <c r="M1810" s="15"/>
      <c r="N1810" s="15"/>
      <c r="O1810" s="15"/>
      <c r="P1810" s="15"/>
      <c r="Q1810" s="71"/>
      <c r="R1810" s="84"/>
      <c r="S1810" s="10"/>
      <c r="T1810" s="10"/>
      <c r="U1810" s="10"/>
      <c r="V1810" s="10"/>
      <c r="W1810" s="138"/>
      <c r="Y1810"/>
      <c r="Z1810"/>
      <c r="AA1810"/>
      <c r="AB1810"/>
      <c r="AC1810"/>
      <c r="AD1810"/>
      <c r="AE1810"/>
      <c r="AF1810"/>
      <c r="AG1810"/>
      <c r="AH1810"/>
      <c r="AI1810"/>
      <c r="AJ1810"/>
      <c r="AK1810"/>
      <c r="AL1810"/>
      <c r="AM1810"/>
      <c r="AN1810"/>
      <c r="AO1810"/>
    </row>
    <row r="1811" spans="1:41" ht="15">
      <c r="A1811"/>
      <c r="B1811"/>
      <c r="C1811" s="137"/>
      <c r="D1811" s="30"/>
      <c r="E1811" s="30"/>
      <c r="F1811" s="10"/>
      <c r="G1811" s="10"/>
      <c r="H1811" s="15"/>
      <c r="I1811" s="15"/>
      <c r="J1811" s="15"/>
      <c r="K1811" s="15"/>
      <c r="L1811" s="15"/>
      <c r="M1811" s="15"/>
      <c r="N1811" s="15"/>
      <c r="O1811" s="15"/>
      <c r="P1811" s="15"/>
      <c r="Q1811" s="71"/>
      <c r="R1811" s="84"/>
      <c r="S1811" s="10"/>
      <c r="T1811" s="10"/>
      <c r="U1811" s="10"/>
      <c r="V1811" s="10"/>
      <c r="W1811" s="138"/>
      <c r="Y1811"/>
      <c r="Z1811"/>
      <c r="AA1811"/>
      <c r="AB1811"/>
      <c r="AC1811"/>
      <c r="AD1811"/>
      <c r="AE1811"/>
      <c r="AF1811"/>
      <c r="AG1811"/>
      <c r="AH1811"/>
      <c r="AI1811"/>
      <c r="AJ1811"/>
      <c r="AK1811"/>
      <c r="AL1811"/>
      <c r="AM1811"/>
      <c r="AN1811"/>
      <c r="AO1811"/>
    </row>
    <row r="1812" spans="1:41" ht="15">
      <c r="A1812"/>
      <c r="B1812"/>
      <c r="C1812" s="137"/>
      <c r="D1812" s="30"/>
      <c r="E1812" s="30"/>
      <c r="F1812" s="10"/>
      <c r="G1812" s="10"/>
      <c r="H1812" s="15"/>
      <c r="I1812" s="15"/>
      <c r="J1812" s="15"/>
      <c r="K1812" s="15"/>
      <c r="L1812" s="15"/>
      <c r="M1812" s="15"/>
      <c r="N1812" s="15"/>
      <c r="O1812" s="15"/>
      <c r="P1812" s="15"/>
      <c r="Q1812" s="71"/>
      <c r="R1812" s="84"/>
      <c r="S1812" s="10"/>
      <c r="T1812" s="10"/>
      <c r="U1812" s="10"/>
      <c r="V1812" s="10"/>
      <c r="W1812" s="138"/>
      <c r="Y1812"/>
      <c r="Z1812"/>
      <c r="AA1812"/>
      <c r="AB1812"/>
      <c r="AC1812"/>
      <c r="AD1812"/>
      <c r="AE1812"/>
      <c r="AF1812"/>
      <c r="AG1812"/>
      <c r="AH1812"/>
      <c r="AI1812"/>
      <c r="AJ1812"/>
      <c r="AK1812"/>
      <c r="AL1812"/>
      <c r="AM1812"/>
      <c r="AN1812"/>
      <c r="AO1812"/>
    </row>
    <row r="1813" spans="1:41" ht="15">
      <c r="A1813"/>
      <c r="B1813"/>
      <c r="C1813" s="137"/>
      <c r="D1813" s="30"/>
      <c r="E1813" s="30"/>
      <c r="F1813" s="10"/>
      <c r="G1813" s="10"/>
      <c r="H1813" s="15"/>
      <c r="I1813" s="15"/>
      <c r="J1813" s="15"/>
      <c r="K1813" s="15"/>
      <c r="L1813" s="15"/>
      <c r="M1813" s="15"/>
      <c r="N1813" s="15"/>
      <c r="O1813" s="15"/>
      <c r="P1813" s="15"/>
      <c r="Q1813" s="71"/>
      <c r="R1813" s="84"/>
      <c r="S1813" s="10"/>
      <c r="T1813" s="10"/>
      <c r="U1813" s="10"/>
      <c r="V1813" s="10"/>
      <c r="W1813" s="138"/>
      <c r="Y1813"/>
      <c r="Z1813"/>
      <c r="AA1813"/>
      <c r="AB1813"/>
      <c r="AC1813"/>
      <c r="AD1813"/>
      <c r="AE1813"/>
      <c r="AF1813"/>
      <c r="AG1813"/>
      <c r="AH1813"/>
      <c r="AI1813"/>
      <c r="AJ1813"/>
      <c r="AK1813"/>
      <c r="AL1813"/>
      <c r="AM1813"/>
      <c r="AN1813"/>
      <c r="AO1813"/>
    </row>
    <row r="1814" spans="1:41" ht="15">
      <c r="A1814"/>
      <c r="B1814"/>
      <c r="C1814" s="137"/>
      <c r="D1814" s="30"/>
      <c r="E1814" s="30"/>
      <c r="F1814" s="10"/>
      <c r="G1814" s="10"/>
      <c r="H1814" s="15"/>
      <c r="I1814" s="15"/>
      <c r="J1814" s="15"/>
      <c r="K1814" s="15"/>
      <c r="L1814" s="15"/>
      <c r="M1814" s="15"/>
      <c r="N1814" s="15"/>
      <c r="O1814" s="15"/>
      <c r="P1814" s="15"/>
      <c r="Q1814" s="71"/>
      <c r="R1814" s="84"/>
      <c r="S1814" s="10"/>
      <c r="T1814" s="10"/>
      <c r="U1814" s="10"/>
      <c r="V1814" s="10"/>
      <c r="W1814" s="138"/>
      <c r="Y1814"/>
      <c r="Z1814"/>
      <c r="AA1814"/>
      <c r="AB1814"/>
      <c r="AC1814"/>
      <c r="AD1814"/>
      <c r="AE1814"/>
      <c r="AF1814"/>
      <c r="AG1814"/>
      <c r="AH1814"/>
      <c r="AI1814"/>
      <c r="AJ1814"/>
      <c r="AK1814"/>
      <c r="AL1814"/>
      <c r="AM1814"/>
      <c r="AN1814"/>
      <c r="AO1814"/>
    </row>
    <row r="1815" spans="1:41" ht="15">
      <c r="A1815"/>
      <c r="B1815"/>
      <c r="C1815" s="137"/>
      <c r="D1815" s="30"/>
      <c r="E1815" s="30"/>
      <c r="F1815" s="10"/>
      <c r="G1815" s="10"/>
      <c r="H1815" s="15"/>
      <c r="I1815" s="15"/>
      <c r="J1815" s="15"/>
      <c r="K1815" s="15"/>
      <c r="L1815" s="15"/>
      <c r="M1815" s="15"/>
      <c r="N1815" s="15"/>
      <c r="O1815" s="15"/>
      <c r="P1815" s="15"/>
      <c r="Q1815" s="71"/>
      <c r="R1815" s="84"/>
      <c r="S1815" s="10"/>
      <c r="T1815" s="10"/>
      <c r="U1815" s="10"/>
      <c r="V1815" s="10"/>
      <c r="W1815" s="138"/>
      <c r="Y1815"/>
      <c r="Z1815"/>
      <c r="AA1815"/>
      <c r="AB1815"/>
      <c r="AC1815"/>
      <c r="AD1815"/>
      <c r="AE1815"/>
      <c r="AF1815"/>
      <c r="AG1815"/>
      <c r="AH1815"/>
      <c r="AI1815"/>
      <c r="AJ1815"/>
      <c r="AK1815"/>
      <c r="AL1815"/>
      <c r="AM1815"/>
      <c r="AN1815"/>
      <c r="AO1815"/>
    </row>
    <row r="1816" spans="1:41" ht="15">
      <c r="A1816"/>
      <c r="B1816"/>
      <c r="C1816" s="137"/>
      <c r="D1816" s="30"/>
      <c r="E1816" s="30"/>
      <c r="F1816" s="10"/>
      <c r="G1816" s="10"/>
      <c r="H1816" s="15"/>
      <c r="I1816" s="15"/>
      <c r="J1816" s="15"/>
      <c r="K1816" s="15"/>
      <c r="L1816" s="15"/>
      <c r="M1816" s="15"/>
      <c r="N1816" s="15"/>
      <c r="O1816" s="15"/>
      <c r="P1816" s="15"/>
      <c r="Q1816" s="71"/>
      <c r="R1816" s="84"/>
      <c r="S1816" s="10"/>
      <c r="T1816" s="10"/>
      <c r="U1816" s="10"/>
      <c r="V1816" s="10"/>
      <c r="W1816" s="138"/>
      <c r="Y1816"/>
      <c r="Z1816"/>
      <c r="AA1816"/>
      <c r="AB1816"/>
      <c r="AC1816"/>
      <c r="AD1816"/>
      <c r="AE1816"/>
      <c r="AF1816"/>
      <c r="AG1816"/>
      <c r="AH1816"/>
      <c r="AI1816"/>
      <c r="AJ1816"/>
      <c r="AK1816"/>
      <c r="AL1816"/>
      <c r="AM1816"/>
      <c r="AN1816"/>
      <c r="AO1816"/>
    </row>
    <row r="1817" spans="1:41" ht="15">
      <c r="A1817"/>
      <c r="B1817"/>
      <c r="C1817" s="137"/>
      <c r="D1817" s="30"/>
      <c r="E1817" s="30"/>
      <c r="F1817" s="10"/>
      <c r="G1817" s="10"/>
      <c r="H1817" s="15"/>
      <c r="I1817" s="15"/>
      <c r="J1817" s="15"/>
      <c r="K1817" s="15"/>
      <c r="L1817" s="15"/>
      <c r="M1817" s="15"/>
      <c r="N1817" s="15"/>
      <c r="O1817" s="15"/>
      <c r="P1817" s="15"/>
      <c r="Q1817" s="71"/>
      <c r="R1817" s="84"/>
      <c r="S1817" s="10"/>
      <c r="T1817" s="10"/>
      <c r="U1817" s="10"/>
      <c r="V1817" s="10"/>
      <c r="W1817" s="138"/>
      <c r="Y1817"/>
      <c r="Z1817"/>
      <c r="AA1817"/>
      <c r="AB1817"/>
      <c r="AC1817"/>
      <c r="AD1817"/>
      <c r="AE1817"/>
      <c r="AF1817"/>
      <c r="AG1817"/>
      <c r="AH1817"/>
      <c r="AI1817"/>
      <c r="AJ1817"/>
      <c r="AK1817"/>
      <c r="AL1817"/>
      <c r="AM1817"/>
      <c r="AN1817"/>
      <c r="AO1817"/>
    </row>
    <row r="1818" spans="1:41" ht="15">
      <c r="A1818"/>
      <c r="B1818"/>
      <c r="C1818" s="137"/>
      <c r="D1818" s="30"/>
      <c r="E1818" s="30"/>
      <c r="F1818" s="10"/>
      <c r="G1818" s="10"/>
      <c r="H1818" s="15"/>
      <c r="I1818" s="15"/>
      <c r="J1818" s="15"/>
      <c r="K1818" s="15"/>
      <c r="L1818" s="15"/>
      <c r="M1818" s="15"/>
      <c r="N1818" s="15"/>
      <c r="O1818" s="15"/>
      <c r="P1818" s="15"/>
      <c r="Q1818" s="71"/>
      <c r="R1818" s="84"/>
      <c r="S1818" s="10"/>
      <c r="T1818" s="10"/>
      <c r="U1818" s="10"/>
      <c r="V1818" s="10"/>
      <c r="W1818" s="138"/>
      <c r="Y1818"/>
      <c r="Z1818"/>
      <c r="AA1818"/>
      <c r="AB1818"/>
      <c r="AC1818"/>
      <c r="AD1818"/>
      <c r="AE1818"/>
      <c r="AF1818"/>
      <c r="AG1818"/>
      <c r="AH1818"/>
      <c r="AI1818"/>
      <c r="AJ1818"/>
      <c r="AK1818"/>
      <c r="AL1818"/>
      <c r="AM1818"/>
      <c r="AN1818"/>
      <c r="AO1818"/>
    </row>
    <row r="1819" spans="1:41" ht="15">
      <c r="A1819"/>
      <c r="B1819"/>
      <c r="C1819" s="137"/>
      <c r="D1819" s="30"/>
      <c r="E1819" s="30"/>
      <c r="F1819" s="10"/>
      <c r="G1819" s="10"/>
      <c r="H1819" s="15"/>
      <c r="I1819" s="15"/>
      <c r="J1819" s="15"/>
      <c r="K1819" s="15"/>
      <c r="L1819" s="15"/>
      <c r="M1819" s="15"/>
      <c r="N1819" s="15"/>
      <c r="O1819" s="15"/>
      <c r="P1819" s="15"/>
      <c r="Q1819" s="71"/>
      <c r="R1819" s="84"/>
      <c r="S1819" s="10"/>
      <c r="T1819" s="10"/>
      <c r="U1819" s="10"/>
      <c r="V1819" s="10"/>
      <c r="W1819" s="138"/>
      <c r="Y1819"/>
      <c r="Z1819"/>
      <c r="AA1819"/>
      <c r="AB1819"/>
      <c r="AC1819"/>
      <c r="AD1819"/>
      <c r="AE1819"/>
      <c r="AF1819"/>
      <c r="AG1819"/>
      <c r="AH1819"/>
      <c r="AI1819"/>
      <c r="AJ1819"/>
      <c r="AK1819"/>
      <c r="AL1819"/>
      <c r="AM1819"/>
      <c r="AN1819"/>
      <c r="AO1819"/>
    </row>
    <row r="1820" spans="1:41" ht="15">
      <c r="A1820"/>
      <c r="B1820"/>
      <c r="C1820" s="137"/>
      <c r="D1820" s="30"/>
      <c r="E1820" s="30"/>
      <c r="F1820" s="10"/>
      <c r="G1820" s="10"/>
      <c r="H1820" s="15"/>
      <c r="I1820" s="15"/>
      <c r="J1820" s="15"/>
      <c r="K1820" s="15"/>
      <c r="L1820" s="15"/>
      <c r="M1820" s="15"/>
      <c r="N1820" s="15"/>
      <c r="O1820" s="15"/>
      <c r="P1820" s="15"/>
      <c r="Q1820" s="71"/>
      <c r="R1820" s="84"/>
      <c r="S1820" s="10"/>
      <c r="T1820" s="10"/>
      <c r="U1820" s="10"/>
      <c r="V1820" s="10"/>
      <c r="W1820" s="138"/>
      <c r="Y1820"/>
      <c r="Z1820"/>
      <c r="AA1820"/>
      <c r="AB1820"/>
      <c r="AC1820"/>
      <c r="AD1820"/>
      <c r="AE1820"/>
      <c r="AF1820"/>
      <c r="AG1820"/>
      <c r="AH1820"/>
      <c r="AI1820"/>
      <c r="AJ1820"/>
      <c r="AK1820"/>
      <c r="AL1820"/>
      <c r="AM1820"/>
      <c r="AN1820"/>
      <c r="AO1820"/>
    </row>
    <row r="1821" spans="1:41" ht="15">
      <c r="A1821"/>
      <c r="B1821"/>
      <c r="C1821" s="137"/>
      <c r="D1821" s="30"/>
      <c r="E1821" s="30"/>
      <c r="F1821" s="10"/>
      <c r="G1821" s="10"/>
      <c r="H1821" s="15"/>
      <c r="I1821" s="15"/>
      <c r="J1821" s="15"/>
      <c r="K1821" s="15"/>
      <c r="L1821" s="15"/>
      <c r="M1821" s="15"/>
      <c r="N1821" s="15"/>
      <c r="O1821" s="15"/>
      <c r="P1821" s="15"/>
      <c r="Q1821" s="71"/>
      <c r="R1821" s="84"/>
      <c r="S1821" s="10"/>
      <c r="T1821" s="10"/>
      <c r="U1821" s="10"/>
      <c r="V1821" s="10"/>
      <c r="W1821" s="138"/>
      <c r="Y1821"/>
      <c r="Z1821"/>
      <c r="AA1821"/>
      <c r="AB1821"/>
      <c r="AC1821"/>
      <c r="AD1821"/>
      <c r="AE1821"/>
      <c r="AF1821"/>
      <c r="AG1821"/>
      <c r="AH1821"/>
      <c r="AI1821"/>
      <c r="AJ1821"/>
      <c r="AK1821"/>
      <c r="AL1821"/>
      <c r="AM1821"/>
      <c r="AN1821"/>
      <c r="AO1821"/>
    </row>
    <row r="1822" spans="1:41" ht="15">
      <c r="A1822"/>
      <c r="B1822"/>
      <c r="C1822" s="137"/>
      <c r="D1822" s="30"/>
      <c r="E1822" s="30"/>
      <c r="F1822" s="10"/>
      <c r="G1822" s="10"/>
      <c r="H1822" s="15"/>
      <c r="I1822" s="15"/>
      <c r="J1822" s="15"/>
      <c r="K1822" s="15"/>
      <c r="L1822" s="15"/>
      <c r="M1822" s="15"/>
      <c r="N1822" s="15"/>
      <c r="O1822" s="15"/>
      <c r="P1822" s="15"/>
      <c r="Q1822" s="71"/>
      <c r="R1822" s="84"/>
      <c r="S1822" s="10"/>
      <c r="T1822" s="10"/>
      <c r="U1822" s="10"/>
      <c r="V1822" s="10"/>
      <c r="W1822" s="138"/>
      <c r="Y1822"/>
      <c r="Z1822"/>
      <c r="AA1822"/>
      <c r="AB1822"/>
      <c r="AC1822"/>
      <c r="AD1822"/>
      <c r="AE1822"/>
      <c r="AF1822"/>
      <c r="AG1822"/>
      <c r="AH1822"/>
      <c r="AI1822"/>
      <c r="AJ1822"/>
      <c r="AK1822"/>
      <c r="AL1822"/>
      <c r="AM1822"/>
      <c r="AN1822"/>
      <c r="AO1822"/>
    </row>
    <row r="1823" spans="1:41" ht="15">
      <c r="A1823"/>
      <c r="B1823"/>
      <c r="C1823" s="137"/>
      <c r="D1823" s="30"/>
      <c r="E1823" s="30"/>
      <c r="F1823" s="10"/>
      <c r="G1823" s="10"/>
      <c r="H1823" s="15"/>
      <c r="I1823" s="15"/>
      <c r="J1823" s="15"/>
      <c r="K1823" s="15"/>
      <c r="L1823" s="15"/>
      <c r="M1823" s="15"/>
      <c r="N1823" s="15"/>
      <c r="O1823" s="15"/>
      <c r="P1823" s="15"/>
      <c r="Q1823" s="71"/>
      <c r="R1823" s="84"/>
      <c r="S1823" s="10"/>
      <c r="T1823" s="10"/>
      <c r="U1823" s="10"/>
      <c r="V1823" s="10"/>
      <c r="W1823" s="138"/>
      <c r="Y1823"/>
      <c r="Z1823"/>
      <c r="AA1823"/>
      <c r="AB1823"/>
      <c r="AC1823"/>
      <c r="AD1823"/>
      <c r="AE1823"/>
      <c r="AF1823"/>
      <c r="AG1823"/>
      <c r="AH1823"/>
      <c r="AI1823"/>
      <c r="AJ1823"/>
      <c r="AK1823"/>
      <c r="AL1823"/>
      <c r="AM1823"/>
      <c r="AN1823"/>
      <c r="AO1823"/>
    </row>
    <row r="1824" spans="1:41" ht="15">
      <c r="A1824"/>
      <c r="B1824"/>
      <c r="C1824" s="137"/>
      <c r="D1824" s="30"/>
      <c r="E1824" s="30"/>
      <c r="F1824" s="10"/>
      <c r="G1824" s="10"/>
      <c r="H1824" s="15"/>
      <c r="I1824" s="15"/>
      <c r="J1824" s="15"/>
      <c r="K1824" s="15"/>
      <c r="L1824" s="15"/>
      <c r="M1824" s="15"/>
      <c r="N1824" s="15"/>
      <c r="O1824" s="15"/>
      <c r="P1824" s="15"/>
      <c r="Q1824" s="71"/>
      <c r="R1824" s="84"/>
      <c r="S1824" s="10"/>
      <c r="T1824" s="10"/>
      <c r="U1824" s="10"/>
      <c r="V1824" s="10"/>
      <c r="W1824" s="138"/>
      <c r="Y1824"/>
      <c r="Z1824"/>
      <c r="AA1824"/>
      <c r="AB1824"/>
      <c r="AC1824"/>
      <c r="AD1824"/>
      <c r="AE1824"/>
      <c r="AF1824"/>
      <c r="AG1824"/>
      <c r="AH1824"/>
      <c r="AI1824"/>
      <c r="AJ1824"/>
      <c r="AK1824"/>
      <c r="AL1824"/>
      <c r="AM1824"/>
      <c r="AN1824"/>
      <c r="AO1824"/>
    </row>
    <row r="1825" spans="1:41" ht="15">
      <c r="A1825"/>
      <c r="B1825"/>
      <c r="C1825" s="137"/>
      <c r="D1825" s="30"/>
      <c r="E1825" s="30"/>
      <c r="F1825" s="10"/>
      <c r="G1825" s="10"/>
      <c r="H1825" s="15"/>
      <c r="I1825" s="15"/>
      <c r="J1825" s="15"/>
      <c r="K1825" s="15"/>
      <c r="L1825" s="15"/>
      <c r="M1825" s="15"/>
      <c r="N1825" s="15"/>
      <c r="O1825" s="15"/>
      <c r="P1825" s="15"/>
      <c r="Q1825" s="71"/>
      <c r="R1825" s="84"/>
      <c r="S1825" s="10"/>
      <c r="T1825" s="10"/>
      <c r="U1825" s="10"/>
      <c r="V1825" s="10"/>
      <c r="W1825" s="138"/>
      <c r="Y1825"/>
      <c r="Z1825"/>
      <c r="AA1825"/>
      <c r="AB1825"/>
      <c r="AC1825"/>
      <c r="AD1825"/>
      <c r="AE1825"/>
      <c r="AF1825"/>
      <c r="AG1825"/>
      <c r="AH1825"/>
      <c r="AI1825"/>
      <c r="AJ1825"/>
      <c r="AK1825"/>
      <c r="AL1825"/>
      <c r="AM1825"/>
      <c r="AN1825"/>
      <c r="AO1825"/>
    </row>
    <row r="1826" spans="1:41" ht="15">
      <c r="A1826"/>
      <c r="B1826"/>
      <c r="C1826" s="137"/>
      <c r="D1826" s="30"/>
      <c r="E1826" s="30"/>
      <c r="F1826" s="10"/>
      <c r="G1826" s="10"/>
      <c r="H1826" s="15"/>
      <c r="I1826" s="15"/>
      <c r="J1826" s="15"/>
      <c r="K1826" s="15"/>
      <c r="L1826" s="15"/>
      <c r="M1826" s="15"/>
      <c r="N1826" s="15"/>
      <c r="O1826" s="15"/>
      <c r="P1826" s="15"/>
      <c r="Q1826" s="71"/>
      <c r="R1826" s="84"/>
      <c r="S1826" s="10"/>
      <c r="T1826" s="10"/>
      <c r="U1826" s="10"/>
      <c r="V1826" s="10"/>
      <c r="W1826" s="138"/>
      <c r="Y1826"/>
      <c r="Z1826"/>
      <c r="AA1826"/>
      <c r="AB1826"/>
      <c r="AC1826"/>
      <c r="AD1826"/>
      <c r="AE1826"/>
      <c r="AF1826"/>
      <c r="AG1826"/>
      <c r="AH1826"/>
      <c r="AI1826"/>
      <c r="AJ1826"/>
      <c r="AK1826"/>
      <c r="AL1826"/>
      <c r="AM1826"/>
      <c r="AN1826"/>
      <c r="AO1826"/>
    </row>
    <row r="1827" spans="1:41" ht="15">
      <c r="A1827"/>
      <c r="B1827"/>
      <c r="C1827" s="137"/>
      <c r="D1827" s="30"/>
      <c r="E1827" s="30"/>
      <c r="F1827" s="10"/>
      <c r="G1827" s="10"/>
      <c r="H1827" s="15"/>
      <c r="I1827" s="15"/>
      <c r="J1827" s="15"/>
      <c r="K1827" s="15"/>
      <c r="L1827" s="15"/>
      <c r="M1827" s="15"/>
      <c r="N1827" s="15"/>
      <c r="O1827" s="15"/>
      <c r="P1827" s="15"/>
      <c r="Q1827" s="71"/>
      <c r="R1827" s="84"/>
      <c r="S1827" s="10"/>
      <c r="T1827" s="10"/>
      <c r="U1827" s="10"/>
      <c r="V1827" s="10"/>
      <c r="W1827" s="138"/>
      <c r="Y1827"/>
      <c r="Z1827"/>
      <c r="AA1827"/>
      <c r="AB1827"/>
      <c r="AC1827"/>
      <c r="AD1827"/>
      <c r="AE1827"/>
      <c r="AF1827"/>
      <c r="AG1827"/>
      <c r="AH1827"/>
      <c r="AI1827"/>
      <c r="AJ1827"/>
      <c r="AK1827"/>
      <c r="AL1827"/>
      <c r="AM1827"/>
      <c r="AN1827"/>
      <c r="AO1827"/>
    </row>
    <row r="1828" spans="1:41" ht="15">
      <c r="A1828"/>
      <c r="B1828"/>
      <c r="C1828" s="137"/>
      <c r="D1828" s="30"/>
      <c r="E1828" s="30"/>
      <c r="F1828" s="10"/>
      <c r="G1828" s="10"/>
      <c r="H1828" s="15"/>
      <c r="I1828" s="15"/>
      <c r="J1828" s="15"/>
      <c r="K1828" s="15"/>
      <c r="L1828" s="15"/>
      <c r="M1828" s="15"/>
      <c r="N1828" s="15"/>
      <c r="O1828" s="15"/>
      <c r="P1828" s="15"/>
      <c r="Q1828" s="71"/>
      <c r="R1828" s="84"/>
      <c r="S1828" s="10"/>
      <c r="T1828" s="10"/>
      <c r="U1828" s="10"/>
      <c r="V1828" s="10"/>
      <c r="W1828" s="138"/>
      <c r="Y1828"/>
      <c r="Z1828"/>
      <c r="AA1828"/>
      <c r="AB1828"/>
      <c r="AC1828"/>
      <c r="AD1828"/>
      <c r="AE1828"/>
      <c r="AF1828"/>
      <c r="AG1828"/>
      <c r="AH1828"/>
      <c r="AI1828"/>
      <c r="AJ1828"/>
      <c r="AK1828"/>
      <c r="AL1828"/>
      <c r="AM1828"/>
      <c r="AN1828"/>
      <c r="AO1828"/>
    </row>
    <row r="1829" spans="1:41" ht="15">
      <c r="A1829"/>
      <c r="B1829"/>
      <c r="C1829" s="137"/>
      <c r="D1829" s="30"/>
      <c r="E1829" s="30"/>
      <c r="F1829" s="10"/>
      <c r="G1829" s="10"/>
      <c r="H1829" s="15"/>
      <c r="I1829" s="15"/>
      <c r="J1829" s="15"/>
      <c r="K1829" s="15"/>
      <c r="L1829" s="15"/>
      <c r="M1829" s="15"/>
      <c r="N1829" s="15"/>
      <c r="O1829" s="15"/>
      <c r="P1829" s="15"/>
      <c r="Q1829" s="71"/>
      <c r="R1829" s="84"/>
      <c r="S1829" s="10"/>
      <c r="T1829" s="10"/>
      <c r="U1829" s="10"/>
      <c r="V1829" s="10"/>
      <c r="W1829" s="138"/>
      <c r="Y1829"/>
      <c r="Z1829"/>
      <c r="AA1829"/>
      <c r="AB1829"/>
      <c r="AC1829"/>
      <c r="AD1829"/>
      <c r="AE1829"/>
      <c r="AF1829"/>
      <c r="AG1829"/>
      <c r="AH1829"/>
      <c r="AI1829"/>
      <c r="AJ1829"/>
      <c r="AK1829"/>
      <c r="AL1829"/>
      <c r="AM1829"/>
      <c r="AN1829"/>
      <c r="AO1829"/>
    </row>
    <row r="1830" spans="1:41" ht="15">
      <c r="A1830"/>
      <c r="B1830"/>
      <c r="C1830" s="137"/>
      <c r="D1830" s="30"/>
      <c r="E1830" s="30"/>
      <c r="F1830" s="10"/>
      <c r="G1830" s="10"/>
      <c r="H1830" s="15"/>
      <c r="I1830" s="15"/>
      <c r="J1830" s="15"/>
      <c r="K1830" s="15"/>
      <c r="L1830" s="15"/>
      <c r="M1830" s="15"/>
      <c r="N1830" s="15"/>
      <c r="O1830" s="15"/>
      <c r="P1830" s="15"/>
      <c r="Q1830" s="71"/>
      <c r="R1830" s="84"/>
      <c r="S1830" s="10"/>
      <c r="T1830" s="10"/>
      <c r="U1830" s="10"/>
      <c r="V1830" s="10"/>
      <c r="W1830" s="138"/>
      <c r="Y1830"/>
      <c r="Z1830"/>
      <c r="AA1830"/>
      <c r="AB1830"/>
      <c r="AC1830"/>
      <c r="AD1830"/>
      <c r="AE1830"/>
      <c r="AF1830"/>
      <c r="AG1830"/>
      <c r="AH1830"/>
      <c r="AI1830"/>
      <c r="AJ1830"/>
      <c r="AK1830"/>
      <c r="AL1830"/>
      <c r="AM1830"/>
      <c r="AN1830"/>
      <c r="AO1830"/>
    </row>
    <row r="1831" spans="1:41" ht="15">
      <c r="A1831"/>
      <c r="B1831"/>
      <c r="C1831" s="137"/>
      <c r="D1831" s="30"/>
      <c r="E1831" s="30"/>
      <c r="F1831" s="10"/>
      <c r="G1831" s="10"/>
      <c r="H1831" s="15"/>
      <c r="I1831" s="15"/>
      <c r="J1831" s="15"/>
      <c r="K1831" s="15"/>
      <c r="L1831" s="15"/>
      <c r="M1831" s="15"/>
      <c r="N1831" s="15"/>
      <c r="O1831" s="15"/>
      <c r="P1831" s="15"/>
      <c r="Q1831" s="71"/>
      <c r="R1831" s="84"/>
      <c r="S1831" s="10"/>
      <c r="T1831" s="10"/>
      <c r="U1831" s="10"/>
      <c r="V1831" s="10"/>
      <c r="W1831" s="138"/>
      <c r="Y1831"/>
      <c r="Z1831"/>
      <c r="AA1831"/>
      <c r="AB1831"/>
      <c r="AC1831"/>
      <c r="AD1831"/>
      <c r="AE1831"/>
      <c r="AF1831"/>
      <c r="AG1831"/>
      <c r="AH1831"/>
      <c r="AI1831"/>
      <c r="AJ1831"/>
      <c r="AK1831"/>
      <c r="AL1831"/>
      <c r="AM1831"/>
      <c r="AN1831"/>
      <c r="AO1831"/>
    </row>
    <row r="1832" spans="1:41" ht="15">
      <c r="A1832"/>
      <c r="B1832"/>
      <c r="C1832" s="137"/>
      <c r="D1832" s="30"/>
      <c r="E1832" s="30"/>
      <c r="F1832" s="10"/>
      <c r="G1832" s="10"/>
      <c r="H1832" s="15"/>
      <c r="I1832" s="15"/>
      <c r="J1832" s="15"/>
      <c r="K1832" s="15"/>
      <c r="L1832" s="15"/>
      <c r="M1832" s="15"/>
      <c r="N1832" s="15"/>
      <c r="O1832" s="15"/>
      <c r="P1832" s="15"/>
      <c r="Q1832" s="71"/>
      <c r="R1832" s="84"/>
      <c r="S1832" s="10"/>
      <c r="T1832" s="10"/>
      <c r="U1832" s="10"/>
      <c r="V1832" s="10"/>
      <c r="W1832" s="138"/>
      <c r="Y1832"/>
      <c r="Z1832"/>
      <c r="AA1832"/>
      <c r="AB1832"/>
      <c r="AC1832"/>
      <c r="AD1832"/>
      <c r="AE1832"/>
      <c r="AF1832"/>
      <c r="AG1832"/>
      <c r="AH1832"/>
      <c r="AI1832"/>
      <c r="AJ1832"/>
      <c r="AK1832"/>
      <c r="AL1832"/>
      <c r="AM1832"/>
      <c r="AN1832"/>
      <c r="AO1832"/>
    </row>
    <row r="1833" spans="1:41" ht="15">
      <c r="A1833"/>
      <c r="B1833"/>
      <c r="C1833" s="137"/>
      <c r="D1833" s="30"/>
      <c r="E1833" s="30"/>
      <c r="F1833" s="10"/>
      <c r="G1833" s="10"/>
      <c r="H1833" s="15"/>
      <c r="I1833" s="15"/>
      <c r="J1833" s="15"/>
      <c r="K1833" s="15"/>
      <c r="L1833" s="15"/>
      <c r="M1833" s="15"/>
      <c r="N1833" s="15"/>
      <c r="O1833" s="15"/>
      <c r="P1833" s="15"/>
      <c r="Q1833" s="71"/>
      <c r="R1833" s="84"/>
      <c r="S1833" s="10"/>
      <c r="T1833" s="10"/>
      <c r="U1833" s="10"/>
      <c r="V1833" s="10"/>
      <c r="W1833" s="138"/>
      <c r="Y1833"/>
      <c r="Z1833"/>
      <c r="AA1833"/>
      <c r="AB1833"/>
      <c r="AC1833"/>
      <c r="AD1833"/>
      <c r="AE1833"/>
      <c r="AF1833"/>
      <c r="AG1833"/>
      <c r="AH1833"/>
      <c r="AI1833"/>
      <c r="AJ1833"/>
      <c r="AK1833"/>
      <c r="AL1833"/>
      <c r="AM1833"/>
      <c r="AN1833"/>
      <c r="AO1833"/>
    </row>
    <row r="1834" spans="1:41" ht="15">
      <c r="A1834"/>
      <c r="B1834"/>
      <c r="C1834" s="137"/>
      <c r="D1834" s="30"/>
      <c r="E1834" s="30"/>
      <c r="F1834" s="10"/>
      <c r="G1834" s="10"/>
      <c r="H1834" s="15"/>
      <c r="I1834" s="15"/>
      <c r="J1834" s="15"/>
      <c r="K1834" s="15"/>
      <c r="L1834" s="15"/>
      <c r="M1834" s="15"/>
      <c r="N1834" s="15"/>
      <c r="O1834" s="15"/>
      <c r="P1834" s="15"/>
      <c r="Q1834" s="71"/>
      <c r="R1834" s="84"/>
      <c r="S1834" s="10"/>
      <c r="T1834" s="10"/>
      <c r="U1834" s="10"/>
      <c r="V1834" s="10"/>
      <c r="W1834" s="138"/>
      <c r="Y1834"/>
      <c r="Z1834"/>
      <c r="AA1834"/>
      <c r="AB1834"/>
      <c r="AC1834"/>
      <c r="AD1834"/>
      <c r="AE1834"/>
      <c r="AF1834"/>
      <c r="AG1834"/>
      <c r="AH1834"/>
      <c r="AI1834"/>
      <c r="AJ1834"/>
      <c r="AK1834"/>
      <c r="AL1834"/>
      <c r="AM1834"/>
      <c r="AN1834"/>
      <c r="AO1834"/>
    </row>
    <row r="1835" spans="1:41" ht="15">
      <c r="A1835"/>
      <c r="B1835"/>
      <c r="C1835" s="137"/>
      <c r="D1835" s="30"/>
      <c r="E1835" s="30"/>
      <c r="F1835" s="10"/>
      <c r="G1835" s="10"/>
      <c r="H1835" s="15"/>
      <c r="I1835" s="15"/>
      <c r="J1835" s="15"/>
      <c r="K1835" s="15"/>
      <c r="L1835" s="15"/>
      <c r="M1835" s="15"/>
      <c r="N1835" s="15"/>
      <c r="O1835" s="15"/>
      <c r="P1835" s="15"/>
      <c r="Q1835" s="71"/>
      <c r="R1835" s="84"/>
      <c r="S1835" s="10"/>
      <c r="T1835" s="10"/>
      <c r="U1835" s="10"/>
      <c r="V1835" s="10"/>
      <c r="W1835" s="138"/>
      <c r="Y1835"/>
      <c r="Z1835"/>
      <c r="AA1835"/>
      <c r="AB1835"/>
      <c r="AC1835"/>
      <c r="AD1835"/>
      <c r="AE1835"/>
      <c r="AF1835"/>
      <c r="AG1835"/>
      <c r="AH1835"/>
      <c r="AI1835"/>
      <c r="AJ1835"/>
      <c r="AK1835"/>
      <c r="AL1835"/>
      <c r="AM1835"/>
      <c r="AN1835"/>
      <c r="AO1835"/>
    </row>
    <row r="1836" spans="1:41" ht="15">
      <c r="A1836"/>
      <c r="B1836"/>
      <c r="C1836" s="137"/>
      <c r="D1836" s="30"/>
      <c r="E1836" s="30"/>
      <c r="F1836" s="10"/>
      <c r="G1836" s="10"/>
      <c r="H1836" s="15"/>
      <c r="I1836" s="15"/>
      <c r="J1836" s="15"/>
      <c r="K1836" s="15"/>
      <c r="L1836" s="15"/>
      <c r="M1836" s="15"/>
      <c r="N1836" s="15"/>
      <c r="O1836" s="15"/>
      <c r="P1836" s="15"/>
      <c r="Q1836" s="71"/>
      <c r="R1836" s="84"/>
      <c r="S1836" s="10"/>
      <c r="T1836" s="10"/>
      <c r="U1836" s="10"/>
      <c r="V1836" s="10"/>
      <c r="W1836" s="138"/>
      <c r="Y1836"/>
      <c r="Z1836"/>
      <c r="AA1836"/>
      <c r="AB1836"/>
      <c r="AC1836"/>
      <c r="AD1836"/>
      <c r="AE1836"/>
      <c r="AF1836"/>
      <c r="AG1836"/>
      <c r="AH1836"/>
      <c r="AI1836"/>
      <c r="AJ1836"/>
      <c r="AK1836"/>
      <c r="AL1836"/>
      <c r="AM1836"/>
      <c r="AN1836"/>
      <c r="AO1836"/>
    </row>
    <row r="1837" spans="1:41" ht="15">
      <c r="A1837"/>
      <c r="B1837"/>
      <c r="C1837" s="137"/>
      <c r="D1837" s="30"/>
      <c r="E1837" s="30"/>
      <c r="F1837" s="10"/>
      <c r="G1837" s="10"/>
      <c r="H1837" s="15"/>
      <c r="I1837" s="15"/>
      <c r="J1837" s="15"/>
      <c r="K1837" s="15"/>
      <c r="L1837" s="15"/>
      <c r="M1837" s="15"/>
      <c r="N1837" s="15"/>
      <c r="O1837" s="15"/>
      <c r="P1837" s="15"/>
      <c r="Q1837" s="71"/>
      <c r="R1837" s="84"/>
      <c r="S1837" s="10"/>
      <c r="T1837" s="10"/>
      <c r="U1837" s="10"/>
      <c r="V1837" s="10"/>
      <c r="W1837" s="138"/>
      <c r="Y1837"/>
      <c r="Z1837"/>
      <c r="AA1837"/>
      <c r="AB1837"/>
      <c r="AC1837"/>
      <c r="AD1837"/>
      <c r="AE1837"/>
      <c r="AF1837"/>
      <c r="AG1837"/>
      <c r="AH1837"/>
      <c r="AI1837"/>
      <c r="AJ1837"/>
      <c r="AK1837"/>
      <c r="AL1837"/>
      <c r="AM1837"/>
      <c r="AN1837"/>
      <c r="AO1837"/>
    </row>
    <row r="1838" spans="1:41" ht="15">
      <c r="A1838"/>
      <c r="B1838"/>
      <c r="C1838" s="137"/>
      <c r="D1838" s="30"/>
      <c r="E1838" s="30"/>
      <c r="F1838" s="10"/>
      <c r="G1838" s="10"/>
      <c r="H1838" s="15"/>
      <c r="I1838" s="15"/>
      <c r="J1838" s="15"/>
      <c r="K1838" s="15"/>
      <c r="L1838" s="15"/>
      <c r="M1838" s="15"/>
      <c r="N1838" s="15"/>
      <c r="O1838" s="15"/>
      <c r="P1838" s="15"/>
      <c r="Q1838" s="71"/>
      <c r="R1838" s="84"/>
      <c r="S1838" s="10"/>
      <c r="T1838" s="10"/>
      <c r="U1838" s="10"/>
      <c r="V1838" s="10"/>
      <c r="W1838" s="138"/>
      <c r="Y1838"/>
      <c r="Z1838"/>
      <c r="AA1838"/>
      <c r="AB1838"/>
      <c r="AC1838"/>
      <c r="AD1838"/>
      <c r="AE1838"/>
      <c r="AF1838"/>
      <c r="AG1838"/>
      <c r="AH1838"/>
      <c r="AI1838"/>
      <c r="AJ1838"/>
      <c r="AK1838"/>
      <c r="AL1838"/>
      <c r="AM1838"/>
      <c r="AN1838"/>
      <c r="AO1838"/>
    </row>
    <row r="1839" spans="1:41" ht="15">
      <c r="A1839"/>
      <c r="B1839"/>
      <c r="C1839" s="137"/>
      <c r="D1839" s="30"/>
      <c r="E1839" s="30"/>
      <c r="F1839" s="10"/>
      <c r="G1839" s="10"/>
      <c r="H1839" s="15"/>
      <c r="I1839" s="15"/>
      <c r="J1839" s="15"/>
      <c r="K1839" s="15"/>
      <c r="L1839" s="15"/>
      <c r="M1839" s="15"/>
      <c r="N1839" s="15"/>
      <c r="O1839" s="15"/>
      <c r="P1839" s="15"/>
      <c r="Q1839" s="71"/>
      <c r="R1839" s="84"/>
      <c r="S1839" s="10"/>
      <c r="T1839" s="10"/>
      <c r="U1839" s="10"/>
      <c r="V1839" s="10"/>
      <c r="W1839" s="138"/>
      <c r="Y1839"/>
      <c r="Z1839"/>
      <c r="AA1839"/>
      <c r="AB1839"/>
      <c r="AC1839"/>
      <c r="AD1839"/>
      <c r="AE1839"/>
      <c r="AF1839"/>
      <c r="AG1839"/>
      <c r="AH1839"/>
      <c r="AI1839"/>
      <c r="AJ1839"/>
      <c r="AK1839"/>
      <c r="AL1839"/>
      <c r="AM1839"/>
      <c r="AN1839"/>
      <c r="AO1839"/>
    </row>
    <row r="1840" spans="1:41" ht="15">
      <c r="A1840"/>
      <c r="B1840"/>
      <c r="C1840" s="137"/>
      <c r="D1840" s="30"/>
      <c r="E1840" s="30"/>
      <c r="F1840" s="10"/>
      <c r="G1840" s="10"/>
      <c r="H1840" s="15"/>
      <c r="I1840" s="15"/>
      <c r="J1840" s="15"/>
      <c r="K1840" s="15"/>
      <c r="L1840" s="15"/>
      <c r="M1840" s="15"/>
      <c r="N1840" s="15"/>
      <c r="O1840" s="15"/>
      <c r="P1840" s="15"/>
      <c r="Q1840" s="71"/>
      <c r="R1840" s="84"/>
      <c r="S1840" s="10"/>
      <c r="T1840" s="10"/>
      <c r="U1840" s="10"/>
      <c r="V1840" s="10"/>
      <c r="W1840" s="138"/>
      <c r="Y1840"/>
      <c r="Z1840"/>
      <c r="AA1840"/>
      <c r="AB1840"/>
      <c r="AC1840"/>
      <c r="AD1840"/>
      <c r="AE1840"/>
      <c r="AF1840"/>
      <c r="AG1840"/>
      <c r="AH1840"/>
      <c r="AI1840"/>
      <c r="AJ1840"/>
      <c r="AK1840"/>
      <c r="AL1840"/>
      <c r="AM1840"/>
      <c r="AN1840"/>
      <c r="AO1840"/>
    </row>
    <row r="1841" spans="1:41" ht="15">
      <c r="A1841"/>
      <c r="B1841"/>
      <c r="C1841" s="137"/>
      <c r="D1841" s="30"/>
      <c r="E1841" s="30"/>
      <c r="F1841" s="10"/>
      <c r="G1841" s="10"/>
      <c r="H1841" s="15"/>
      <c r="I1841" s="15"/>
      <c r="J1841" s="15"/>
      <c r="K1841" s="15"/>
      <c r="L1841" s="15"/>
      <c r="M1841" s="15"/>
      <c r="N1841" s="15"/>
      <c r="O1841" s="15"/>
      <c r="P1841" s="15"/>
      <c r="Q1841" s="71"/>
      <c r="R1841" s="84"/>
      <c r="S1841" s="10"/>
      <c r="T1841" s="10"/>
      <c r="U1841" s="10"/>
      <c r="V1841" s="10"/>
      <c r="W1841" s="138"/>
      <c r="Y1841"/>
      <c r="Z1841"/>
      <c r="AA1841"/>
      <c r="AB1841"/>
      <c r="AC1841"/>
      <c r="AD1841"/>
      <c r="AE1841"/>
      <c r="AF1841"/>
      <c r="AG1841"/>
      <c r="AH1841"/>
      <c r="AI1841"/>
      <c r="AJ1841"/>
      <c r="AK1841"/>
      <c r="AL1841"/>
      <c r="AM1841"/>
      <c r="AN1841"/>
      <c r="AO1841"/>
    </row>
    <row r="1842" spans="1:41" ht="15">
      <c r="A1842"/>
      <c r="B1842"/>
      <c r="C1842" s="137"/>
      <c r="D1842" s="30"/>
      <c r="E1842" s="30"/>
      <c r="F1842" s="10"/>
      <c r="G1842" s="10"/>
      <c r="H1842" s="15"/>
      <c r="I1842" s="15"/>
      <c r="J1842" s="15"/>
      <c r="K1842" s="15"/>
      <c r="L1842" s="15"/>
      <c r="M1842" s="15"/>
      <c r="N1842" s="15"/>
      <c r="O1842" s="15"/>
      <c r="P1842" s="15"/>
      <c r="Q1842" s="71"/>
      <c r="R1842" s="84"/>
      <c r="S1842" s="10"/>
      <c r="T1842" s="10"/>
      <c r="U1842" s="10"/>
      <c r="V1842" s="10"/>
      <c r="W1842" s="138"/>
      <c r="Y1842"/>
      <c r="Z1842"/>
      <c r="AA1842"/>
      <c r="AB1842"/>
      <c r="AC1842"/>
      <c r="AD1842"/>
      <c r="AE1842"/>
      <c r="AF1842"/>
      <c r="AG1842"/>
      <c r="AH1842"/>
      <c r="AI1842"/>
      <c r="AJ1842"/>
      <c r="AK1842"/>
      <c r="AL1842"/>
      <c r="AM1842"/>
      <c r="AN1842"/>
      <c r="AO1842"/>
    </row>
    <row r="1843" spans="1:41" ht="15">
      <c r="A1843"/>
      <c r="B1843"/>
      <c r="C1843" s="137"/>
      <c r="D1843" s="30"/>
      <c r="E1843" s="30"/>
      <c r="F1843" s="10"/>
      <c r="G1843" s="10"/>
      <c r="H1843" s="15"/>
      <c r="I1843" s="15"/>
      <c r="J1843" s="15"/>
      <c r="K1843" s="15"/>
      <c r="L1843" s="15"/>
      <c r="M1843" s="15"/>
      <c r="N1843" s="15"/>
      <c r="O1843" s="15"/>
      <c r="P1843" s="15"/>
      <c r="Q1843" s="71"/>
      <c r="R1843" s="84"/>
      <c r="S1843" s="10"/>
      <c r="T1843" s="10"/>
      <c r="U1843" s="10"/>
      <c r="V1843" s="10"/>
      <c r="W1843" s="138"/>
      <c r="Y1843"/>
      <c r="Z1843"/>
      <c r="AA1843"/>
      <c r="AB1843"/>
      <c r="AC1843"/>
      <c r="AD1843"/>
      <c r="AE1843"/>
      <c r="AF1843"/>
      <c r="AG1843"/>
      <c r="AH1843"/>
      <c r="AI1843"/>
      <c r="AJ1843"/>
      <c r="AK1843"/>
      <c r="AL1843"/>
      <c r="AM1843"/>
      <c r="AN1843"/>
      <c r="AO1843"/>
    </row>
    <row r="1844" spans="1:41" ht="15">
      <c r="A1844"/>
      <c r="B1844"/>
      <c r="C1844" s="137"/>
      <c r="D1844" s="30"/>
      <c r="E1844" s="30"/>
      <c r="F1844" s="10"/>
      <c r="G1844" s="10"/>
      <c r="H1844" s="15"/>
      <c r="I1844" s="15"/>
      <c r="J1844" s="15"/>
      <c r="K1844" s="15"/>
      <c r="L1844" s="15"/>
      <c r="M1844" s="15"/>
      <c r="N1844" s="15"/>
      <c r="O1844" s="15"/>
      <c r="P1844" s="15"/>
      <c r="Q1844" s="71"/>
      <c r="R1844" s="84"/>
      <c r="S1844" s="10"/>
      <c r="T1844" s="10"/>
      <c r="U1844" s="10"/>
      <c r="V1844" s="10"/>
      <c r="W1844" s="138"/>
      <c r="Y1844"/>
      <c r="Z1844"/>
      <c r="AA1844"/>
      <c r="AB1844"/>
      <c r="AC1844"/>
      <c r="AD1844"/>
      <c r="AE1844"/>
      <c r="AF1844"/>
      <c r="AG1844"/>
      <c r="AH1844"/>
      <c r="AI1844"/>
      <c r="AJ1844"/>
      <c r="AK1844"/>
      <c r="AL1844"/>
      <c r="AM1844"/>
      <c r="AN1844"/>
      <c r="AO1844"/>
    </row>
    <row r="1845" spans="1:41" ht="15">
      <c r="A1845"/>
      <c r="B1845"/>
      <c r="C1845" s="137"/>
      <c r="D1845" s="30"/>
      <c r="E1845" s="30"/>
      <c r="F1845" s="10"/>
      <c r="G1845" s="10"/>
      <c r="H1845" s="15"/>
      <c r="I1845" s="15"/>
      <c r="J1845" s="15"/>
      <c r="K1845" s="15"/>
      <c r="L1845" s="15"/>
      <c r="M1845" s="15"/>
      <c r="N1845" s="15"/>
      <c r="O1845" s="15"/>
      <c r="P1845" s="15"/>
      <c r="Q1845" s="71"/>
      <c r="R1845" s="84"/>
      <c r="S1845" s="10"/>
      <c r="T1845" s="10"/>
      <c r="U1845" s="10"/>
      <c r="V1845" s="10"/>
      <c r="W1845" s="138"/>
      <c r="Y1845"/>
      <c r="Z1845"/>
      <c r="AA1845"/>
      <c r="AB1845"/>
      <c r="AC1845"/>
      <c r="AD1845"/>
      <c r="AE1845"/>
      <c r="AF1845"/>
      <c r="AG1845"/>
      <c r="AH1845"/>
      <c r="AI1845"/>
      <c r="AJ1845"/>
      <c r="AK1845"/>
      <c r="AL1845"/>
      <c r="AM1845"/>
      <c r="AN1845"/>
      <c r="AO1845"/>
    </row>
    <row r="1846" spans="1:41" ht="15">
      <c r="A1846"/>
      <c r="B1846"/>
      <c r="C1846" s="137"/>
      <c r="D1846" s="30"/>
      <c r="E1846" s="30"/>
      <c r="F1846" s="10"/>
      <c r="G1846" s="10"/>
      <c r="H1846" s="15"/>
      <c r="I1846" s="15"/>
      <c r="J1846" s="15"/>
      <c r="K1846" s="15"/>
      <c r="L1846" s="15"/>
      <c r="M1846" s="15"/>
      <c r="N1846" s="15"/>
      <c r="O1846" s="15"/>
      <c r="P1846" s="15"/>
      <c r="Q1846" s="71"/>
      <c r="R1846" s="84"/>
      <c r="S1846" s="10"/>
      <c r="T1846" s="10"/>
      <c r="U1846" s="10"/>
      <c r="V1846" s="10"/>
      <c r="W1846" s="138"/>
      <c r="Y1846"/>
      <c r="Z1846"/>
      <c r="AA1846"/>
      <c r="AB1846"/>
      <c r="AC1846"/>
      <c r="AD1846"/>
      <c r="AE1846"/>
      <c r="AF1846"/>
      <c r="AG1846"/>
      <c r="AH1846"/>
      <c r="AI1846"/>
      <c r="AJ1846"/>
      <c r="AK1846"/>
      <c r="AL1846"/>
      <c r="AM1846"/>
      <c r="AN1846"/>
      <c r="AO1846"/>
    </row>
    <row r="1847" spans="1:41" ht="15">
      <c r="A1847"/>
      <c r="B1847"/>
      <c r="C1847" s="137"/>
      <c r="D1847" s="30"/>
      <c r="E1847" s="30"/>
      <c r="F1847" s="10"/>
      <c r="G1847" s="10"/>
      <c r="H1847" s="15"/>
      <c r="I1847" s="15"/>
      <c r="J1847" s="15"/>
      <c r="K1847" s="15"/>
      <c r="L1847" s="15"/>
      <c r="M1847" s="15"/>
      <c r="N1847" s="15"/>
      <c r="O1847" s="15"/>
      <c r="P1847" s="15"/>
      <c r="Q1847" s="71"/>
      <c r="R1847" s="84"/>
      <c r="S1847" s="10"/>
      <c r="T1847" s="10"/>
      <c r="U1847" s="10"/>
      <c r="V1847" s="10"/>
      <c r="W1847" s="138"/>
      <c r="Y1847"/>
      <c r="Z1847"/>
      <c r="AA1847"/>
      <c r="AB1847"/>
      <c r="AC1847"/>
      <c r="AD1847"/>
      <c r="AE1847"/>
      <c r="AF1847"/>
      <c r="AG1847"/>
      <c r="AH1847"/>
      <c r="AI1847"/>
      <c r="AJ1847"/>
      <c r="AK1847"/>
      <c r="AL1847"/>
      <c r="AM1847"/>
      <c r="AN1847"/>
      <c r="AO1847"/>
    </row>
    <row r="1848" spans="1:41" ht="15">
      <c r="A1848"/>
      <c r="B1848"/>
      <c r="C1848" s="137"/>
      <c r="D1848" s="30"/>
      <c r="E1848" s="30"/>
      <c r="F1848" s="10"/>
      <c r="G1848" s="10"/>
      <c r="H1848" s="15"/>
      <c r="I1848" s="15"/>
      <c r="J1848" s="15"/>
      <c r="K1848" s="15"/>
      <c r="L1848" s="15"/>
      <c r="M1848" s="15"/>
      <c r="N1848" s="15"/>
      <c r="O1848" s="15"/>
      <c r="P1848" s="15"/>
      <c r="Q1848" s="71"/>
      <c r="R1848" s="84"/>
      <c r="S1848" s="10"/>
      <c r="T1848" s="10"/>
      <c r="U1848" s="10"/>
      <c r="V1848" s="10"/>
      <c r="W1848" s="138"/>
      <c r="Y1848"/>
      <c r="Z1848"/>
      <c r="AA1848"/>
      <c r="AB1848"/>
      <c r="AC1848"/>
      <c r="AD1848"/>
      <c r="AE1848"/>
      <c r="AF1848"/>
      <c r="AG1848"/>
      <c r="AH1848"/>
      <c r="AI1848"/>
      <c r="AJ1848"/>
      <c r="AK1848"/>
      <c r="AL1848"/>
      <c r="AM1848"/>
      <c r="AN1848"/>
      <c r="AO1848"/>
    </row>
    <row r="1849" spans="1:41" ht="15">
      <c r="A1849"/>
      <c r="B1849"/>
      <c r="C1849" s="137"/>
      <c r="D1849" s="30"/>
      <c r="E1849" s="30"/>
      <c r="F1849" s="10"/>
      <c r="G1849" s="10"/>
      <c r="H1849" s="15"/>
      <c r="I1849" s="15"/>
      <c r="J1849" s="15"/>
      <c r="K1849" s="15"/>
      <c r="L1849" s="15"/>
      <c r="M1849" s="15"/>
      <c r="N1849" s="15"/>
      <c r="O1849" s="15"/>
      <c r="P1849" s="15"/>
      <c r="Q1849" s="71"/>
      <c r="R1849" s="84"/>
      <c r="S1849" s="10"/>
      <c r="T1849" s="10"/>
      <c r="U1849" s="10"/>
      <c r="V1849" s="10"/>
      <c r="W1849" s="138"/>
      <c r="Y1849"/>
      <c r="Z1849"/>
      <c r="AA1849"/>
      <c r="AB1849"/>
      <c r="AC1849"/>
      <c r="AD1849"/>
      <c r="AE1849"/>
      <c r="AF1849"/>
      <c r="AG1849"/>
      <c r="AH1849"/>
      <c r="AI1849"/>
      <c r="AJ1849"/>
      <c r="AK1849"/>
      <c r="AL1849"/>
      <c r="AM1849"/>
      <c r="AN1849"/>
      <c r="AO1849"/>
    </row>
    <row r="1850" spans="1:41" ht="15">
      <c r="A1850"/>
      <c r="B1850"/>
      <c r="C1850" s="137"/>
      <c r="D1850" s="30"/>
      <c r="E1850" s="30"/>
      <c r="F1850" s="10"/>
      <c r="G1850" s="10"/>
      <c r="H1850" s="15"/>
      <c r="I1850" s="15"/>
      <c r="J1850" s="15"/>
      <c r="K1850" s="15"/>
      <c r="L1850" s="15"/>
      <c r="M1850" s="15"/>
      <c r="N1850" s="15"/>
      <c r="O1850" s="15"/>
      <c r="P1850" s="15"/>
      <c r="Q1850" s="71"/>
      <c r="R1850" s="84"/>
      <c r="S1850" s="10"/>
      <c r="T1850" s="10"/>
      <c r="U1850" s="10"/>
      <c r="V1850" s="10"/>
      <c r="W1850" s="138"/>
      <c r="Y1850"/>
      <c r="Z1850"/>
      <c r="AA1850"/>
      <c r="AB1850"/>
      <c r="AC1850"/>
      <c r="AD1850"/>
      <c r="AE1850"/>
      <c r="AF1850"/>
      <c r="AG1850"/>
      <c r="AH1850"/>
      <c r="AI1850"/>
      <c r="AJ1850"/>
      <c r="AK1850"/>
      <c r="AL1850"/>
      <c r="AM1850"/>
      <c r="AN1850"/>
      <c r="AO1850"/>
    </row>
    <row r="1851" spans="1:41" ht="15">
      <c r="A1851"/>
      <c r="B1851"/>
      <c r="C1851" s="137"/>
      <c r="D1851" s="30"/>
      <c r="E1851" s="30"/>
      <c r="F1851" s="10"/>
      <c r="G1851" s="10"/>
      <c r="H1851" s="15"/>
      <c r="I1851" s="15"/>
      <c r="J1851" s="15"/>
      <c r="K1851" s="15"/>
      <c r="L1851" s="15"/>
      <c r="M1851" s="15"/>
      <c r="N1851" s="15"/>
      <c r="O1851" s="15"/>
      <c r="P1851" s="15"/>
      <c r="Q1851" s="71"/>
      <c r="R1851" s="84"/>
      <c r="S1851" s="10"/>
      <c r="T1851" s="10"/>
      <c r="U1851" s="10"/>
      <c r="V1851" s="10"/>
      <c r="W1851" s="138"/>
      <c r="Y1851"/>
      <c r="Z1851"/>
      <c r="AA1851"/>
      <c r="AB1851"/>
      <c r="AC1851"/>
      <c r="AD1851"/>
      <c r="AE1851"/>
      <c r="AF1851"/>
      <c r="AG1851"/>
      <c r="AH1851"/>
      <c r="AI1851"/>
      <c r="AJ1851"/>
      <c r="AK1851"/>
      <c r="AL1851"/>
      <c r="AM1851"/>
      <c r="AN1851"/>
      <c r="AO1851"/>
    </row>
    <row r="1852" spans="1:41" ht="15">
      <c r="A1852"/>
      <c r="B1852"/>
      <c r="C1852" s="137"/>
      <c r="D1852" s="30"/>
      <c r="E1852" s="30"/>
      <c r="F1852" s="10"/>
      <c r="G1852" s="10"/>
      <c r="H1852" s="15"/>
      <c r="I1852" s="15"/>
      <c r="J1852" s="15"/>
      <c r="K1852" s="15"/>
      <c r="L1852" s="15"/>
      <c r="M1852" s="15"/>
      <c r="N1852" s="15"/>
      <c r="O1852" s="15"/>
      <c r="P1852" s="15"/>
      <c r="Q1852" s="71"/>
      <c r="R1852" s="84"/>
      <c r="S1852" s="10"/>
      <c r="T1852" s="10"/>
      <c r="U1852" s="10"/>
      <c r="V1852" s="10"/>
      <c r="W1852" s="138"/>
      <c r="Y1852"/>
      <c r="Z1852"/>
      <c r="AA1852"/>
      <c r="AB1852"/>
      <c r="AC1852"/>
      <c r="AD1852"/>
      <c r="AE1852"/>
      <c r="AF1852"/>
      <c r="AG1852"/>
      <c r="AH1852"/>
      <c r="AI1852"/>
      <c r="AJ1852"/>
      <c r="AK1852"/>
      <c r="AL1852"/>
      <c r="AM1852"/>
      <c r="AN1852"/>
      <c r="AO1852"/>
    </row>
    <row r="1853" spans="1:41" ht="15">
      <c r="A1853"/>
      <c r="B1853"/>
      <c r="C1853" s="137"/>
      <c r="D1853" s="30"/>
      <c r="E1853" s="30"/>
      <c r="F1853" s="10"/>
      <c r="G1853" s="10"/>
      <c r="H1853" s="15"/>
      <c r="I1853" s="15"/>
      <c r="J1853" s="15"/>
      <c r="K1853" s="15"/>
      <c r="L1853" s="15"/>
      <c r="M1853" s="15"/>
      <c r="N1853" s="15"/>
      <c r="O1853" s="15"/>
      <c r="P1853" s="15"/>
      <c r="Q1853" s="71"/>
      <c r="R1853" s="84"/>
      <c r="S1853" s="10"/>
      <c r="T1853" s="10"/>
      <c r="U1853" s="10"/>
      <c r="V1853" s="10"/>
      <c r="W1853" s="138"/>
      <c r="Y1853"/>
      <c r="Z1853"/>
      <c r="AA1853"/>
      <c r="AB1853"/>
      <c r="AC1853"/>
      <c r="AD1853"/>
      <c r="AE1853"/>
      <c r="AF1853"/>
      <c r="AG1853"/>
      <c r="AH1853"/>
      <c r="AI1853"/>
      <c r="AJ1853"/>
      <c r="AK1853"/>
      <c r="AL1853"/>
      <c r="AM1853"/>
      <c r="AN1853"/>
      <c r="AO1853"/>
    </row>
    <row r="1854" spans="1:41" ht="15">
      <c r="A1854"/>
      <c r="B1854"/>
      <c r="C1854" s="137"/>
      <c r="D1854" s="30"/>
      <c r="E1854" s="30"/>
      <c r="F1854" s="10"/>
      <c r="G1854" s="10"/>
      <c r="H1854" s="15"/>
      <c r="I1854" s="15"/>
      <c r="J1854" s="15"/>
      <c r="K1854" s="15"/>
      <c r="L1854" s="15"/>
      <c r="M1854" s="15"/>
      <c r="N1854" s="15"/>
      <c r="O1854" s="15"/>
      <c r="P1854" s="15"/>
      <c r="Q1854" s="71"/>
      <c r="R1854" s="84"/>
      <c r="S1854" s="10"/>
      <c r="T1854" s="10"/>
      <c r="U1854" s="10"/>
      <c r="V1854" s="10"/>
      <c r="W1854" s="138"/>
      <c r="Y1854"/>
      <c r="Z1854"/>
      <c r="AA1854"/>
      <c r="AB1854"/>
      <c r="AC1854"/>
      <c r="AD1854"/>
      <c r="AE1854"/>
      <c r="AF1854"/>
      <c r="AG1854"/>
      <c r="AH1854"/>
      <c r="AI1854"/>
      <c r="AJ1854"/>
      <c r="AK1854"/>
      <c r="AL1854"/>
      <c r="AM1854"/>
      <c r="AN1854"/>
      <c r="AO1854"/>
    </row>
    <row r="1855" spans="1:41" ht="15">
      <c r="A1855"/>
      <c r="B1855"/>
      <c r="C1855" s="137"/>
      <c r="D1855" s="30"/>
      <c r="E1855" s="30"/>
      <c r="F1855" s="10"/>
      <c r="G1855" s="10"/>
      <c r="H1855" s="15"/>
      <c r="I1855" s="15"/>
      <c r="J1855" s="15"/>
      <c r="K1855" s="15"/>
      <c r="L1855" s="15"/>
      <c r="M1855" s="15"/>
      <c r="N1855" s="15"/>
      <c r="O1855" s="15"/>
      <c r="P1855" s="15"/>
      <c r="Q1855" s="71"/>
      <c r="R1855" s="84"/>
      <c r="S1855" s="10"/>
      <c r="T1855" s="10"/>
      <c r="U1855" s="10"/>
      <c r="V1855" s="10"/>
      <c r="W1855" s="138"/>
      <c r="Y1855"/>
      <c r="Z1855"/>
      <c r="AA1855"/>
      <c r="AB1855"/>
      <c r="AC1855"/>
      <c r="AD1855"/>
      <c r="AE1855"/>
      <c r="AF1855"/>
      <c r="AG1855"/>
      <c r="AH1855"/>
      <c r="AI1855"/>
      <c r="AJ1855"/>
      <c r="AK1855"/>
      <c r="AL1855"/>
      <c r="AM1855"/>
      <c r="AN1855"/>
      <c r="AO1855"/>
    </row>
    <row r="1856" spans="1:41" ht="15">
      <c r="A1856"/>
      <c r="B1856"/>
      <c r="C1856" s="137"/>
      <c r="D1856" s="30"/>
      <c r="E1856" s="30"/>
      <c r="F1856" s="10"/>
      <c r="G1856" s="10"/>
      <c r="H1856" s="15"/>
      <c r="I1856" s="15"/>
      <c r="J1856" s="15"/>
      <c r="K1856" s="15"/>
      <c r="L1856" s="15"/>
      <c r="M1856" s="15"/>
      <c r="N1856" s="15"/>
      <c r="O1856" s="15"/>
      <c r="P1856" s="15"/>
      <c r="Q1856" s="71"/>
      <c r="R1856" s="84"/>
      <c r="S1856" s="10"/>
      <c r="T1856" s="10"/>
      <c r="U1856" s="10"/>
      <c r="V1856" s="10"/>
      <c r="W1856" s="138"/>
      <c r="Y1856"/>
      <c r="Z1856"/>
      <c r="AA1856"/>
      <c r="AB1856"/>
      <c r="AC1856"/>
      <c r="AD1856"/>
      <c r="AE1856"/>
      <c r="AF1856"/>
      <c r="AG1856"/>
      <c r="AH1856"/>
      <c r="AI1856"/>
      <c r="AJ1856"/>
      <c r="AK1856"/>
      <c r="AL1856"/>
      <c r="AM1856"/>
      <c r="AN1856"/>
      <c r="AO1856"/>
    </row>
    <row r="1857" spans="1:41" ht="15">
      <c r="A1857"/>
      <c r="B1857"/>
      <c r="C1857" s="137"/>
      <c r="D1857" s="30"/>
      <c r="E1857" s="30"/>
      <c r="F1857" s="10"/>
      <c r="G1857" s="10"/>
      <c r="H1857" s="15"/>
      <c r="I1857" s="15"/>
      <c r="J1857" s="15"/>
      <c r="K1857" s="15"/>
      <c r="L1857" s="15"/>
      <c r="M1857" s="15"/>
      <c r="N1857" s="15"/>
      <c r="O1857" s="15"/>
      <c r="P1857" s="15"/>
      <c r="Q1857" s="71"/>
      <c r="R1857" s="84"/>
      <c r="S1857" s="10"/>
      <c r="T1857" s="10"/>
      <c r="U1857" s="10"/>
      <c r="V1857" s="10"/>
      <c r="W1857" s="138"/>
      <c r="Y1857"/>
      <c r="Z1857"/>
      <c r="AA1857"/>
      <c r="AB1857"/>
      <c r="AC1857"/>
      <c r="AD1857"/>
      <c r="AE1857"/>
      <c r="AF1857"/>
      <c r="AG1857"/>
      <c r="AH1857"/>
      <c r="AI1857"/>
      <c r="AJ1857"/>
      <c r="AK1857"/>
      <c r="AL1857"/>
      <c r="AM1857"/>
      <c r="AN1857"/>
      <c r="AO1857"/>
    </row>
    <row r="1858" spans="1:41" ht="15">
      <c r="A1858"/>
      <c r="B1858"/>
      <c r="C1858" s="137"/>
      <c r="D1858" s="30"/>
      <c r="E1858" s="30"/>
      <c r="F1858" s="10"/>
      <c r="G1858" s="10"/>
      <c r="H1858" s="15"/>
      <c r="I1858" s="15"/>
      <c r="J1858" s="15"/>
      <c r="K1858" s="15"/>
      <c r="L1858" s="15"/>
      <c r="M1858" s="15"/>
      <c r="N1858" s="15"/>
      <c r="O1858" s="15"/>
      <c r="P1858" s="15"/>
      <c r="Q1858" s="71"/>
      <c r="R1858" s="84"/>
      <c r="S1858" s="10"/>
      <c r="T1858" s="10"/>
      <c r="U1858" s="10"/>
      <c r="V1858" s="10"/>
      <c r="W1858" s="138"/>
      <c r="Y1858"/>
      <c r="Z1858"/>
      <c r="AA1858"/>
      <c r="AB1858"/>
      <c r="AC1858"/>
      <c r="AD1858"/>
      <c r="AE1858"/>
      <c r="AF1858"/>
      <c r="AG1858"/>
      <c r="AH1858"/>
      <c r="AI1858"/>
      <c r="AJ1858"/>
      <c r="AK1858"/>
      <c r="AL1858"/>
      <c r="AM1858"/>
      <c r="AN1858"/>
      <c r="AO1858"/>
    </row>
    <row r="1859" spans="1:41" ht="15">
      <c r="A1859"/>
      <c r="B1859"/>
      <c r="C1859" s="137"/>
      <c r="D1859" s="30"/>
      <c r="E1859" s="30"/>
      <c r="F1859" s="10"/>
      <c r="G1859" s="10"/>
      <c r="H1859" s="15"/>
      <c r="I1859" s="15"/>
      <c r="J1859" s="15"/>
      <c r="K1859" s="15"/>
      <c r="L1859" s="15"/>
      <c r="M1859" s="15"/>
      <c r="N1859" s="15"/>
      <c r="O1859" s="15"/>
      <c r="P1859" s="15"/>
      <c r="Q1859" s="71"/>
      <c r="R1859" s="84"/>
      <c r="S1859" s="10"/>
      <c r="T1859" s="10"/>
      <c r="U1859" s="10"/>
      <c r="V1859" s="10"/>
      <c r="W1859" s="138"/>
      <c r="Y1859"/>
      <c r="Z1859"/>
      <c r="AA1859"/>
      <c r="AB1859"/>
      <c r="AC1859"/>
      <c r="AD1859"/>
      <c r="AE1859"/>
      <c r="AF1859"/>
      <c r="AG1859"/>
      <c r="AH1859"/>
      <c r="AI1859"/>
      <c r="AJ1859"/>
      <c r="AK1859"/>
      <c r="AL1859"/>
      <c r="AM1859"/>
      <c r="AN1859"/>
      <c r="AO1859"/>
    </row>
    <row r="1860" spans="1:41" ht="15">
      <c r="A1860"/>
      <c r="B1860"/>
      <c r="C1860" s="137"/>
      <c r="D1860" s="30"/>
      <c r="E1860" s="30"/>
      <c r="F1860" s="10"/>
      <c r="G1860" s="10"/>
      <c r="H1860" s="15"/>
      <c r="I1860" s="15"/>
      <c r="J1860" s="15"/>
      <c r="K1860" s="15"/>
      <c r="L1860" s="15"/>
      <c r="M1860" s="15"/>
      <c r="N1860" s="15"/>
      <c r="O1860" s="15"/>
      <c r="P1860" s="15"/>
      <c r="Q1860" s="71"/>
      <c r="R1860" s="84"/>
      <c r="S1860" s="10"/>
      <c r="T1860" s="10"/>
      <c r="U1860" s="10"/>
      <c r="V1860" s="10"/>
      <c r="W1860" s="138"/>
      <c r="Y1860"/>
      <c r="Z1860"/>
      <c r="AA1860"/>
      <c r="AB1860"/>
      <c r="AC1860"/>
      <c r="AD1860"/>
      <c r="AE1860"/>
      <c r="AF1860"/>
      <c r="AG1860"/>
      <c r="AH1860"/>
      <c r="AI1860"/>
      <c r="AJ1860"/>
      <c r="AK1860"/>
      <c r="AL1860"/>
      <c r="AM1860"/>
      <c r="AN1860"/>
      <c r="AO1860"/>
    </row>
    <row r="1861" spans="1:41" ht="15">
      <c r="A1861"/>
      <c r="B1861"/>
      <c r="C1861" s="137"/>
      <c r="D1861" s="30"/>
      <c r="E1861" s="30"/>
      <c r="F1861" s="10"/>
      <c r="G1861" s="10"/>
      <c r="H1861" s="15"/>
      <c r="I1861" s="15"/>
      <c r="J1861" s="15"/>
      <c r="K1861" s="15"/>
      <c r="L1861" s="15"/>
      <c r="M1861" s="15"/>
      <c r="N1861" s="15"/>
      <c r="O1861" s="15"/>
      <c r="P1861" s="15"/>
      <c r="Q1861" s="71"/>
      <c r="R1861" s="84"/>
      <c r="S1861" s="10"/>
      <c r="T1861" s="10"/>
      <c r="U1861" s="10"/>
      <c r="V1861" s="10"/>
      <c r="W1861" s="138"/>
      <c r="Y1861"/>
      <c r="Z1861"/>
      <c r="AA1861"/>
      <c r="AB1861"/>
      <c r="AC1861"/>
      <c r="AD1861"/>
      <c r="AE1861"/>
      <c r="AF1861"/>
      <c r="AG1861"/>
      <c r="AH1861"/>
      <c r="AI1861"/>
      <c r="AJ1861"/>
      <c r="AK1861"/>
      <c r="AL1861"/>
      <c r="AM1861"/>
      <c r="AN1861"/>
      <c r="AO1861"/>
    </row>
    <row r="1862" spans="1:41" ht="15">
      <c r="A1862"/>
      <c r="B1862"/>
      <c r="C1862" s="137"/>
      <c r="D1862" s="30"/>
      <c r="E1862" s="30"/>
      <c r="F1862" s="10"/>
      <c r="G1862" s="10"/>
      <c r="H1862" s="15"/>
      <c r="I1862" s="15"/>
      <c r="J1862" s="15"/>
      <c r="K1862" s="15"/>
      <c r="L1862" s="15"/>
      <c r="M1862" s="15"/>
      <c r="N1862" s="15"/>
      <c r="O1862" s="15"/>
      <c r="P1862" s="15"/>
      <c r="Q1862" s="71"/>
      <c r="R1862" s="84"/>
      <c r="S1862" s="10"/>
      <c r="T1862" s="10"/>
      <c r="U1862" s="10"/>
      <c r="V1862" s="10"/>
      <c r="W1862" s="138"/>
      <c r="Y1862"/>
      <c r="Z1862"/>
      <c r="AA1862"/>
      <c r="AB1862"/>
      <c r="AC1862"/>
      <c r="AD1862"/>
      <c r="AE1862"/>
      <c r="AF1862"/>
      <c r="AG1862"/>
      <c r="AH1862"/>
      <c r="AI1862"/>
      <c r="AJ1862"/>
      <c r="AK1862"/>
      <c r="AL1862"/>
      <c r="AM1862"/>
      <c r="AN1862"/>
      <c r="AO1862"/>
    </row>
    <row r="1863" spans="1:41" ht="15">
      <c r="A1863"/>
      <c r="B1863"/>
      <c r="C1863" s="137"/>
      <c r="D1863" s="30"/>
      <c r="E1863" s="30"/>
      <c r="F1863" s="10"/>
      <c r="G1863" s="10"/>
      <c r="H1863" s="15"/>
      <c r="I1863" s="15"/>
      <c r="J1863" s="15"/>
      <c r="K1863" s="15"/>
      <c r="L1863" s="15"/>
      <c r="M1863" s="15"/>
      <c r="N1863" s="15"/>
      <c r="O1863" s="15"/>
      <c r="P1863" s="15"/>
      <c r="Q1863" s="71"/>
      <c r="R1863" s="84"/>
      <c r="S1863" s="10"/>
      <c r="T1863" s="10"/>
      <c r="U1863" s="10"/>
      <c r="V1863" s="10"/>
      <c r="W1863" s="138"/>
      <c r="Y1863"/>
      <c r="Z1863"/>
      <c r="AA1863"/>
      <c r="AB1863"/>
      <c r="AC1863"/>
      <c r="AD1863"/>
      <c r="AE1863"/>
      <c r="AF1863"/>
      <c r="AG1863"/>
      <c r="AH1863"/>
      <c r="AI1863"/>
      <c r="AJ1863"/>
      <c r="AK1863"/>
      <c r="AL1863"/>
      <c r="AM1863"/>
      <c r="AN1863"/>
      <c r="AO1863"/>
    </row>
    <row r="1864" spans="1:41" ht="15">
      <c r="A1864"/>
      <c r="B1864"/>
      <c r="C1864" s="137"/>
      <c r="D1864" s="30"/>
      <c r="E1864" s="30"/>
      <c r="F1864" s="10"/>
      <c r="G1864" s="10"/>
      <c r="H1864" s="15"/>
      <c r="I1864" s="15"/>
      <c r="J1864" s="15"/>
      <c r="K1864" s="15"/>
      <c r="L1864" s="15"/>
      <c r="M1864" s="15"/>
      <c r="N1864" s="15"/>
      <c r="O1864" s="15"/>
      <c r="P1864" s="15"/>
      <c r="Q1864" s="71"/>
      <c r="R1864" s="84"/>
      <c r="S1864" s="10"/>
      <c r="T1864" s="10"/>
      <c r="U1864" s="10"/>
      <c r="V1864" s="10"/>
      <c r="W1864" s="138"/>
      <c r="Y1864"/>
      <c r="Z1864"/>
      <c r="AA1864"/>
      <c r="AB1864"/>
      <c r="AC1864"/>
      <c r="AD1864"/>
      <c r="AE1864"/>
      <c r="AF1864"/>
      <c r="AG1864"/>
      <c r="AH1864"/>
      <c r="AI1864"/>
      <c r="AJ1864"/>
      <c r="AK1864"/>
      <c r="AL1864"/>
      <c r="AM1864"/>
      <c r="AN1864"/>
      <c r="AO1864"/>
    </row>
    <row r="1865" spans="1:41" ht="15">
      <c r="A1865"/>
      <c r="B1865"/>
      <c r="C1865" s="137"/>
      <c r="D1865" s="30"/>
      <c r="E1865" s="30"/>
      <c r="F1865" s="10"/>
      <c r="G1865" s="10"/>
      <c r="H1865" s="15"/>
      <c r="I1865" s="15"/>
      <c r="J1865" s="15"/>
      <c r="K1865" s="15"/>
      <c r="L1865" s="15"/>
      <c r="M1865" s="15"/>
      <c r="N1865" s="15"/>
      <c r="O1865" s="15"/>
      <c r="P1865" s="15"/>
      <c r="Q1865" s="71"/>
      <c r="R1865" s="84"/>
      <c r="S1865" s="10"/>
      <c r="T1865" s="10"/>
      <c r="U1865" s="10"/>
      <c r="V1865" s="10"/>
      <c r="W1865" s="138"/>
      <c r="Y1865"/>
      <c r="Z1865"/>
      <c r="AA1865"/>
      <c r="AB1865"/>
      <c r="AC1865"/>
      <c r="AD1865"/>
      <c r="AE1865"/>
      <c r="AF1865"/>
      <c r="AG1865"/>
      <c r="AH1865"/>
      <c r="AI1865"/>
      <c r="AJ1865"/>
      <c r="AK1865"/>
      <c r="AL1865"/>
      <c r="AM1865"/>
      <c r="AN1865"/>
      <c r="AO1865"/>
    </row>
    <row r="1866" spans="1:41" ht="15">
      <c r="A1866"/>
      <c r="B1866"/>
      <c r="C1866" s="137"/>
      <c r="D1866" s="30"/>
      <c r="E1866" s="30"/>
      <c r="F1866" s="10"/>
      <c r="G1866" s="10"/>
      <c r="H1866" s="15"/>
      <c r="I1866" s="15"/>
      <c r="J1866" s="15"/>
      <c r="K1866" s="15"/>
      <c r="L1866" s="15"/>
      <c r="M1866" s="15"/>
      <c r="N1866" s="15"/>
      <c r="O1866" s="15"/>
      <c r="P1866" s="15"/>
      <c r="Q1866" s="71"/>
      <c r="R1866" s="84"/>
      <c r="S1866" s="10"/>
      <c r="T1866" s="10"/>
      <c r="U1866" s="10"/>
      <c r="V1866" s="10"/>
      <c r="W1866" s="138"/>
      <c r="Y1866"/>
      <c r="Z1866"/>
      <c r="AA1866"/>
      <c r="AB1866"/>
      <c r="AC1866"/>
      <c r="AD1866"/>
      <c r="AE1866"/>
      <c r="AF1866"/>
      <c r="AG1866"/>
      <c r="AH1866"/>
      <c r="AI1866"/>
      <c r="AJ1866"/>
      <c r="AK1866"/>
      <c r="AL1866"/>
      <c r="AM1866"/>
      <c r="AN1866"/>
      <c r="AO1866"/>
    </row>
    <row r="1867" spans="1:41" ht="15">
      <c r="A1867"/>
      <c r="B1867"/>
      <c r="C1867" s="137"/>
      <c r="D1867" s="30"/>
      <c r="E1867" s="30"/>
      <c r="F1867" s="10"/>
      <c r="G1867" s="10"/>
      <c r="H1867" s="15"/>
      <c r="I1867" s="15"/>
      <c r="J1867" s="15"/>
      <c r="K1867" s="15"/>
      <c r="L1867" s="15"/>
      <c r="M1867" s="15"/>
      <c r="N1867" s="15"/>
      <c r="O1867" s="15"/>
      <c r="P1867" s="15"/>
      <c r="Q1867" s="71"/>
      <c r="R1867" s="84"/>
      <c r="S1867" s="10"/>
      <c r="T1867" s="10"/>
      <c r="U1867" s="10"/>
      <c r="V1867" s="10"/>
      <c r="W1867" s="138"/>
      <c r="Y1867"/>
      <c r="Z1867"/>
      <c r="AA1867"/>
      <c r="AB1867"/>
      <c r="AC1867"/>
      <c r="AD1867"/>
      <c r="AE1867"/>
      <c r="AF1867"/>
      <c r="AG1867"/>
      <c r="AH1867"/>
      <c r="AI1867"/>
      <c r="AJ1867"/>
      <c r="AK1867"/>
      <c r="AL1867"/>
      <c r="AM1867"/>
      <c r="AN1867"/>
      <c r="AO1867"/>
    </row>
    <row r="1868" spans="1:41" ht="15">
      <c r="A1868"/>
      <c r="B1868"/>
      <c r="C1868" s="137"/>
      <c r="D1868" s="30"/>
      <c r="E1868" s="30"/>
      <c r="F1868" s="10"/>
      <c r="G1868" s="10"/>
      <c r="H1868" s="15"/>
      <c r="I1868" s="15"/>
      <c r="J1868" s="15"/>
      <c r="K1868" s="15"/>
      <c r="L1868" s="15"/>
      <c r="M1868" s="15"/>
      <c r="N1868" s="15"/>
      <c r="O1868" s="15"/>
      <c r="P1868" s="15"/>
      <c r="Q1868" s="71"/>
      <c r="R1868" s="84"/>
      <c r="S1868" s="10"/>
      <c r="T1868" s="10"/>
      <c r="U1868" s="10"/>
      <c r="V1868" s="10"/>
      <c r="W1868" s="138"/>
      <c r="Y1868"/>
      <c r="Z1868"/>
      <c r="AA1868"/>
      <c r="AB1868"/>
      <c r="AC1868"/>
      <c r="AD1868"/>
      <c r="AE1868"/>
      <c r="AF1868"/>
      <c r="AG1868"/>
      <c r="AH1868"/>
      <c r="AI1868"/>
      <c r="AJ1868"/>
      <c r="AK1868"/>
      <c r="AL1868"/>
      <c r="AM1868"/>
      <c r="AN1868"/>
      <c r="AO1868"/>
    </row>
    <row r="1869" spans="1:41" ht="15">
      <c r="A1869"/>
      <c r="B1869"/>
      <c r="C1869" s="137"/>
      <c r="D1869" s="30"/>
      <c r="E1869" s="30"/>
      <c r="F1869" s="10"/>
      <c r="G1869" s="10"/>
      <c r="H1869" s="15"/>
      <c r="I1869" s="15"/>
      <c r="J1869" s="15"/>
      <c r="K1869" s="15"/>
      <c r="L1869" s="15"/>
      <c r="M1869" s="15"/>
      <c r="N1869" s="15"/>
      <c r="O1869" s="15"/>
      <c r="P1869" s="15"/>
      <c r="Q1869" s="71"/>
      <c r="R1869" s="84"/>
      <c r="S1869" s="10"/>
      <c r="T1869" s="10"/>
      <c r="U1869" s="10"/>
      <c r="V1869" s="10"/>
      <c r="W1869" s="138"/>
      <c r="Y1869"/>
      <c r="Z1869"/>
      <c r="AA1869"/>
      <c r="AB1869"/>
      <c r="AC1869"/>
      <c r="AD1869"/>
      <c r="AE1869"/>
      <c r="AF1869"/>
      <c r="AG1869"/>
      <c r="AH1869"/>
      <c r="AI1869"/>
      <c r="AJ1869"/>
      <c r="AK1869"/>
      <c r="AL1869"/>
      <c r="AM1869"/>
      <c r="AN1869"/>
      <c r="AO1869"/>
    </row>
    <row r="1870" spans="1:41" ht="15">
      <c r="A1870"/>
      <c r="B1870"/>
      <c r="C1870" s="137"/>
      <c r="D1870" s="30"/>
      <c r="E1870" s="30"/>
      <c r="F1870" s="10"/>
      <c r="G1870" s="10"/>
      <c r="H1870" s="15"/>
      <c r="I1870" s="15"/>
      <c r="J1870" s="15"/>
      <c r="K1870" s="15"/>
      <c r="L1870" s="15"/>
      <c r="M1870" s="15"/>
      <c r="N1870" s="15"/>
      <c r="O1870" s="15"/>
      <c r="P1870" s="15"/>
      <c r="Q1870" s="71"/>
      <c r="R1870" s="84"/>
      <c r="S1870" s="10"/>
      <c r="T1870" s="10"/>
      <c r="U1870" s="10"/>
      <c r="V1870" s="10"/>
      <c r="W1870" s="138"/>
      <c r="Y1870"/>
      <c r="Z1870"/>
      <c r="AA1870"/>
      <c r="AB1870"/>
      <c r="AC1870"/>
      <c r="AD1870"/>
      <c r="AE1870"/>
      <c r="AF1870"/>
      <c r="AG1870"/>
      <c r="AH1870"/>
      <c r="AI1870"/>
      <c r="AJ1870"/>
      <c r="AK1870"/>
      <c r="AL1870"/>
      <c r="AM1870"/>
      <c r="AN1870"/>
      <c r="AO1870"/>
    </row>
    <row r="1871" spans="1:41" ht="15">
      <c r="A1871"/>
      <c r="B1871"/>
      <c r="C1871" s="137"/>
      <c r="D1871" s="30"/>
      <c r="E1871" s="30"/>
      <c r="F1871" s="10"/>
      <c r="G1871" s="10"/>
      <c r="H1871" s="15"/>
      <c r="I1871" s="15"/>
      <c r="J1871" s="15"/>
      <c r="K1871" s="15"/>
      <c r="L1871" s="15"/>
      <c r="M1871" s="15"/>
      <c r="N1871" s="15"/>
      <c r="O1871" s="15"/>
      <c r="P1871" s="15"/>
      <c r="Q1871" s="71"/>
      <c r="R1871" s="84"/>
      <c r="S1871" s="10"/>
      <c r="T1871" s="10"/>
      <c r="U1871" s="10"/>
      <c r="V1871" s="10"/>
      <c r="W1871" s="138"/>
      <c r="Y1871"/>
      <c r="Z1871"/>
      <c r="AA1871"/>
      <c r="AB1871"/>
      <c r="AC1871"/>
      <c r="AD1871"/>
      <c r="AE1871"/>
      <c r="AF1871"/>
      <c r="AG1871"/>
      <c r="AH1871"/>
      <c r="AI1871"/>
      <c r="AJ1871"/>
      <c r="AK1871"/>
      <c r="AL1871"/>
      <c r="AM1871"/>
      <c r="AN1871"/>
      <c r="AO1871"/>
    </row>
    <row r="1872" spans="1:41" ht="15">
      <c r="A1872"/>
      <c r="B1872"/>
      <c r="C1872" s="137"/>
      <c r="D1872" s="30"/>
      <c r="E1872" s="30"/>
      <c r="F1872" s="10"/>
      <c r="G1872" s="10"/>
      <c r="H1872" s="15"/>
      <c r="I1872" s="15"/>
      <c r="J1872" s="15"/>
      <c r="K1872" s="15"/>
      <c r="L1872" s="15"/>
      <c r="M1872" s="15"/>
      <c r="N1872" s="15"/>
      <c r="O1872" s="15"/>
      <c r="P1872" s="15"/>
      <c r="Q1872" s="71"/>
      <c r="R1872" s="84"/>
      <c r="S1872" s="10"/>
      <c r="T1872" s="10"/>
      <c r="U1872" s="10"/>
      <c r="V1872" s="10"/>
      <c r="W1872" s="138"/>
      <c r="Y1872"/>
      <c r="Z1872"/>
      <c r="AA1872"/>
      <c r="AB1872"/>
      <c r="AC1872"/>
      <c r="AD1872"/>
      <c r="AE1872"/>
      <c r="AF1872"/>
      <c r="AG1872"/>
      <c r="AH1872"/>
      <c r="AI1872"/>
      <c r="AJ1872"/>
      <c r="AK1872"/>
      <c r="AL1872"/>
      <c r="AM1872"/>
      <c r="AN1872"/>
      <c r="AO1872"/>
    </row>
    <row r="1873" spans="1:41" ht="15">
      <c r="A1873"/>
      <c r="B1873"/>
      <c r="C1873" s="137"/>
      <c r="D1873" s="30"/>
      <c r="E1873" s="30"/>
      <c r="F1873" s="10"/>
      <c r="G1873" s="10"/>
      <c r="H1873" s="15"/>
      <c r="I1873" s="15"/>
      <c r="J1873" s="15"/>
      <c r="K1873" s="15"/>
      <c r="L1873" s="15"/>
      <c r="M1873" s="15"/>
      <c r="N1873" s="15"/>
      <c r="O1873" s="15"/>
      <c r="P1873" s="15"/>
      <c r="Q1873" s="71"/>
      <c r="R1873" s="84"/>
      <c r="S1873" s="10"/>
      <c r="T1873" s="10"/>
      <c r="U1873" s="10"/>
      <c r="V1873" s="10"/>
      <c r="W1873" s="138"/>
      <c r="Y1873"/>
      <c r="Z1873"/>
      <c r="AA1873"/>
      <c r="AB1873"/>
      <c r="AC1873"/>
      <c r="AD1873"/>
      <c r="AE1873"/>
      <c r="AF1873"/>
      <c r="AG1873"/>
      <c r="AH1873"/>
      <c r="AI1873"/>
      <c r="AJ1873"/>
      <c r="AK1873"/>
      <c r="AL1873"/>
      <c r="AM1873"/>
      <c r="AN1873"/>
      <c r="AO1873"/>
    </row>
    <row r="1874" spans="1:41" ht="15">
      <c r="A1874"/>
      <c r="B1874"/>
      <c r="C1874" s="137"/>
      <c r="D1874" s="30"/>
      <c r="E1874" s="30"/>
      <c r="F1874" s="10"/>
      <c r="G1874" s="10"/>
      <c r="H1874" s="15"/>
      <c r="I1874" s="15"/>
      <c r="J1874" s="15"/>
      <c r="K1874" s="15"/>
      <c r="L1874" s="15"/>
      <c r="M1874" s="15"/>
      <c r="N1874" s="15"/>
      <c r="O1874" s="15"/>
      <c r="P1874" s="15"/>
      <c r="Q1874" s="71"/>
      <c r="R1874" s="84"/>
      <c r="S1874" s="10"/>
      <c r="T1874" s="10"/>
      <c r="U1874" s="10"/>
      <c r="V1874" s="10"/>
      <c r="W1874" s="138"/>
      <c r="Y1874"/>
      <c r="Z1874"/>
      <c r="AA1874"/>
      <c r="AB1874"/>
      <c r="AC1874"/>
      <c r="AD1874"/>
      <c r="AE1874"/>
      <c r="AF1874"/>
      <c r="AG1874"/>
      <c r="AH1874"/>
      <c r="AI1874"/>
      <c r="AJ1874"/>
      <c r="AK1874"/>
      <c r="AL1874"/>
      <c r="AM1874"/>
      <c r="AN1874"/>
      <c r="AO1874"/>
    </row>
    <row r="1875" spans="1:41" ht="15">
      <c r="A1875"/>
      <c r="B1875"/>
      <c r="C1875" s="137"/>
      <c r="D1875" s="30"/>
      <c r="E1875" s="30"/>
      <c r="F1875" s="10"/>
      <c r="G1875" s="10"/>
      <c r="H1875" s="15"/>
      <c r="I1875" s="15"/>
      <c r="J1875" s="15"/>
      <c r="K1875" s="15"/>
      <c r="L1875" s="15"/>
      <c r="M1875" s="15"/>
      <c r="N1875" s="15"/>
      <c r="O1875" s="15"/>
      <c r="P1875" s="15"/>
      <c r="Q1875" s="71"/>
      <c r="R1875" s="84"/>
      <c r="S1875" s="10"/>
      <c r="T1875" s="10"/>
      <c r="U1875" s="10"/>
      <c r="V1875" s="10"/>
      <c r="W1875" s="138"/>
      <c r="Y1875"/>
      <c r="Z1875"/>
      <c r="AA1875"/>
      <c r="AB1875"/>
      <c r="AC1875"/>
      <c r="AD1875"/>
      <c r="AE1875"/>
      <c r="AF1875"/>
      <c r="AG1875"/>
      <c r="AH1875"/>
      <c r="AI1875"/>
      <c r="AJ1875"/>
      <c r="AK1875"/>
      <c r="AL1875"/>
      <c r="AM1875"/>
      <c r="AN1875"/>
      <c r="AO1875"/>
    </row>
    <row r="1876" spans="1:41" ht="15">
      <c r="A1876"/>
      <c r="B1876"/>
      <c r="C1876" s="137"/>
      <c r="D1876" s="30"/>
      <c r="E1876" s="30"/>
      <c r="F1876" s="10"/>
      <c r="G1876" s="10"/>
      <c r="H1876" s="15"/>
      <c r="I1876" s="15"/>
      <c r="J1876" s="15"/>
      <c r="K1876" s="15"/>
      <c r="L1876" s="15"/>
      <c r="M1876" s="15"/>
      <c r="N1876" s="15"/>
      <c r="O1876" s="15"/>
      <c r="P1876" s="15"/>
      <c r="Q1876" s="71"/>
      <c r="R1876" s="84"/>
      <c r="S1876" s="10"/>
      <c r="T1876" s="10"/>
      <c r="U1876" s="10"/>
      <c r="V1876" s="10"/>
      <c r="W1876" s="138"/>
      <c r="Y1876"/>
      <c r="Z1876"/>
      <c r="AA1876"/>
      <c r="AB1876"/>
      <c r="AC1876"/>
      <c r="AD1876"/>
      <c r="AE1876"/>
      <c r="AF1876"/>
      <c r="AG1876"/>
      <c r="AH1876"/>
      <c r="AI1876"/>
      <c r="AJ1876"/>
      <c r="AK1876"/>
      <c r="AL1876"/>
      <c r="AM1876"/>
      <c r="AN1876"/>
      <c r="AO1876"/>
    </row>
    <row r="1877" spans="1:41" ht="15">
      <c r="A1877"/>
      <c r="B1877"/>
      <c r="C1877" s="137"/>
      <c r="D1877" s="30"/>
      <c r="E1877" s="30"/>
      <c r="F1877" s="10"/>
      <c r="G1877" s="10"/>
      <c r="H1877" s="15"/>
      <c r="I1877" s="15"/>
      <c r="J1877" s="15"/>
      <c r="K1877" s="15"/>
      <c r="L1877" s="15"/>
      <c r="M1877" s="15"/>
      <c r="N1877" s="15"/>
      <c r="O1877" s="15"/>
      <c r="P1877" s="15"/>
      <c r="Q1877" s="71"/>
      <c r="R1877" s="84"/>
      <c r="S1877" s="10"/>
      <c r="T1877" s="10"/>
      <c r="U1877" s="10"/>
      <c r="V1877" s="10"/>
      <c r="W1877" s="138"/>
      <c r="Y1877"/>
      <c r="Z1877"/>
      <c r="AA1877"/>
      <c r="AB1877"/>
      <c r="AC1877"/>
      <c r="AD1877"/>
      <c r="AE1877"/>
      <c r="AF1877"/>
      <c r="AG1877"/>
      <c r="AH1877"/>
      <c r="AI1877"/>
      <c r="AJ1877"/>
      <c r="AK1877"/>
      <c r="AL1877"/>
      <c r="AM1877"/>
      <c r="AN1877"/>
      <c r="AO1877"/>
    </row>
    <row r="1878" spans="1:41" ht="15">
      <c r="A1878"/>
      <c r="B1878"/>
      <c r="C1878" s="137"/>
      <c r="D1878" s="30"/>
      <c r="E1878" s="30"/>
      <c r="F1878" s="10"/>
      <c r="G1878" s="10"/>
      <c r="H1878" s="15"/>
      <c r="I1878" s="15"/>
      <c r="J1878" s="15"/>
      <c r="K1878" s="15"/>
      <c r="L1878" s="15"/>
      <c r="M1878" s="15"/>
      <c r="N1878" s="15"/>
      <c r="O1878" s="15"/>
      <c r="P1878" s="15"/>
      <c r="Q1878" s="71"/>
      <c r="R1878" s="84"/>
      <c r="S1878" s="10"/>
      <c r="T1878" s="10"/>
      <c r="U1878" s="10"/>
      <c r="V1878" s="10"/>
      <c r="W1878" s="138"/>
      <c r="Y1878"/>
      <c r="Z1878"/>
      <c r="AA1878"/>
      <c r="AB1878"/>
      <c r="AC1878"/>
      <c r="AD1878"/>
      <c r="AE1878"/>
      <c r="AF1878"/>
      <c r="AG1878"/>
      <c r="AH1878"/>
      <c r="AI1878"/>
      <c r="AJ1878"/>
      <c r="AK1878"/>
      <c r="AL1878"/>
      <c r="AM1878"/>
      <c r="AN1878"/>
      <c r="AO1878"/>
    </row>
    <row r="1879" spans="1:41" ht="15">
      <c r="A1879"/>
      <c r="B1879"/>
      <c r="C1879" s="137"/>
      <c r="D1879" s="30"/>
      <c r="E1879" s="30"/>
      <c r="F1879" s="10"/>
      <c r="G1879" s="10"/>
      <c r="H1879" s="15"/>
      <c r="I1879" s="15"/>
      <c r="J1879" s="15"/>
      <c r="K1879" s="15"/>
      <c r="L1879" s="15"/>
      <c r="M1879" s="15"/>
      <c r="N1879" s="15"/>
      <c r="O1879" s="15"/>
      <c r="P1879" s="15"/>
      <c r="Q1879" s="71"/>
      <c r="R1879" s="84"/>
      <c r="S1879" s="10"/>
      <c r="T1879" s="10"/>
      <c r="U1879" s="10"/>
      <c r="V1879" s="10"/>
      <c r="W1879" s="138"/>
      <c r="Y1879"/>
      <c r="Z1879"/>
      <c r="AA1879"/>
      <c r="AB1879"/>
      <c r="AC1879"/>
      <c r="AD1879"/>
      <c r="AE1879"/>
      <c r="AF1879"/>
      <c r="AG1879"/>
      <c r="AH1879"/>
      <c r="AI1879"/>
      <c r="AJ1879"/>
      <c r="AK1879"/>
      <c r="AL1879"/>
      <c r="AM1879"/>
      <c r="AN1879"/>
      <c r="AO1879"/>
    </row>
    <row r="1880" spans="1:41" ht="15">
      <c r="A1880"/>
      <c r="B1880"/>
      <c r="C1880" s="137"/>
      <c r="D1880" s="30"/>
      <c r="E1880" s="30"/>
      <c r="F1880" s="10"/>
      <c r="G1880" s="10"/>
      <c r="H1880" s="15"/>
      <c r="I1880" s="15"/>
      <c r="J1880" s="15"/>
      <c r="K1880" s="15"/>
      <c r="L1880" s="15"/>
      <c r="M1880" s="15"/>
      <c r="N1880" s="15"/>
      <c r="O1880" s="15"/>
      <c r="P1880" s="15"/>
      <c r="Q1880" s="71"/>
      <c r="R1880" s="84"/>
      <c r="S1880" s="10"/>
      <c r="T1880" s="10"/>
      <c r="U1880" s="10"/>
      <c r="V1880" s="10"/>
      <c r="W1880" s="138"/>
      <c r="Y1880"/>
      <c r="Z1880"/>
      <c r="AA1880"/>
      <c r="AB1880"/>
      <c r="AC1880"/>
      <c r="AD1880"/>
      <c r="AE1880"/>
      <c r="AF1880"/>
      <c r="AG1880"/>
      <c r="AH1880"/>
      <c r="AI1880"/>
      <c r="AJ1880"/>
      <c r="AK1880"/>
      <c r="AL1880"/>
      <c r="AM1880"/>
      <c r="AN1880"/>
      <c r="AO1880"/>
    </row>
    <row r="1881" spans="1:41" ht="15">
      <c r="A1881"/>
      <c r="B1881"/>
      <c r="C1881" s="137"/>
      <c r="D1881" s="30"/>
      <c r="E1881" s="30"/>
      <c r="F1881" s="10"/>
      <c r="G1881" s="10"/>
      <c r="H1881" s="15"/>
      <c r="I1881" s="15"/>
      <c r="J1881" s="15"/>
      <c r="K1881" s="15"/>
      <c r="L1881" s="15"/>
      <c r="M1881" s="15"/>
      <c r="N1881" s="15"/>
      <c r="O1881" s="15"/>
      <c r="P1881" s="15"/>
      <c r="Q1881" s="71"/>
      <c r="R1881" s="84"/>
      <c r="S1881" s="10"/>
      <c r="T1881" s="10"/>
      <c r="U1881" s="10"/>
      <c r="V1881" s="10"/>
      <c r="W1881" s="138"/>
      <c r="Y1881"/>
      <c r="Z1881"/>
      <c r="AA1881"/>
      <c r="AB1881"/>
      <c r="AC1881"/>
      <c r="AD1881"/>
      <c r="AE1881"/>
      <c r="AF1881"/>
      <c r="AG1881"/>
      <c r="AH1881"/>
      <c r="AI1881"/>
      <c r="AJ1881"/>
      <c r="AK1881"/>
      <c r="AL1881"/>
      <c r="AM1881"/>
      <c r="AN1881"/>
      <c r="AO1881"/>
    </row>
    <row r="1882" spans="1:41" ht="15">
      <c r="A1882"/>
      <c r="B1882"/>
      <c r="C1882" s="137"/>
      <c r="D1882" s="30"/>
      <c r="E1882" s="30"/>
      <c r="F1882" s="10"/>
      <c r="G1882" s="10"/>
      <c r="H1882" s="15"/>
      <c r="I1882" s="15"/>
      <c r="J1882" s="15"/>
      <c r="K1882" s="15"/>
      <c r="L1882" s="15"/>
      <c r="M1882" s="15"/>
      <c r="N1882" s="15"/>
      <c r="O1882" s="15"/>
      <c r="P1882" s="15"/>
      <c r="Q1882" s="71"/>
      <c r="R1882" s="84"/>
      <c r="S1882" s="10"/>
      <c r="T1882" s="10"/>
      <c r="U1882" s="10"/>
      <c r="V1882" s="10"/>
      <c r="W1882" s="138"/>
      <c r="Y1882"/>
      <c r="Z1882"/>
      <c r="AA1882"/>
      <c r="AB1882"/>
      <c r="AC1882"/>
      <c r="AD1882"/>
      <c r="AE1882"/>
      <c r="AF1882"/>
      <c r="AG1882"/>
      <c r="AH1882"/>
      <c r="AI1882"/>
      <c r="AJ1882"/>
      <c r="AK1882"/>
      <c r="AL1882"/>
      <c r="AM1882"/>
      <c r="AN1882"/>
      <c r="AO1882"/>
    </row>
    <row r="1883" spans="1:41" ht="15">
      <c r="A1883"/>
      <c r="B1883"/>
      <c r="C1883" s="137"/>
      <c r="D1883" s="30"/>
      <c r="E1883" s="30"/>
      <c r="F1883" s="10"/>
      <c r="G1883" s="10"/>
      <c r="H1883" s="15"/>
      <c r="I1883" s="15"/>
      <c r="J1883" s="15"/>
      <c r="K1883" s="15"/>
      <c r="L1883" s="15"/>
      <c r="M1883" s="15"/>
      <c r="N1883" s="15"/>
      <c r="O1883" s="15"/>
      <c r="P1883" s="15"/>
      <c r="Q1883" s="71"/>
      <c r="R1883" s="84"/>
      <c r="S1883" s="10"/>
      <c r="T1883" s="10"/>
      <c r="U1883" s="10"/>
      <c r="V1883" s="10"/>
      <c r="W1883" s="138"/>
      <c r="Y1883"/>
      <c r="Z1883"/>
      <c r="AA1883"/>
      <c r="AB1883"/>
      <c r="AC1883"/>
      <c r="AD1883"/>
      <c r="AE1883"/>
      <c r="AF1883"/>
      <c r="AG1883"/>
      <c r="AH1883"/>
      <c r="AI1883"/>
      <c r="AJ1883"/>
      <c r="AK1883"/>
      <c r="AL1883"/>
      <c r="AM1883"/>
      <c r="AN1883"/>
      <c r="AO1883"/>
    </row>
    <row r="1884" spans="1:41" ht="15">
      <c r="A1884"/>
      <c r="B1884"/>
      <c r="C1884" s="137"/>
      <c r="D1884" s="30"/>
      <c r="E1884" s="30"/>
      <c r="F1884" s="10"/>
      <c r="G1884" s="10"/>
      <c r="H1884" s="15"/>
      <c r="I1884" s="15"/>
      <c r="J1884" s="15"/>
      <c r="K1884" s="15"/>
      <c r="L1884" s="15"/>
      <c r="M1884" s="15"/>
      <c r="N1884" s="15"/>
      <c r="O1884" s="15"/>
      <c r="P1884" s="15"/>
      <c r="Q1884" s="71"/>
      <c r="R1884" s="84"/>
      <c r="S1884" s="10"/>
      <c r="T1884" s="10"/>
      <c r="U1884" s="10"/>
      <c r="V1884" s="10"/>
      <c r="W1884" s="138"/>
      <c r="Y1884"/>
      <c r="Z1884"/>
      <c r="AA1884"/>
      <c r="AB1884"/>
      <c r="AC1884"/>
      <c r="AD1884"/>
      <c r="AE1884"/>
      <c r="AF1884"/>
      <c r="AG1884"/>
      <c r="AH1884"/>
      <c r="AI1884"/>
      <c r="AJ1884"/>
      <c r="AK1884"/>
      <c r="AL1884"/>
      <c r="AM1884"/>
      <c r="AN1884"/>
      <c r="AO1884"/>
    </row>
    <row r="1885" spans="1:41" ht="15">
      <c r="A1885"/>
      <c r="B1885"/>
      <c r="C1885" s="137"/>
      <c r="D1885" s="30"/>
      <c r="E1885" s="30"/>
      <c r="F1885" s="10"/>
      <c r="G1885" s="10"/>
      <c r="H1885" s="15"/>
      <c r="I1885" s="15"/>
      <c r="J1885" s="15"/>
      <c r="K1885" s="15"/>
      <c r="L1885" s="15"/>
      <c r="M1885" s="15"/>
      <c r="N1885" s="15"/>
      <c r="O1885" s="15"/>
      <c r="P1885" s="15"/>
      <c r="Q1885" s="71"/>
      <c r="R1885" s="84"/>
      <c r="S1885" s="10"/>
      <c r="T1885" s="10"/>
      <c r="U1885" s="10"/>
      <c r="V1885" s="10"/>
      <c r="W1885" s="138"/>
      <c r="Y1885"/>
      <c r="Z1885"/>
      <c r="AA1885"/>
      <c r="AB1885"/>
      <c r="AC1885"/>
      <c r="AD1885"/>
      <c r="AE1885"/>
      <c r="AF1885"/>
      <c r="AG1885"/>
      <c r="AH1885"/>
      <c r="AI1885"/>
      <c r="AJ1885"/>
      <c r="AK1885"/>
      <c r="AL1885"/>
      <c r="AM1885"/>
      <c r="AN1885"/>
      <c r="AO1885"/>
    </row>
    <row r="1886" spans="1:41" ht="15">
      <c r="A1886"/>
      <c r="B1886"/>
      <c r="C1886" s="137"/>
      <c r="D1886" s="30"/>
      <c r="E1886" s="30"/>
      <c r="F1886" s="10"/>
      <c r="G1886" s="10"/>
      <c r="H1886" s="15"/>
      <c r="I1886" s="15"/>
      <c r="J1886" s="15"/>
      <c r="K1886" s="15"/>
      <c r="L1886" s="15"/>
      <c r="M1886" s="15"/>
      <c r="N1886" s="15"/>
      <c r="O1886" s="15"/>
      <c r="P1886" s="15"/>
      <c r="Q1886" s="71"/>
      <c r="R1886" s="84"/>
      <c r="S1886" s="10"/>
      <c r="T1886" s="10"/>
      <c r="U1886" s="10"/>
      <c r="V1886" s="10"/>
      <c r="W1886" s="138"/>
      <c r="Y1886"/>
      <c r="Z1886"/>
      <c r="AA1886"/>
      <c r="AB1886"/>
      <c r="AC1886"/>
      <c r="AD1886"/>
      <c r="AE1886"/>
      <c r="AF1886"/>
      <c r="AG1886"/>
      <c r="AH1886"/>
      <c r="AI1886"/>
      <c r="AJ1886"/>
      <c r="AK1886"/>
      <c r="AL1886"/>
      <c r="AM1886"/>
      <c r="AN1886"/>
      <c r="AO1886"/>
    </row>
    <row r="1887" spans="1:41" ht="15">
      <c r="A1887"/>
      <c r="B1887"/>
      <c r="C1887" s="137"/>
      <c r="D1887" s="30"/>
      <c r="E1887" s="30"/>
      <c r="F1887" s="10"/>
      <c r="G1887" s="10"/>
      <c r="H1887" s="15"/>
      <c r="I1887" s="15"/>
      <c r="J1887" s="15"/>
      <c r="K1887" s="15"/>
      <c r="L1887" s="15"/>
      <c r="M1887" s="15"/>
      <c r="N1887" s="15"/>
      <c r="O1887" s="15"/>
      <c r="P1887" s="15"/>
      <c r="Q1887" s="71"/>
      <c r="R1887" s="84"/>
      <c r="S1887" s="10"/>
      <c r="T1887" s="10"/>
      <c r="U1887" s="10"/>
      <c r="V1887" s="10"/>
      <c r="W1887" s="138"/>
      <c r="Y1887"/>
      <c r="Z1887"/>
      <c r="AA1887"/>
      <c r="AB1887"/>
      <c r="AC1887"/>
      <c r="AD1887"/>
      <c r="AE1887"/>
      <c r="AF1887"/>
      <c r="AG1887"/>
      <c r="AH1887"/>
      <c r="AI1887"/>
      <c r="AJ1887"/>
      <c r="AK1887"/>
      <c r="AL1887"/>
      <c r="AM1887"/>
      <c r="AN1887"/>
      <c r="AO1887"/>
    </row>
    <row r="1888" spans="1:41" ht="15">
      <c r="A1888"/>
      <c r="B1888"/>
      <c r="C1888" s="137"/>
      <c r="D1888" s="30"/>
      <c r="E1888" s="30"/>
      <c r="F1888" s="10"/>
      <c r="G1888" s="10"/>
      <c r="H1888" s="15"/>
      <c r="I1888" s="15"/>
      <c r="J1888" s="15"/>
      <c r="K1888" s="15"/>
      <c r="L1888" s="15"/>
      <c r="M1888" s="15"/>
      <c r="N1888" s="15"/>
      <c r="O1888" s="15"/>
      <c r="P1888" s="15"/>
      <c r="Q1888" s="71"/>
      <c r="R1888" s="84"/>
      <c r="S1888" s="10"/>
      <c r="T1888" s="10"/>
      <c r="U1888" s="10"/>
      <c r="V1888" s="10"/>
      <c r="W1888" s="138"/>
      <c r="Y1888"/>
      <c r="Z1888"/>
      <c r="AA1888"/>
      <c r="AB1888"/>
      <c r="AC1888"/>
      <c r="AD1888"/>
      <c r="AE1888"/>
      <c r="AF1888"/>
      <c r="AG1888"/>
      <c r="AH1888"/>
      <c r="AI1888"/>
      <c r="AJ1888"/>
      <c r="AK1888"/>
      <c r="AL1888"/>
      <c r="AM1888"/>
      <c r="AN1888"/>
      <c r="AO1888"/>
    </row>
    <row r="1889" spans="1:41" ht="15">
      <c r="A1889"/>
      <c r="B1889"/>
      <c r="C1889" s="137"/>
      <c r="D1889" s="30"/>
      <c r="E1889" s="30"/>
      <c r="F1889" s="10"/>
      <c r="G1889" s="10"/>
      <c r="H1889" s="15"/>
      <c r="I1889" s="15"/>
      <c r="J1889" s="15"/>
      <c r="K1889" s="15"/>
      <c r="L1889" s="15"/>
      <c r="M1889" s="15"/>
      <c r="N1889" s="15"/>
      <c r="O1889" s="15"/>
      <c r="P1889" s="15"/>
      <c r="Q1889" s="71"/>
      <c r="R1889" s="84"/>
      <c r="S1889" s="10"/>
      <c r="T1889" s="10"/>
      <c r="U1889" s="10"/>
      <c r="V1889" s="10"/>
      <c r="W1889" s="138"/>
      <c r="Y1889"/>
      <c r="Z1889"/>
      <c r="AA1889"/>
      <c r="AB1889"/>
      <c r="AC1889"/>
      <c r="AD1889"/>
      <c r="AE1889"/>
      <c r="AF1889"/>
      <c r="AG1889"/>
      <c r="AH1889"/>
      <c r="AI1889"/>
      <c r="AJ1889"/>
      <c r="AK1889"/>
      <c r="AL1889"/>
      <c r="AM1889"/>
      <c r="AN1889"/>
      <c r="AO1889"/>
    </row>
    <row r="1890" spans="1:41" ht="15">
      <c r="A1890"/>
      <c r="B1890"/>
      <c r="C1890" s="137"/>
      <c r="D1890" s="30"/>
      <c r="E1890" s="30"/>
      <c r="F1890" s="10"/>
      <c r="G1890" s="10"/>
      <c r="H1890" s="15"/>
      <c r="I1890" s="15"/>
      <c r="J1890" s="15"/>
      <c r="K1890" s="15"/>
      <c r="L1890" s="15"/>
      <c r="M1890" s="15"/>
      <c r="N1890" s="15"/>
      <c r="O1890" s="15"/>
      <c r="P1890" s="15"/>
      <c r="Q1890" s="71"/>
      <c r="R1890" s="84"/>
      <c r="S1890" s="10"/>
      <c r="T1890" s="10"/>
      <c r="U1890" s="10"/>
      <c r="V1890" s="10"/>
      <c r="W1890" s="138"/>
      <c r="Y1890"/>
      <c r="Z1890"/>
      <c r="AA1890"/>
      <c r="AB1890"/>
      <c r="AC1890"/>
      <c r="AD1890"/>
      <c r="AE1890"/>
      <c r="AF1890"/>
      <c r="AG1890"/>
      <c r="AH1890"/>
      <c r="AI1890"/>
      <c r="AJ1890"/>
      <c r="AK1890"/>
      <c r="AL1890"/>
      <c r="AM1890"/>
      <c r="AN1890"/>
      <c r="AO1890"/>
    </row>
    <row r="1891" spans="1:41" ht="15">
      <c r="A1891"/>
      <c r="B1891"/>
      <c r="C1891" s="137"/>
      <c r="D1891" s="30"/>
      <c r="E1891" s="30"/>
      <c r="F1891" s="10"/>
      <c r="G1891" s="10"/>
      <c r="H1891" s="15"/>
      <c r="I1891" s="15"/>
      <c r="J1891" s="15"/>
      <c r="K1891" s="15"/>
      <c r="L1891" s="15"/>
      <c r="M1891" s="15"/>
      <c r="N1891" s="15"/>
      <c r="O1891" s="15"/>
      <c r="P1891" s="15"/>
      <c r="Q1891" s="71"/>
      <c r="R1891" s="84"/>
      <c r="S1891" s="10"/>
      <c r="T1891" s="10"/>
      <c r="U1891" s="10"/>
      <c r="V1891" s="10"/>
      <c r="W1891" s="138"/>
      <c r="Y1891"/>
      <c r="Z1891"/>
      <c r="AA1891"/>
      <c r="AB1891"/>
      <c r="AC1891"/>
      <c r="AD1891"/>
      <c r="AE1891"/>
      <c r="AF1891"/>
      <c r="AG1891"/>
      <c r="AH1891"/>
      <c r="AI1891"/>
      <c r="AJ1891"/>
      <c r="AK1891"/>
      <c r="AL1891"/>
      <c r="AM1891"/>
      <c r="AN1891"/>
      <c r="AO1891"/>
    </row>
    <row r="1892" spans="1:41" ht="15">
      <c r="A1892"/>
      <c r="B1892"/>
      <c r="C1892" s="137"/>
      <c r="D1892" s="30"/>
      <c r="E1892" s="30"/>
      <c r="F1892" s="10"/>
      <c r="G1892" s="10"/>
      <c r="H1892" s="15"/>
      <c r="I1892" s="15"/>
      <c r="J1892" s="15"/>
      <c r="K1892" s="15"/>
      <c r="L1892" s="15"/>
      <c r="M1892" s="15"/>
      <c r="N1892" s="15"/>
      <c r="O1892" s="15"/>
      <c r="P1892" s="15"/>
      <c r="Q1892" s="71"/>
      <c r="R1892" s="84"/>
      <c r="S1892" s="10"/>
      <c r="T1892" s="10"/>
      <c r="U1892" s="10"/>
      <c r="V1892" s="10"/>
      <c r="W1892" s="138"/>
      <c r="Y1892"/>
      <c r="Z1892"/>
      <c r="AA1892"/>
      <c r="AB1892"/>
      <c r="AC1892"/>
      <c r="AD1892"/>
      <c r="AE1892"/>
      <c r="AF1892"/>
      <c r="AG1892"/>
      <c r="AH1892"/>
      <c r="AI1892"/>
      <c r="AJ1892"/>
      <c r="AK1892"/>
      <c r="AL1892"/>
      <c r="AM1892"/>
      <c r="AN1892"/>
      <c r="AO1892"/>
    </row>
    <row r="1893" spans="1:41" ht="15">
      <c r="A1893"/>
      <c r="B1893"/>
      <c r="C1893" s="137"/>
      <c r="D1893" s="30"/>
      <c r="E1893" s="30"/>
      <c r="F1893" s="10"/>
      <c r="G1893" s="10"/>
      <c r="H1893" s="15"/>
      <c r="I1893" s="15"/>
      <c r="J1893" s="15"/>
      <c r="K1893" s="15"/>
      <c r="L1893" s="15"/>
      <c r="M1893" s="15"/>
      <c r="N1893" s="15"/>
      <c r="O1893" s="15"/>
      <c r="P1893" s="15"/>
      <c r="Q1893" s="71"/>
      <c r="R1893" s="84"/>
      <c r="S1893" s="10"/>
      <c r="T1893" s="10"/>
      <c r="U1893" s="10"/>
      <c r="V1893" s="10"/>
      <c r="W1893" s="138"/>
      <c r="Y1893"/>
      <c r="Z1893"/>
      <c r="AA1893"/>
      <c r="AB1893"/>
      <c r="AC1893"/>
      <c r="AD1893"/>
      <c r="AE1893"/>
      <c r="AF1893"/>
      <c r="AG1893"/>
      <c r="AH1893"/>
      <c r="AI1893"/>
      <c r="AJ1893"/>
      <c r="AK1893"/>
      <c r="AL1893"/>
      <c r="AM1893"/>
      <c r="AN1893"/>
      <c r="AO1893"/>
    </row>
    <row r="1894" spans="1:41" ht="15">
      <c r="A1894"/>
      <c r="B1894"/>
      <c r="C1894" s="137"/>
      <c r="D1894" s="30"/>
      <c r="E1894" s="30"/>
      <c r="F1894" s="10"/>
      <c r="G1894" s="10"/>
      <c r="H1894" s="15"/>
      <c r="I1894" s="15"/>
      <c r="J1894" s="15"/>
      <c r="K1894" s="15"/>
      <c r="L1894" s="15"/>
      <c r="M1894" s="15"/>
      <c r="N1894" s="15"/>
      <c r="O1894" s="15"/>
      <c r="P1894" s="15"/>
      <c r="Q1894" s="71"/>
      <c r="R1894" s="84"/>
      <c r="S1894" s="10"/>
      <c r="T1894" s="10"/>
      <c r="U1894" s="10"/>
      <c r="V1894" s="10"/>
      <c r="W1894" s="138"/>
      <c r="Y1894"/>
      <c r="Z1894"/>
      <c r="AA1894"/>
      <c r="AB1894"/>
      <c r="AC1894"/>
      <c r="AD1894"/>
      <c r="AE1894"/>
      <c r="AF1894"/>
      <c r="AG1894"/>
      <c r="AH1894"/>
      <c r="AI1894"/>
      <c r="AJ1894"/>
      <c r="AK1894"/>
      <c r="AL1894"/>
      <c r="AM1894"/>
      <c r="AN1894"/>
      <c r="AO1894"/>
    </row>
    <row r="1895" spans="1:41" ht="15">
      <c r="A1895"/>
      <c r="B1895"/>
      <c r="C1895" s="137"/>
      <c r="D1895" s="30"/>
      <c r="E1895" s="30"/>
      <c r="F1895" s="10"/>
      <c r="G1895" s="10"/>
      <c r="H1895" s="15"/>
      <c r="I1895" s="15"/>
      <c r="J1895" s="15"/>
      <c r="K1895" s="15"/>
      <c r="L1895" s="15"/>
      <c r="M1895" s="15"/>
      <c r="N1895" s="15"/>
      <c r="O1895" s="15"/>
      <c r="P1895" s="15"/>
      <c r="Q1895" s="71"/>
      <c r="R1895" s="84"/>
      <c r="S1895" s="10"/>
      <c r="T1895" s="10"/>
      <c r="U1895" s="10"/>
      <c r="V1895" s="10"/>
      <c r="W1895" s="138"/>
      <c r="Y1895"/>
      <c r="Z1895"/>
      <c r="AA1895"/>
      <c r="AB1895"/>
      <c r="AC1895"/>
      <c r="AD1895"/>
      <c r="AE1895"/>
      <c r="AF1895"/>
      <c r="AG1895"/>
      <c r="AH1895"/>
      <c r="AI1895"/>
      <c r="AJ1895"/>
      <c r="AK1895"/>
      <c r="AL1895"/>
      <c r="AM1895"/>
      <c r="AN1895"/>
      <c r="AO1895"/>
    </row>
    <row r="1896" spans="1:41" ht="15">
      <c r="A1896"/>
      <c r="B1896"/>
      <c r="C1896" s="137"/>
      <c r="D1896" s="30"/>
      <c r="E1896" s="30"/>
      <c r="F1896" s="10"/>
      <c r="G1896" s="10"/>
      <c r="H1896" s="15"/>
      <c r="I1896" s="15"/>
      <c r="J1896" s="15"/>
      <c r="K1896" s="15"/>
      <c r="L1896" s="15"/>
      <c r="M1896" s="15"/>
      <c r="N1896" s="15"/>
      <c r="O1896" s="15"/>
      <c r="P1896" s="15"/>
      <c r="Q1896" s="71"/>
      <c r="R1896" s="84"/>
      <c r="S1896" s="10"/>
      <c r="T1896" s="10"/>
      <c r="U1896" s="10"/>
      <c r="V1896" s="10"/>
      <c r="W1896" s="138"/>
      <c r="Y1896"/>
      <c r="Z1896"/>
      <c r="AA1896"/>
      <c r="AB1896"/>
      <c r="AC1896"/>
      <c r="AD1896"/>
      <c r="AE1896"/>
      <c r="AF1896"/>
      <c r="AG1896"/>
      <c r="AH1896"/>
      <c r="AI1896"/>
      <c r="AJ1896"/>
      <c r="AK1896"/>
      <c r="AL1896"/>
      <c r="AM1896"/>
      <c r="AN1896"/>
      <c r="AO1896"/>
    </row>
    <row r="1897" spans="1:41" ht="15">
      <c r="A1897"/>
      <c r="B1897"/>
      <c r="C1897" s="137"/>
      <c r="D1897" s="30"/>
      <c r="E1897" s="30"/>
      <c r="F1897" s="10"/>
      <c r="G1897" s="10"/>
      <c r="H1897" s="15"/>
      <c r="I1897" s="15"/>
      <c r="J1897" s="15"/>
      <c r="K1897" s="15"/>
      <c r="L1897" s="15"/>
      <c r="M1897" s="15"/>
      <c r="N1897" s="15"/>
      <c r="O1897" s="15"/>
      <c r="P1897" s="15"/>
      <c r="Q1897" s="71"/>
      <c r="R1897" s="84"/>
      <c r="S1897" s="10"/>
      <c r="T1897" s="10"/>
      <c r="U1897" s="10"/>
      <c r="V1897" s="10"/>
      <c r="W1897" s="138"/>
      <c r="Y1897"/>
      <c r="Z1897"/>
      <c r="AA1897"/>
      <c r="AB1897"/>
      <c r="AC1897"/>
      <c r="AD1897"/>
      <c r="AE1897"/>
      <c r="AF1897"/>
      <c r="AG1897"/>
      <c r="AH1897"/>
      <c r="AI1897"/>
      <c r="AJ1897"/>
      <c r="AK1897"/>
      <c r="AL1897"/>
      <c r="AM1897"/>
      <c r="AN1897"/>
      <c r="AO1897"/>
    </row>
    <row r="1898" spans="1:41" ht="15">
      <c r="A1898"/>
      <c r="B1898"/>
      <c r="C1898" s="137"/>
      <c r="D1898" s="30"/>
      <c r="E1898" s="30"/>
      <c r="F1898" s="10"/>
      <c r="G1898" s="10"/>
      <c r="H1898" s="15"/>
      <c r="I1898" s="15"/>
      <c r="J1898" s="15"/>
      <c r="K1898" s="15"/>
      <c r="L1898" s="15"/>
      <c r="M1898" s="15"/>
      <c r="N1898" s="15"/>
      <c r="O1898" s="15"/>
      <c r="P1898" s="15"/>
      <c r="Q1898" s="71"/>
      <c r="R1898" s="84"/>
      <c r="S1898" s="10"/>
      <c r="T1898" s="10"/>
      <c r="U1898" s="10"/>
      <c r="V1898" s="10"/>
      <c r="W1898" s="138"/>
      <c r="Y1898"/>
      <c r="Z1898"/>
      <c r="AA1898"/>
      <c r="AB1898"/>
      <c r="AC1898"/>
      <c r="AD1898"/>
      <c r="AE1898"/>
      <c r="AF1898"/>
      <c r="AG1898"/>
      <c r="AH1898"/>
      <c r="AI1898"/>
      <c r="AJ1898"/>
      <c r="AK1898"/>
      <c r="AL1898"/>
      <c r="AM1898"/>
      <c r="AN1898"/>
      <c r="AO1898"/>
    </row>
    <row r="1899" spans="1:41" ht="15">
      <c r="A1899"/>
      <c r="B1899"/>
      <c r="C1899" s="137"/>
      <c r="D1899" s="30"/>
      <c r="E1899" s="30"/>
      <c r="F1899" s="10"/>
      <c r="G1899" s="10"/>
      <c r="H1899" s="15"/>
      <c r="I1899" s="15"/>
      <c r="J1899" s="15"/>
      <c r="K1899" s="15"/>
      <c r="L1899" s="15"/>
      <c r="M1899" s="15"/>
      <c r="N1899" s="15"/>
      <c r="O1899" s="15"/>
      <c r="P1899" s="15"/>
      <c r="Q1899" s="71"/>
      <c r="R1899" s="84"/>
      <c r="S1899" s="10"/>
      <c r="T1899" s="10"/>
      <c r="U1899" s="10"/>
      <c r="V1899" s="10"/>
      <c r="W1899" s="138"/>
      <c r="Y1899"/>
      <c r="Z1899"/>
      <c r="AA1899"/>
      <c r="AB1899"/>
      <c r="AC1899"/>
      <c r="AD1899"/>
      <c r="AE1899"/>
      <c r="AF1899"/>
      <c r="AG1899"/>
      <c r="AH1899"/>
      <c r="AI1899"/>
      <c r="AJ1899"/>
      <c r="AK1899"/>
      <c r="AL1899"/>
      <c r="AM1899"/>
      <c r="AN1899"/>
      <c r="AO1899"/>
    </row>
    <row r="1900" spans="1:41" ht="15">
      <c r="A1900"/>
      <c r="B1900"/>
      <c r="C1900" s="137"/>
      <c r="D1900" s="30"/>
      <c r="E1900" s="30"/>
      <c r="F1900" s="10"/>
      <c r="G1900" s="10"/>
      <c r="H1900" s="15"/>
      <c r="I1900" s="15"/>
      <c r="J1900" s="15"/>
      <c r="K1900" s="15"/>
      <c r="L1900" s="15"/>
      <c r="M1900" s="15"/>
      <c r="N1900" s="15"/>
      <c r="O1900" s="15"/>
      <c r="P1900" s="15"/>
      <c r="Q1900" s="71"/>
      <c r="R1900" s="84"/>
      <c r="S1900" s="10"/>
      <c r="T1900" s="10"/>
      <c r="U1900" s="10"/>
      <c r="V1900" s="10"/>
      <c r="W1900" s="138"/>
      <c r="Y1900"/>
      <c r="Z1900"/>
      <c r="AA1900"/>
      <c r="AB1900"/>
      <c r="AC1900"/>
      <c r="AD1900"/>
      <c r="AE1900"/>
      <c r="AF1900"/>
      <c r="AG1900"/>
      <c r="AH1900"/>
      <c r="AI1900"/>
      <c r="AJ1900"/>
      <c r="AK1900"/>
      <c r="AL1900"/>
      <c r="AM1900"/>
      <c r="AN1900"/>
      <c r="AO1900"/>
    </row>
    <row r="1901" spans="1:41" ht="15">
      <c r="A1901"/>
      <c r="B1901"/>
      <c r="C1901" s="137"/>
      <c r="D1901" s="30"/>
      <c r="E1901" s="30"/>
      <c r="F1901" s="10"/>
      <c r="G1901" s="10"/>
      <c r="H1901" s="15"/>
      <c r="I1901" s="15"/>
      <c r="J1901" s="15"/>
      <c r="K1901" s="15"/>
      <c r="L1901" s="15"/>
      <c r="M1901" s="15"/>
      <c r="N1901" s="15"/>
      <c r="O1901" s="15"/>
      <c r="P1901" s="15"/>
      <c r="Q1901" s="71"/>
      <c r="R1901" s="84"/>
      <c r="S1901" s="10"/>
      <c r="T1901" s="10"/>
      <c r="U1901" s="10"/>
      <c r="V1901" s="10"/>
      <c r="W1901" s="138"/>
      <c r="Y1901"/>
      <c r="Z1901"/>
      <c r="AA1901"/>
      <c r="AB1901"/>
      <c r="AC1901"/>
      <c r="AD1901"/>
      <c r="AE1901"/>
      <c r="AF1901"/>
      <c r="AG1901"/>
      <c r="AH1901"/>
      <c r="AI1901"/>
      <c r="AJ1901"/>
      <c r="AK1901"/>
      <c r="AL1901"/>
      <c r="AM1901"/>
      <c r="AN1901"/>
      <c r="AO1901"/>
    </row>
    <row r="1902" spans="1:41" ht="15">
      <c r="A1902"/>
      <c r="B1902"/>
      <c r="C1902" s="137"/>
      <c r="D1902" s="30"/>
      <c r="E1902" s="30"/>
      <c r="F1902" s="10"/>
      <c r="G1902" s="10"/>
      <c r="H1902" s="15"/>
      <c r="I1902" s="15"/>
      <c r="J1902" s="15"/>
      <c r="K1902" s="15"/>
      <c r="L1902" s="15"/>
      <c r="M1902" s="15"/>
      <c r="N1902" s="15"/>
      <c r="O1902" s="15"/>
      <c r="P1902" s="15"/>
      <c r="Q1902" s="71"/>
      <c r="R1902" s="84"/>
      <c r="S1902" s="10"/>
      <c r="T1902" s="10"/>
      <c r="U1902" s="10"/>
      <c r="V1902" s="10"/>
      <c r="W1902" s="138"/>
      <c r="Y1902"/>
      <c r="Z1902"/>
      <c r="AA1902"/>
      <c r="AB1902"/>
      <c r="AC1902"/>
      <c r="AD1902"/>
      <c r="AE1902"/>
      <c r="AF1902"/>
      <c r="AG1902"/>
      <c r="AH1902"/>
      <c r="AI1902"/>
      <c r="AJ1902"/>
      <c r="AK1902"/>
      <c r="AL1902"/>
      <c r="AM1902"/>
      <c r="AN1902"/>
      <c r="AO1902"/>
    </row>
    <row r="1903" spans="1:41" ht="15">
      <c r="A1903"/>
      <c r="B1903"/>
      <c r="C1903" s="137"/>
      <c r="D1903" s="30"/>
      <c r="E1903" s="30"/>
      <c r="F1903" s="10"/>
      <c r="G1903" s="10"/>
      <c r="H1903" s="15"/>
      <c r="I1903" s="15"/>
      <c r="J1903" s="15"/>
      <c r="K1903" s="15"/>
      <c r="L1903" s="15"/>
      <c r="M1903" s="15"/>
      <c r="N1903" s="15"/>
      <c r="O1903" s="15"/>
      <c r="P1903" s="15"/>
      <c r="Q1903" s="71"/>
      <c r="R1903" s="84"/>
      <c r="S1903" s="10"/>
      <c r="T1903" s="10"/>
      <c r="U1903" s="10"/>
      <c r="V1903" s="10"/>
      <c r="W1903" s="138"/>
      <c r="Y1903"/>
      <c r="Z1903"/>
      <c r="AA1903"/>
      <c r="AB1903"/>
      <c r="AC1903"/>
      <c r="AD1903"/>
      <c r="AE1903"/>
      <c r="AF1903"/>
      <c r="AG1903"/>
      <c r="AH1903"/>
      <c r="AI1903"/>
      <c r="AJ1903"/>
      <c r="AK1903"/>
      <c r="AL1903"/>
      <c r="AM1903"/>
      <c r="AN1903"/>
      <c r="AO1903"/>
    </row>
    <row r="1904" spans="1:41" ht="15">
      <c r="A1904"/>
      <c r="B1904"/>
      <c r="C1904" s="137"/>
      <c r="D1904" s="30"/>
      <c r="E1904" s="30"/>
      <c r="F1904" s="10"/>
      <c r="G1904" s="10"/>
      <c r="H1904" s="15"/>
      <c r="I1904" s="15"/>
      <c r="J1904" s="15"/>
      <c r="K1904" s="15"/>
      <c r="L1904" s="15"/>
      <c r="M1904" s="15"/>
      <c r="N1904" s="15"/>
      <c r="O1904" s="15"/>
      <c r="P1904" s="15"/>
      <c r="Q1904" s="71"/>
      <c r="R1904" s="84"/>
      <c r="S1904" s="10"/>
      <c r="T1904" s="10"/>
      <c r="U1904" s="10"/>
      <c r="V1904" s="10"/>
      <c r="W1904" s="138"/>
      <c r="Y1904"/>
      <c r="Z1904"/>
      <c r="AA1904"/>
      <c r="AB1904"/>
      <c r="AC1904"/>
      <c r="AD1904"/>
      <c r="AE1904"/>
      <c r="AF1904"/>
      <c r="AG1904"/>
      <c r="AH1904"/>
      <c r="AI1904"/>
      <c r="AJ1904"/>
      <c r="AK1904"/>
      <c r="AL1904"/>
      <c r="AM1904"/>
      <c r="AN1904"/>
      <c r="AO1904"/>
    </row>
    <row r="1905" spans="1:41" ht="15">
      <c r="A1905"/>
      <c r="B1905"/>
      <c r="C1905" s="137"/>
      <c r="D1905" s="30"/>
      <c r="E1905" s="30"/>
      <c r="F1905" s="10"/>
      <c r="G1905" s="10"/>
      <c r="H1905" s="15"/>
      <c r="I1905" s="15"/>
      <c r="J1905" s="15"/>
      <c r="K1905" s="15"/>
      <c r="L1905" s="15"/>
      <c r="M1905" s="15"/>
      <c r="N1905" s="15"/>
      <c r="O1905" s="15"/>
      <c r="P1905" s="15"/>
      <c r="Q1905" s="71"/>
      <c r="R1905" s="84"/>
      <c r="S1905" s="10"/>
      <c r="T1905" s="10"/>
      <c r="U1905" s="10"/>
      <c r="V1905" s="10"/>
      <c r="W1905" s="138"/>
      <c r="Y1905"/>
      <c r="Z1905"/>
      <c r="AA1905"/>
      <c r="AB1905"/>
      <c r="AC1905"/>
      <c r="AD1905"/>
      <c r="AE1905"/>
      <c r="AF1905"/>
      <c r="AG1905"/>
      <c r="AH1905"/>
      <c r="AI1905"/>
      <c r="AJ1905"/>
      <c r="AK1905"/>
      <c r="AL1905"/>
      <c r="AM1905"/>
      <c r="AN1905"/>
      <c r="AO1905"/>
    </row>
    <row r="1906" spans="1:41" ht="15">
      <c r="A1906"/>
      <c r="B1906"/>
      <c r="C1906" s="137"/>
      <c r="D1906" s="30"/>
      <c r="E1906" s="30"/>
      <c r="F1906" s="10"/>
      <c r="G1906" s="10"/>
      <c r="H1906" s="15"/>
      <c r="I1906" s="15"/>
      <c r="J1906" s="15"/>
      <c r="K1906" s="15"/>
      <c r="L1906" s="15"/>
      <c r="M1906" s="15"/>
      <c r="N1906" s="15"/>
      <c r="O1906" s="15"/>
      <c r="P1906" s="15"/>
      <c r="Q1906" s="71"/>
      <c r="R1906" s="84"/>
      <c r="S1906" s="10"/>
      <c r="T1906" s="10"/>
      <c r="U1906" s="10"/>
      <c r="V1906" s="10"/>
      <c r="W1906" s="138"/>
      <c r="Y1906"/>
      <c r="Z1906"/>
      <c r="AA1906"/>
      <c r="AB1906"/>
      <c r="AC1906"/>
      <c r="AD1906"/>
      <c r="AE1906"/>
      <c r="AF1906"/>
      <c r="AG1906"/>
      <c r="AH1906"/>
      <c r="AI1906"/>
      <c r="AJ1906"/>
      <c r="AK1906"/>
      <c r="AL1906"/>
      <c r="AM1906"/>
      <c r="AN1906"/>
      <c r="AO1906"/>
    </row>
    <row r="1907" spans="1:41" ht="15">
      <c r="A1907"/>
      <c r="B1907"/>
      <c r="C1907" s="137"/>
      <c r="D1907" s="30"/>
      <c r="E1907" s="30"/>
      <c r="F1907" s="10"/>
      <c r="G1907" s="10"/>
      <c r="H1907" s="15"/>
      <c r="I1907" s="15"/>
      <c r="J1907" s="15"/>
      <c r="K1907" s="15"/>
      <c r="L1907" s="15"/>
      <c r="M1907" s="15"/>
      <c r="N1907" s="15"/>
      <c r="O1907" s="15"/>
      <c r="P1907" s="15"/>
      <c r="Q1907" s="71"/>
      <c r="R1907" s="84"/>
      <c r="S1907" s="10"/>
      <c r="T1907" s="10"/>
      <c r="U1907" s="10"/>
      <c r="V1907" s="10"/>
      <c r="W1907" s="138"/>
      <c r="Y1907"/>
      <c r="Z1907"/>
      <c r="AA1907"/>
      <c r="AB1907"/>
      <c r="AC1907"/>
      <c r="AD1907"/>
      <c r="AE1907"/>
      <c r="AF1907"/>
      <c r="AG1907"/>
      <c r="AH1907"/>
      <c r="AI1907"/>
      <c r="AJ1907"/>
      <c r="AK1907"/>
      <c r="AL1907"/>
      <c r="AM1907"/>
      <c r="AN1907"/>
      <c r="AO1907"/>
    </row>
    <row r="1908" spans="1:41" ht="15">
      <c r="A1908"/>
      <c r="B1908"/>
      <c r="C1908" s="137"/>
      <c r="D1908" s="30"/>
      <c r="E1908" s="30"/>
      <c r="F1908" s="10"/>
      <c r="G1908" s="10"/>
      <c r="H1908" s="15"/>
      <c r="I1908" s="15"/>
      <c r="J1908" s="15"/>
      <c r="K1908" s="15"/>
      <c r="L1908" s="15"/>
      <c r="M1908" s="15"/>
      <c r="N1908" s="15"/>
      <c r="O1908" s="15"/>
      <c r="P1908" s="15"/>
      <c r="Q1908" s="71"/>
      <c r="R1908" s="84"/>
      <c r="S1908" s="10"/>
      <c r="T1908" s="10"/>
      <c r="U1908" s="10"/>
      <c r="V1908" s="10"/>
      <c r="W1908" s="138"/>
      <c r="Y1908"/>
      <c r="Z1908"/>
      <c r="AA1908"/>
      <c r="AB1908"/>
      <c r="AC1908"/>
      <c r="AD1908"/>
      <c r="AE1908"/>
      <c r="AF1908"/>
      <c r="AG1908"/>
      <c r="AH1908"/>
      <c r="AI1908"/>
      <c r="AJ1908"/>
      <c r="AK1908"/>
      <c r="AL1908"/>
      <c r="AM1908"/>
      <c r="AN1908"/>
      <c r="AO1908"/>
    </row>
    <row r="1909" spans="1:41" ht="15">
      <c r="A1909"/>
      <c r="B1909"/>
      <c r="C1909" s="137"/>
      <c r="D1909" s="30"/>
      <c r="E1909" s="30"/>
      <c r="F1909" s="10"/>
      <c r="G1909" s="10"/>
      <c r="H1909" s="15"/>
      <c r="I1909" s="15"/>
      <c r="J1909" s="15"/>
      <c r="K1909" s="15"/>
      <c r="L1909" s="15"/>
      <c r="M1909" s="15"/>
      <c r="N1909" s="15"/>
      <c r="O1909" s="15"/>
      <c r="P1909" s="15"/>
      <c r="Q1909" s="71"/>
      <c r="R1909" s="84"/>
      <c r="S1909" s="10"/>
      <c r="T1909" s="10"/>
      <c r="U1909" s="10"/>
      <c r="V1909" s="10"/>
      <c r="W1909" s="138"/>
      <c r="Y1909"/>
      <c r="Z1909"/>
      <c r="AA1909"/>
      <c r="AB1909"/>
      <c r="AC1909"/>
      <c r="AD1909"/>
      <c r="AE1909"/>
      <c r="AF1909"/>
      <c r="AG1909"/>
      <c r="AH1909"/>
      <c r="AI1909"/>
      <c r="AJ1909"/>
      <c r="AK1909"/>
      <c r="AL1909"/>
      <c r="AM1909"/>
      <c r="AN1909"/>
      <c r="AO1909"/>
    </row>
    <row r="1910" spans="1:41" ht="15">
      <c r="A1910"/>
      <c r="B1910"/>
      <c r="C1910" s="137"/>
      <c r="D1910" s="30"/>
      <c r="E1910" s="30"/>
      <c r="F1910" s="10"/>
      <c r="G1910" s="10"/>
      <c r="H1910" s="15"/>
      <c r="I1910" s="15"/>
      <c r="J1910" s="15"/>
      <c r="K1910" s="15"/>
      <c r="L1910" s="15"/>
      <c r="M1910" s="15"/>
      <c r="N1910" s="15"/>
      <c r="O1910" s="15"/>
      <c r="P1910" s="15"/>
      <c r="Q1910" s="71"/>
      <c r="R1910" s="84"/>
      <c r="S1910" s="10"/>
      <c r="T1910" s="10"/>
      <c r="U1910" s="10"/>
      <c r="V1910" s="10"/>
      <c r="W1910" s="138"/>
      <c r="Y1910"/>
      <c r="Z1910"/>
      <c r="AA1910"/>
      <c r="AB1910"/>
      <c r="AC1910"/>
      <c r="AD1910"/>
      <c r="AE1910"/>
      <c r="AF1910"/>
      <c r="AG1910"/>
      <c r="AH1910"/>
      <c r="AI1910"/>
      <c r="AJ1910"/>
      <c r="AK1910"/>
      <c r="AL1910"/>
      <c r="AM1910"/>
      <c r="AN1910"/>
      <c r="AO1910"/>
    </row>
    <row r="1911" spans="1:41" ht="15">
      <c r="A1911"/>
      <c r="B1911"/>
      <c r="C1911" s="137"/>
      <c r="D1911" s="30"/>
      <c r="E1911" s="30"/>
      <c r="F1911" s="10"/>
      <c r="G1911" s="10"/>
      <c r="H1911" s="15"/>
      <c r="I1911" s="15"/>
      <c r="J1911" s="15"/>
      <c r="K1911" s="15"/>
      <c r="L1911" s="15"/>
      <c r="M1911" s="15"/>
      <c r="N1911" s="15"/>
      <c r="O1911" s="15"/>
      <c r="P1911" s="15"/>
      <c r="Q1911" s="71"/>
      <c r="R1911" s="84"/>
      <c r="S1911" s="10"/>
      <c r="T1911" s="10"/>
      <c r="U1911" s="10"/>
      <c r="V1911" s="10"/>
      <c r="W1911" s="138"/>
      <c r="Y1911"/>
      <c r="Z1911"/>
      <c r="AA1911"/>
      <c r="AB1911"/>
      <c r="AC1911"/>
      <c r="AD1911"/>
      <c r="AE1911"/>
      <c r="AF1911"/>
      <c r="AG1911"/>
      <c r="AH1911"/>
      <c r="AI1911"/>
      <c r="AJ1911"/>
      <c r="AK1911"/>
      <c r="AL1911"/>
      <c r="AM1911"/>
      <c r="AN1911"/>
      <c r="AO1911"/>
    </row>
    <row r="1912" spans="1:41" ht="15">
      <c r="A1912"/>
      <c r="B1912"/>
      <c r="C1912" s="137"/>
      <c r="D1912" s="30"/>
      <c r="E1912" s="30"/>
      <c r="F1912" s="10"/>
      <c r="G1912" s="10"/>
      <c r="H1912" s="15"/>
      <c r="I1912" s="15"/>
      <c r="J1912" s="15"/>
      <c r="K1912" s="15"/>
      <c r="L1912" s="15"/>
      <c r="M1912" s="15"/>
      <c r="N1912" s="15"/>
      <c r="O1912" s="15"/>
      <c r="P1912" s="15"/>
      <c r="Q1912" s="71"/>
      <c r="R1912" s="84"/>
      <c r="S1912" s="10"/>
      <c r="T1912" s="10"/>
      <c r="U1912" s="10"/>
      <c r="V1912" s="10"/>
      <c r="W1912" s="138"/>
      <c r="Y1912"/>
      <c r="Z1912"/>
      <c r="AA1912"/>
      <c r="AB1912"/>
      <c r="AC1912"/>
      <c r="AD1912"/>
      <c r="AE1912"/>
      <c r="AF1912"/>
      <c r="AG1912"/>
      <c r="AH1912"/>
      <c r="AI1912"/>
      <c r="AJ1912"/>
      <c r="AK1912"/>
      <c r="AL1912"/>
      <c r="AM1912"/>
      <c r="AN1912"/>
      <c r="AO1912"/>
    </row>
    <row r="1913" spans="1:41" ht="15">
      <c r="A1913"/>
      <c r="B1913"/>
      <c r="C1913" s="137"/>
      <c r="D1913" s="30"/>
      <c r="E1913" s="30"/>
      <c r="F1913" s="10"/>
      <c r="G1913" s="10"/>
      <c r="H1913" s="15"/>
      <c r="I1913" s="15"/>
      <c r="J1913" s="15"/>
      <c r="K1913" s="15"/>
      <c r="L1913" s="15"/>
      <c r="M1913" s="15"/>
      <c r="N1913" s="15"/>
      <c r="O1913" s="15"/>
      <c r="P1913" s="15"/>
      <c r="Q1913" s="71"/>
      <c r="R1913" s="84"/>
      <c r="S1913" s="10"/>
      <c r="T1913" s="10"/>
      <c r="U1913" s="10"/>
      <c r="V1913" s="10"/>
      <c r="W1913" s="138"/>
      <c r="Y1913"/>
      <c r="Z1913"/>
      <c r="AA1913"/>
      <c r="AB1913"/>
      <c r="AC1913"/>
      <c r="AD1913"/>
      <c r="AE1913"/>
      <c r="AF1913"/>
      <c r="AG1913"/>
      <c r="AH1913"/>
      <c r="AI1913"/>
      <c r="AJ1913"/>
      <c r="AK1913"/>
      <c r="AL1913"/>
      <c r="AM1913"/>
      <c r="AN1913"/>
      <c r="AO1913"/>
    </row>
    <row r="1914" spans="1:41" ht="15">
      <c r="A1914"/>
      <c r="B1914"/>
      <c r="C1914" s="137"/>
      <c r="D1914" s="30"/>
      <c r="E1914" s="30"/>
      <c r="F1914" s="10"/>
      <c r="G1914" s="10"/>
      <c r="H1914" s="15"/>
      <c r="I1914" s="15"/>
      <c r="J1914" s="15"/>
      <c r="K1914" s="15"/>
      <c r="L1914" s="15"/>
      <c r="M1914" s="15"/>
      <c r="N1914" s="15"/>
      <c r="O1914" s="15"/>
      <c r="P1914" s="15"/>
      <c r="Q1914" s="71"/>
      <c r="R1914" s="84"/>
      <c r="S1914" s="10"/>
      <c r="T1914" s="10"/>
      <c r="U1914" s="10"/>
      <c r="V1914" s="10"/>
      <c r="W1914" s="138"/>
      <c r="Y1914"/>
      <c r="Z1914"/>
      <c r="AA1914"/>
      <c r="AB1914"/>
      <c r="AC1914"/>
      <c r="AD1914"/>
      <c r="AE1914"/>
      <c r="AF1914"/>
      <c r="AG1914"/>
      <c r="AH1914"/>
      <c r="AI1914"/>
      <c r="AJ1914"/>
      <c r="AK1914"/>
      <c r="AL1914"/>
      <c r="AM1914"/>
      <c r="AN1914"/>
      <c r="AO1914"/>
    </row>
    <row r="1915" spans="1:41" ht="15">
      <c r="A1915"/>
      <c r="B1915"/>
      <c r="C1915" s="137"/>
      <c r="D1915" s="30"/>
      <c r="E1915" s="30"/>
      <c r="F1915" s="10"/>
      <c r="G1915" s="10"/>
      <c r="H1915" s="15"/>
      <c r="I1915" s="15"/>
      <c r="J1915" s="15"/>
      <c r="K1915" s="15"/>
      <c r="L1915" s="15"/>
      <c r="M1915" s="15"/>
      <c r="N1915" s="15"/>
      <c r="O1915" s="15"/>
      <c r="P1915" s="15"/>
      <c r="Q1915" s="71"/>
      <c r="R1915" s="84"/>
      <c r="S1915" s="10"/>
      <c r="T1915" s="10"/>
      <c r="U1915" s="10"/>
      <c r="V1915" s="10"/>
      <c r="W1915" s="138"/>
      <c r="Y1915"/>
      <c r="Z1915"/>
      <c r="AA1915"/>
      <c r="AB1915"/>
      <c r="AC1915"/>
      <c r="AD1915"/>
      <c r="AE1915"/>
      <c r="AF1915"/>
      <c r="AG1915"/>
      <c r="AH1915"/>
      <c r="AI1915"/>
      <c r="AJ1915"/>
      <c r="AK1915"/>
      <c r="AL1915"/>
      <c r="AM1915"/>
      <c r="AN1915"/>
      <c r="AO1915"/>
    </row>
    <row r="1916" spans="1:41" ht="15">
      <c r="A1916"/>
      <c r="B1916"/>
      <c r="C1916" s="137"/>
      <c r="D1916" s="30"/>
      <c r="E1916" s="30"/>
      <c r="F1916" s="10"/>
      <c r="G1916" s="10"/>
      <c r="H1916" s="15"/>
      <c r="I1916" s="15"/>
      <c r="J1916" s="15"/>
      <c r="K1916" s="15"/>
      <c r="L1916" s="15"/>
      <c r="M1916" s="15"/>
      <c r="N1916" s="15"/>
      <c r="O1916" s="15"/>
      <c r="P1916" s="15"/>
      <c r="Q1916" s="71"/>
      <c r="R1916" s="84"/>
      <c r="S1916" s="10"/>
      <c r="T1916" s="10"/>
      <c r="U1916" s="10"/>
      <c r="V1916" s="10"/>
      <c r="W1916" s="138"/>
      <c r="Y1916"/>
      <c r="Z1916"/>
      <c r="AA1916"/>
      <c r="AB1916"/>
      <c r="AC1916"/>
      <c r="AD1916"/>
      <c r="AE1916"/>
      <c r="AF1916"/>
      <c r="AG1916"/>
      <c r="AH1916"/>
      <c r="AI1916"/>
      <c r="AJ1916"/>
      <c r="AK1916"/>
      <c r="AL1916"/>
      <c r="AM1916"/>
      <c r="AN1916"/>
      <c r="AO1916"/>
    </row>
    <row r="1917" spans="1:41" ht="15">
      <c r="A1917"/>
      <c r="B1917"/>
      <c r="C1917" s="137"/>
      <c r="D1917" s="30"/>
      <c r="E1917" s="30"/>
      <c r="F1917" s="10"/>
      <c r="G1917" s="10"/>
      <c r="H1917" s="15"/>
      <c r="I1917" s="15"/>
      <c r="J1917" s="15"/>
      <c r="K1917" s="15"/>
      <c r="L1917" s="15"/>
      <c r="M1917" s="15"/>
      <c r="N1917" s="15"/>
      <c r="O1917" s="15"/>
      <c r="P1917" s="15"/>
      <c r="Q1917" s="71"/>
      <c r="R1917" s="84"/>
      <c r="S1917" s="10"/>
      <c r="T1917" s="10"/>
      <c r="U1917" s="10"/>
      <c r="V1917" s="10"/>
      <c r="W1917" s="138"/>
      <c r="Y1917"/>
      <c r="Z1917"/>
      <c r="AA1917"/>
      <c r="AB1917"/>
      <c r="AC1917"/>
      <c r="AD1917"/>
      <c r="AE1917"/>
      <c r="AF1917"/>
      <c r="AG1917"/>
      <c r="AH1917"/>
      <c r="AI1917"/>
      <c r="AJ1917"/>
      <c r="AK1917"/>
      <c r="AL1917"/>
      <c r="AM1917"/>
      <c r="AN1917"/>
      <c r="AO1917"/>
    </row>
    <row r="1918" spans="1:41" ht="15">
      <c r="A1918"/>
      <c r="B1918"/>
      <c r="C1918" s="137"/>
      <c r="D1918" s="30"/>
      <c r="E1918" s="30"/>
      <c r="F1918" s="10"/>
      <c r="G1918" s="10"/>
      <c r="H1918" s="15"/>
      <c r="I1918" s="15"/>
      <c r="J1918" s="15"/>
      <c r="K1918" s="15"/>
      <c r="L1918" s="15"/>
      <c r="M1918" s="15"/>
      <c r="N1918" s="15"/>
      <c r="O1918" s="15"/>
      <c r="P1918" s="15"/>
      <c r="Q1918" s="71"/>
      <c r="R1918" s="84"/>
      <c r="S1918" s="10"/>
      <c r="T1918" s="10"/>
      <c r="U1918" s="10"/>
      <c r="V1918" s="10"/>
      <c r="W1918" s="138"/>
      <c r="Y1918"/>
      <c r="Z1918"/>
      <c r="AA1918"/>
      <c r="AB1918"/>
      <c r="AC1918"/>
      <c r="AD1918"/>
      <c r="AE1918"/>
      <c r="AF1918"/>
      <c r="AG1918"/>
      <c r="AH1918"/>
      <c r="AI1918"/>
      <c r="AJ1918"/>
      <c r="AK1918"/>
      <c r="AL1918"/>
      <c r="AM1918"/>
      <c r="AN1918"/>
      <c r="AO1918"/>
    </row>
    <row r="1919" spans="1:41" ht="15">
      <c r="A1919"/>
      <c r="B1919"/>
      <c r="C1919" s="137"/>
      <c r="D1919" s="30"/>
      <c r="E1919" s="30"/>
      <c r="F1919" s="10"/>
      <c r="G1919" s="10"/>
      <c r="H1919" s="15"/>
      <c r="I1919" s="15"/>
      <c r="J1919" s="15"/>
      <c r="K1919" s="15"/>
      <c r="L1919" s="15"/>
      <c r="M1919" s="15"/>
      <c r="N1919" s="15"/>
      <c r="O1919" s="15"/>
      <c r="P1919" s="15"/>
      <c r="Q1919" s="71"/>
      <c r="R1919" s="84"/>
      <c r="S1919" s="10"/>
      <c r="T1919" s="10"/>
      <c r="U1919" s="10"/>
      <c r="V1919" s="10"/>
      <c r="W1919" s="138"/>
      <c r="Y1919"/>
      <c r="Z1919"/>
      <c r="AA1919"/>
      <c r="AB1919"/>
      <c r="AC1919"/>
      <c r="AD1919"/>
      <c r="AE1919"/>
      <c r="AF1919"/>
      <c r="AG1919"/>
      <c r="AH1919"/>
      <c r="AI1919"/>
      <c r="AJ1919"/>
      <c r="AK1919"/>
      <c r="AL1919"/>
      <c r="AM1919"/>
      <c r="AN1919"/>
      <c r="AO1919"/>
    </row>
    <row r="1920" spans="1:41" ht="15">
      <c r="A1920"/>
      <c r="B1920"/>
      <c r="C1920" s="137"/>
      <c r="D1920" s="30"/>
      <c r="E1920" s="30"/>
      <c r="F1920" s="10"/>
      <c r="G1920" s="10"/>
      <c r="H1920" s="15"/>
      <c r="I1920" s="15"/>
      <c r="J1920" s="15"/>
      <c r="K1920" s="15"/>
      <c r="L1920" s="15"/>
      <c r="M1920" s="15"/>
      <c r="N1920" s="15"/>
      <c r="O1920" s="15"/>
      <c r="P1920" s="15"/>
      <c r="Q1920" s="71"/>
      <c r="R1920" s="84"/>
      <c r="S1920" s="10"/>
      <c r="T1920" s="10"/>
      <c r="U1920" s="10"/>
      <c r="V1920" s="10"/>
      <c r="W1920" s="138"/>
      <c r="Y1920"/>
      <c r="Z1920"/>
      <c r="AA1920"/>
      <c r="AB1920"/>
      <c r="AC1920"/>
      <c r="AD1920"/>
      <c r="AE1920"/>
      <c r="AF1920"/>
      <c r="AG1920"/>
      <c r="AH1920"/>
      <c r="AI1920"/>
      <c r="AJ1920"/>
      <c r="AK1920"/>
      <c r="AL1920"/>
      <c r="AM1920"/>
      <c r="AN1920"/>
      <c r="AO1920"/>
    </row>
    <row r="1921" spans="1:41" ht="15">
      <c r="A1921"/>
      <c r="B1921"/>
      <c r="C1921" s="137"/>
      <c r="D1921" s="30"/>
      <c r="E1921" s="30"/>
      <c r="F1921" s="10"/>
      <c r="G1921" s="10"/>
      <c r="H1921" s="15"/>
      <c r="I1921" s="15"/>
      <c r="J1921" s="15"/>
      <c r="K1921" s="15"/>
      <c r="L1921" s="15"/>
      <c r="M1921" s="15"/>
      <c r="N1921" s="15"/>
      <c r="O1921" s="15"/>
      <c r="P1921" s="15"/>
      <c r="Q1921" s="71"/>
      <c r="R1921" s="84"/>
      <c r="S1921" s="10"/>
      <c r="T1921" s="10"/>
      <c r="U1921" s="10"/>
      <c r="V1921" s="10"/>
      <c r="W1921" s="138"/>
      <c r="Y1921"/>
      <c r="Z1921"/>
      <c r="AA1921"/>
      <c r="AB1921"/>
      <c r="AC1921"/>
      <c r="AD1921"/>
      <c r="AE1921"/>
      <c r="AF1921"/>
      <c r="AG1921"/>
      <c r="AH1921"/>
      <c r="AI1921"/>
      <c r="AJ1921"/>
      <c r="AK1921"/>
      <c r="AL1921"/>
      <c r="AM1921"/>
      <c r="AN1921"/>
      <c r="AO1921"/>
    </row>
    <row r="1922" spans="1:41" ht="15">
      <c r="A1922"/>
      <c r="B1922"/>
      <c r="C1922" s="137"/>
      <c r="D1922" s="30"/>
      <c r="E1922" s="30"/>
      <c r="F1922" s="10"/>
      <c r="G1922" s="10"/>
      <c r="H1922" s="15"/>
      <c r="I1922" s="15"/>
      <c r="J1922" s="15"/>
      <c r="K1922" s="15"/>
      <c r="L1922" s="15"/>
      <c r="M1922" s="15"/>
      <c r="N1922" s="15"/>
      <c r="O1922" s="15"/>
      <c r="P1922" s="15"/>
      <c r="Q1922" s="71"/>
      <c r="R1922" s="84"/>
      <c r="S1922" s="10"/>
      <c r="T1922" s="10"/>
      <c r="U1922" s="10"/>
      <c r="V1922" s="10"/>
      <c r="W1922" s="138"/>
      <c r="Y1922"/>
      <c r="Z1922"/>
      <c r="AA1922"/>
      <c r="AB1922"/>
      <c r="AC1922"/>
      <c r="AD1922"/>
      <c r="AE1922"/>
      <c r="AF1922"/>
      <c r="AG1922"/>
      <c r="AH1922"/>
      <c r="AI1922"/>
      <c r="AJ1922"/>
      <c r="AK1922"/>
      <c r="AL1922"/>
      <c r="AM1922"/>
      <c r="AN1922"/>
      <c r="AO1922"/>
    </row>
    <row r="1923" spans="1:41" ht="15">
      <c r="A1923"/>
      <c r="B1923"/>
      <c r="C1923" s="137"/>
      <c r="D1923" s="30"/>
      <c r="E1923" s="30"/>
      <c r="F1923" s="10"/>
      <c r="G1923" s="10"/>
      <c r="H1923" s="15"/>
      <c r="I1923" s="15"/>
      <c r="J1923" s="15"/>
      <c r="K1923" s="15"/>
      <c r="L1923" s="15"/>
      <c r="M1923" s="15"/>
      <c r="N1923" s="15"/>
      <c r="O1923" s="15"/>
      <c r="P1923" s="15"/>
      <c r="Q1923" s="71"/>
      <c r="R1923" s="84"/>
      <c r="S1923" s="10"/>
      <c r="T1923" s="10"/>
      <c r="U1923" s="10"/>
      <c r="V1923" s="10"/>
      <c r="W1923" s="138"/>
      <c r="Y1923"/>
      <c r="Z1923"/>
      <c r="AA1923"/>
      <c r="AB1923"/>
      <c r="AC1923"/>
      <c r="AD1923"/>
      <c r="AE1923"/>
      <c r="AF1923"/>
      <c r="AG1923"/>
      <c r="AH1923"/>
      <c r="AI1923"/>
      <c r="AJ1923"/>
      <c r="AK1923"/>
      <c r="AL1923"/>
      <c r="AM1923"/>
      <c r="AN1923"/>
      <c r="AO1923"/>
    </row>
    <row r="1924" spans="1:41" ht="15">
      <c r="A1924"/>
      <c r="B1924"/>
      <c r="C1924" s="137"/>
      <c r="D1924" s="30"/>
      <c r="E1924" s="30"/>
      <c r="F1924" s="10"/>
      <c r="G1924" s="10"/>
      <c r="H1924" s="15"/>
      <c r="I1924" s="15"/>
      <c r="J1924" s="15"/>
      <c r="K1924" s="15"/>
      <c r="L1924" s="15"/>
      <c r="M1924" s="15"/>
      <c r="N1924" s="15"/>
      <c r="O1924" s="15"/>
      <c r="P1924" s="15"/>
      <c r="Q1924" s="71"/>
      <c r="R1924" s="84"/>
      <c r="S1924" s="10"/>
      <c r="T1924" s="10"/>
      <c r="U1924" s="10"/>
      <c r="V1924" s="10"/>
      <c r="W1924" s="138"/>
      <c r="Y1924"/>
      <c r="Z1924"/>
      <c r="AA1924"/>
      <c r="AB1924"/>
      <c r="AC1924"/>
      <c r="AD1924"/>
      <c r="AE1924"/>
      <c r="AF1924"/>
      <c r="AG1924"/>
      <c r="AH1924"/>
      <c r="AI1924"/>
      <c r="AJ1924"/>
      <c r="AK1924"/>
      <c r="AL1924"/>
      <c r="AM1924"/>
      <c r="AN1924"/>
      <c r="AO1924"/>
    </row>
    <row r="1925" spans="1:41" ht="15">
      <c r="A1925"/>
      <c r="B1925"/>
      <c r="C1925" s="137"/>
      <c r="D1925" s="30"/>
      <c r="E1925" s="30"/>
      <c r="F1925" s="10"/>
      <c r="G1925" s="10"/>
      <c r="H1925" s="15"/>
      <c r="I1925" s="15"/>
      <c r="J1925" s="15"/>
      <c r="K1925" s="15"/>
      <c r="L1925" s="15"/>
      <c r="M1925" s="15"/>
      <c r="N1925" s="15"/>
      <c r="O1925" s="15"/>
      <c r="P1925" s="15"/>
      <c r="Q1925" s="71"/>
      <c r="R1925" s="84"/>
      <c r="S1925" s="10"/>
      <c r="T1925" s="10"/>
      <c r="U1925" s="10"/>
      <c r="V1925" s="10"/>
      <c r="W1925" s="138"/>
      <c r="Y1925"/>
      <c r="Z1925"/>
      <c r="AA1925"/>
      <c r="AB1925"/>
      <c r="AC1925"/>
      <c r="AD1925"/>
      <c r="AE1925"/>
      <c r="AF1925"/>
      <c r="AG1925"/>
      <c r="AH1925"/>
      <c r="AI1925"/>
      <c r="AJ1925"/>
      <c r="AK1925"/>
      <c r="AL1925"/>
      <c r="AM1925"/>
      <c r="AN1925"/>
      <c r="AO1925"/>
    </row>
    <row r="1926" spans="1:41" ht="15">
      <c r="A1926"/>
      <c r="B1926"/>
      <c r="C1926" s="137"/>
      <c r="D1926" s="30"/>
      <c r="E1926" s="30"/>
      <c r="F1926" s="10"/>
      <c r="G1926" s="10"/>
      <c r="H1926" s="15"/>
      <c r="I1926" s="15"/>
      <c r="J1926" s="15"/>
      <c r="K1926" s="15"/>
      <c r="L1926" s="15"/>
      <c r="M1926" s="15"/>
      <c r="N1926" s="15"/>
      <c r="O1926" s="15"/>
      <c r="P1926" s="15"/>
      <c r="Q1926" s="71"/>
      <c r="R1926" s="84"/>
      <c r="S1926" s="10"/>
      <c r="T1926" s="10"/>
      <c r="U1926" s="10"/>
      <c r="V1926" s="10"/>
      <c r="W1926" s="138"/>
      <c r="Y1926"/>
      <c r="Z1926"/>
      <c r="AA1926"/>
      <c r="AB1926"/>
      <c r="AC1926"/>
      <c r="AD1926"/>
      <c r="AE1926"/>
      <c r="AF1926"/>
      <c r="AG1926"/>
      <c r="AH1926"/>
      <c r="AI1926"/>
      <c r="AJ1926"/>
      <c r="AK1926"/>
      <c r="AL1926"/>
      <c r="AM1926"/>
      <c r="AN1926"/>
      <c r="AO1926"/>
    </row>
    <row r="1927" spans="1:41" ht="15">
      <c r="A1927"/>
      <c r="B1927"/>
      <c r="C1927" s="137"/>
      <c r="D1927" s="30"/>
      <c r="E1927" s="30"/>
      <c r="F1927" s="10"/>
      <c r="G1927" s="10"/>
      <c r="H1927" s="15"/>
      <c r="I1927" s="15"/>
      <c r="J1927" s="15"/>
      <c r="K1927" s="15"/>
      <c r="L1927" s="15"/>
      <c r="M1927" s="15"/>
      <c r="N1927" s="15"/>
      <c r="O1927" s="15"/>
      <c r="P1927" s="15"/>
      <c r="Q1927" s="71"/>
      <c r="R1927" s="84"/>
      <c r="S1927" s="10"/>
      <c r="T1927" s="10"/>
      <c r="U1927" s="10"/>
      <c r="V1927" s="10"/>
      <c r="W1927" s="138"/>
      <c r="Y1927"/>
      <c r="Z1927"/>
      <c r="AA1927"/>
      <c r="AB1927"/>
      <c r="AC1927"/>
      <c r="AD1927"/>
      <c r="AE1927"/>
      <c r="AF1927"/>
      <c r="AG1927"/>
      <c r="AH1927"/>
      <c r="AI1927"/>
      <c r="AJ1927"/>
      <c r="AK1927"/>
      <c r="AL1927"/>
      <c r="AM1927"/>
      <c r="AN1927"/>
      <c r="AO1927"/>
    </row>
    <row r="1928" spans="1:41" ht="15">
      <c r="A1928"/>
      <c r="B1928"/>
      <c r="C1928" s="137"/>
      <c r="D1928" s="30"/>
      <c r="E1928" s="30"/>
      <c r="F1928" s="10"/>
      <c r="G1928" s="10"/>
      <c r="H1928" s="15"/>
      <c r="I1928" s="15"/>
      <c r="J1928" s="15"/>
      <c r="K1928" s="15"/>
      <c r="L1928" s="15"/>
      <c r="M1928" s="15"/>
      <c r="N1928" s="15"/>
      <c r="O1928" s="15"/>
      <c r="P1928" s="15"/>
      <c r="Q1928" s="71"/>
      <c r="R1928" s="84"/>
      <c r="S1928" s="10"/>
      <c r="T1928" s="10"/>
      <c r="U1928" s="10"/>
      <c r="V1928" s="10"/>
      <c r="W1928" s="138"/>
      <c r="Y1928"/>
      <c r="Z1928"/>
      <c r="AA1928"/>
      <c r="AB1928"/>
      <c r="AC1928"/>
      <c r="AD1928"/>
      <c r="AE1928"/>
      <c r="AF1928"/>
      <c r="AG1928"/>
      <c r="AH1928"/>
      <c r="AI1928"/>
      <c r="AJ1928"/>
      <c r="AK1928"/>
      <c r="AL1928"/>
      <c r="AM1928"/>
      <c r="AN1928"/>
      <c r="AO1928"/>
    </row>
    <row r="1929" spans="1:41" ht="15">
      <c r="A1929"/>
      <c r="B1929"/>
      <c r="C1929" s="137"/>
      <c r="D1929" s="30"/>
      <c r="E1929" s="30"/>
      <c r="F1929" s="10"/>
      <c r="G1929" s="10"/>
      <c r="H1929" s="15"/>
      <c r="I1929" s="15"/>
      <c r="J1929" s="15"/>
      <c r="K1929" s="15"/>
      <c r="L1929" s="15"/>
      <c r="M1929" s="15"/>
      <c r="N1929" s="15"/>
      <c r="O1929" s="15"/>
      <c r="P1929" s="15"/>
      <c r="Q1929" s="71"/>
      <c r="R1929" s="84"/>
      <c r="S1929" s="10"/>
      <c r="T1929" s="10"/>
      <c r="U1929" s="10"/>
      <c r="V1929" s="10"/>
      <c r="W1929" s="138"/>
      <c r="Y1929"/>
      <c r="Z1929"/>
      <c r="AA1929"/>
      <c r="AB1929"/>
      <c r="AC1929"/>
      <c r="AD1929"/>
      <c r="AE1929"/>
      <c r="AF1929"/>
      <c r="AG1929"/>
      <c r="AH1929"/>
      <c r="AI1929"/>
      <c r="AJ1929"/>
      <c r="AK1929"/>
      <c r="AL1929"/>
      <c r="AM1929"/>
      <c r="AN1929"/>
      <c r="AO1929"/>
    </row>
    <row r="1930" spans="1:41" ht="15">
      <c r="A1930"/>
      <c r="B1930"/>
      <c r="C1930" s="137"/>
      <c r="D1930" s="30"/>
      <c r="E1930" s="30"/>
      <c r="F1930" s="10"/>
      <c r="G1930" s="10"/>
      <c r="H1930" s="15"/>
      <c r="I1930" s="15"/>
      <c r="J1930" s="15"/>
      <c r="K1930" s="15"/>
      <c r="L1930" s="15"/>
      <c r="M1930" s="15"/>
      <c r="N1930" s="15"/>
      <c r="O1930" s="15"/>
      <c r="P1930" s="15"/>
      <c r="Q1930" s="71"/>
      <c r="R1930" s="84"/>
      <c r="S1930" s="10"/>
      <c r="T1930" s="10"/>
      <c r="U1930" s="10"/>
      <c r="V1930" s="10"/>
      <c r="W1930" s="138"/>
      <c r="Y1930"/>
      <c r="Z1930"/>
      <c r="AA1930"/>
      <c r="AB1930"/>
      <c r="AC1930"/>
      <c r="AD1930"/>
      <c r="AE1930"/>
      <c r="AF1930"/>
      <c r="AG1930"/>
      <c r="AH1930"/>
      <c r="AI1930"/>
      <c r="AJ1930"/>
      <c r="AK1930"/>
      <c r="AL1930"/>
      <c r="AM1930"/>
      <c r="AN1930"/>
      <c r="AO1930"/>
    </row>
    <row r="1931" spans="1:41" ht="15">
      <c r="A1931"/>
      <c r="B1931"/>
      <c r="C1931" s="137"/>
      <c r="D1931" s="30"/>
      <c r="E1931" s="30"/>
      <c r="F1931" s="10"/>
      <c r="G1931" s="10"/>
      <c r="H1931" s="15"/>
      <c r="I1931" s="15"/>
      <c r="J1931" s="15"/>
      <c r="K1931" s="15"/>
      <c r="L1931" s="15"/>
      <c r="M1931" s="15"/>
      <c r="N1931" s="15"/>
      <c r="O1931" s="15"/>
      <c r="P1931" s="15"/>
      <c r="Q1931" s="71"/>
      <c r="R1931" s="84"/>
      <c r="S1931" s="10"/>
      <c r="T1931" s="10"/>
      <c r="U1931" s="10"/>
      <c r="V1931" s="10"/>
      <c r="W1931" s="138"/>
      <c r="Y1931"/>
      <c r="Z1931"/>
      <c r="AA1931"/>
      <c r="AB1931"/>
      <c r="AC1931"/>
      <c r="AD1931"/>
      <c r="AE1931"/>
      <c r="AF1931"/>
      <c r="AG1931"/>
      <c r="AH1931"/>
      <c r="AI1931"/>
      <c r="AJ1931"/>
      <c r="AK1931"/>
      <c r="AL1931"/>
      <c r="AM1931"/>
      <c r="AN1931"/>
      <c r="AO1931"/>
    </row>
    <row r="1932" spans="1:41" ht="15">
      <c r="A1932"/>
      <c r="B1932"/>
      <c r="C1932" s="137"/>
      <c r="D1932" s="30"/>
      <c r="E1932" s="30"/>
      <c r="F1932" s="10"/>
      <c r="G1932" s="10"/>
      <c r="H1932" s="15"/>
      <c r="I1932" s="15"/>
      <c r="J1932" s="15"/>
      <c r="K1932" s="15"/>
      <c r="L1932" s="15"/>
      <c r="M1932" s="15"/>
      <c r="N1932" s="15"/>
      <c r="O1932" s="15"/>
      <c r="P1932" s="15"/>
      <c r="Q1932" s="71"/>
      <c r="R1932" s="84"/>
      <c r="S1932" s="10"/>
      <c r="T1932" s="10"/>
      <c r="U1932" s="10"/>
      <c r="V1932" s="10"/>
      <c r="W1932" s="138"/>
      <c r="Y1932"/>
      <c r="Z1932"/>
      <c r="AA1932"/>
      <c r="AB1932"/>
      <c r="AC1932"/>
      <c r="AD1932"/>
      <c r="AE1932"/>
      <c r="AF1932"/>
      <c r="AG1932"/>
      <c r="AH1932"/>
      <c r="AI1932"/>
      <c r="AJ1932"/>
      <c r="AK1932"/>
      <c r="AL1932"/>
      <c r="AM1932"/>
      <c r="AN1932"/>
      <c r="AO1932"/>
    </row>
    <row r="1933" spans="1:41" ht="15">
      <c r="A1933"/>
      <c r="B1933"/>
      <c r="C1933" s="137"/>
      <c r="D1933" s="30"/>
      <c r="E1933" s="30"/>
      <c r="F1933" s="10"/>
      <c r="G1933" s="10"/>
      <c r="H1933" s="15"/>
      <c r="I1933" s="15"/>
      <c r="J1933" s="15"/>
      <c r="K1933" s="15"/>
      <c r="L1933" s="15"/>
      <c r="M1933" s="15"/>
      <c r="N1933" s="15"/>
      <c r="O1933" s="15"/>
      <c r="P1933" s="15"/>
      <c r="Q1933" s="71"/>
      <c r="R1933" s="84"/>
      <c r="S1933" s="10"/>
      <c r="T1933" s="10"/>
      <c r="U1933" s="10"/>
      <c r="V1933" s="10"/>
      <c r="W1933" s="138"/>
      <c r="Y1933"/>
      <c r="Z1933"/>
      <c r="AA1933"/>
      <c r="AB1933"/>
      <c r="AC1933"/>
      <c r="AD1933"/>
      <c r="AE1933"/>
      <c r="AF1933"/>
      <c r="AG1933"/>
      <c r="AH1933"/>
      <c r="AI1933"/>
      <c r="AJ1933"/>
      <c r="AK1933"/>
      <c r="AL1933"/>
      <c r="AM1933"/>
      <c r="AN1933"/>
      <c r="AO1933"/>
    </row>
    <row r="1934" spans="1:41" ht="15">
      <c r="A1934"/>
      <c r="B1934"/>
      <c r="C1934" s="137"/>
      <c r="D1934" s="30"/>
      <c r="E1934" s="30"/>
      <c r="F1934" s="10"/>
      <c r="G1934" s="10"/>
      <c r="H1934" s="15"/>
      <c r="I1934" s="15"/>
      <c r="J1934" s="15"/>
      <c r="K1934" s="15"/>
      <c r="L1934" s="15"/>
      <c r="M1934" s="15"/>
      <c r="N1934" s="15"/>
      <c r="O1934" s="15"/>
      <c r="P1934" s="15"/>
      <c r="Q1934" s="71"/>
      <c r="R1934" s="84"/>
      <c r="S1934" s="10"/>
      <c r="T1934" s="10"/>
      <c r="U1934" s="10"/>
      <c r="V1934" s="10"/>
      <c r="W1934" s="138"/>
      <c r="Y1934"/>
      <c r="Z1934"/>
      <c r="AA1934"/>
      <c r="AB1934"/>
      <c r="AC1934"/>
      <c r="AD1934"/>
      <c r="AE1934"/>
      <c r="AF1934"/>
      <c r="AG1934"/>
      <c r="AH1934"/>
      <c r="AI1934"/>
      <c r="AJ1934"/>
      <c r="AK1934"/>
      <c r="AL1934"/>
      <c r="AM1934"/>
      <c r="AN1934"/>
      <c r="AO1934"/>
    </row>
    <row r="1935" spans="1:41" ht="15">
      <c r="A1935"/>
      <c r="B1935"/>
      <c r="C1935" s="137"/>
      <c r="D1935" s="30"/>
      <c r="E1935" s="30"/>
      <c r="F1935" s="10"/>
      <c r="G1935" s="10"/>
      <c r="H1935" s="15"/>
      <c r="I1935" s="15"/>
      <c r="J1935" s="15"/>
      <c r="K1935" s="15"/>
      <c r="L1935" s="15"/>
      <c r="M1935" s="15"/>
      <c r="N1935" s="15"/>
      <c r="O1935" s="15"/>
      <c r="P1935" s="15"/>
      <c r="Q1935" s="71"/>
      <c r="R1935" s="84"/>
      <c r="S1935" s="10"/>
      <c r="T1935" s="10"/>
      <c r="U1935" s="10"/>
      <c r="V1935" s="10"/>
      <c r="W1935" s="138"/>
      <c r="Y1935"/>
      <c r="Z1935"/>
      <c r="AA1935"/>
      <c r="AB1935"/>
      <c r="AC1935"/>
      <c r="AD1935"/>
      <c r="AE1935"/>
      <c r="AF1935"/>
      <c r="AG1935"/>
      <c r="AH1935"/>
      <c r="AI1935"/>
      <c r="AJ1935"/>
      <c r="AK1935"/>
      <c r="AL1935"/>
      <c r="AM1935"/>
      <c r="AN1935"/>
      <c r="AO1935"/>
    </row>
    <row r="1936" spans="1:41" ht="15">
      <c r="A1936"/>
      <c r="B1936"/>
      <c r="C1936" s="137"/>
      <c r="D1936" s="30"/>
      <c r="E1936" s="30"/>
      <c r="F1936" s="10"/>
      <c r="G1936" s="10"/>
      <c r="H1936" s="15"/>
      <c r="I1936" s="15"/>
      <c r="J1936" s="15"/>
      <c r="K1936" s="15"/>
      <c r="L1936" s="15"/>
      <c r="M1936" s="15"/>
      <c r="N1936" s="15"/>
      <c r="O1936" s="15"/>
      <c r="P1936" s="15"/>
      <c r="Q1936" s="71"/>
      <c r="R1936" s="84"/>
      <c r="S1936" s="10"/>
      <c r="T1936" s="10"/>
      <c r="U1936" s="10"/>
      <c r="V1936" s="10"/>
      <c r="W1936" s="138"/>
      <c r="Y1936"/>
      <c r="Z1936"/>
      <c r="AA1936"/>
      <c r="AB1936"/>
      <c r="AC1936"/>
      <c r="AD1936"/>
      <c r="AE1936"/>
      <c r="AF1936"/>
      <c r="AG1936"/>
      <c r="AH1936"/>
      <c r="AI1936"/>
      <c r="AJ1936"/>
      <c r="AK1936"/>
      <c r="AL1936"/>
      <c r="AM1936"/>
      <c r="AN1936"/>
      <c r="AO1936"/>
    </row>
    <row r="1937" spans="1:41" ht="15">
      <c r="A1937"/>
      <c r="B1937"/>
      <c r="C1937" s="137"/>
      <c r="D1937" s="30"/>
      <c r="E1937" s="30"/>
      <c r="F1937" s="10"/>
      <c r="G1937" s="10"/>
      <c r="H1937" s="15"/>
      <c r="I1937" s="15"/>
      <c r="J1937" s="15"/>
      <c r="K1937" s="15"/>
      <c r="L1937" s="15"/>
      <c r="M1937" s="15"/>
      <c r="N1937" s="15"/>
      <c r="O1937" s="15"/>
      <c r="P1937" s="15"/>
      <c r="Q1937" s="71"/>
      <c r="R1937" s="84"/>
      <c r="S1937" s="10"/>
      <c r="T1937" s="10"/>
      <c r="U1937" s="10"/>
      <c r="V1937" s="10"/>
      <c r="W1937" s="138"/>
      <c r="Y1937"/>
      <c r="Z1937"/>
      <c r="AA1937"/>
      <c r="AB1937"/>
      <c r="AC1937"/>
      <c r="AD1937"/>
      <c r="AE1937"/>
      <c r="AF1937"/>
      <c r="AG1937"/>
      <c r="AH1937"/>
      <c r="AI1937"/>
      <c r="AJ1937"/>
      <c r="AK1937"/>
      <c r="AL1937"/>
      <c r="AM1937"/>
      <c r="AN1937"/>
      <c r="AO1937"/>
    </row>
    <row r="1938" spans="1:41" ht="15">
      <c r="A1938"/>
      <c r="B1938"/>
      <c r="C1938" s="137"/>
      <c r="D1938" s="30"/>
      <c r="E1938" s="30"/>
      <c r="F1938" s="10"/>
      <c r="G1938" s="10"/>
      <c r="H1938" s="15"/>
      <c r="I1938" s="15"/>
      <c r="J1938" s="15"/>
      <c r="K1938" s="15"/>
      <c r="L1938" s="15"/>
      <c r="M1938" s="15"/>
      <c r="N1938" s="15"/>
      <c r="O1938" s="15"/>
      <c r="P1938" s="15"/>
      <c r="Q1938" s="71"/>
      <c r="R1938" s="84"/>
      <c r="S1938" s="10"/>
      <c r="T1938" s="10"/>
      <c r="U1938" s="10"/>
      <c r="V1938" s="10"/>
      <c r="W1938" s="138"/>
      <c r="Y1938"/>
      <c r="Z1938"/>
      <c r="AA1938"/>
      <c r="AB1938"/>
      <c r="AC1938"/>
      <c r="AD1938"/>
      <c r="AE1938"/>
      <c r="AF1938"/>
      <c r="AG1938"/>
      <c r="AH1938"/>
      <c r="AI1938"/>
      <c r="AJ1938"/>
      <c r="AK1938"/>
      <c r="AL1938"/>
      <c r="AM1938"/>
      <c r="AN1938"/>
      <c r="AO1938"/>
    </row>
    <row r="1939" spans="1:41" ht="15">
      <c r="A1939"/>
      <c r="B1939"/>
      <c r="C1939" s="137"/>
      <c r="D1939" s="30"/>
      <c r="E1939" s="30"/>
      <c r="F1939" s="10"/>
      <c r="G1939" s="10"/>
      <c r="H1939" s="15"/>
      <c r="I1939" s="15"/>
      <c r="J1939" s="15"/>
      <c r="K1939" s="15"/>
      <c r="L1939" s="15"/>
      <c r="M1939" s="15"/>
      <c r="N1939" s="15"/>
      <c r="O1939" s="15"/>
      <c r="P1939" s="15"/>
      <c r="Q1939" s="71"/>
      <c r="R1939" s="84"/>
      <c r="S1939" s="10"/>
      <c r="T1939" s="10"/>
      <c r="U1939" s="10"/>
      <c r="V1939" s="10"/>
      <c r="W1939" s="138"/>
      <c r="Y1939"/>
      <c r="Z1939"/>
      <c r="AA1939"/>
      <c r="AB1939"/>
      <c r="AC1939"/>
      <c r="AD1939"/>
      <c r="AE1939"/>
      <c r="AF1939"/>
      <c r="AG1939"/>
      <c r="AH1939"/>
      <c r="AI1939"/>
      <c r="AJ1939"/>
      <c r="AK1939"/>
      <c r="AL1939"/>
      <c r="AM1939"/>
      <c r="AN1939"/>
      <c r="AO1939"/>
    </row>
    <row r="1940" spans="1:41" ht="15">
      <c r="A1940"/>
      <c r="B1940"/>
      <c r="C1940" s="137"/>
      <c r="D1940" s="30"/>
      <c r="E1940" s="30"/>
      <c r="F1940" s="10"/>
      <c r="G1940" s="10"/>
      <c r="H1940" s="15"/>
      <c r="I1940" s="15"/>
      <c r="J1940" s="15"/>
      <c r="K1940" s="15"/>
      <c r="L1940" s="15"/>
      <c r="M1940" s="15"/>
      <c r="N1940" s="15"/>
      <c r="O1940" s="15"/>
      <c r="P1940" s="15"/>
      <c r="Q1940" s="71"/>
      <c r="R1940" s="84"/>
      <c r="S1940" s="10"/>
      <c r="T1940" s="10"/>
      <c r="U1940" s="10"/>
      <c r="V1940" s="10"/>
      <c r="W1940" s="138"/>
      <c r="Y1940"/>
      <c r="Z1940"/>
      <c r="AA1940"/>
      <c r="AB1940"/>
      <c r="AC1940"/>
      <c r="AD1940"/>
      <c r="AE1940"/>
      <c r="AF1940"/>
      <c r="AG1940"/>
      <c r="AH1940"/>
      <c r="AI1940"/>
      <c r="AJ1940"/>
      <c r="AK1940"/>
      <c r="AL1940"/>
      <c r="AM1940"/>
      <c r="AN1940"/>
      <c r="AO1940"/>
    </row>
    <row r="1941" spans="1:41" ht="15">
      <c r="A1941"/>
      <c r="B1941"/>
      <c r="C1941" s="137"/>
      <c r="D1941" s="30"/>
      <c r="E1941" s="30"/>
      <c r="F1941" s="10"/>
      <c r="G1941" s="10"/>
      <c r="H1941" s="15"/>
      <c r="I1941" s="15"/>
      <c r="J1941" s="15"/>
      <c r="K1941" s="15"/>
      <c r="L1941" s="15"/>
      <c r="M1941" s="15"/>
      <c r="N1941" s="15"/>
      <c r="O1941" s="15"/>
      <c r="P1941" s="15"/>
      <c r="Q1941" s="71"/>
      <c r="R1941" s="84"/>
      <c r="S1941" s="10"/>
      <c r="T1941" s="10"/>
      <c r="U1941" s="10"/>
      <c r="V1941" s="10"/>
      <c r="W1941" s="138"/>
      <c r="Y1941"/>
      <c r="Z1941"/>
      <c r="AA1941"/>
      <c r="AB1941"/>
      <c r="AC1941"/>
      <c r="AD1941"/>
      <c r="AE1941"/>
      <c r="AF1941"/>
      <c r="AG1941"/>
      <c r="AH1941"/>
      <c r="AI1941"/>
      <c r="AJ1941"/>
      <c r="AK1941"/>
      <c r="AL1941"/>
      <c r="AM1941"/>
      <c r="AN1941"/>
      <c r="AO1941"/>
    </row>
    <row r="1942" spans="1:41" ht="15">
      <c r="A1942"/>
      <c r="B1942"/>
      <c r="C1942" s="137"/>
      <c r="D1942" s="30"/>
      <c r="E1942" s="30"/>
      <c r="F1942" s="10"/>
      <c r="G1942" s="10"/>
      <c r="H1942" s="15"/>
      <c r="I1942" s="15"/>
      <c r="J1942" s="15"/>
      <c r="K1942" s="15"/>
      <c r="L1942" s="15"/>
      <c r="M1942" s="15"/>
      <c r="N1942" s="15"/>
      <c r="O1942" s="15"/>
      <c r="P1942" s="15"/>
      <c r="Q1942" s="71"/>
      <c r="R1942" s="84"/>
      <c r="S1942" s="10"/>
      <c r="T1942" s="10"/>
      <c r="U1942" s="10"/>
      <c r="V1942" s="10"/>
      <c r="W1942" s="138"/>
      <c r="Y1942"/>
      <c r="Z1942"/>
      <c r="AA1942"/>
      <c r="AB1942"/>
      <c r="AC1942"/>
      <c r="AD1942"/>
      <c r="AE1942"/>
      <c r="AF1942"/>
      <c r="AG1942"/>
      <c r="AH1942"/>
      <c r="AI1942"/>
      <c r="AJ1942"/>
      <c r="AK1942"/>
      <c r="AL1942"/>
      <c r="AM1942"/>
      <c r="AN1942"/>
      <c r="AO1942"/>
    </row>
    <row r="1943" spans="1:41" ht="15">
      <c r="A1943"/>
      <c r="B1943"/>
      <c r="C1943" s="137"/>
      <c r="D1943" s="30"/>
      <c r="E1943" s="30"/>
      <c r="F1943" s="10"/>
      <c r="G1943" s="10"/>
      <c r="H1943" s="15"/>
      <c r="I1943" s="15"/>
      <c r="J1943" s="15"/>
      <c r="K1943" s="15"/>
      <c r="L1943" s="15"/>
      <c r="M1943" s="15"/>
      <c r="N1943" s="15"/>
      <c r="O1943" s="15"/>
      <c r="P1943" s="15"/>
      <c r="Q1943" s="71"/>
      <c r="R1943" s="84"/>
      <c r="S1943" s="10"/>
      <c r="T1943" s="10"/>
      <c r="U1943" s="10"/>
      <c r="V1943" s="10"/>
      <c r="W1943" s="138"/>
      <c r="Y1943"/>
      <c r="Z1943"/>
      <c r="AA1943"/>
      <c r="AB1943"/>
      <c r="AC1943"/>
      <c r="AD1943"/>
      <c r="AE1943"/>
      <c r="AF1943"/>
      <c r="AG1943"/>
      <c r="AH1943"/>
      <c r="AI1943"/>
      <c r="AJ1943"/>
      <c r="AK1943"/>
      <c r="AL1943"/>
      <c r="AM1943"/>
      <c r="AN1943"/>
      <c r="AO1943"/>
    </row>
    <row r="1944" spans="1:41" ht="15">
      <c r="A1944"/>
      <c r="B1944"/>
      <c r="C1944" s="137"/>
      <c r="D1944" s="30"/>
      <c r="E1944" s="30"/>
      <c r="F1944" s="10"/>
      <c r="G1944" s="10"/>
      <c r="H1944" s="15"/>
      <c r="I1944" s="15"/>
      <c r="J1944" s="15"/>
      <c r="K1944" s="15"/>
      <c r="L1944" s="15"/>
      <c r="M1944" s="15"/>
      <c r="N1944" s="15"/>
      <c r="O1944" s="15"/>
      <c r="P1944" s="15"/>
      <c r="Q1944" s="71"/>
      <c r="R1944" s="84"/>
      <c r="S1944" s="10"/>
      <c r="T1944" s="10"/>
      <c r="U1944" s="10"/>
      <c r="V1944" s="10"/>
      <c r="W1944" s="138"/>
      <c r="Y1944"/>
      <c r="Z1944"/>
      <c r="AA1944"/>
      <c r="AB1944"/>
      <c r="AC1944"/>
      <c r="AD1944"/>
      <c r="AE1944"/>
      <c r="AF1944"/>
      <c r="AG1944"/>
      <c r="AH1944"/>
      <c r="AI1944"/>
      <c r="AJ1944"/>
      <c r="AK1944"/>
      <c r="AL1944"/>
      <c r="AM1944"/>
      <c r="AN1944"/>
      <c r="AO1944"/>
    </row>
    <row r="1945" spans="1:41" ht="15">
      <c r="A1945"/>
      <c r="B1945"/>
      <c r="C1945" s="137"/>
      <c r="D1945" s="30"/>
      <c r="E1945" s="30"/>
      <c r="F1945" s="10"/>
      <c r="G1945" s="10"/>
      <c r="H1945" s="15"/>
      <c r="I1945" s="15"/>
      <c r="J1945" s="15"/>
      <c r="K1945" s="15"/>
      <c r="L1945" s="15"/>
      <c r="M1945" s="15"/>
      <c r="N1945" s="15"/>
      <c r="O1945" s="15"/>
      <c r="P1945" s="15"/>
      <c r="Q1945" s="71"/>
      <c r="R1945" s="84"/>
      <c r="S1945" s="10"/>
      <c r="T1945" s="10"/>
      <c r="U1945" s="10"/>
      <c r="V1945" s="10"/>
      <c r="W1945" s="138"/>
      <c r="Y1945"/>
      <c r="Z1945"/>
      <c r="AA1945"/>
      <c r="AB1945"/>
      <c r="AC1945"/>
      <c r="AD1945"/>
      <c r="AE1945"/>
      <c r="AF1945"/>
      <c r="AG1945"/>
      <c r="AH1945"/>
      <c r="AI1945"/>
      <c r="AJ1945"/>
      <c r="AK1945"/>
      <c r="AL1945"/>
      <c r="AM1945"/>
      <c r="AN1945"/>
      <c r="AO1945"/>
    </row>
    <row r="1946" spans="1:41" ht="15">
      <c r="A1946"/>
      <c r="B1946"/>
      <c r="C1946" s="137"/>
      <c r="D1946" s="30"/>
      <c r="E1946" s="30"/>
      <c r="F1946" s="10"/>
      <c r="G1946" s="10"/>
      <c r="H1946" s="15"/>
      <c r="I1946" s="15"/>
      <c r="J1946" s="15"/>
      <c r="K1946" s="15"/>
      <c r="L1946" s="15"/>
      <c r="M1946" s="15"/>
      <c r="N1946" s="15"/>
      <c r="O1946" s="15"/>
      <c r="P1946" s="15"/>
      <c r="Q1946" s="71"/>
      <c r="R1946" s="84"/>
      <c r="S1946" s="10"/>
      <c r="T1946" s="10"/>
      <c r="U1946" s="10"/>
      <c r="V1946" s="10"/>
      <c r="W1946" s="138"/>
      <c r="Y1946"/>
      <c r="Z1946"/>
      <c r="AA1946"/>
      <c r="AB1946"/>
      <c r="AC1946"/>
      <c r="AD1946"/>
      <c r="AE1946"/>
      <c r="AF1946"/>
      <c r="AG1946"/>
      <c r="AH1946"/>
      <c r="AI1946"/>
      <c r="AJ1946"/>
      <c r="AK1946"/>
      <c r="AL1946"/>
      <c r="AM1946"/>
      <c r="AN1946"/>
      <c r="AO1946"/>
    </row>
    <row r="1947" spans="1:41" ht="15">
      <c r="A1947"/>
      <c r="B1947"/>
      <c r="C1947" s="137"/>
      <c r="D1947" s="30"/>
      <c r="E1947" s="30"/>
      <c r="F1947" s="10"/>
      <c r="G1947" s="10"/>
      <c r="H1947" s="15"/>
      <c r="I1947" s="15"/>
      <c r="J1947" s="15"/>
      <c r="K1947" s="15"/>
      <c r="L1947" s="15"/>
      <c r="M1947" s="15"/>
      <c r="N1947" s="15"/>
      <c r="O1947" s="15"/>
      <c r="P1947" s="15"/>
      <c r="Q1947" s="71"/>
      <c r="R1947" s="84"/>
      <c r="S1947" s="10"/>
      <c r="T1947" s="10"/>
      <c r="U1947" s="10"/>
      <c r="V1947" s="10"/>
      <c r="W1947" s="138"/>
      <c r="Y1947"/>
      <c r="Z1947"/>
      <c r="AA1947"/>
      <c r="AB1947"/>
      <c r="AC1947"/>
      <c r="AD1947"/>
      <c r="AE1947"/>
      <c r="AF1947"/>
      <c r="AG1947"/>
      <c r="AH1947"/>
      <c r="AI1947"/>
      <c r="AJ1947"/>
      <c r="AK1947"/>
      <c r="AL1947"/>
      <c r="AM1947"/>
      <c r="AN1947"/>
      <c r="AO1947"/>
    </row>
    <row r="1948" spans="1:41" ht="15">
      <c r="A1948"/>
      <c r="B1948"/>
      <c r="C1948" s="137"/>
      <c r="D1948" s="30"/>
      <c r="E1948" s="30"/>
      <c r="F1948" s="10"/>
      <c r="G1948" s="10"/>
      <c r="H1948" s="15"/>
      <c r="I1948" s="15"/>
      <c r="J1948" s="15"/>
      <c r="K1948" s="15"/>
      <c r="L1948" s="15"/>
      <c r="M1948" s="15"/>
      <c r="N1948" s="15"/>
      <c r="O1948" s="15"/>
      <c r="P1948" s="15"/>
      <c r="Q1948" s="71"/>
      <c r="R1948" s="84"/>
      <c r="S1948" s="10"/>
      <c r="T1948" s="10"/>
      <c r="U1948" s="10"/>
      <c r="V1948" s="10"/>
      <c r="W1948" s="138"/>
      <c r="Y1948"/>
      <c r="Z1948"/>
      <c r="AA1948"/>
      <c r="AB1948"/>
      <c r="AC1948"/>
      <c r="AD1948"/>
      <c r="AE1948"/>
      <c r="AF1948"/>
      <c r="AG1948"/>
      <c r="AH1948"/>
      <c r="AI1948"/>
      <c r="AJ1948"/>
      <c r="AK1948"/>
      <c r="AL1948"/>
      <c r="AM1948"/>
      <c r="AN1948"/>
      <c r="AO1948"/>
    </row>
    <row r="1949" spans="1:41" ht="15">
      <c r="A1949"/>
      <c r="B1949"/>
      <c r="C1949" s="137"/>
      <c r="D1949" s="30"/>
      <c r="E1949" s="30"/>
      <c r="F1949" s="10"/>
      <c r="G1949" s="10"/>
      <c r="H1949" s="15"/>
      <c r="I1949" s="15"/>
      <c r="J1949" s="15"/>
      <c r="K1949" s="15"/>
      <c r="L1949" s="15"/>
      <c r="M1949" s="15"/>
      <c r="N1949" s="15"/>
      <c r="O1949" s="15"/>
      <c r="P1949" s="15"/>
      <c r="Q1949" s="71"/>
      <c r="R1949" s="84"/>
      <c r="S1949" s="10"/>
      <c r="T1949" s="10"/>
      <c r="U1949" s="10"/>
      <c r="V1949" s="10"/>
      <c r="W1949" s="138"/>
      <c r="Y1949"/>
      <c r="Z1949"/>
      <c r="AA1949"/>
      <c r="AB1949"/>
      <c r="AC1949"/>
      <c r="AD1949"/>
      <c r="AE1949"/>
      <c r="AF1949"/>
      <c r="AG1949"/>
      <c r="AH1949"/>
      <c r="AI1949"/>
      <c r="AJ1949"/>
      <c r="AK1949"/>
      <c r="AL1949"/>
      <c r="AM1949"/>
      <c r="AN1949"/>
      <c r="AO1949"/>
    </row>
    <row r="1950" spans="1:41" ht="15">
      <c r="A1950"/>
      <c r="B1950"/>
      <c r="C1950" s="137"/>
      <c r="D1950" s="30"/>
      <c r="E1950" s="30"/>
      <c r="F1950" s="10"/>
      <c r="G1950" s="10"/>
      <c r="H1950" s="15"/>
      <c r="I1950" s="15"/>
      <c r="J1950" s="15"/>
      <c r="K1950" s="15"/>
      <c r="L1950" s="15"/>
      <c r="M1950" s="15"/>
      <c r="N1950" s="15"/>
      <c r="O1950" s="15"/>
      <c r="P1950" s="15"/>
      <c r="Q1950" s="71"/>
      <c r="R1950" s="84"/>
      <c r="S1950" s="10"/>
      <c r="T1950" s="10"/>
      <c r="U1950" s="10"/>
      <c r="V1950" s="10"/>
      <c r="W1950" s="138"/>
      <c r="Y1950"/>
      <c r="Z1950"/>
      <c r="AA1950"/>
      <c r="AB1950"/>
      <c r="AC1950"/>
      <c r="AD1950"/>
      <c r="AE1950"/>
      <c r="AF1950"/>
      <c r="AG1950"/>
      <c r="AH1950"/>
      <c r="AI1950"/>
      <c r="AJ1950"/>
      <c r="AK1950"/>
      <c r="AL1950"/>
      <c r="AM1950"/>
      <c r="AN1950"/>
      <c r="AO1950"/>
    </row>
    <row r="1951" spans="1:41" ht="15">
      <c r="A1951"/>
      <c r="B1951"/>
      <c r="C1951" s="137"/>
      <c r="D1951" s="30"/>
      <c r="E1951" s="30"/>
      <c r="F1951" s="10"/>
      <c r="G1951" s="10"/>
      <c r="H1951" s="15"/>
      <c r="I1951" s="15"/>
      <c r="J1951" s="15"/>
      <c r="K1951" s="15"/>
      <c r="L1951" s="15"/>
      <c r="M1951" s="15"/>
      <c r="N1951" s="15"/>
      <c r="O1951" s="15"/>
      <c r="P1951" s="15"/>
      <c r="Q1951" s="71"/>
      <c r="R1951" s="84"/>
      <c r="S1951" s="10"/>
      <c r="T1951" s="10"/>
      <c r="U1951" s="10"/>
      <c r="V1951" s="10"/>
      <c r="W1951" s="138"/>
      <c r="Y1951"/>
      <c r="Z1951"/>
      <c r="AA1951"/>
      <c r="AB1951"/>
      <c r="AC1951"/>
      <c r="AD1951"/>
      <c r="AE1951"/>
      <c r="AF1951"/>
      <c r="AG1951"/>
      <c r="AH1951"/>
      <c r="AI1951"/>
      <c r="AJ1951"/>
      <c r="AK1951"/>
      <c r="AL1951"/>
      <c r="AM1951"/>
      <c r="AN1951"/>
      <c r="AO1951"/>
    </row>
    <row r="1952" spans="1:41" ht="15">
      <c r="A1952"/>
      <c r="B1952"/>
      <c r="C1952" s="137"/>
      <c r="D1952" s="30"/>
      <c r="E1952" s="30"/>
      <c r="F1952" s="10"/>
      <c r="G1952" s="10"/>
      <c r="H1952" s="15"/>
      <c r="I1952" s="15"/>
      <c r="J1952" s="15"/>
      <c r="K1952" s="15"/>
      <c r="L1952" s="15"/>
      <c r="M1952" s="15"/>
      <c r="N1952" s="15"/>
      <c r="O1952" s="15"/>
      <c r="P1952" s="15"/>
      <c r="Q1952" s="71"/>
      <c r="R1952" s="84"/>
      <c r="S1952" s="10"/>
      <c r="T1952" s="10"/>
      <c r="U1952" s="10"/>
      <c r="V1952" s="10"/>
      <c r="W1952" s="138"/>
      <c r="Y1952"/>
      <c r="Z1952"/>
      <c r="AA1952"/>
      <c r="AB1952"/>
      <c r="AC1952"/>
      <c r="AD1952"/>
      <c r="AE1952"/>
      <c r="AF1952"/>
      <c r="AG1952"/>
      <c r="AH1952"/>
      <c r="AI1952"/>
      <c r="AJ1952"/>
      <c r="AK1952"/>
      <c r="AL1952"/>
      <c r="AM1952"/>
      <c r="AN1952"/>
      <c r="AO1952"/>
    </row>
    <row r="1953" spans="1:41" ht="15">
      <c r="A1953"/>
      <c r="B1953"/>
      <c r="C1953" s="137"/>
      <c r="D1953" s="30"/>
      <c r="E1953" s="30"/>
      <c r="F1953" s="10"/>
      <c r="G1953" s="10"/>
      <c r="H1953" s="15"/>
      <c r="I1953" s="15"/>
      <c r="J1953" s="15"/>
      <c r="K1953" s="15"/>
      <c r="L1953" s="15"/>
      <c r="M1953" s="15"/>
      <c r="N1953" s="15"/>
      <c r="O1953" s="15"/>
      <c r="P1953" s="15"/>
      <c r="Q1953" s="71"/>
      <c r="R1953" s="84"/>
      <c r="S1953" s="10"/>
      <c r="T1953" s="10"/>
      <c r="U1953" s="10"/>
      <c r="V1953" s="10"/>
      <c r="W1953" s="138"/>
      <c r="Y1953"/>
      <c r="Z1953"/>
      <c r="AA1953"/>
      <c r="AB1953"/>
      <c r="AC1953"/>
      <c r="AD1953"/>
      <c r="AE1953"/>
      <c r="AF1953"/>
      <c r="AG1953"/>
      <c r="AH1953"/>
      <c r="AI1953"/>
      <c r="AJ1953"/>
      <c r="AK1953"/>
      <c r="AL1953"/>
      <c r="AM1953"/>
      <c r="AN1953"/>
      <c r="AO1953"/>
    </row>
    <row r="1954" spans="1:41" ht="15">
      <c r="A1954"/>
      <c r="B1954"/>
      <c r="C1954" s="137"/>
      <c r="D1954" s="30"/>
      <c r="E1954" s="30"/>
      <c r="F1954" s="10"/>
      <c r="G1954" s="10"/>
      <c r="H1954" s="15"/>
      <c r="I1954" s="15"/>
      <c r="J1954" s="15"/>
      <c r="K1954" s="15"/>
      <c r="L1954" s="15"/>
      <c r="M1954" s="15"/>
      <c r="N1954" s="15"/>
      <c r="O1954" s="15"/>
      <c r="P1954" s="15"/>
      <c r="Q1954" s="71"/>
      <c r="R1954" s="84"/>
      <c r="S1954" s="10"/>
      <c r="T1954" s="10"/>
      <c r="U1954" s="10"/>
      <c r="V1954" s="10"/>
      <c r="W1954" s="138"/>
      <c r="Y1954"/>
      <c r="Z1954"/>
      <c r="AA1954"/>
      <c r="AB1954"/>
      <c r="AC1954"/>
      <c r="AD1954"/>
      <c r="AE1954"/>
      <c r="AF1954"/>
      <c r="AG1954"/>
      <c r="AH1954"/>
      <c r="AI1954"/>
      <c r="AJ1954"/>
      <c r="AK1954"/>
      <c r="AL1954"/>
      <c r="AM1954"/>
      <c r="AN1954"/>
      <c r="AO1954"/>
    </row>
    <row r="1955" spans="1:41" ht="15">
      <c r="A1955"/>
      <c r="B1955"/>
      <c r="C1955" s="137"/>
      <c r="D1955" s="30"/>
      <c r="E1955" s="30"/>
      <c r="F1955" s="10"/>
      <c r="G1955" s="10"/>
      <c r="H1955" s="15"/>
      <c r="I1955" s="15"/>
      <c r="J1955" s="15"/>
      <c r="K1955" s="15"/>
      <c r="L1955" s="15"/>
      <c r="M1955" s="15"/>
      <c r="N1955" s="15"/>
      <c r="O1955" s="15"/>
      <c r="P1955" s="15"/>
      <c r="Q1955" s="71"/>
      <c r="R1955" s="84"/>
      <c r="S1955" s="10"/>
      <c r="T1955" s="10"/>
      <c r="U1955" s="10"/>
      <c r="V1955" s="10"/>
      <c r="W1955" s="138"/>
      <c r="Y1955"/>
      <c r="Z1955"/>
      <c r="AA1955"/>
      <c r="AB1955"/>
      <c r="AC1955"/>
      <c r="AD1955"/>
      <c r="AE1955"/>
      <c r="AF1955"/>
      <c r="AG1955"/>
      <c r="AH1955"/>
      <c r="AI1955"/>
      <c r="AJ1955"/>
      <c r="AK1955"/>
      <c r="AL1955"/>
      <c r="AM1955"/>
      <c r="AN1955"/>
      <c r="AO1955"/>
    </row>
    <row r="1956" spans="1:41" ht="15">
      <c r="A1956"/>
      <c r="B1956"/>
      <c r="C1956" s="137"/>
      <c r="D1956" s="30"/>
      <c r="E1956" s="30"/>
      <c r="F1956" s="10"/>
      <c r="G1956" s="10"/>
      <c r="H1956" s="15"/>
      <c r="I1956" s="15"/>
      <c r="J1956" s="15"/>
      <c r="K1956" s="15"/>
      <c r="L1956" s="15"/>
      <c r="M1956" s="15"/>
      <c r="N1956" s="15"/>
      <c r="O1956" s="15"/>
      <c r="P1956" s="15"/>
      <c r="Q1956" s="71"/>
      <c r="R1956" s="84"/>
      <c r="S1956" s="10"/>
      <c r="T1956" s="10"/>
      <c r="U1956" s="10"/>
      <c r="V1956" s="10"/>
      <c r="W1956" s="138"/>
      <c r="Y1956"/>
      <c r="Z1956"/>
      <c r="AA1956"/>
      <c r="AB1956"/>
      <c r="AC1956"/>
      <c r="AD1956"/>
      <c r="AE1956"/>
      <c r="AF1956"/>
      <c r="AG1956"/>
      <c r="AH1956"/>
      <c r="AI1956"/>
      <c r="AJ1956"/>
      <c r="AK1956"/>
      <c r="AL1956"/>
      <c r="AM1956"/>
      <c r="AN1956"/>
      <c r="AO1956"/>
    </row>
    <row r="1957" spans="1:41" ht="15">
      <c r="A1957"/>
      <c r="B1957"/>
      <c r="C1957" s="137"/>
      <c r="D1957" s="30"/>
      <c r="E1957" s="30"/>
      <c r="F1957" s="10"/>
      <c r="G1957" s="10"/>
      <c r="H1957" s="15"/>
      <c r="I1957" s="15"/>
      <c r="J1957" s="15"/>
      <c r="K1957" s="15"/>
      <c r="L1957" s="15"/>
      <c r="M1957" s="15"/>
      <c r="N1957" s="15"/>
      <c r="O1957" s="15"/>
      <c r="P1957" s="15"/>
      <c r="Q1957" s="71"/>
      <c r="R1957" s="84"/>
      <c r="S1957" s="10"/>
      <c r="T1957" s="10"/>
      <c r="U1957" s="10"/>
      <c r="V1957" s="10"/>
      <c r="W1957" s="138"/>
      <c r="Y1957"/>
      <c r="Z1957"/>
      <c r="AA1957"/>
      <c r="AB1957"/>
      <c r="AC1957"/>
      <c r="AD1957"/>
      <c r="AE1957"/>
      <c r="AF1957"/>
      <c r="AG1957"/>
      <c r="AH1957"/>
      <c r="AI1957"/>
      <c r="AJ1957"/>
      <c r="AK1957"/>
      <c r="AL1957"/>
      <c r="AM1957"/>
      <c r="AN1957"/>
      <c r="AO1957"/>
    </row>
    <row r="1958" spans="1:41" ht="15">
      <c r="A1958"/>
      <c r="B1958"/>
      <c r="C1958" s="137"/>
      <c r="D1958" s="30"/>
      <c r="E1958" s="30"/>
      <c r="F1958" s="10"/>
      <c r="G1958" s="10"/>
      <c r="H1958" s="15"/>
      <c r="I1958" s="15"/>
      <c r="J1958" s="15"/>
      <c r="K1958" s="15"/>
      <c r="L1958" s="15"/>
      <c r="M1958" s="15"/>
      <c r="N1958" s="15"/>
      <c r="O1958" s="15"/>
      <c r="P1958" s="15"/>
      <c r="Q1958" s="71"/>
      <c r="R1958" s="84"/>
      <c r="S1958" s="10"/>
      <c r="T1958" s="10"/>
      <c r="U1958" s="10"/>
      <c r="V1958" s="10"/>
      <c r="W1958" s="138"/>
      <c r="Y1958"/>
      <c r="Z1958"/>
      <c r="AA1958"/>
      <c r="AB1958"/>
      <c r="AC1958"/>
      <c r="AD1958"/>
      <c r="AE1958"/>
      <c r="AF1958"/>
      <c r="AG1958"/>
      <c r="AH1958"/>
      <c r="AI1958"/>
      <c r="AJ1958"/>
      <c r="AK1958"/>
      <c r="AL1958"/>
      <c r="AM1958"/>
      <c r="AN1958"/>
      <c r="AO1958"/>
    </row>
    <row r="1959" spans="1:41" ht="15">
      <c r="A1959"/>
      <c r="B1959"/>
      <c r="C1959" s="137"/>
      <c r="D1959" s="30"/>
      <c r="E1959" s="30"/>
      <c r="F1959" s="10"/>
      <c r="G1959" s="10"/>
      <c r="H1959" s="15"/>
      <c r="I1959" s="15"/>
      <c r="J1959" s="15"/>
      <c r="K1959" s="15"/>
      <c r="L1959" s="15"/>
      <c r="M1959" s="15"/>
      <c r="N1959" s="15"/>
      <c r="O1959" s="15"/>
      <c r="P1959" s="15"/>
      <c r="Q1959" s="71"/>
      <c r="R1959" s="84"/>
      <c r="S1959" s="10"/>
      <c r="T1959" s="10"/>
      <c r="U1959" s="10"/>
      <c r="V1959" s="10"/>
      <c r="W1959" s="138"/>
      <c r="Y1959"/>
      <c r="Z1959"/>
      <c r="AA1959"/>
      <c r="AB1959"/>
      <c r="AC1959"/>
      <c r="AD1959"/>
      <c r="AE1959"/>
      <c r="AF1959"/>
      <c r="AG1959"/>
      <c r="AH1959"/>
      <c r="AI1959"/>
      <c r="AJ1959"/>
      <c r="AK1959"/>
      <c r="AL1959"/>
      <c r="AM1959"/>
      <c r="AN1959"/>
      <c r="AO1959"/>
    </row>
    <row r="1960" spans="1:41" ht="15">
      <c r="A1960"/>
      <c r="B1960"/>
      <c r="C1960" s="137"/>
      <c r="D1960" s="30"/>
      <c r="E1960" s="30"/>
      <c r="F1960" s="10"/>
      <c r="G1960" s="10"/>
      <c r="H1960" s="15"/>
      <c r="I1960" s="15"/>
      <c r="J1960" s="15"/>
      <c r="K1960" s="15"/>
      <c r="L1960" s="15"/>
      <c r="M1960" s="15"/>
      <c r="N1960" s="15"/>
      <c r="O1960" s="15"/>
      <c r="P1960" s="15"/>
      <c r="Q1960" s="71"/>
      <c r="R1960" s="84"/>
      <c r="S1960" s="10"/>
      <c r="T1960" s="10"/>
      <c r="U1960" s="10"/>
      <c r="V1960" s="10"/>
      <c r="W1960" s="138"/>
      <c r="Y1960"/>
      <c r="Z1960"/>
      <c r="AA1960"/>
      <c r="AB1960"/>
      <c r="AC1960"/>
      <c r="AD1960"/>
      <c r="AE1960"/>
      <c r="AF1960"/>
      <c r="AG1960"/>
      <c r="AH1960"/>
      <c r="AI1960"/>
      <c r="AJ1960"/>
      <c r="AK1960"/>
      <c r="AL1960"/>
      <c r="AM1960"/>
      <c r="AN1960"/>
      <c r="AO1960"/>
    </row>
    <row r="1961" spans="1:41" ht="15">
      <c r="A1961"/>
      <c r="B1961"/>
      <c r="C1961" s="137"/>
      <c r="D1961" s="30"/>
      <c r="E1961" s="30"/>
      <c r="F1961" s="10"/>
      <c r="G1961" s="10"/>
      <c r="H1961" s="15"/>
      <c r="I1961" s="15"/>
      <c r="J1961" s="15"/>
      <c r="K1961" s="15"/>
      <c r="L1961" s="15"/>
      <c r="M1961" s="15"/>
      <c r="N1961" s="15"/>
      <c r="O1961" s="15"/>
      <c r="P1961" s="15"/>
      <c r="Q1961" s="71"/>
      <c r="R1961" s="84"/>
      <c r="S1961" s="10"/>
      <c r="T1961" s="10"/>
      <c r="U1961" s="10"/>
      <c r="V1961" s="10"/>
      <c r="W1961" s="138"/>
      <c r="Y1961"/>
      <c r="Z1961"/>
      <c r="AA1961"/>
      <c r="AB1961"/>
      <c r="AC1961"/>
      <c r="AD1961"/>
      <c r="AE1961"/>
      <c r="AF1961"/>
      <c r="AG1961"/>
      <c r="AH1961"/>
      <c r="AI1961"/>
      <c r="AJ1961"/>
      <c r="AK1961"/>
      <c r="AL1961"/>
      <c r="AM1961"/>
      <c r="AN1961"/>
      <c r="AO1961"/>
    </row>
    <row r="1962" spans="1:41" ht="15">
      <c r="A1962"/>
      <c r="B1962"/>
      <c r="C1962" s="137"/>
      <c r="D1962" s="30"/>
      <c r="E1962" s="30"/>
      <c r="F1962" s="10"/>
      <c r="G1962" s="10"/>
      <c r="H1962" s="15"/>
      <c r="I1962" s="15"/>
      <c r="J1962" s="15"/>
      <c r="K1962" s="15"/>
      <c r="L1962" s="15"/>
      <c r="M1962" s="15"/>
      <c r="N1962" s="15"/>
      <c r="O1962" s="15"/>
      <c r="P1962" s="15"/>
      <c r="Q1962" s="71"/>
      <c r="R1962" s="84"/>
      <c r="S1962" s="10"/>
      <c r="T1962" s="10"/>
      <c r="U1962" s="10"/>
      <c r="V1962" s="10"/>
      <c r="W1962" s="138"/>
      <c r="Y1962"/>
      <c r="Z1962"/>
      <c r="AA1962"/>
      <c r="AB1962"/>
      <c r="AC1962"/>
      <c r="AD1962"/>
      <c r="AE1962"/>
      <c r="AF1962"/>
      <c r="AG1962"/>
      <c r="AH1962"/>
      <c r="AI1962"/>
      <c r="AJ1962"/>
      <c r="AK1962"/>
      <c r="AL1962"/>
      <c r="AM1962"/>
      <c r="AN1962"/>
      <c r="AO1962"/>
    </row>
    <row r="1963" spans="1:41" ht="15">
      <c r="A1963"/>
      <c r="B1963"/>
      <c r="C1963" s="137"/>
      <c r="D1963" s="30"/>
      <c r="E1963" s="30"/>
      <c r="F1963" s="10"/>
      <c r="G1963" s="10"/>
      <c r="H1963" s="15"/>
      <c r="I1963" s="15"/>
      <c r="J1963" s="15"/>
      <c r="K1963" s="15"/>
      <c r="L1963" s="15"/>
      <c r="M1963" s="15"/>
      <c r="N1963" s="15"/>
      <c r="O1963" s="15"/>
      <c r="P1963" s="15"/>
      <c r="Q1963" s="71"/>
      <c r="R1963" s="84"/>
      <c r="S1963" s="10"/>
      <c r="T1963" s="10"/>
      <c r="U1963" s="10"/>
      <c r="V1963" s="10"/>
      <c r="W1963" s="138"/>
      <c r="Y1963"/>
      <c r="Z1963"/>
      <c r="AA1963"/>
      <c r="AB1963"/>
      <c r="AC1963"/>
      <c r="AD1963"/>
      <c r="AE1963"/>
      <c r="AF1963"/>
      <c r="AG1963"/>
      <c r="AH1963"/>
      <c r="AI1963"/>
      <c r="AJ1963"/>
      <c r="AK1963"/>
      <c r="AL1963"/>
      <c r="AM1963"/>
      <c r="AN1963"/>
      <c r="AO1963"/>
    </row>
    <row r="1964" spans="1:41" ht="15">
      <c r="A1964"/>
      <c r="B1964"/>
      <c r="C1964" s="137"/>
      <c r="D1964" s="30"/>
      <c r="E1964" s="30"/>
      <c r="F1964" s="10"/>
      <c r="G1964" s="10"/>
      <c r="H1964" s="15"/>
      <c r="I1964" s="15"/>
      <c r="J1964" s="15"/>
      <c r="K1964" s="15"/>
      <c r="L1964" s="15"/>
      <c r="M1964" s="15"/>
      <c r="N1964" s="15"/>
      <c r="O1964" s="15"/>
      <c r="P1964" s="15"/>
      <c r="Q1964" s="71"/>
      <c r="R1964" s="84"/>
      <c r="S1964" s="10"/>
      <c r="T1964" s="10"/>
      <c r="U1964" s="10"/>
      <c r="V1964" s="10"/>
      <c r="W1964" s="138"/>
      <c r="Y1964"/>
      <c r="Z1964"/>
      <c r="AA1964"/>
      <c r="AB1964"/>
      <c r="AC1964"/>
      <c r="AD1964"/>
      <c r="AE1964"/>
      <c r="AF1964"/>
      <c r="AG1964"/>
      <c r="AH1964"/>
      <c r="AI1964"/>
      <c r="AJ1964"/>
      <c r="AK1964"/>
      <c r="AL1964"/>
      <c r="AM1964"/>
      <c r="AN1964"/>
      <c r="AO1964"/>
    </row>
    <row r="1965" spans="1:41" ht="15">
      <c r="A1965"/>
      <c r="B1965"/>
      <c r="C1965" s="137"/>
      <c r="D1965" s="30"/>
      <c r="E1965" s="30"/>
      <c r="F1965" s="10"/>
      <c r="G1965" s="10"/>
      <c r="H1965" s="15"/>
      <c r="I1965" s="15"/>
      <c r="J1965" s="15"/>
      <c r="K1965" s="15"/>
      <c r="L1965" s="15"/>
      <c r="M1965" s="15"/>
      <c r="N1965" s="15"/>
      <c r="O1965" s="15"/>
      <c r="P1965" s="15"/>
      <c r="Q1965" s="71"/>
      <c r="R1965" s="84"/>
      <c r="S1965" s="10"/>
      <c r="T1965" s="10"/>
      <c r="U1965" s="10"/>
      <c r="V1965" s="10"/>
      <c r="W1965" s="138"/>
      <c r="Y1965"/>
      <c r="Z1965"/>
      <c r="AA1965"/>
      <c r="AB1965"/>
      <c r="AC1965"/>
      <c r="AD1965"/>
      <c r="AE1965"/>
      <c r="AF1965"/>
      <c r="AG1965"/>
      <c r="AH1965"/>
      <c r="AI1965"/>
      <c r="AJ1965"/>
      <c r="AK1965"/>
      <c r="AL1965"/>
      <c r="AM1965"/>
      <c r="AN1965"/>
      <c r="AO1965"/>
    </row>
    <row r="1966" spans="1:41" ht="15">
      <c r="A1966"/>
      <c r="B1966"/>
      <c r="C1966" s="137"/>
      <c r="D1966" s="30"/>
      <c r="E1966" s="30"/>
      <c r="F1966" s="10"/>
      <c r="G1966" s="10"/>
      <c r="H1966" s="15"/>
      <c r="I1966" s="15"/>
      <c r="J1966" s="15"/>
      <c r="K1966" s="15"/>
      <c r="L1966" s="15"/>
      <c r="M1966" s="15"/>
      <c r="N1966" s="15"/>
      <c r="O1966" s="15"/>
      <c r="P1966" s="15"/>
      <c r="Q1966" s="71"/>
      <c r="R1966" s="84"/>
      <c r="S1966" s="10"/>
      <c r="T1966" s="10"/>
      <c r="U1966" s="10"/>
      <c r="V1966" s="10"/>
      <c r="W1966" s="138"/>
      <c r="Y1966"/>
      <c r="Z1966"/>
      <c r="AA1966"/>
      <c r="AB1966"/>
      <c r="AC1966"/>
      <c r="AD1966"/>
      <c r="AE1966"/>
      <c r="AF1966"/>
      <c r="AG1966"/>
      <c r="AH1966"/>
      <c r="AI1966"/>
      <c r="AJ1966"/>
      <c r="AK1966"/>
      <c r="AL1966"/>
      <c r="AM1966"/>
      <c r="AN1966"/>
      <c r="AO1966"/>
    </row>
    <row r="1967" spans="1:41" ht="15">
      <c r="A1967"/>
      <c r="B1967"/>
      <c r="C1967" s="137"/>
      <c r="D1967" s="30"/>
      <c r="E1967" s="30"/>
      <c r="F1967" s="10"/>
      <c r="G1967" s="10"/>
      <c r="H1967" s="15"/>
      <c r="I1967" s="15"/>
      <c r="J1967" s="15"/>
      <c r="K1967" s="15"/>
      <c r="L1967" s="15"/>
      <c r="M1967" s="15"/>
      <c r="N1967" s="15"/>
      <c r="O1967" s="15"/>
      <c r="P1967" s="15"/>
      <c r="Q1967" s="71"/>
      <c r="R1967" s="84"/>
      <c r="S1967" s="10"/>
      <c r="T1967" s="10"/>
      <c r="U1967" s="10"/>
      <c r="V1967" s="10"/>
      <c r="W1967" s="138"/>
      <c r="Y1967"/>
      <c r="Z1967"/>
      <c r="AA1967"/>
      <c r="AB1967"/>
      <c r="AC1967"/>
      <c r="AD1967"/>
      <c r="AE1967"/>
      <c r="AF1967"/>
      <c r="AG1967"/>
      <c r="AH1967"/>
      <c r="AI1967"/>
      <c r="AJ1967"/>
      <c r="AK1967"/>
      <c r="AL1967"/>
      <c r="AM1967"/>
      <c r="AN1967"/>
      <c r="AO1967"/>
    </row>
    <row r="1968" spans="1:41" ht="15">
      <c r="A1968"/>
      <c r="B1968"/>
      <c r="C1968" s="137"/>
      <c r="D1968" s="30"/>
      <c r="E1968" s="30"/>
      <c r="F1968" s="10"/>
      <c r="G1968" s="10"/>
      <c r="H1968" s="15"/>
      <c r="I1968" s="15"/>
      <c r="J1968" s="15"/>
      <c r="K1968" s="15"/>
      <c r="L1968" s="15"/>
      <c r="M1968" s="15"/>
      <c r="N1968" s="15"/>
      <c r="O1968" s="15"/>
      <c r="P1968" s="15"/>
      <c r="Q1968" s="71"/>
      <c r="R1968" s="84"/>
      <c r="S1968" s="10"/>
      <c r="T1968" s="10"/>
      <c r="U1968" s="10"/>
      <c r="V1968" s="10"/>
      <c r="W1968" s="138"/>
      <c r="Y1968"/>
      <c r="Z1968"/>
      <c r="AA1968"/>
      <c r="AB1968"/>
      <c r="AC1968"/>
      <c r="AD1968"/>
      <c r="AE1968"/>
      <c r="AF1968"/>
      <c r="AG1968"/>
      <c r="AH1968"/>
      <c r="AI1968"/>
      <c r="AJ1968"/>
      <c r="AK1968"/>
      <c r="AL1968"/>
      <c r="AM1968"/>
      <c r="AN1968"/>
      <c r="AO1968"/>
    </row>
    <row r="1969" spans="1:41" ht="15">
      <c r="A1969"/>
      <c r="B1969"/>
      <c r="C1969" s="137"/>
      <c r="D1969" s="30"/>
      <c r="E1969" s="30"/>
      <c r="F1969" s="10"/>
      <c r="G1969" s="10"/>
      <c r="H1969" s="15"/>
      <c r="I1969" s="15"/>
      <c r="J1969" s="15"/>
      <c r="K1969" s="15"/>
      <c r="L1969" s="15"/>
      <c r="M1969" s="15"/>
      <c r="N1969" s="15"/>
      <c r="O1969" s="15"/>
      <c r="P1969" s="15"/>
      <c r="Q1969" s="71"/>
      <c r="R1969" s="84"/>
      <c r="S1969" s="10"/>
      <c r="T1969" s="10"/>
      <c r="U1969" s="10"/>
      <c r="V1969" s="10"/>
      <c r="W1969" s="138"/>
      <c r="Y1969"/>
      <c r="Z1969"/>
      <c r="AA1969"/>
      <c r="AB1969"/>
      <c r="AC1969"/>
      <c r="AD1969"/>
      <c r="AE1969"/>
      <c r="AF1969"/>
      <c r="AG1969"/>
      <c r="AH1969"/>
      <c r="AI1969"/>
      <c r="AJ1969"/>
      <c r="AK1969"/>
      <c r="AL1969"/>
      <c r="AM1969"/>
      <c r="AN1969"/>
      <c r="AO1969"/>
    </row>
    <row r="1970" spans="1:41" ht="15">
      <c r="A1970"/>
      <c r="B1970"/>
      <c r="C1970" s="137"/>
      <c r="D1970" s="30"/>
      <c r="E1970" s="30"/>
      <c r="F1970" s="10"/>
      <c r="G1970" s="10"/>
      <c r="H1970" s="15"/>
      <c r="I1970" s="15"/>
      <c r="J1970" s="15"/>
      <c r="K1970" s="15"/>
      <c r="L1970" s="15"/>
      <c r="M1970" s="15"/>
      <c r="N1970" s="15"/>
      <c r="O1970" s="15"/>
      <c r="P1970" s="15"/>
      <c r="Q1970" s="71"/>
      <c r="R1970" s="84"/>
      <c r="S1970" s="10"/>
      <c r="T1970" s="10"/>
      <c r="U1970" s="10"/>
      <c r="V1970" s="10"/>
      <c r="W1970" s="138"/>
      <c r="Y1970"/>
      <c r="Z1970"/>
      <c r="AA1970"/>
      <c r="AB1970"/>
      <c r="AC1970"/>
      <c r="AD1970"/>
      <c r="AE1970"/>
      <c r="AF1970"/>
      <c r="AG1970"/>
      <c r="AH1970"/>
      <c r="AI1970"/>
      <c r="AJ1970"/>
      <c r="AK1970"/>
      <c r="AL1970"/>
      <c r="AM1970"/>
      <c r="AN1970"/>
      <c r="AO1970"/>
    </row>
    <row r="1971" spans="1:41" ht="15">
      <c r="A1971"/>
      <c r="B1971"/>
      <c r="C1971" s="137"/>
      <c r="D1971" s="30"/>
      <c r="E1971" s="30"/>
      <c r="F1971" s="10"/>
      <c r="G1971" s="10"/>
      <c r="H1971" s="15"/>
      <c r="I1971" s="15"/>
      <c r="J1971" s="15"/>
      <c r="K1971" s="15"/>
      <c r="L1971" s="15"/>
      <c r="M1971" s="15"/>
      <c r="N1971" s="15"/>
      <c r="O1971" s="15"/>
      <c r="P1971" s="15"/>
      <c r="Q1971" s="71"/>
      <c r="R1971" s="84"/>
      <c r="S1971" s="10"/>
      <c r="T1971" s="10"/>
      <c r="U1971" s="10"/>
      <c r="V1971" s="10"/>
      <c r="W1971" s="138"/>
      <c r="Y1971"/>
      <c r="Z1971"/>
      <c r="AA1971"/>
      <c r="AB1971"/>
      <c r="AC1971"/>
      <c r="AD1971"/>
      <c r="AE1971"/>
      <c r="AF1971"/>
      <c r="AG1971"/>
      <c r="AH1971"/>
      <c r="AI1971"/>
      <c r="AJ1971"/>
      <c r="AK1971"/>
      <c r="AL1971"/>
      <c r="AM1971"/>
      <c r="AN1971"/>
      <c r="AO1971"/>
    </row>
    <row r="1972" spans="1:41" ht="15">
      <c r="A1972"/>
      <c r="B1972"/>
      <c r="C1972" s="137"/>
      <c r="D1972" s="30"/>
      <c r="E1972" s="30"/>
      <c r="F1972" s="10"/>
      <c r="G1972" s="10"/>
      <c r="H1972" s="15"/>
      <c r="I1972" s="15"/>
      <c r="J1972" s="15"/>
      <c r="K1972" s="15"/>
      <c r="L1972" s="15"/>
      <c r="M1972" s="15"/>
      <c r="N1972" s="15"/>
      <c r="O1972" s="15"/>
      <c r="P1972" s="15"/>
      <c r="Q1972" s="71"/>
      <c r="R1972" s="84"/>
      <c r="S1972" s="10"/>
      <c r="T1972" s="10"/>
      <c r="U1972" s="10"/>
      <c r="V1972" s="10"/>
      <c r="W1972" s="138"/>
      <c r="Y1972"/>
      <c r="Z1972"/>
      <c r="AA1972"/>
      <c r="AB1972"/>
      <c r="AC1972"/>
      <c r="AD1972"/>
      <c r="AE1972"/>
      <c r="AF1972"/>
      <c r="AG1972"/>
      <c r="AH1972"/>
      <c r="AI1972"/>
      <c r="AJ1972"/>
      <c r="AK1972"/>
      <c r="AL1972"/>
      <c r="AM1972"/>
      <c r="AN1972"/>
      <c r="AO1972"/>
    </row>
    <row r="1973" spans="1:41" ht="15">
      <c r="A1973"/>
      <c r="B1973"/>
      <c r="C1973" s="137"/>
      <c r="D1973" s="30"/>
      <c r="E1973" s="30"/>
      <c r="F1973" s="10"/>
      <c r="G1973" s="10"/>
      <c r="H1973" s="15"/>
      <c r="I1973" s="15"/>
      <c r="J1973" s="15"/>
      <c r="K1973" s="15"/>
      <c r="L1973" s="15"/>
      <c r="M1973" s="15"/>
      <c r="N1973" s="15"/>
      <c r="O1973" s="15"/>
      <c r="P1973" s="15"/>
      <c r="Q1973" s="71"/>
      <c r="R1973" s="84"/>
      <c r="S1973" s="10"/>
      <c r="T1973" s="10"/>
      <c r="U1973" s="10"/>
      <c r="V1973" s="10"/>
      <c r="W1973" s="138"/>
      <c r="Y1973"/>
      <c r="Z1973"/>
      <c r="AA1973"/>
      <c r="AB1973"/>
      <c r="AC1973"/>
      <c r="AD1973"/>
      <c r="AE1973"/>
      <c r="AF1973"/>
      <c r="AG1973"/>
      <c r="AH1973"/>
      <c r="AI1973"/>
      <c r="AJ1973"/>
      <c r="AK1973"/>
      <c r="AL1973"/>
      <c r="AM1973"/>
      <c r="AN1973"/>
      <c r="AO1973"/>
    </row>
    <row r="1974" spans="1:41" ht="15">
      <c r="A1974"/>
      <c r="B1974"/>
      <c r="C1974" s="137"/>
      <c r="D1974" s="30"/>
      <c r="E1974" s="30"/>
      <c r="F1974" s="10"/>
      <c r="G1974" s="10"/>
      <c r="H1974" s="15"/>
      <c r="I1974" s="15"/>
      <c r="J1974" s="15"/>
      <c r="K1974" s="15"/>
      <c r="L1974" s="15"/>
      <c r="M1974" s="15"/>
      <c r="N1974" s="15"/>
      <c r="O1974" s="15"/>
      <c r="P1974" s="15"/>
      <c r="Q1974" s="71"/>
      <c r="R1974" s="84"/>
      <c r="S1974" s="10"/>
      <c r="T1974" s="10"/>
      <c r="U1974" s="10"/>
      <c r="V1974" s="10"/>
      <c r="W1974" s="138"/>
      <c r="Y1974"/>
      <c r="Z1974"/>
      <c r="AA1974"/>
      <c r="AB1974"/>
      <c r="AC1974"/>
      <c r="AD1974"/>
      <c r="AE1974"/>
      <c r="AF1974"/>
      <c r="AG1974"/>
      <c r="AH1974"/>
      <c r="AI1974"/>
      <c r="AJ1974"/>
      <c r="AK1974"/>
      <c r="AL1974"/>
      <c r="AM1974"/>
      <c r="AN1974"/>
      <c r="AO1974"/>
    </row>
    <row r="1975" spans="1:41" ht="15">
      <c r="A1975"/>
      <c r="B1975"/>
      <c r="C1975" s="137"/>
      <c r="D1975" s="30"/>
      <c r="E1975" s="30"/>
      <c r="F1975" s="10"/>
      <c r="G1975" s="10"/>
      <c r="H1975" s="15"/>
      <c r="I1975" s="15"/>
      <c r="J1975" s="15"/>
      <c r="K1975" s="15"/>
      <c r="L1975" s="15"/>
      <c r="M1975" s="15"/>
      <c r="N1975" s="15"/>
      <c r="O1975" s="15"/>
      <c r="P1975" s="15"/>
      <c r="Q1975" s="71"/>
      <c r="R1975" s="84"/>
      <c r="S1975" s="10"/>
      <c r="T1975" s="10"/>
      <c r="U1975" s="10"/>
      <c r="V1975" s="10"/>
      <c r="W1975" s="138"/>
      <c r="Y1975"/>
      <c r="Z1975"/>
      <c r="AA1975"/>
      <c r="AB1975"/>
      <c r="AC1975"/>
      <c r="AD1975"/>
      <c r="AE1975"/>
      <c r="AF1975"/>
      <c r="AG1975"/>
      <c r="AH1975"/>
      <c r="AI1975"/>
      <c r="AJ1975"/>
      <c r="AK1975"/>
      <c r="AL1975"/>
      <c r="AM1975"/>
      <c r="AN1975"/>
      <c r="AO1975"/>
    </row>
    <row r="1976" spans="1:41" ht="15">
      <c r="A1976"/>
      <c r="B1976"/>
      <c r="C1976" s="137"/>
      <c r="D1976" s="30"/>
      <c r="E1976" s="30"/>
      <c r="F1976" s="10"/>
      <c r="G1976" s="10"/>
      <c r="H1976" s="15"/>
      <c r="I1976" s="15"/>
      <c r="J1976" s="15"/>
      <c r="K1976" s="15"/>
      <c r="L1976" s="15"/>
      <c r="M1976" s="15"/>
      <c r="N1976" s="15"/>
      <c r="O1976" s="15"/>
      <c r="P1976" s="15"/>
      <c r="Q1976" s="71"/>
      <c r="R1976" s="84"/>
      <c r="S1976" s="10"/>
      <c r="T1976" s="10"/>
      <c r="U1976" s="10"/>
      <c r="V1976" s="10"/>
      <c r="W1976" s="138"/>
      <c r="Y1976"/>
      <c r="Z1976"/>
      <c r="AA1976"/>
      <c r="AB1976"/>
      <c r="AC1976"/>
      <c r="AD1976"/>
      <c r="AE1976"/>
      <c r="AF1976"/>
      <c r="AG1976"/>
      <c r="AH1976"/>
      <c r="AI1976"/>
      <c r="AJ1976"/>
      <c r="AK1976"/>
      <c r="AL1976"/>
      <c r="AM1976"/>
      <c r="AN1976"/>
      <c r="AO1976"/>
    </row>
    <row r="1977" spans="1:41" ht="15">
      <c r="A1977"/>
      <c r="B1977"/>
      <c r="C1977" s="137"/>
      <c r="D1977" s="30"/>
      <c r="E1977" s="30"/>
      <c r="F1977" s="10"/>
      <c r="G1977" s="10"/>
      <c r="H1977" s="15"/>
      <c r="I1977" s="15"/>
      <c r="J1977" s="15"/>
      <c r="K1977" s="15"/>
      <c r="L1977" s="15"/>
      <c r="M1977" s="15"/>
      <c r="N1977" s="15"/>
      <c r="O1977" s="15"/>
      <c r="P1977" s="15"/>
      <c r="Q1977" s="71"/>
      <c r="R1977" s="84"/>
      <c r="S1977" s="10"/>
      <c r="T1977" s="10"/>
      <c r="U1977" s="10"/>
      <c r="V1977" s="10"/>
      <c r="W1977" s="138"/>
      <c r="Y1977"/>
      <c r="Z1977"/>
      <c r="AA1977"/>
      <c r="AB1977"/>
      <c r="AC1977"/>
      <c r="AD1977"/>
      <c r="AE1977"/>
      <c r="AF1977"/>
      <c r="AG1977"/>
      <c r="AH1977"/>
      <c r="AI1977"/>
      <c r="AJ1977"/>
      <c r="AK1977"/>
      <c r="AL1977"/>
      <c r="AM1977"/>
      <c r="AN1977"/>
      <c r="AO1977"/>
    </row>
    <row r="1978" spans="1:41" ht="15">
      <c r="A1978"/>
      <c r="B1978"/>
      <c r="C1978" s="137"/>
      <c r="D1978" s="30"/>
      <c r="E1978" s="30"/>
      <c r="F1978" s="10"/>
      <c r="G1978" s="10"/>
      <c r="H1978" s="15"/>
      <c r="I1978" s="15"/>
      <c r="J1978" s="15"/>
      <c r="K1978" s="15"/>
      <c r="L1978" s="15"/>
      <c r="M1978" s="15"/>
      <c r="N1978" s="15"/>
      <c r="O1978" s="15"/>
      <c r="P1978" s="15"/>
      <c r="Q1978" s="71"/>
      <c r="R1978" s="84"/>
      <c r="S1978" s="10"/>
      <c r="T1978" s="10"/>
      <c r="U1978" s="10"/>
      <c r="V1978" s="10"/>
      <c r="W1978" s="138"/>
      <c r="Y1978"/>
      <c r="Z1978"/>
      <c r="AA1978"/>
      <c r="AB1978"/>
      <c r="AC1978"/>
      <c r="AD1978"/>
      <c r="AE1978"/>
      <c r="AF1978"/>
      <c r="AG1978"/>
      <c r="AH1978"/>
      <c r="AI1978"/>
      <c r="AJ1978"/>
      <c r="AK1978"/>
      <c r="AL1978"/>
      <c r="AM1978"/>
      <c r="AN1978"/>
      <c r="AO1978"/>
    </row>
    <row r="1979" spans="1:41" ht="15">
      <c r="A1979"/>
      <c r="B1979"/>
      <c r="C1979" s="137"/>
      <c r="D1979" s="30"/>
      <c r="E1979" s="30"/>
      <c r="F1979" s="10"/>
      <c r="G1979" s="10"/>
      <c r="H1979" s="15"/>
      <c r="I1979" s="15"/>
      <c r="J1979" s="15"/>
      <c r="K1979" s="15"/>
      <c r="L1979" s="15"/>
      <c r="M1979" s="15"/>
      <c r="N1979" s="15"/>
      <c r="O1979" s="15"/>
      <c r="P1979" s="15"/>
      <c r="Q1979" s="71"/>
      <c r="R1979" s="84"/>
      <c r="S1979" s="10"/>
      <c r="T1979" s="10"/>
      <c r="U1979" s="10"/>
      <c r="V1979" s="10"/>
      <c r="W1979" s="138"/>
      <c r="Y1979"/>
      <c r="Z1979"/>
      <c r="AA1979"/>
      <c r="AB1979"/>
      <c r="AC1979"/>
      <c r="AD1979"/>
      <c r="AE1979"/>
      <c r="AF1979"/>
      <c r="AG1979"/>
      <c r="AH1979"/>
      <c r="AI1979"/>
      <c r="AJ1979"/>
      <c r="AK1979"/>
      <c r="AL1979"/>
      <c r="AM1979"/>
      <c r="AN1979"/>
      <c r="AO1979"/>
    </row>
    <row r="1980" spans="1:41" ht="15">
      <c r="A1980"/>
      <c r="B1980"/>
      <c r="C1980" s="137"/>
      <c r="D1980" s="30"/>
      <c r="E1980" s="30"/>
      <c r="F1980" s="10"/>
      <c r="G1980" s="10"/>
      <c r="H1980" s="15"/>
      <c r="I1980" s="15"/>
      <c r="J1980" s="15"/>
      <c r="K1980" s="15"/>
      <c r="L1980" s="15"/>
      <c r="M1980" s="15"/>
      <c r="N1980" s="15"/>
      <c r="O1980" s="15"/>
      <c r="P1980" s="15"/>
      <c r="Q1980" s="71"/>
      <c r="R1980" s="84"/>
      <c r="S1980" s="10"/>
      <c r="T1980" s="10"/>
      <c r="U1980" s="10"/>
      <c r="V1980" s="10"/>
      <c r="W1980" s="138"/>
      <c r="Y1980"/>
      <c r="Z1980"/>
      <c r="AA1980"/>
      <c r="AB1980"/>
      <c r="AC1980"/>
      <c r="AD1980"/>
      <c r="AE1980"/>
      <c r="AF1980"/>
      <c r="AG1980"/>
      <c r="AH1980"/>
      <c r="AI1980"/>
      <c r="AJ1980"/>
      <c r="AK1980"/>
      <c r="AL1980"/>
      <c r="AM1980"/>
      <c r="AN1980"/>
      <c r="AO1980"/>
    </row>
    <row r="1981" spans="1:41" ht="15">
      <c r="A1981"/>
      <c r="B1981"/>
      <c r="C1981" s="137"/>
      <c r="D1981" s="30"/>
      <c r="E1981" s="30"/>
      <c r="F1981" s="10"/>
      <c r="G1981" s="10"/>
      <c r="H1981" s="15"/>
      <c r="I1981" s="15"/>
      <c r="J1981" s="15"/>
      <c r="K1981" s="15"/>
      <c r="L1981" s="15"/>
      <c r="M1981" s="15"/>
      <c r="N1981" s="15"/>
      <c r="O1981" s="15"/>
      <c r="P1981" s="15"/>
      <c r="Q1981" s="71"/>
      <c r="R1981" s="84"/>
      <c r="S1981" s="10"/>
      <c r="T1981" s="10"/>
      <c r="U1981" s="10"/>
      <c r="V1981" s="10"/>
      <c r="W1981" s="138"/>
      <c r="Y1981"/>
      <c r="Z1981"/>
      <c r="AA1981"/>
      <c r="AB1981"/>
      <c r="AC1981"/>
      <c r="AD1981"/>
      <c r="AE1981"/>
      <c r="AF1981"/>
      <c r="AG1981"/>
      <c r="AH1981"/>
      <c r="AI1981"/>
      <c r="AJ1981"/>
      <c r="AK1981"/>
      <c r="AL1981"/>
      <c r="AM1981"/>
      <c r="AN1981"/>
      <c r="AO1981"/>
    </row>
    <row r="1982" spans="1:41" ht="15">
      <c r="A1982"/>
      <c r="B1982"/>
      <c r="C1982" s="137"/>
      <c r="D1982" s="30"/>
      <c r="E1982" s="30"/>
      <c r="F1982" s="10"/>
      <c r="G1982" s="10"/>
      <c r="H1982" s="15"/>
      <c r="I1982" s="15"/>
      <c r="J1982" s="15"/>
      <c r="K1982" s="15"/>
      <c r="L1982" s="15"/>
      <c r="M1982" s="15"/>
      <c r="N1982" s="15"/>
      <c r="O1982" s="15"/>
      <c r="P1982" s="15"/>
      <c r="Q1982" s="71"/>
      <c r="R1982" s="84"/>
      <c r="S1982" s="10"/>
      <c r="T1982" s="10"/>
      <c r="U1982" s="10"/>
      <c r="V1982" s="10"/>
      <c r="W1982" s="138"/>
      <c r="Y1982"/>
      <c r="Z1982"/>
      <c r="AA1982"/>
      <c r="AB1982"/>
      <c r="AC1982"/>
      <c r="AD1982"/>
      <c r="AE1982"/>
      <c r="AF1982"/>
      <c r="AG1982"/>
      <c r="AH1982"/>
      <c r="AI1982"/>
      <c r="AJ1982"/>
      <c r="AK1982"/>
      <c r="AL1982"/>
      <c r="AM1982"/>
      <c r="AN1982"/>
      <c r="AO1982"/>
    </row>
    <row r="1983" spans="1:41" ht="15">
      <c r="A1983"/>
      <c r="B1983"/>
      <c r="C1983" s="137"/>
      <c r="D1983" s="30"/>
      <c r="E1983" s="30"/>
      <c r="F1983" s="10"/>
      <c r="G1983" s="10"/>
      <c r="H1983" s="15"/>
      <c r="I1983" s="15"/>
      <c r="J1983" s="15"/>
      <c r="K1983" s="15"/>
      <c r="L1983" s="15"/>
      <c r="M1983" s="15"/>
      <c r="N1983" s="15"/>
      <c r="O1983" s="15"/>
      <c r="P1983" s="15"/>
      <c r="Q1983" s="71"/>
      <c r="R1983" s="84"/>
      <c r="S1983" s="10"/>
      <c r="T1983" s="10"/>
      <c r="U1983" s="10"/>
      <c r="V1983" s="10"/>
      <c r="W1983" s="138"/>
      <c r="Y1983"/>
      <c r="Z1983"/>
      <c r="AA1983"/>
      <c r="AB1983"/>
      <c r="AC1983"/>
      <c r="AD1983"/>
      <c r="AE1983"/>
      <c r="AF1983"/>
      <c r="AG1983"/>
      <c r="AH1983"/>
      <c r="AI1983"/>
      <c r="AJ1983"/>
      <c r="AK1983"/>
      <c r="AL1983"/>
      <c r="AM1983"/>
      <c r="AN1983"/>
      <c r="AO1983"/>
    </row>
    <row r="1984" spans="1:41" ht="15">
      <c r="A1984"/>
      <c r="B1984"/>
      <c r="C1984" s="137"/>
      <c r="D1984" s="30"/>
      <c r="E1984" s="30"/>
      <c r="F1984" s="10"/>
      <c r="G1984" s="10"/>
      <c r="H1984" s="15"/>
      <c r="I1984" s="15"/>
      <c r="J1984" s="15"/>
      <c r="K1984" s="15"/>
      <c r="L1984" s="15"/>
      <c r="M1984" s="15"/>
      <c r="N1984" s="15"/>
      <c r="O1984" s="15"/>
      <c r="P1984" s="15"/>
      <c r="Q1984" s="71"/>
      <c r="R1984" s="84"/>
      <c r="S1984" s="10"/>
      <c r="T1984" s="10"/>
      <c r="U1984" s="10"/>
      <c r="V1984" s="10"/>
      <c r="W1984" s="138"/>
      <c r="Y1984"/>
      <c r="Z1984"/>
      <c r="AA1984"/>
      <c r="AB1984"/>
      <c r="AC1984"/>
      <c r="AD1984"/>
      <c r="AE1984"/>
      <c r="AF1984"/>
      <c r="AG1984"/>
      <c r="AH1984"/>
      <c r="AI1984"/>
      <c r="AJ1984"/>
      <c r="AK1984"/>
      <c r="AL1984"/>
      <c r="AM1984"/>
      <c r="AN1984"/>
      <c r="AO1984"/>
    </row>
    <row r="1985" spans="1:41" ht="15">
      <c r="A1985"/>
      <c r="B1985"/>
      <c r="C1985" s="137"/>
      <c r="D1985" s="30"/>
      <c r="E1985" s="30"/>
      <c r="F1985" s="10"/>
      <c r="G1985" s="10"/>
      <c r="H1985" s="15"/>
      <c r="I1985" s="15"/>
      <c r="J1985" s="15"/>
      <c r="K1985" s="15"/>
      <c r="L1985" s="15"/>
      <c r="M1985" s="15"/>
      <c r="N1985" s="15"/>
      <c r="O1985" s="15"/>
      <c r="P1985" s="15"/>
      <c r="Q1985" s="71"/>
      <c r="R1985" s="84"/>
      <c r="S1985" s="10"/>
      <c r="T1985" s="10"/>
      <c r="U1985" s="10"/>
      <c r="V1985" s="10"/>
      <c r="W1985" s="138"/>
      <c r="Y1985"/>
      <c r="Z1985"/>
      <c r="AA1985"/>
      <c r="AB1985"/>
      <c r="AC1985"/>
      <c r="AD1985"/>
      <c r="AE1985"/>
      <c r="AF1985"/>
      <c r="AG1985"/>
      <c r="AH1985"/>
      <c r="AI1985"/>
      <c r="AJ1985"/>
      <c r="AK1985"/>
      <c r="AL1985"/>
      <c r="AM1985"/>
      <c r="AN1985"/>
      <c r="AO1985"/>
    </row>
    <row r="1986" spans="1:41" ht="15">
      <c r="A1986"/>
      <c r="B1986"/>
      <c r="C1986" s="137"/>
      <c r="D1986" s="30"/>
      <c r="E1986" s="30"/>
      <c r="F1986" s="10"/>
      <c r="G1986" s="10"/>
      <c r="H1986" s="15"/>
      <c r="I1986" s="15"/>
      <c r="J1986" s="15"/>
      <c r="K1986" s="15"/>
      <c r="L1986" s="15"/>
      <c r="M1986" s="15"/>
      <c r="N1986" s="15"/>
      <c r="O1986" s="15"/>
      <c r="P1986" s="15"/>
      <c r="Q1986" s="71"/>
      <c r="R1986" s="84"/>
      <c r="S1986" s="10"/>
      <c r="T1986" s="10"/>
      <c r="U1986" s="10"/>
      <c r="V1986" s="10"/>
      <c r="W1986" s="138"/>
      <c r="Y1986"/>
      <c r="Z1986"/>
      <c r="AA1986"/>
      <c r="AB1986"/>
      <c r="AC1986"/>
      <c r="AD1986"/>
      <c r="AE1986"/>
      <c r="AF1986"/>
      <c r="AG1986"/>
      <c r="AH1986"/>
      <c r="AI1986"/>
      <c r="AJ1986"/>
      <c r="AK1986"/>
      <c r="AL1986"/>
      <c r="AM1986"/>
      <c r="AN1986"/>
      <c r="AO1986"/>
    </row>
    <row r="1987" spans="1:41" ht="15">
      <c r="A1987"/>
      <c r="B1987"/>
      <c r="C1987" s="137"/>
      <c r="D1987" s="30"/>
      <c r="E1987" s="30"/>
      <c r="F1987" s="10"/>
      <c r="G1987" s="10"/>
      <c r="H1987" s="15"/>
      <c r="I1987" s="15"/>
      <c r="J1987" s="15"/>
      <c r="K1987" s="15"/>
      <c r="L1987" s="15"/>
      <c r="M1987" s="15"/>
      <c r="N1987" s="15"/>
      <c r="O1987" s="15"/>
      <c r="P1987" s="15"/>
      <c r="Q1987" s="71"/>
      <c r="R1987" s="84"/>
      <c r="S1987" s="10"/>
      <c r="T1987" s="10"/>
      <c r="U1987" s="10"/>
      <c r="V1987" s="10"/>
      <c r="W1987" s="138"/>
      <c r="Y1987"/>
      <c r="Z1987"/>
      <c r="AA1987"/>
      <c r="AB1987"/>
      <c r="AC1987"/>
      <c r="AD1987"/>
      <c r="AE1987"/>
      <c r="AF1987"/>
      <c r="AG1987"/>
      <c r="AH1987"/>
      <c r="AI1987"/>
      <c r="AJ1987"/>
      <c r="AK1987"/>
      <c r="AL1987"/>
      <c r="AM1987"/>
      <c r="AN1987"/>
      <c r="AO1987"/>
    </row>
    <row r="1988" spans="1:41" ht="15">
      <c r="A1988"/>
      <c r="B1988"/>
      <c r="C1988" s="137"/>
      <c r="D1988" s="30"/>
      <c r="E1988" s="30"/>
      <c r="F1988" s="10"/>
      <c r="G1988" s="10"/>
      <c r="H1988" s="15"/>
      <c r="I1988" s="15"/>
      <c r="J1988" s="15"/>
      <c r="K1988" s="15"/>
      <c r="L1988" s="15"/>
      <c r="M1988" s="15"/>
      <c r="N1988" s="15"/>
      <c r="O1988" s="15"/>
      <c r="P1988" s="15"/>
      <c r="Q1988" s="71"/>
      <c r="R1988" s="84"/>
      <c r="S1988" s="10"/>
      <c r="T1988" s="10"/>
      <c r="U1988" s="10"/>
      <c r="V1988" s="10"/>
      <c r="W1988" s="138"/>
      <c r="Y1988"/>
      <c r="Z1988"/>
      <c r="AA1988"/>
      <c r="AB1988"/>
      <c r="AC1988"/>
      <c r="AD1988"/>
      <c r="AE1988"/>
      <c r="AF1988"/>
      <c r="AG1988"/>
      <c r="AH1988"/>
      <c r="AI1988"/>
      <c r="AJ1988"/>
      <c r="AK1988"/>
      <c r="AL1988"/>
      <c r="AM1988"/>
      <c r="AN1988"/>
      <c r="AO1988"/>
    </row>
    <row r="1989" spans="1:41" ht="15">
      <c r="A1989"/>
      <c r="B1989"/>
      <c r="C1989" s="137"/>
      <c r="D1989" s="30"/>
      <c r="E1989" s="30"/>
      <c r="F1989" s="10"/>
      <c r="G1989" s="10"/>
      <c r="H1989" s="15"/>
      <c r="I1989" s="15"/>
      <c r="J1989" s="15"/>
      <c r="K1989" s="15"/>
      <c r="L1989" s="15"/>
      <c r="M1989" s="15"/>
      <c r="N1989" s="15"/>
      <c r="O1989" s="15"/>
      <c r="P1989" s="15"/>
      <c r="Q1989" s="71"/>
      <c r="R1989" s="84"/>
      <c r="S1989" s="10"/>
      <c r="T1989" s="10"/>
      <c r="U1989" s="10"/>
      <c r="V1989" s="10"/>
      <c r="W1989" s="138"/>
      <c r="Y1989"/>
      <c r="Z1989"/>
      <c r="AA1989"/>
      <c r="AB1989"/>
      <c r="AC1989"/>
      <c r="AD1989"/>
      <c r="AE1989"/>
      <c r="AF1989"/>
      <c r="AG1989"/>
      <c r="AH1989"/>
      <c r="AI1989"/>
      <c r="AJ1989"/>
      <c r="AK1989"/>
      <c r="AL1989"/>
      <c r="AM1989"/>
      <c r="AN1989"/>
      <c r="AO1989"/>
    </row>
    <row r="1990" spans="1:41" ht="15">
      <c r="A1990"/>
      <c r="B1990"/>
      <c r="C1990" s="137"/>
      <c r="D1990" s="30"/>
      <c r="E1990" s="30"/>
      <c r="F1990" s="10"/>
      <c r="G1990" s="10"/>
      <c r="H1990" s="15"/>
      <c r="I1990" s="15"/>
      <c r="J1990" s="15"/>
      <c r="K1990" s="15"/>
      <c r="L1990" s="15"/>
      <c r="M1990" s="15"/>
      <c r="N1990" s="15"/>
      <c r="O1990" s="15"/>
      <c r="P1990" s="15"/>
      <c r="Q1990" s="71"/>
      <c r="R1990" s="84"/>
      <c r="S1990" s="10"/>
      <c r="T1990" s="10"/>
      <c r="U1990" s="10"/>
      <c r="V1990" s="10"/>
      <c r="W1990" s="138"/>
      <c r="Y1990"/>
      <c r="Z1990"/>
      <c r="AA1990"/>
      <c r="AB1990"/>
      <c r="AC1990"/>
      <c r="AD1990"/>
      <c r="AE1990"/>
      <c r="AF1990"/>
      <c r="AG1990"/>
      <c r="AH1990"/>
      <c r="AI1990"/>
      <c r="AJ1990"/>
      <c r="AK1990"/>
      <c r="AL1990"/>
      <c r="AM1990"/>
      <c r="AN1990"/>
      <c r="AO1990"/>
    </row>
    <row r="1991" spans="1:41" ht="15">
      <c r="A1991"/>
      <c r="B1991"/>
      <c r="C1991" s="137"/>
      <c r="D1991" s="30"/>
      <c r="E1991" s="30"/>
      <c r="F1991" s="10"/>
      <c r="G1991" s="10"/>
      <c r="H1991" s="15"/>
      <c r="I1991" s="15"/>
      <c r="J1991" s="15"/>
      <c r="K1991" s="15"/>
      <c r="L1991" s="15"/>
      <c r="M1991" s="15"/>
      <c r="N1991" s="15"/>
      <c r="O1991" s="15"/>
      <c r="P1991" s="15"/>
      <c r="Q1991" s="71"/>
      <c r="R1991" s="84"/>
      <c r="S1991" s="10"/>
      <c r="T1991" s="10"/>
      <c r="U1991" s="10"/>
      <c r="V1991" s="10"/>
      <c r="W1991" s="138"/>
      <c r="Y1991"/>
      <c r="Z1991"/>
      <c r="AA1991"/>
      <c r="AB1991"/>
      <c r="AC1991"/>
      <c r="AD1991"/>
      <c r="AE1991"/>
      <c r="AF1991"/>
      <c r="AG1991"/>
      <c r="AH1991"/>
      <c r="AI1991"/>
      <c r="AJ1991"/>
      <c r="AK1991"/>
      <c r="AL1991"/>
      <c r="AM1991"/>
      <c r="AN1991"/>
      <c r="AO1991"/>
    </row>
    <row r="1992" spans="1:41" ht="15">
      <c r="A1992"/>
      <c r="B1992"/>
      <c r="C1992" s="137"/>
      <c r="D1992" s="30"/>
      <c r="E1992" s="30"/>
      <c r="F1992" s="10"/>
      <c r="G1992" s="10"/>
      <c r="H1992" s="15"/>
      <c r="I1992" s="15"/>
      <c r="J1992" s="15"/>
      <c r="K1992" s="15"/>
      <c r="L1992" s="15"/>
      <c r="M1992" s="15"/>
      <c r="N1992" s="15"/>
      <c r="O1992" s="15"/>
      <c r="P1992" s="15"/>
      <c r="Q1992" s="71"/>
      <c r="R1992" s="84"/>
      <c r="S1992" s="10"/>
      <c r="T1992" s="10"/>
      <c r="U1992" s="10"/>
      <c r="V1992" s="10"/>
      <c r="W1992" s="138"/>
      <c r="Y1992"/>
      <c r="Z1992"/>
      <c r="AA1992"/>
      <c r="AB1992"/>
      <c r="AC1992"/>
      <c r="AD1992"/>
      <c r="AE1992"/>
      <c r="AF1992"/>
      <c r="AG1992"/>
      <c r="AH1992"/>
      <c r="AI1992"/>
      <c r="AJ1992"/>
      <c r="AK1992"/>
      <c r="AL1992"/>
      <c r="AM1992"/>
      <c r="AN1992"/>
      <c r="AO1992"/>
    </row>
    <row r="1993" spans="1:41" ht="15">
      <c r="A1993"/>
      <c r="B1993"/>
      <c r="C1993" s="137"/>
      <c r="D1993" s="30"/>
      <c r="E1993" s="30"/>
      <c r="F1993" s="10"/>
      <c r="G1993" s="10"/>
      <c r="H1993" s="15"/>
      <c r="I1993" s="15"/>
      <c r="J1993" s="15"/>
      <c r="K1993" s="15"/>
      <c r="L1993" s="15"/>
      <c r="M1993" s="15"/>
      <c r="N1993" s="15"/>
      <c r="O1993" s="15"/>
      <c r="P1993" s="15"/>
      <c r="Q1993" s="71"/>
      <c r="R1993" s="84"/>
      <c r="S1993" s="10"/>
      <c r="T1993" s="10"/>
      <c r="U1993" s="10"/>
      <c r="V1993" s="10"/>
      <c r="W1993" s="138"/>
      <c r="Y1993"/>
      <c r="Z1993"/>
      <c r="AA1993"/>
      <c r="AB1993"/>
      <c r="AC1993"/>
      <c r="AD1993"/>
      <c r="AE1993"/>
      <c r="AF1993"/>
      <c r="AG1993"/>
      <c r="AH1993"/>
      <c r="AI1993"/>
      <c r="AJ1993"/>
      <c r="AK1993"/>
      <c r="AL1993"/>
      <c r="AM1993"/>
      <c r="AN1993"/>
      <c r="AO1993"/>
    </row>
    <row r="1994" spans="1:41" ht="15">
      <c r="A1994"/>
      <c r="B1994"/>
      <c r="C1994" s="137"/>
      <c r="D1994" s="30"/>
      <c r="E1994" s="30"/>
      <c r="F1994" s="10"/>
      <c r="G1994" s="10"/>
      <c r="H1994" s="15"/>
      <c r="I1994" s="15"/>
      <c r="J1994" s="15"/>
      <c r="K1994" s="15"/>
      <c r="L1994" s="15"/>
      <c r="M1994" s="15"/>
      <c r="N1994" s="15"/>
      <c r="O1994" s="15"/>
      <c r="P1994" s="15"/>
      <c r="Q1994" s="71"/>
      <c r="R1994" s="84"/>
      <c r="S1994" s="10"/>
      <c r="T1994" s="10"/>
      <c r="U1994" s="10"/>
      <c r="V1994" s="10"/>
      <c r="W1994" s="138"/>
      <c r="Y1994"/>
      <c r="Z1994"/>
      <c r="AA1994"/>
      <c r="AB1994"/>
      <c r="AC1994"/>
      <c r="AD1994"/>
      <c r="AE1994"/>
      <c r="AF1994"/>
      <c r="AG1994"/>
      <c r="AH1994"/>
      <c r="AI1994"/>
      <c r="AJ1994"/>
      <c r="AK1994"/>
      <c r="AL1994"/>
      <c r="AM1994"/>
      <c r="AN1994"/>
      <c r="AO1994"/>
    </row>
    <row r="1995" spans="1:41" ht="15">
      <c r="A1995"/>
      <c r="B1995"/>
      <c r="C1995" s="137"/>
      <c r="D1995" s="30"/>
      <c r="E1995" s="30"/>
      <c r="F1995" s="10"/>
      <c r="G1995" s="10"/>
      <c r="H1995" s="15"/>
      <c r="I1995" s="15"/>
      <c r="J1995" s="15"/>
      <c r="K1995" s="15"/>
      <c r="L1995" s="15"/>
      <c r="M1995" s="15"/>
      <c r="N1995" s="15"/>
      <c r="O1995" s="15"/>
      <c r="P1995" s="15"/>
      <c r="Q1995" s="71"/>
      <c r="R1995" s="84"/>
      <c r="S1995" s="10"/>
      <c r="T1995" s="10"/>
      <c r="U1995" s="10"/>
      <c r="V1995" s="10"/>
      <c r="W1995" s="138"/>
      <c r="Y1995"/>
      <c r="Z1995"/>
      <c r="AA1995"/>
      <c r="AB1995"/>
      <c r="AC1995"/>
      <c r="AD1995"/>
      <c r="AE1995"/>
      <c r="AF1995"/>
      <c r="AG1995"/>
      <c r="AH1995"/>
      <c r="AI1995"/>
      <c r="AJ1995"/>
      <c r="AK1995"/>
      <c r="AL1995"/>
      <c r="AM1995"/>
      <c r="AN1995"/>
      <c r="AO1995"/>
    </row>
    <row r="1996" spans="1:41" ht="15">
      <c r="A1996"/>
      <c r="B1996"/>
      <c r="C1996" s="137"/>
      <c r="D1996" s="30"/>
      <c r="E1996" s="30"/>
      <c r="F1996" s="10"/>
      <c r="G1996" s="10"/>
      <c r="H1996" s="15"/>
      <c r="I1996" s="15"/>
      <c r="J1996" s="15"/>
      <c r="K1996" s="15"/>
      <c r="L1996" s="15"/>
      <c r="M1996" s="15"/>
      <c r="N1996" s="15"/>
      <c r="O1996" s="15"/>
      <c r="P1996" s="15"/>
      <c r="Q1996" s="71"/>
      <c r="R1996" s="84"/>
      <c r="S1996" s="10"/>
      <c r="T1996" s="10"/>
      <c r="U1996" s="10"/>
      <c r="V1996" s="10"/>
      <c r="W1996" s="138"/>
      <c r="Y1996"/>
      <c r="Z1996"/>
      <c r="AA1996"/>
      <c r="AB1996"/>
      <c r="AC1996"/>
      <c r="AD1996"/>
      <c r="AE1996"/>
      <c r="AF1996"/>
      <c r="AG1996"/>
      <c r="AH1996"/>
      <c r="AI1996"/>
      <c r="AJ1996"/>
      <c r="AK1996"/>
      <c r="AL1996"/>
      <c r="AM1996"/>
      <c r="AN1996"/>
      <c r="AO1996"/>
    </row>
    <row r="1997" spans="1:41" ht="15">
      <c r="A1997"/>
      <c r="B1997"/>
      <c r="C1997" s="137"/>
      <c r="D1997" s="30"/>
      <c r="E1997" s="30"/>
      <c r="F1997" s="10"/>
      <c r="G1997" s="10"/>
      <c r="H1997" s="15"/>
      <c r="I1997" s="15"/>
      <c r="J1997" s="15"/>
      <c r="K1997" s="15"/>
      <c r="L1997" s="15"/>
      <c r="M1997" s="15"/>
      <c r="N1997" s="15"/>
      <c r="O1997" s="15"/>
      <c r="P1997" s="15"/>
      <c r="Q1997" s="71"/>
      <c r="R1997" s="84"/>
      <c r="S1997" s="10"/>
      <c r="T1997" s="10"/>
      <c r="U1997" s="10"/>
      <c r="V1997" s="10"/>
      <c r="W1997" s="138"/>
      <c r="Y1997"/>
      <c r="Z1997"/>
      <c r="AA1997"/>
      <c r="AB1997"/>
      <c r="AC1997"/>
      <c r="AD1997"/>
      <c r="AE1997"/>
      <c r="AF1997"/>
      <c r="AG1997"/>
      <c r="AH1997"/>
      <c r="AI1997"/>
      <c r="AJ1997"/>
      <c r="AK1997"/>
      <c r="AL1997"/>
      <c r="AM1997"/>
      <c r="AN1997"/>
      <c r="AO1997"/>
    </row>
    <row r="1998" spans="1:41" ht="15">
      <c r="A1998"/>
      <c r="B1998"/>
      <c r="C1998" s="137"/>
      <c r="D1998" s="30"/>
      <c r="E1998" s="30"/>
      <c r="F1998" s="10"/>
      <c r="G1998" s="10"/>
      <c r="H1998" s="15"/>
      <c r="I1998" s="15"/>
      <c r="J1998" s="15"/>
      <c r="K1998" s="15"/>
      <c r="L1998" s="15"/>
      <c r="M1998" s="15"/>
      <c r="N1998" s="15"/>
      <c r="O1998" s="15"/>
      <c r="P1998" s="15"/>
      <c r="Q1998" s="71"/>
      <c r="R1998" s="84"/>
      <c r="S1998" s="10"/>
      <c r="T1998" s="10"/>
      <c r="U1998" s="10"/>
      <c r="V1998" s="10"/>
      <c r="W1998" s="138"/>
      <c r="Y1998"/>
      <c r="Z1998"/>
      <c r="AA1998"/>
      <c r="AB1998"/>
      <c r="AC1998"/>
      <c r="AD1998"/>
      <c r="AE1998"/>
      <c r="AF1998"/>
      <c r="AG1998"/>
      <c r="AH1998"/>
      <c r="AI1998"/>
      <c r="AJ1998"/>
      <c r="AK1998"/>
      <c r="AL1998"/>
      <c r="AM1998"/>
      <c r="AN1998"/>
      <c r="AO1998"/>
    </row>
    <row r="1999" spans="1:41" ht="15">
      <c r="A1999"/>
      <c r="B1999"/>
      <c r="C1999" s="137"/>
      <c r="D1999" s="30"/>
      <c r="E1999" s="30"/>
      <c r="F1999" s="10"/>
      <c r="G1999" s="10"/>
      <c r="H1999" s="15"/>
      <c r="I1999" s="15"/>
      <c r="J1999" s="15"/>
      <c r="K1999" s="15"/>
      <c r="L1999" s="15"/>
      <c r="M1999" s="15"/>
      <c r="N1999" s="15"/>
      <c r="O1999" s="15"/>
      <c r="P1999" s="15"/>
      <c r="Q1999" s="71"/>
      <c r="R1999" s="84"/>
      <c r="S1999" s="10"/>
      <c r="T1999" s="10"/>
      <c r="U1999" s="10"/>
      <c r="V1999" s="10"/>
      <c r="W1999" s="138"/>
      <c r="Y1999"/>
      <c r="Z1999"/>
      <c r="AA1999"/>
      <c r="AB1999"/>
      <c r="AC1999"/>
      <c r="AD1999"/>
      <c r="AE1999"/>
      <c r="AF1999"/>
      <c r="AG1999"/>
      <c r="AH1999"/>
      <c r="AI1999"/>
      <c r="AJ1999"/>
      <c r="AK1999"/>
      <c r="AL1999"/>
      <c r="AM1999"/>
      <c r="AN1999"/>
      <c r="AO1999"/>
    </row>
    <row r="2000" spans="1:41" ht="15">
      <c r="A2000"/>
      <c r="B2000"/>
      <c r="C2000" s="137"/>
      <c r="D2000" s="30"/>
      <c r="E2000" s="30"/>
      <c r="F2000" s="10"/>
      <c r="G2000" s="10"/>
      <c r="H2000" s="15"/>
      <c r="I2000" s="15"/>
      <c r="J2000" s="15"/>
      <c r="K2000" s="15"/>
      <c r="L2000" s="15"/>
      <c r="M2000" s="15"/>
      <c r="N2000" s="15"/>
      <c r="O2000" s="15"/>
      <c r="P2000" s="15"/>
      <c r="Q2000" s="71"/>
      <c r="R2000" s="84"/>
      <c r="S2000" s="10"/>
      <c r="T2000" s="10"/>
      <c r="U2000" s="10"/>
      <c r="V2000" s="10"/>
      <c r="W2000" s="138"/>
      <c r="Y2000"/>
      <c r="Z2000"/>
      <c r="AA2000"/>
      <c r="AB2000"/>
      <c r="AC2000"/>
      <c r="AD2000"/>
      <c r="AE2000"/>
      <c r="AF2000"/>
      <c r="AG2000"/>
      <c r="AH2000"/>
      <c r="AI2000"/>
      <c r="AJ2000"/>
      <c r="AK2000"/>
      <c r="AL2000"/>
      <c r="AM2000"/>
      <c r="AN2000"/>
      <c r="AO2000"/>
    </row>
    <row r="2001" spans="1:41" ht="15">
      <c r="A2001"/>
      <c r="B2001"/>
      <c r="C2001" s="137"/>
      <c r="D2001" s="30"/>
      <c r="E2001" s="30"/>
      <c r="F2001" s="10"/>
      <c r="G2001" s="10"/>
      <c r="H2001" s="15"/>
      <c r="I2001" s="15"/>
      <c r="J2001" s="15"/>
      <c r="K2001" s="15"/>
      <c r="L2001" s="15"/>
      <c r="M2001" s="15"/>
      <c r="N2001" s="15"/>
      <c r="O2001" s="15"/>
      <c r="P2001" s="15"/>
      <c r="Q2001" s="71"/>
      <c r="R2001" s="84"/>
      <c r="S2001" s="10"/>
      <c r="T2001" s="10"/>
      <c r="U2001" s="10"/>
      <c r="V2001" s="10"/>
      <c r="W2001" s="138"/>
      <c r="Y2001"/>
      <c r="Z2001"/>
      <c r="AA2001"/>
      <c r="AB2001"/>
      <c r="AC2001"/>
      <c r="AD2001"/>
      <c r="AE2001"/>
      <c r="AF2001"/>
      <c r="AG2001"/>
      <c r="AH2001"/>
      <c r="AI2001"/>
      <c r="AJ2001"/>
      <c r="AK2001"/>
      <c r="AL2001"/>
      <c r="AM2001"/>
      <c r="AN2001"/>
      <c r="AO2001"/>
    </row>
    <row r="2002" spans="1:41" ht="15">
      <c r="A2002"/>
      <c r="B2002"/>
      <c r="C2002" s="137"/>
      <c r="D2002" s="30"/>
      <c r="E2002" s="30"/>
      <c r="F2002" s="10"/>
      <c r="G2002" s="10"/>
      <c r="H2002" s="15"/>
      <c r="I2002" s="15"/>
      <c r="J2002" s="15"/>
      <c r="K2002" s="15"/>
      <c r="L2002" s="15"/>
      <c r="M2002" s="15"/>
      <c r="N2002" s="15"/>
      <c r="O2002" s="15"/>
      <c r="P2002" s="15"/>
      <c r="Q2002" s="71"/>
      <c r="R2002" s="84"/>
      <c r="S2002" s="10"/>
      <c r="T2002" s="10"/>
      <c r="U2002" s="10"/>
      <c r="V2002" s="10"/>
      <c r="W2002" s="138"/>
      <c r="Y2002"/>
      <c r="Z2002"/>
      <c r="AA2002"/>
      <c r="AB2002"/>
      <c r="AC2002"/>
      <c r="AD2002"/>
      <c r="AE2002"/>
      <c r="AF2002"/>
      <c r="AG2002"/>
      <c r="AH2002"/>
      <c r="AI2002"/>
      <c r="AJ2002"/>
      <c r="AK2002"/>
      <c r="AL2002"/>
      <c r="AM2002"/>
      <c r="AN2002"/>
      <c r="AO2002"/>
    </row>
    <row r="2003" spans="1:41" ht="15">
      <c r="A2003"/>
      <c r="B2003"/>
      <c r="C2003" s="137"/>
      <c r="D2003" s="30"/>
      <c r="E2003" s="30"/>
      <c r="F2003" s="10"/>
      <c r="G2003" s="10"/>
      <c r="H2003" s="15"/>
      <c r="I2003" s="15"/>
      <c r="J2003" s="15"/>
      <c r="K2003" s="15"/>
      <c r="L2003" s="15"/>
      <c r="M2003" s="15"/>
      <c r="N2003" s="15"/>
      <c r="O2003" s="15"/>
      <c r="P2003" s="15"/>
      <c r="Q2003" s="71"/>
      <c r="R2003" s="84"/>
      <c r="S2003" s="10"/>
      <c r="T2003" s="10"/>
      <c r="U2003" s="10"/>
      <c r="V2003" s="10"/>
      <c r="W2003" s="138"/>
      <c r="Y2003"/>
      <c r="Z2003"/>
      <c r="AA2003"/>
      <c r="AB2003"/>
      <c r="AC2003"/>
      <c r="AD2003"/>
      <c r="AE2003"/>
      <c r="AF2003"/>
      <c r="AG2003"/>
      <c r="AH2003"/>
      <c r="AI2003"/>
      <c r="AJ2003"/>
      <c r="AK2003"/>
      <c r="AL2003"/>
      <c r="AM2003"/>
      <c r="AN2003"/>
      <c r="AO2003"/>
    </row>
    <row r="2004" spans="1:41" ht="15">
      <c r="A2004"/>
      <c r="B2004"/>
      <c r="C2004" s="137"/>
      <c r="D2004" s="30"/>
      <c r="E2004" s="30"/>
      <c r="F2004" s="10"/>
      <c r="G2004" s="10"/>
      <c r="H2004" s="15"/>
      <c r="I2004" s="15"/>
      <c r="J2004" s="15"/>
      <c r="K2004" s="15"/>
      <c r="L2004" s="15"/>
      <c r="M2004" s="15"/>
      <c r="N2004" s="15"/>
      <c r="O2004" s="15"/>
      <c r="P2004" s="15"/>
      <c r="Q2004" s="71"/>
      <c r="R2004" s="84"/>
      <c r="S2004" s="10"/>
      <c r="T2004" s="10"/>
      <c r="U2004" s="10"/>
      <c r="V2004" s="10"/>
      <c r="W2004" s="138"/>
      <c r="Y2004"/>
      <c r="Z2004"/>
      <c r="AA2004"/>
      <c r="AB2004"/>
      <c r="AC2004"/>
      <c r="AD2004"/>
      <c r="AE2004"/>
      <c r="AF2004"/>
      <c r="AG2004"/>
      <c r="AH2004"/>
      <c r="AI2004"/>
      <c r="AJ2004"/>
      <c r="AK2004"/>
      <c r="AL2004"/>
      <c r="AM2004"/>
      <c r="AN2004"/>
      <c r="AO2004"/>
    </row>
    <row r="2005" spans="1:41" ht="15">
      <c r="A2005"/>
      <c r="B2005"/>
      <c r="C2005" s="137"/>
      <c r="D2005" s="30"/>
      <c r="E2005" s="30"/>
      <c r="F2005" s="10"/>
      <c r="G2005" s="10"/>
      <c r="H2005" s="15"/>
      <c r="I2005" s="15"/>
      <c r="J2005" s="15"/>
      <c r="K2005" s="15"/>
      <c r="L2005" s="15"/>
      <c r="M2005" s="15"/>
      <c r="N2005" s="15"/>
      <c r="O2005" s="15"/>
      <c r="P2005" s="15"/>
      <c r="Q2005" s="71"/>
      <c r="R2005" s="84"/>
      <c r="S2005" s="10"/>
      <c r="T2005" s="10"/>
      <c r="U2005" s="10"/>
      <c r="V2005" s="10"/>
      <c r="W2005" s="138"/>
      <c r="Y2005"/>
      <c r="Z2005"/>
      <c r="AA2005"/>
      <c r="AB2005"/>
      <c r="AC2005"/>
      <c r="AD2005"/>
      <c r="AE2005"/>
      <c r="AF2005"/>
      <c r="AG2005"/>
      <c r="AH2005"/>
      <c r="AI2005"/>
      <c r="AJ2005"/>
      <c r="AK2005"/>
      <c r="AL2005"/>
      <c r="AM2005"/>
      <c r="AN2005"/>
      <c r="AO2005"/>
    </row>
    <row r="2006" spans="1:41" ht="15">
      <c r="A2006"/>
      <c r="B2006"/>
      <c r="C2006" s="137"/>
      <c r="D2006" s="30"/>
      <c r="E2006" s="30"/>
      <c r="F2006" s="10"/>
      <c r="G2006" s="10"/>
      <c r="H2006" s="15"/>
      <c r="I2006" s="15"/>
      <c r="J2006" s="15"/>
      <c r="K2006" s="15"/>
      <c r="L2006" s="15"/>
      <c r="M2006" s="15"/>
      <c r="N2006" s="15"/>
      <c r="O2006" s="15"/>
      <c r="P2006" s="15"/>
      <c r="Q2006" s="71"/>
      <c r="R2006" s="84"/>
      <c r="S2006" s="10"/>
      <c r="T2006" s="10"/>
      <c r="U2006" s="10"/>
      <c r="V2006" s="10"/>
      <c r="W2006" s="138"/>
      <c r="Y2006"/>
      <c r="Z2006"/>
      <c r="AA2006"/>
      <c r="AB2006"/>
      <c r="AC2006"/>
      <c r="AD2006"/>
      <c r="AE2006"/>
      <c r="AF2006"/>
      <c r="AG2006"/>
      <c r="AH2006"/>
      <c r="AI2006"/>
      <c r="AJ2006"/>
      <c r="AK2006"/>
      <c r="AL2006"/>
      <c r="AM2006"/>
      <c r="AN2006"/>
      <c r="AO2006"/>
    </row>
    <row r="2007" spans="1:41" ht="15">
      <c r="A2007"/>
      <c r="B2007"/>
      <c r="C2007" s="137"/>
      <c r="D2007" s="30"/>
      <c r="E2007" s="30"/>
      <c r="F2007" s="10"/>
      <c r="G2007" s="10"/>
      <c r="H2007" s="15"/>
      <c r="I2007" s="15"/>
      <c r="J2007" s="15"/>
      <c r="K2007" s="15"/>
      <c r="L2007" s="15"/>
      <c r="M2007" s="15"/>
      <c r="N2007" s="15"/>
      <c r="O2007" s="15"/>
      <c r="P2007" s="15"/>
      <c r="Q2007" s="71"/>
      <c r="R2007" s="84"/>
      <c r="S2007" s="10"/>
      <c r="T2007" s="10"/>
      <c r="U2007" s="10"/>
      <c r="V2007" s="10"/>
      <c r="W2007" s="138"/>
      <c r="Y2007"/>
      <c r="Z2007"/>
      <c r="AA2007"/>
      <c r="AB2007"/>
      <c r="AC2007"/>
      <c r="AD2007"/>
      <c r="AE2007"/>
      <c r="AF2007"/>
      <c r="AG2007"/>
      <c r="AH2007"/>
      <c r="AI2007"/>
      <c r="AJ2007"/>
      <c r="AK2007"/>
      <c r="AL2007"/>
      <c r="AM2007"/>
      <c r="AN2007"/>
      <c r="AO2007"/>
    </row>
    <row r="2008" spans="1:41" ht="15">
      <c r="A2008"/>
      <c r="B2008"/>
      <c r="C2008" s="137"/>
      <c r="D2008" s="30"/>
      <c r="E2008" s="30"/>
      <c r="F2008" s="10"/>
      <c r="G2008" s="10"/>
      <c r="H2008" s="15"/>
      <c r="I2008" s="15"/>
      <c r="J2008" s="15"/>
      <c r="K2008" s="15"/>
      <c r="L2008" s="15"/>
      <c r="M2008" s="15"/>
      <c r="N2008" s="15"/>
      <c r="O2008" s="15"/>
      <c r="P2008" s="15"/>
      <c r="Q2008" s="71"/>
      <c r="R2008" s="84"/>
      <c r="S2008" s="10"/>
      <c r="T2008" s="10"/>
      <c r="U2008" s="10"/>
      <c r="V2008" s="10"/>
      <c r="W2008" s="138"/>
      <c r="Y2008"/>
      <c r="Z2008"/>
      <c r="AA2008"/>
      <c r="AB2008"/>
      <c r="AC2008"/>
      <c r="AD2008"/>
      <c r="AE2008"/>
      <c r="AF2008"/>
      <c r="AG2008"/>
      <c r="AH2008"/>
      <c r="AI2008"/>
      <c r="AJ2008"/>
      <c r="AK2008"/>
      <c r="AL2008"/>
      <c r="AM2008"/>
      <c r="AN2008"/>
      <c r="AO2008"/>
    </row>
    <row r="2009" spans="1:41" ht="15">
      <c r="A2009"/>
      <c r="B2009"/>
      <c r="C2009" s="137"/>
      <c r="D2009" s="30"/>
      <c r="E2009" s="30"/>
      <c r="F2009" s="10"/>
      <c r="G2009" s="10"/>
      <c r="H2009" s="15"/>
      <c r="I2009" s="15"/>
      <c r="J2009" s="15"/>
      <c r="K2009" s="15"/>
      <c r="L2009" s="15"/>
      <c r="M2009" s="15"/>
      <c r="N2009" s="15"/>
      <c r="O2009" s="15"/>
      <c r="P2009" s="15"/>
      <c r="Q2009" s="71"/>
      <c r="R2009" s="84"/>
      <c r="S2009" s="10"/>
      <c r="T2009" s="10"/>
      <c r="U2009" s="10"/>
      <c r="V2009" s="10"/>
      <c r="W2009" s="138"/>
      <c r="Y2009"/>
      <c r="Z2009"/>
      <c r="AA2009"/>
      <c r="AB2009"/>
      <c r="AC2009"/>
      <c r="AD2009"/>
      <c r="AE2009"/>
      <c r="AF2009"/>
      <c r="AG2009"/>
      <c r="AH2009"/>
      <c r="AI2009"/>
      <c r="AJ2009"/>
      <c r="AK2009"/>
      <c r="AL2009"/>
      <c r="AM2009"/>
      <c r="AN2009"/>
      <c r="AO2009"/>
    </row>
    <row r="2010" spans="1:41" ht="15">
      <c r="A2010"/>
      <c r="B2010"/>
      <c r="C2010" s="137"/>
      <c r="D2010" s="30"/>
      <c r="E2010" s="30"/>
      <c r="F2010" s="10"/>
      <c r="G2010" s="10"/>
      <c r="H2010" s="15"/>
      <c r="I2010" s="15"/>
      <c r="J2010" s="15"/>
      <c r="K2010" s="15"/>
      <c r="L2010" s="15"/>
      <c r="M2010" s="15"/>
      <c r="N2010" s="15"/>
      <c r="O2010" s="15"/>
      <c r="P2010" s="15"/>
      <c r="Q2010" s="71"/>
      <c r="R2010" s="84"/>
      <c r="S2010" s="10"/>
      <c r="T2010" s="10"/>
      <c r="U2010" s="10"/>
      <c r="V2010" s="10"/>
      <c r="W2010" s="138"/>
      <c r="Y2010"/>
      <c r="Z2010"/>
      <c r="AA2010"/>
      <c r="AB2010"/>
      <c r="AC2010"/>
      <c r="AD2010"/>
      <c r="AE2010"/>
      <c r="AF2010"/>
      <c r="AG2010"/>
      <c r="AH2010"/>
      <c r="AI2010"/>
      <c r="AJ2010"/>
      <c r="AK2010"/>
      <c r="AL2010"/>
      <c r="AM2010"/>
      <c r="AN2010"/>
      <c r="AO2010"/>
    </row>
    <row r="2011" spans="1:41" ht="15">
      <c r="A2011"/>
      <c r="B2011"/>
      <c r="C2011" s="137"/>
      <c r="D2011" s="30"/>
      <c r="E2011" s="30"/>
      <c r="F2011" s="10"/>
      <c r="G2011" s="10"/>
      <c r="H2011" s="15"/>
      <c r="I2011" s="15"/>
      <c r="J2011" s="15"/>
      <c r="K2011" s="15"/>
      <c r="L2011" s="15"/>
      <c r="M2011" s="15"/>
      <c r="N2011" s="15"/>
      <c r="O2011" s="15"/>
      <c r="P2011" s="15"/>
      <c r="Q2011" s="71"/>
      <c r="R2011" s="84"/>
      <c r="S2011" s="10"/>
      <c r="T2011" s="10"/>
      <c r="U2011" s="10"/>
      <c r="V2011" s="10"/>
      <c r="W2011" s="138"/>
      <c r="Y2011"/>
      <c r="Z2011"/>
      <c r="AA2011"/>
      <c r="AB2011"/>
      <c r="AC2011"/>
      <c r="AD2011"/>
      <c r="AE2011"/>
      <c r="AF2011"/>
      <c r="AG2011"/>
      <c r="AH2011"/>
      <c r="AI2011"/>
      <c r="AJ2011"/>
      <c r="AK2011"/>
      <c r="AL2011"/>
      <c r="AM2011"/>
      <c r="AN2011"/>
      <c r="AO2011"/>
    </row>
    <row r="2012" spans="1:41" ht="15">
      <c r="A2012"/>
      <c r="B2012"/>
      <c r="C2012" s="137"/>
      <c r="D2012" s="30"/>
      <c r="E2012" s="30"/>
      <c r="F2012" s="10"/>
      <c r="G2012" s="10"/>
      <c r="H2012" s="15"/>
      <c r="I2012" s="15"/>
      <c r="J2012" s="15"/>
      <c r="K2012" s="15"/>
      <c r="L2012" s="15"/>
      <c r="M2012" s="15"/>
      <c r="N2012" s="15"/>
      <c r="O2012" s="15"/>
      <c r="P2012" s="15"/>
      <c r="Q2012" s="71"/>
      <c r="R2012" s="84"/>
      <c r="S2012" s="10"/>
      <c r="T2012" s="10"/>
      <c r="U2012" s="10"/>
      <c r="V2012" s="10"/>
      <c r="W2012" s="138"/>
      <c r="Y2012"/>
      <c r="Z2012"/>
      <c r="AA2012"/>
      <c r="AB2012"/>
      <c r="AC2012"/>
      <c r="AD2012"/>
      <c r="AE2012"/>
      <c r="AF2012"/>
      <c r="AG2012"/>
      <c r="AH2012"/>
      <c r="AI2012"/>
      <c r="AJ2012"/>
      <c r="AK2012"/>
      <c r="AL2012"/>
      <c r="AM2012"/>
      <c r="AN2012"/>
      <c r="AO2012"/>
    </row>
    <row r="2013" spans="1:41" ht="15">
      <c r="A2013"/>
      <c r="B2013"/>
      <c r="C2013" s="137"/>
      <c r="D2013" s="30"/>
      <c r="E2013" s="30"/>
      <c r="F2013" s="10"/>
      <c r="G2013" s="10"/>
      <c r="H2013" s="15"/>
      <c r="I2013" s="15"/>
      <c r="J2013" s="15"/>
      <c r="K2013" s="15"/>
      <c r="L2013" s="15"/>
      <c r="M2013" s="15"/>
      <c r="N2013" s="15"/>
      <c r="O2013" s="15"/>
      <c r="P2013" s="15"/>
      <c r="Q2013" s="71"/>
      <c r="R2013" s="84"/>
      <c r="S2013" s="10"/>
      <c r="T2013" s="10"/>
      <c r="U2013" s="10"/>
      <c r="V2013" s="10"/>
      <c r="W2013" s="138"/>
      <c r="Y2013"/>
      <c r="Z2013"/>
      <c r="AA2013"/>
      <c r="AB2013"/>
      <c r="AC2013"/>
      <c r="AD2013"/>
      <c r="AE2013"/>
      <c r="AF2013"/>
      <c r="AG2013"/>
      <c r="AH2013"/>
      <c r="AI2013"/>
      <c r="AJ2013"/>
      <c r="AK2013"/>
      <c r="AL2013"/>
      <c r="AM2013"/>
      <c r="AN2013"/>
      <c r="AO2013"/>
    </row>
    <row r="2014" spans="1:41" ht="15">
      <c r="A2014"/>
      <c r="B2014"/>
      <c r="C2014" s="137"/>
      <c r="D2014" s="30"/>
      <c r="E2014" s="30"/>
      <c r="F2014" s="10"/>
      <c r="G2014" s="10"/>
      <c r="H2014" s="15"/>
      <c r="I2014" s="15"/>
      <c r="J2014" s="15"/>
      <c r="K2014" s="15"/>
      <c r="L2014" s="15"/>
      <c r="M2014" s="15"/>
      <c r="N2014" s="15"/>
      <c r="O2014" s="15"/>
      <c r="P2014" s="15"/>
      <c r="Q2014" s="71"/>
      <c r="R2014" s="84"/>
      <c r="S2014" s="10"/>
      <c r="T2014" s="10"/>
      <c r="U2014" s="10"/>
      <c r="V2014" s="10"/>
      <c r="W2014" s="138"/>
      <c r="Y2014"/>
      <c r="Z2014"/>
      <c r="AA2014"/>
      <c r="AB2014"/>
      <c r="AC2014"/>
      <c r="AD2014"/>
      <c r="AE2014"/>
      <c r="AF2014"/>
      <c r="AG2014"/>
      <c r="AH2014"/>
      <c r="AI2014"/>
      <c r="AJ2014"/>
      <c r="AK2014"/>
      <c r="AL2014"/>
      <c r="AM2014"/>
      <c r="AN2014"/>
      <c r="AO2014"/>
    </row>
    <row r="2015" spans="1:41" ht="15">
      <c r="A2015"/>
      <c r="B2015"/>
      <c r="C2015" s="137"/>
      <c r="D2015" s="30"/>
      <c r="E2015" s="30"/>
      <c r="F2015" s="10"/>
      <c r="G2015" s="10"/>
      <c r="H2015" s="15"/>
      <c r="I2015" s="15"/>
      <c r="J2015" s="15"/>
      <c r="K2015" s="15"/>
      <c r="L2015" s="15"/>
      <c r="M2015" s="15"/>
      <c r="N2015" s="15"/>
      <c r="O2015" s="15"/>
      <c r="P2015" s="15"/>
      <c r="Q2015" s="71"/>
      <c r="R2015" s="84"/>
      <c r="S2015" s="10"/>
      <c r="T2015" s="10"/>
      <c r="U2015" s="10"/>
      <c r="V2015" s="10"/>
      <c r="W2015" s="138"/>
      <c r="Y2015"/>
      <c r="Z2015"/>
      <c r="AA2015"/>
      <c r="AB2015"/>
      <c r="AC2015"/>
      <c r="AD2015"/>
      <c r="AE2015"/>
      <c r="AF2015"/>
      <c r="AG2015"/>
      <c r="AH2015"/>
      <c r="AI2015"/>
      <c r="AJ2015"/>
      <c r="AK2015"/>
      <c r="AL2015"/>
      <c r="AM2015"/>
      <c r="AN2015"/>
      <c r="AO2015"/>
    </row>
    <row r="2016" spans="1:41" ht="15">
      <c r="A2016"/>
      <c r="B2016"/>
      <c r="C2016" s="137"/>
      <c r="D2016" s="30"/>
      <c r="E2016" s="30"/>
      <c r="F2016" s="10"/>
      <c r="G2016" s="10"/>
      <c r="H2016" s="15"/>
      <c r="I2016" s="15"/>
      <c r="J2016" s="15"/>
      <c r="K2016" s="15"/>
      <c r="L2016" s="15"/>
      <c r="M2016" s="15"/>
      <c r="N2016" s="15"/>
      <c r="O2016" s="15"/>
      <c r="P2016" s="15"/>
      <c r="Q2016" s="71"/>
      <c r="R2016" s="84"/>
      <c r="S2016" s="10"/>
      <c r="T2016" s="10"/>
      <c r="U2016" s="10"/>
      <c r="V2016" s="10"/>
      <c r="W2016" s="138"/>
      <c r="Y2016"/>
      <c r="Z2016"/>
      <c r="AA2016"/>
      <c r="AB2016"/>
      <c r="AC2016"/>
      <c r="AD2016"/>
      <c r="AE2016"/>
      <c r="AF2016"/>
      <c r="AG2016"/>
      <c r="AH2016"/>
      <c r="AI2016"/>
      <c r="AJ2016"/>
      <c r="AK2016"/>
      <c r="AL2016"/>
      <c r="AM2016"/>
      <c r="AN2016"/>
      <c r="AO2016"/>
    </row>
    <row r="2017" spans="1:41" ht="15">
      <c r="A2017"/>
      <c r="B2017"/>
      <c r="C2017" s="137"/>
      <c r="D2017" s="30"/>
      <c r="E2017" s="30"/>
      <c r="F2017" s="10"/>
      <c r="G2017" s="10"/>
      <c r="H2017" s="15"/>
      <c r="I2017" s="15"/>
      <c r="J2017" s="15"/>
      <c r="K2017" s="15"/>
      <c r="L2017" s="15"/>
      <c r="M2017" s="15"/>
      <c r="N2017" s="15"/>
      <c r="O2017" s="15"/>
      <c r="P2017" s="15"/>
      <c r="Q2017" s="71"/>
      <c r="R2017" s="84"/>
      <c r="S2017" s="10"/>
      <c r="T2017" s="10"/>
      <c r="U2017" s="10"/>
      <c r="V2017" s="10"/>
      <c r="W2017" s="138"/>
      <c r="Y2017"/>
      <c r="Z2017"/>
      <c r="AA2017"/>
      <c r="AB2017"/>
      <c r="AC2017"/>
      <c r="AD2017"/>
      <c r="AE2017"/>
      <c r="AF2017"/>
      <c r="AG2017"/>
      <c r="AH2017"/>
      <c r="AI2017"/>
      <c r="AJ2017"/>
      <c r="AK2017"/>
      <c r="AL2017"/>
      <c r="AM2017"/>
      <c r="AN2017"/>
      <c r="AO2017"/>
    </row>
    <row r="2018" spans="1:41" ht="15">
      <c r="A2018"/>
      <c r="B2018"/>
      <c r="C2018" s="137"/>
      <c r="D2018" s="30"/>
      <c r="E2018" s="30"/>
      <c r="F2018" s="10"/>
      <c r="G2018" s="10"/>
      <c r="H2018" s="15"/>
      <c r="I2018" s="15"/>
      <c r="J2018" s="15"/>
      <c r="K2018" s="15"/>
      <c r="L2018" s="15"/>
      <c r="M2018" s="15"/>
      <c r="N2018" s="15"/>
      <c r="O2018" s="15"/>
      <c r="P2018" s="15"/>
      <c r="Q2018" s="71"/>
      <c r="R2018" s="84"/>
      <c r="S2018" s="10"/>
      <c r="T2018" s="10"/>
      <c r="U2018" s="10"/>
      <c r="V2018" s="10"/>
      <c r="W2018" s="138"/>
      <c r="Y2018"/>
      <c r="Z2018"/>
      <c r="AA2018"/>
      <c r="AB2018"/>
      <c r="AC2018"/>
      <c r="AD2018"/>
      <c r="AE2018"/>
      <c r="AF2018"/>
      <c r="AG2018"/>
      <c r="AH2018"/>
      <c r="AI2018"/>
      <c r="AJ2018"/>
      <c r="AK2018"/>
      <c r="AL2018"/>
      <c r="AM2018"/>
      <c r="AN2018"/>
      <c r="AO2018"/>
    </row>
    <row r="2019" spans="1:41" ht="15">
      <c r="A2019"/>
      <c r="B2019"/>
      <c r="C2019" s="137"/>
      <c r="D2019" s="30"/>
      <c r="E2019" s="30"/>
      <c r="F2019" s="10"/>
      <c r="G2019" s="10"/>
      <c r="H2019" s="15"/>
      <c r="I2019" s="15"/>
      <c r="J2019" s="15"/>
      <c r="K2019" s="15"/>
      <c r="L2019" s="15"/>
      <c r="M2019" s="15"/>
      <c r="N2019" s="15"/>
      <c r="O2019" s="15"/>
      <c r="P2019" s="15"/>
      <c r="Q2019" s="71"/>
      <c r="R2019" s="84"/>
      <c r="S2019" s="10"/>
      <c r="T2019" s="10"/>
      <c r="U2019" s="10"/>
      <c r="V2019" s="10"/>
      <c r="W2019" s="138"/>
      <c r="Y2019"/>
      <c r="Z2019"/>
      <c r="AA2019"/>
      <c r="AB2019"/>
      <c r="AC2019"/>
      <c r="AD2019"/>
      <c r="AE2019"/>
      <c r="AF2019"/>
      <c r="AG2019"/>
      <c r="AH2019"/>
      <c r="AI2019"/>
      <c r="AJ2019"/>
      <c r="AK2019"/>
      <c r="AL2019"/>
      <c r="AM2019"/>
      <c r="AN2019"/>
      <c r="AO2019"/>
    </row>
    <row r="2020" spans="1:41" ht="15">
      <c r="A2020"/>
      <c r="B2020"/>
      <c r="C2020" s="137"/>
      <c r="D2020" s="30"/>
      <c r="E2020" s="30"/>
      <c r="F2020" s="10"/>
      <c r="G2020" s="10"/>
      <c r="H2020" s="15"/>
      <c r="I2020" s="15"/>
      <c r="J2020" s="15"/>
      <c r="K2020" s="15"/>
      <c r="L2020" s="15"/>
      <c r="M2020" s="15"/>
      <c r="N2020" s="15"/>
      <c r="O2020" s="15"/>
      <c r="P2020" s="15"/>
      <c r="Q2020" s="71"/>
      <c r="R2020" s="84"/>
      <c r="S2020" s="10"/>
      <c r="T2020" s="10"/>
      <c r="U2020" s="10"/>
      <c r="V2020" s="10"/>
      <c r="W2020" s="138"/>
      <c r="Y2020"/>
      <c r="Z2020"/>
      <c r="AA2020"/>
      <c r="AB2020"/>
      <c r="AC2020"/>
      <c r="AD2020"/>
      <c r="AE2020"/>
      <c r="AF2020"/>
      <c r="AG2020"/>
      <c r="AH2020"/>
      <c r="AI2020"/>
      <c r="AJ2020"/>
      <c r="AK2020"/>
      <c r="AL2020"/>
      <c r="AM2020"/>
      <c r="AN2020"/>
      <c r="AO2020"/>
    </row>
    <row r="2021" spans="1:41" ht="15">
      <c r="A2021"/>
      <c r="B2021"/>
      <c r="C2021" s="137"/>
      <c r="D2021" s="30"/>
      <c r="E2021" s="30"/>
      <c r="F2021" s="10"/>
      <c r="G2021" s="10"/>
      <c r="H2021" s="15"/>
      <c r="I2021" s="15"/>
      <c r="J2021" s="15"/>
      <c r="K2021" s="15"/>
      <c r="L2021" s="15"/>
      <c r="M2021" s="15"/>
      <c r="N2021" s="15"/>
      <c r="O2021" s="15"/>
      <c r="P2021" s="15"/>
      <c r="Q2021" s="71"/>
      <c r="R2021" s="84"/>
      <c r="S2021" s="10"/>
      <c r="T2021" s="10"/>
      <c r="U2021" s="10"/>
      <c r="V2021" s="10"/>
      <c r="W2021" s="138"/>
      <c r="Y2021"/>
      <c r="Z2021"/>
      <c r="AA2021"/>
      <c r="AB2021"/>
      <c r="AC2021"/>
      <c r="AD2021"/>
      <c r="AE2021"/>
      <c r="AF2021"/>
      <c r="AG2021"/>
      <c r="AH2021"/>
      <c r="AI2021"/>
      <c r="AJ2021"/>
      <c r="AK2021"/>
      <c r="AL2021"/>
      <c r="AM2021"/>
      <c r="AN2021"/>
      <c r="AO2021"/>
    </row>
    <row r="2022" spans="1:41" ht="15">
      <c r="A2022"/>
      <c r="B2022"/>
      <c r="C2022" s="137"/>
      <c r="D2022" s="30"/>
      <c r="E2022" s="30"/>
      <c r="F2022" s="10"/>
      <c r="G2022" s="10"/>
      <c r="H2022" s="15"/>
      <c r="I2022" s="15"/>
      <c r="J2022" s="15"/>
      <c r="K2022" s="15"/>
      <c r="L2022" s="15"/>
      <c r="M2022" s="15"/>
      <c r="N2022" s="15"/>
      <c r="O2022" s="15"/>
      <c r="P2022" s="15"/>
      <c r="Q2022" s="71"/>
      <c r="R2022" s="84"/>
      <c r="S2022" s="10"/>
      <c r="T2022" s="10"/>
      <c r="U2022" s="10"/>
      <c r="V2022" s="10"/>
      <c r="W2022" s="138"/>
      <c r="Y2022"/>
      <c r="Z2022"/>
      <c r="AA2022"/>
      <c r="AB2022"/>
      <c r="AC2022"/>
      <c r="AD2022"/>
      <c r="AE2022"/>
      <c r="AF2022"/>
      <c r="AG2022"/>
      <c r="AH2022"/>
      <c r="AI2022"/>
      <c r="AJ2022"/>
      <c r="AK2022"/>
      <c r="AL2022"/>
      <c r="AM2022"/>
      <c r="AN2022"/>
      <c r="AO2022"/>
    </row>
    <row r="2023" spans="1:41" ht="15">
      <c r="A2023"/>
      <c r="B2023"/>
      <c r="C2023" s="137"/>
      <c r="D2023" s="30"/>
      <c r="E2023" s="30"/>
      <c r="F2023" s="10"/>
      <c r="G2023" s="10"/>
      <c r="H2023" s="15"/>
      <c r="I2023" s="15"/>
      <c r="J2023" s="15"/>
      <c r="K2023" s="15"/>
      <c r="L2023" s="15"/>
      <c r="M2023" s="15"/>
      <c r="N2023" s="15"/>
      <c r="O2023" s="15"/>
      <c r="P2023" s="15"/>
      <c r="Q2023" s="71"/>
      <c r="R2023" s="84"/>
      <c r="S2023" s="10"/>
      <c r="T2023" s="10"/>
      <c r="U2023" s="10"/>
      <c r="V2023" s="10"/>
      <c r="W2023" s="138"/>
      <c r="Y2023"/>
      <c r="Z2023"/>
      <c r="AA2023"/>
      <c r="AB2023"/>
      <c r="AC2023"/>
      <c r="AD2023"/>
      <c r="AE2023"/>
      <c r="AF2023"/>
      <c r="AG2023"/>
      <c r="AH2023"/>
      <c r="AI2023"/>
      <c r="AJ2023"/>
      <c r="AK2023"/>
      <c r="AL2023"/>
      <c r="AM2023"/>
      <c r="AN2023"/>
      <c r="AO2023"/>
    </row>
    <row r="2024" spans="1:41" ht="15">
      <c r="A2024"/>
      <c r="B2024"/>
      <c r="C2024" s="137"/>
      <c r="D2024" s="30"/>
      <c r="E2024" s="30"/>
      <c r="F2024" s="10"/>
      <c r="G2024" s="10"/>
      <c r="H2024" s="15"/>
      <c r="I2024" s="15"/>
      <c r="J2024" s="15"/>
      <c r="K2024" s="15"/>
      <c r="L2024" s="15"/>
      <c r="M2024" s="15"/>
      <c r="N2024" s="15"/>
      <c r="O2024" s="15"/>
      <c r="P2024" s="15"/>
      <c r="Q2024" s="71"/>
      <c r="R2024" s="84"/>
      <c r="S2024" s="10"/>
      <c r="T2024" s="10"/>
      <c r="U2024" s="10"/>
      <c r="V2024" s="10"/>
      <c r="W2024" s="138"/>
      <c r="Y2024"/>
      <c r="Z2024"/>
      <c r="AA2024"/>
      <c r="AB2024"/>
      <c r="AC2024"/>
      <c r="AD2024"/>
      <c r="AE2024"/>
      <c r="AF2024"/>
      <c r="AG2024"/>
      <c r="AH2024"/>
      <c r="AI2024"/>
      <c r="AJ2024"/>
      <c r="AK2024"/>
      <c r="AL2024"/>
      <c r="AM2024"/>
      <c r="AN2024"/>
      <c r="AO2024"/>
    </row>
    <row r="2025" spans="1:41" ht="15">
      <c r="A2025"/>
      <c r="B2025"/>
      <c r="C2025" s="137"/>
      <c r="D2025" s="30"/>
      <c r="E2025" s="30"/>
      <c r="F2025" s="10"/>
      <c r="G2025" s="10"/>
      <c r="H2025" s="15"/>
      <c r="I2025" s="15"/>
      <c r="J2025" s="15"/>
      <c r="K2025" s="15"/>
      <c r="L2025" s="15"/>
      <c r="M2025" s="15"/>
      <c r="N2025" s="15"/>
      <c r="O2025" s="15"/>
      <c r="P2025" s="15"/>
      <c r="Q2025" s="71"/>
      <c r="R2025" s="84"/>
      <c r="S2025" s="10"/>
      <c r="T2025" s="10"/>
      <c r="U2025" s="10"/>
      <c r="V2025" s="10"/>
      <c r="W2025" s="138"/>
      <c r="Y2025"/>
      <c r="Z2025"/>
      <c r="AA2025"/>
      <c r="AB2025"/>
      <c r="AC2025"/>
      <c r="AD2025"/>
      <c r="AE2025"/>
      <c r="AF2025"/>
      <c r="AG2025"/>
      <c r="AH2025"/>
      <c r="AI2025"/>
      <c r="AJ2025"/>
      <c r="AK2025"/>
      <c r="AL2025"/>
      <c r="AM2025"/>
      <c r="AN2025"/>
      <c r="AO2025"/>
    </row>
    <row r="2026" spans="1:41" ht="15">
      <c r="A2026"/>
      <c r="B2026"/>
      <c r="C2026" s="137"/>
      <c r="D2026" s="30"/>
      <c r="E2026" s="30"/>
      <c r="F2026" s="10"/>
      <c r="G2026" s="10"/>
      <c r="H2026" s="15"/>
      <c r="I2026" s="15"/>
      <c r="J2026" s="15"/>
      <c r="K2026" s="15"/>
      <c r="L2026" s="15"/>
      <c r="M2026" s="15"/>
      <c r="N2026" s="15"/>
      <c r="O2026" s="15"/>
      <c r="P2026" s="15"/>
      <c r="Q2026" s="71"/>
      <c r="R2026" s="84"/>
      <c r="S2026" s="10"/>
      <c r="T2026" s="10"/>
      <c r="U2026" s="10"/>
      <c r="V2026" s="10"/>
      <c r="W2026" s="138"/>
      <c r="Y2026"/>
      <c r="Z2026"/>
      <c r="AA2026"/>
      <c r="AB2026"/>
      <c r="AC2026"/>
      <c r="AD2026"/>
      <c r="AE2026"/>
      <c r="AF2026"/>
      <c r="AG2026"/>
      <c r="AH2026"/>
      <c r="AI2026"/>
      <c r="AJ2026"/>
      <c r="AK2026"/>
      <c r="AL2026"/>
      <c r="AM2026"/>
      <c r="AN2026"/>
      <c r="AO2026"/>
    </row>
    <row r="2027" spans="1:41" ht="15">
      <c r="A2027"/>
      <c r="B2027"/>
      <c r="C2027" s="137"/>
      <c r="D2027" s="30"/>
      <c r="E2027" s="30"/>
      <c r="F2027" s="10"/>
      <c r="G2027" s="10"/>
      <c r="H2027" s="15"/>
      <c r="I2027" s="15"/>
      <c r="J2027" s="15"/>
      <c r="K2027" s="15"/>
      <c r="L2027" s="15"/>
      <c r="M2027" s="15"/>
      <c r="N2027" s="15"/>
      <c r="O2027" s="15"/>
      <c r="P2027" s="15"/>
      <c r="Q2027" s="71"/>
      <c r="R2027" s="84"/>
      <c r="S2027" s="10"/>
      <c r="T2027" s="10"/>
      <c r="U2027" s="10"/>
      <c r="V2027" s="10"/>
      <c r="W2027" s="138"/>
      <c r="Y2027"/>
      <c r="Z2027"/>
      <c r="AA2027"/>
      <c r="AB2027"/>
      <c r="AC2027"/>
      <c r="AD2027"/>
      <c r="AE2027"/>
      <c r="AF2027"/>
      <c r="AG2027"/>
      <c r="AH2027"/>
      <c r="AI2027"/>
      <c r="AJ2027"/>
      <c r="AK2027"/>
      <c r="AL2027"/>
      <c r="AM2027"/>
      <c r="AN2027"/>
      <c r="AO2027"/>
    </row>
    <row r="2028" spans="1:41" ht="15">
      <c r="A2028"/>
      <c r="B2028"/>
      <c r="C2028" s="137"/>
      <c r="D2028" s="30"/>
      <c r="E2028" s="30"/>
      <c r="F2028" s="10"/>
      <c r="G2028" s="10"/>
      <c r="H2028" s="15"/>
      <c r="I2028" s="15"/>
      <c r="J2028" s="15"/>
      <c r="K2028" s="15"/>
      <c r="L2028" s="15"/>
      <c r="M2028" s="15"/>
      <c r="N2028" s="15"/>
      <c r="O2028" s="15"/>
      <c r="P2028" s="15"/>
      <c r="Q2028" s="71"/>
      <c r="R2028" s="84"/>
      <c r="S2028" s="10"/>
      <c r="T2028" s="10"/>
      <c r="U2028" s="10"/>
      <c r="V2028" s="10"/>
      <c r="W2028" s="138"/>
      <c r="Y2028"/>
      <c r="Z2028"/>
      <c r="AA2028"/>
      <c r="AB2028"/>
      <c r="AC2028"/>
      <c r="AD2028"/>
      <c r="AE2028"/>
      <c r="AF2028"/>
      <c r="AG2028"/>
      <c r="AH2028"/>
      <c r="AI2028"/>
      <c r="AJ2028"/>
      <c r="AK2028"/>
      <c r="AL2028"/>
      <c r="AM2028"/>
      <c r="AN2028"/>
      <c r="AO2028"/>
    </row>
    <row r="2029" spans="1:41" ht="15">
      <c r="A2029"/>
      <c r="B2029"/>
      <c r="C2029" s="137"/>
      <c r="D2029" s="30"/>
      <c r="E2029" s="30"/>
      <c r="F2029" s="10"/>
      <c r="G2029" s="10"/>
      <c r="H2029" s="15"/>
      <c r="I2029" s="15"/>
      <c r="J2029" s="15"/>
      <c r="K2029" s="15"/>
      <c r="L2029" s="15"/>
      <c r="M2029" s="15"/>
      <c r="N2029" s="15"/>
      <c r="O2029" s="15"/>
      <c r="P2029" s="15"/>
      <c r="Q2029" s="71"/>
      <c r="R2029" s="84"/>
      <c r="S2029" s="10"/>
      <c r="T2029" s="10"/>
      <c r="U2029" s="10"/>
      <c r="V2029" s="10"/>
      <c r="W2029" s="138"/>
      <c r="Y2029"/>
      <c r="Z2029"/>
      <c r="AA2029"/>
      <c r="AB2029"/>
      <c r="AC2029"/>
      <c r="AD2029"/>
      <c r="AE2029"/>
      <c r="AF2029"/>
      <c r="AG2029"/>
      <c r="AH2029"/>
      <c r="AI2029"/>
      <c r="AJ2029"/>
      <c r="AK2029"/>
      <c r="AL2029"/>
      <c r="AM2029"/>
      <c r="AN2029"/>
      <c r="AO2029"/>
    </row>
    <row r="2030" spans="1:41" ht="15">
      <c r="A2030"/>
      <c r="B2030"/>
      <c r="C2030" s="137"/>
      <c r="D2030" s="30"/>
      <c r="E2030" s="30"/>
      <c r="F2030" s="10"/>
      <c r="G2030" s="10"/>
      <c r="H2030" s="15"/>
      <c r="I2030" s="15"/>
      <c r="J2030" s="15"/>
      <c r="K2030" s="15"/>
      <c r="L2030" s="15"/>
      <c r="M2030" s="15"/>
      <c r="N2030" s="15"/>
      <c r="O2030" s="15"/>
      <c r="P2030" s="15"/>
      <c r="Q2030" s="71"/>
      <c r="R2030" s="84"/>
      <c r="S2030" s="10"/>
      <c r="T2030" s="10"/>
      <c r="U2030" s="10"/>
      <c r="V2030" s="10"/>
      <c r="W2030" s="138"/>
      <c r="Y2030"/>
      <c r="Z2030"/>
      <c r="AA2030"/>
      <c r="AB2030"/>
      <c r="AC2030"/>
      <c r="AD2030"/>
      <c r="AE2030"/>
      <c r="AF2030"/>
      <c r="AG2030"/>
      <c r="AH2030"/>
      <c r="AI2030"/>
      <c r="AJ2030"/>
      <c r="AK2030"/>
      <c r="AL2030"/>
      <c r="AM2030"/>
      <c r="AN2030"/>
      <c r="AO2030"/>
    </row>
    <row r="2031" spans="1:41" ht="15">
      <c r="A2031"/>
      <c r="B2031"/>
      <c r="C2031" s="137"/>
      <c r="D2031" s="30"/>
      <c r="E2031" s="30"/>
      <c r="F2031" s="10"/>
      <c r="G2031" s="10"/>
      <c r="H2031" s="15"/>
      <c r="I2031" s="15"/>
      <c r="J2031" s="15"/>
      <c r="K2031" s="15"/>
      <c r="L2031" s="15"/>
      <c r="M2031" s="15"/>
      <c r="N2031" s="15"/>
      <c r="O2031" s="15"/>
      <c r="P2031" s="15"/>
      <c r="Q2031" s="71"/>
      <c r="R2031" s="84"/>
      <c r="S2031" s="10"/>
      <c r="T2031" s="10"/>
      <c r="U2031" s="10"/>
      <c r="V2031" s="10"/>
      <c r="W2031" s="138"/>
      <c r="Y2031"/>
      <c r="Z2031"/>
      <c r="AA2031"/>
      <c r="AB2031"/>
      <c r="AC2031"/>
      <c r="AD2031"/>
      <c r="AE2031"/>
      <c r="AF2031"/>
      <c r="AG2031"/>
      <c r="AH2031"/>
      <c r="AI2031"/>
      <c r="AJ2031"/>
      <c r="AK2031"/>
      <c r="AL2031"/>
      <c r="AM2031"/>
      <c r="AN2031"/>
      <c r="AO2031"/>
    </row>
    <row r="2032" spans="1:41" ht="15">
      <c r="A2032"/>
      <c r="B2032"/>
      <c r="C2032" s="137"/>
      <c r="D2032" s="30"/>
      <c r="E2032" s="30"/>
      <c r="F2032" s="10"/>
      <c r="G2032" s="10"/>
      <c r="H2032" s="15"/>
      <c r="I2032" s="15"/>
      <c r="J2032" s="15"/>
      <c r="K2032" s="15"/>
      <c r="L2032" s="15"/>
      <c r="M2032" s="15"/>
      <c r="N2032" s="15"/>
      <c r="O2032" s="15"/>
      <c r="P2032" s="15"/>
      <c r="Q2032" s="71"/>
      <c r="R2032" s="84"/>
      <c r="S2032" s="10"/>
      <c r="T2032" s="10"/>
      <c r="U2032" s="10"/>
      <c r="V2032" s="10"/>
      <c r="W2032" s="138"/>
      <c r="Y2032"/>
      <c r="Z2032"/>
      <c r="AA2032"/>
      <c r="AB2032"/>
      <c r="AC2032"/>
      <c r="AD2032"/>
      <c r="AE2032"/>
      <c r="AF2032"/>
      <c r="AG2032"/>
      <c r="AH2032"/>
      <c r="AI2032"/>
      <c r="AJ2032"/>
      <c r="AK2032"/>
      <c r="AL2032"/>
      <c r="AM2032"/>
      <c r="AN2032"/>
      <c r="AO2032"/>
    </row>
    <row r="2033" spans="1:41" ht="15">
      <c r="A2033"/>
      <c r="B2033"/>
      <c r="C2033" s="137"/>
      <c r="D2033" s="30"/>
      <c r="E2033" s="30"/>
      <c r="F2033" s="10"/>
      <c r="G2033" s="10"/>
      <c r="H2033" s="15"/>
      <c r="I2033" s="15"/>
      <c r="J2033" s="15"/>
      <c r="K2033" s="15"/>
      <c r="L2033" s="15"/>
      <c r="M2033" s="15"/>
      <c r="N2033" s="15"/>
      <c r="O2033" s="15"/>
      <c r="P2033" s="15"/>
      <c r="Q2033" s="71"/>
      <c r="R2033" s="84"/>
      <c r="S2033" s="10"/>
      <c r="T2033" s="10"/>
      <c r="U2033" s="10"/>
      <c r="V2033" s="10"/>
      <c r="W2033" s="138"/>
      <c r="Y2033"/>
      <c r="Z2033"/>
      <c r="AA2033"/>
      <c r="AB2033"/>
      <c r="AC2033"/>
      <c r="AD2033"/>
      <c r="AE2033"/>
      <c r="AF2033"/>
      <c r="AG2033"/>
      <c r="AH2033"/>
      <c r="AI2033"/>
      <c r="AJ2033"/>
      <c r="AK2033"/>
      <c r="AL2033"/>
      <c r="AM2033"/>
      <c r="AN2033"/>
      <c r="AO2033"/>
    </row>
    <row r="2034" spans="1:41" ht="15">
      <c r="A2034"/>
      <c r="B2034"/>
      <c r="C2034" s="137"/>
      <c r="D2034" s="30"/>
      <c r="E2034" s="30"/>
      <c r="F2034" s="10"/>
      <c r="G2034" s="10"/>
      <c r="H2034" s="15"/>
      <c r="I2034" s="15"/>
      <c r="J2034" s="15"/>
      <c r="K2034" s="15"/>
      <c r="L2034" s="15"/>
      <c r="M2034" s="15"/>
      <c r="N2034" s="15"/>
      <c r="O2034" s="15"/>
      <c r="P2034" s="15"/>
      <c r="Q2034" s="71"/>
      <c r="R2034" s="84"/>
      <c r="S2034" s="10"/>
      <c r="T2034" s="10"/>
      <c r="U2034" s="10"/>
      <c r="V2034" s="10"/>
      <c r="W2034" s="138"/>
      <c r="Y2034"/>
      <c r="Z2034"/>
      <c r="AA2034"/>
      <c r="AB2034"/>
      <c r="AC2034"/>
      <c r="AD2034"/>
      <c r="AE2034"/>
      <c r="AF2034"/>
      <c r="AG2034"/>
      <c r="AH2034"/>
      <c r="AI2034"/>
      <c r="AJ2034"/>
      <c r="AK2034"/>
      <c r="AL2034"/>
      <c r="AM2034"/>
      <c r="AN2034"/>
      <c r="AO2034"/>
    </row>
    <row r="2035" spans="1:41" ht="15">
      <c r="A2035"/>
      <c r="B2035"/>
      <c r="C2035" s="137"/>
      <c r="D2035" s="30"/>
      <c r="E2035" s="30"/>
      <c r="F2035" s="10"/>
      <c r="G2035" s="10"/>
      <c r="H2035" s="15"/>
      <c r="I2035" s="15"/>
      <c r="J2035" s="15"/>
      <c r="K2035" s="15"/>
      <c r="L2035" s="15"/>
      <c r="M2035" s="15"/>
      <c r="N2035" s="15"/>
      <c r="O2035" s="15"/>
      <c r="P2035" s="15"/>
      <c r="Q2035" s="71"/>
      <c r="R2035" s="84"/>
      <c r="S2035" s="10"/>
      <c r="T2035" s="10"/>
      <c r="U2035" s="10"/>
      <c r="V2035" s="10"/>
      <c r="W2035" s="138"/>
      <c r="Y2035"/>
      <c r="Z2035"/>
      <c r="AA2035"/>
      <c r="AB2035"/>
      <c r="AC2035"/>
      <c r="AD2035"/>
      <c r="AE2035"/>
      <c r="AF2035"/>
      <c r="AG2035"/>
      <c r="AH2035"/>
      <c r="AI2035"/>
      <c r="AJ2035"/>
      <c r="AK2035"/>
      <c r="AL2035"/>
      <c r="AM2035"/>
      <c r="AN2035"/>
      <c r="AO2035"/>
    </row>
    <row r="2036" spans="1:41" ht="15">
      <c r="A2036"/>
      <c r="B2036"/>
      <c r="C2036" s="137"/>
      <c r="D2036" s="30"/>
      <c r="E2036" s="30"/>
      <c r="F2036" s="10"/>
      <c r="G2036" s="10"/>
      <c r="H2036" s="15"/>
      <c r="I2036" s="15"/>
      <c r="J2036" s="15"/>
      <c r="K2036" s="15"/>
      <c r="L2036" s="15"/>
      <c r="M2036" s="15"/>
      <c r="N2036" s="15"/>
      <c r="O2036" s="15"/>
      <c r="P2036" s="15"/>
      <c r="Q2036" s="71"/>
      <c r="R2036" s="84"/>
      <c r="S2036" s="10"/>
      <c r="T2036" s="10"/>
      <c r="U2036" s="10"/>
      <c r="V2036" s="10"/>
      <c r="W2036" s="138"/>
      <c r="Y2036"/>
      <c r="Z2036"/>
      <c r="AA2036"/>
      <c r="AB2036"/>
      <c r="AC2036"/>
      <c r="AD2036"/>
      <c r="AE2036"/>
      <c r="AF2036"/>
      <c r="AG2036"/>
      <c r="AH2036"/>
      <c r="AI2036"/>
      <c r="AJ2036"/>
      <c r="AK2036"/>
      <c r="AL2036"/>
      <c r="AM2036"/>
      <c r="AN2036"/>
      <c r="AO2036"/>
    </row>
    <row r="2037" spans="1:41" ht="15">
      <c r="A2037"/>
      <c r="B2037"/>
      <c r="C2037" s="137"/>
      <c r="D2037" s="30"/>
      <c r="E2037" s="30"/>
      <c r="F2037" s="10"/>
      <c r="G2037" s="10"/>
      <c r="H2037" s="15"/>
      <c r="I2037" s="15"/>
      <c r="J2037" s="15"/>
      <c r="K2037" s="15"/>
      <c r="L2037" s="15"/>
      <c r="M2037" s="15"/>
      <c r="N2037" s="15"/>
      <c r="O2037" s="15"/>
      <c r="P2037" s="15"/>
      <c r="Q2037" s="71"/>
      <c r="R2037" s="84"/>
      <c r="S2037" s="10"/>
      <c r="T2037" s="10"/>
      <c r="U2037" s="10"/>
      <c r="V2037" s="10"/>
      <c r="W2037" s="138"/>
      <c r="Y2037"/>
      <c r="Z2037"/>
      <c r="AA2037"/>
      <c r="AB2037"/>
      <c r="AC2037"/>
      <c r="AD2037"/>
      <c r="AE2037"/>
      <c r="AF2037"/>
      <c r="AG2037"/>
      <c r="AH2037"/>
      <c r="AI2037"/>
      <c r="AJ2037"/>
      <c r="AK2037"/>
      <c r="AL2037"/>
      <c r="AM2037"/>
      <c r="AN2037"/>
      <c r="AO2037"/>
    </row>
    <row r="2038" spans="1:41" ht="15">
      <c r="A2038"/>
      <c r="B2038"/>
      <c r="C2038" s="137"/>
      <c r="D2038" s="30"/>
      <c r="E2038" s="30"/>
      <c r="F2038" s="10"/>
      <c r="G2038" s="10"/>
      <c r="H2038" s="15"/>
      <c r="I2038" s="15"/>
      <c r="J2038" s="15"/>
      <c r="K2038" s="15"/>
      <c r="L2038" s="15"/>
      <c r="M2038" s="15"/>
      <c r="N2038" s="15"/>
      <c r="O2038" s="15"/>
      <c r="P2038" s="15"/>
      <c r="Q2038" s="71"/>
      <c r="R2038" s="84"/>
      <c r="S2038" s="10"/>
      <c r="T2038" s="10"/>
      <c r="U2038" s="10"/>
      <c r="V2038" s="10"/>
      <c r="W2038" s="138"/>
      <c r="Y2038"/>
      <c r="Z2038"/>
      <c r="AA2038"/>
      <c r="AB2038"/>
      <c r="AC2038"/>
      <c r="AD2038"/>
      <c r="AE2038"/>
      <c r="AF2038"/>
      <c r="AG2038"/>
      <c r="AH2038"/>
      <c r="AI2038"/>
      <c r="AJ2038"/>
      <c r="AK2038"/>
      <c r="AL2038"/>
      <c r="AM2038"/>
      <c r="AN2038"/>
      <c r="AO2038"/>
    </row>
    <row r="2039" spans="1:41" ht="15">
      <c r="A2039"/>
      <c r="B2039"/>
      <c r="C2039" s="137"/>
      <c r="D2039" s="30"/>
      <c r="E2039" s="30"/>
      <c r="F2039" s="10"/>
      <c r="G2039" s="10"/>
      <c r="H2039" s="15"/>
      <c r="I2039" s="15"/>
      <c r="J2039" s="15"/>
      <c r="K2039" s="15"/>
      <c r="L2039" s="15"/>
      <c r="M2039" s="15"/>
      <c r="N2039" s="15"/>
      <c r="O2039" s="15"/>
      <c r="P2039" s="15"/>
      <c r="Q2039" s="71"/>
      <c r="R2039" s="84"/>
      <c r="S2039" s="10"/>
      <c r="T2039" s="10"/>
      <c r="U2039" s="10"/>
      <c r="V2039" s="10"/>
      <c r="W2039" s="138"/>
      <c r="Y2039"/>
      <c r="Z2039"/>
      <c r="AA2039"/>
      <c r="AB2039"/>
      <c r="AC2039"/>
      <c r="AD2039"/>
      <c r="AE2039"/>
      <c r="AF2039"/>
      <c r="AG2039"/>
      <c r="AH2039"/>
      <c r="AI2039"/>
      <c r="AJ2039"/>
      <c r="AK2039"/>
      <c r="AL2039"/>
      <c r="AM2039"/>
      <c r="AN2039"/>
      <c r="AO2039"/>
    </row>
    <row r="2040" spans="1:41" ht="15">
      <c r="A2040"/>
      <c r="B2040"/>
      <c r="C2040" s="137"/>
      <c r="D2040" s="30"/>
      <c r="E2040" s="30"/>
      <c r="F2040" s="10"/>
      <c r="G2040" s="10"/>
      <c r="H2040" s="15"/>
      <c r="I2040" s="15"/>
      <c r="J2040" s="15"/>
      <c r="K2040" s="15"/>
      <c r="L2040" s="15"/>
      <c r="M2040" s="15"/>
      <c r="N2040" s="15"/>
      <c r="O2040" s="15"/>
      <c r="P2040" s="15"/>
      <c r="Q2040" s="71"/>
      <c r="R2040" s="84"/>
      <c r="S2040" s="10"/>
      <c r="T2040" s="10"/>
      <c r="U2040" s="10"/>
      <c r="V2040" s="10"/>
      <c r="W2040" s="138"/>
      <c r="Y2040"/>
      <c r="Z2040"/>
      <c r="AA2040"/>
      <c r="AB2040"/>
      <c r="AC2040"/>
      <c r="AD2040"/>
      <c r="AE2040"/>
      <c r="AF2040"/>
      <c r="AG2040"/>
      <c r="AH2040"/>
      <c r="AI2040"/>
      <c r="AJ2040"/>
      <c r="AK2040"/>
      <c r="AL2040"/>
      <c r="AM2040"/>
      <c r="AN2040"/>
      <c r="AO2040"/>
    </row>
    <row r="2041" spans="1:41" ht="15">
      <c r="A2041"/>
      <c r="B2041"/>
      <c r="C2041" s="137"/>
      <c r="D2041" s="30"/>
      <c r="E2041" s="30"/>
      <c r="F2041" s="10"/>
      <c r="G2041" s="10"/>
      <c r="H2041" s="15"/>
      <c r="I2041" s="15"/>
      <c r="J2041" s="15"/>
      <c r="K2041" s="15"/>
      <c r="L2041" s="15"/>
      <c r="M2041" s="15"/>
      <c r="N2041" s="15"/>
      <c r="O2041" s="15"/>
      <c r="P2041" s="15"/>
      <c r="Q2041" s="71"/>
      <c r="R2041" s="84"/>
      <c r="S2041" s="10"/>
      <c r="T2041" s="10"/>
      <c r="U2041" s="10"/>
      <c r="V2041" s="10"/>
      <c r="W2041" s="138"/>
      <c r="Y2041"/>
      <c r="Z2041"/>
      <c r="AA2041"/>
      <c r="AB2041"/>
      <c r="AC2041"/>
      <c r="AD2041"/>
      <c r="AE2041"/>
      <c r="AF2041"/>
      <c r="AG2041"/>
      <c r="AH2041"/>
      <c r="AI2041"/>
      <c r="AJ2041"/>
      <c r="AK2041"/>
      <c r="AL2041"/>
      <c r="AM2041"/>
      <c r="AN2041"/>
      <c r="AO2041"/>
    </row>
    <row r="2042" spans="1:41" ht="15">
      <c r="A2042"/>
      <c r="B2042"/>
      <c r="C2042" s="137"/>
      <c r="D2042" s="30"/>
      <c r="E2042" s="30"/>
      <c r="F2042" s="10"/>
      <c r="G2042" s="10"/>
      <c r="H2042" s="15"/>
      <c r="I2042" s="15"/>
      <c r="J2042" s="15"/>
      <c r="K2042" s="15"/>
      <c r="L2042" s="15"/>
      <c r="M2042" s="15"/>
      <c r="N2042" s="15"/>
      <c r="O2042" s="15"/>
      <c r="P2042" s="15"/>
      <c r="Q2042" s="71"/>
      <c r="R2042" s="84"/>
      <c r="S2042" s="10"/>
      <c r="T2042" s="10"/>
      <c r="U2042" s="10"/>
      <c r="V2042" s="10"/>
      <c r="W2042" s="138"/>
      <c r="Y2042"/>
      <c r="Z2042"/>
      <c r="AA2042"/>
      <c r="AB2042"/>
      <c r="AC2042"/>
      <c r="AD2042"/>
      <c r="AE2042"/>
      <c r="AF2042"/>
      <c r="AG2042"/>
      <c r="AH2042"/>
      <c r="AI2042"/>
      <c r="AJ2042"/>
      <c r="AK2042"/>
      <c r="AL2042"/>
      <c r="AM2042"/>
      <c r="AN2042"/>
      <c r="AO2042"/>
    </row>
    <row r="2043" spans="1:41" ht="15">
      <c r="A2043"/>
      <c r="B2043"/>
      <c r="C2043" s="137"/>
      <c r="D2043" s="30"/>
      <c r="E2043" s="30"/>
      <c r="F2043" s="10"/>
      <c r="G2043" s="10"/>
      <c r="H2043" s="15"/>
      <c r="I2043" s="15"/>
      <c r="J2043" s="15"/>
      <c r="K2043" s="15"/>
      <c r="L2043" s="15"/>
      <c r="M2043" s="15"/>
      <c r="N2043" s="15"/>
      <c r="O2043" s="15"/>
      <c r="P2043" s="15"/>
      <c r="Q2043" s="71"/>
      <c r="R2043" s="84"/>
      <c r="S2043" s="10"/>
      <c r="T2043" s="10"/>
      <c r="U2043" s="10"/>
      <c r="V2043" s="10"/>
      <c r="W2043" s="138"/>
      <c r="Y2043"/>
      <c r="Z2043"/>
      <c r="AA2043"/>
      <c r="AB2043"/>
      <c r="AC2043"/>
      <c r="AD2043"/>
      <c r="AE2043"/>
      <c r="AF2043"/>
      <c r="AG2043"/>
      <c r="AH2043"/>
      <c r="AI2043"/>
      <c r="AJ2043"/>
      <c r="AK2043"/>
      <c r="AL2043"/>
      <c r="AM2043"/>
      <c r="AN2043"/>
      <c r="AO2043"/>
    </row>
    <row r="2044" spans="1:41" ht="15">
      <c r="A2044"/>
      <c r="B2044"/>
      <c r="C2044" s="137"/>
      <c r="D2044" s="30"/>
      <c r="E2044" s="30"/>
      <c r="F2044" s="10"/>
      <c r="G2044" s="10"/>
      <c r="H2044" s="15"/>
      <c r="I2044" s="15"/>
      <c r="J2044" s="15"/>
      <c r="K2044" s="15"/>
      <c r="L2044" s="15"/>
      <c r="M2044" s="15"/>
      <c r="N2044" s="15"/>
      <c r="O2044" s="15"/>
      <c r="P2044" s="15"/>
      <c r="Q2044" s="71"/>
      <c r="R2044" s="84"/>
      <c r="S2044" s="10"/>
      <c r="T2044" s="10"/>
      <c r="U2044" s="10"/>
      <c r="V2044" s="10"/>
      <c r="W2044" s="138"/>
      <c r="Y2044"/>
      <c r="Z2044"/>
      <c r="AA2044"/>
      <c r="AB2044"/>
      <c r="AC2044"/>
      <c r="AD2044"/>
      <c r="AE2044"/>
      <c r="AF2044"/>
      <c r="AG2044"/>
      <c r="AH2044"/>
      <c r="AI2044"/>
      <c r="AJ2044"/>
      <c r="AK2044"/>
      <c r="AL2044"/>
      <c r="AM2044"/>
      <c r="AN2044"/>
      <c r="AO2044"/>
    </row>
    <row r="2045" spans="1:41" ht="15">
      <c r="A2045"/>
      <c r="B2045"/>
      <c r="C2045" s="137"/>
      <c r="D2045" s="30"/>
      <c r="E2045" s="30"/>
      <c r="F2045" s="10"/>
      <c r="G2045" s="10"/>
      <c r="H2045" s="15"/>
      <c r="I2045" s="15"/>
      <c r="J2045" s="15"/>
      <c r="K2045" s="15"/>
      <c r="L2045" s="15"/>
      <c r="M2045" s="15"/>
      <c r="N2045" s="15"/>
      <c r="O2045" s="15"/>
      <c r="P2045" s="15"/>
      <c r="Q2045" s="71"/>
      <c r="R2045" s="84"/>
      <c r="S2045" s="10"/>
      <c r="T2045" s="10"/>
      <c r="U2045" s="10"/>
      <c r="V2045" s="10"/>
      <c r="W2045" s="138"/>
      <c r="Y2045"/>
      <c r="Z2045"/>
      <c r="AA2045"/>
      <c r="AB2045"/>
      <c r="AC2045"/>
      <c r="AD2045"/>
      <c r="AE2045"/>
      <c r="AF2045"/>
      <c r="AG2045"/>
      <c r="AH2045"/>
      <c r="AI2045"/>
      <c r="AJ2045"/>
      <c r="AK2045"/>
      <c r="AL2045"/>
      <c r="AM2045"/>
      <c r="AN2045"/>
      <c r="AO2045"/>
    </row>
    <row r="2046" spans="1:41" ht="15">
      <c r="A2046"/>
      <c r="B2046"/>
      <c r="C2046" s="137"/>
      <c r="D2046" s="30"/>
      <c r="E2046" s="30"/>
      <c r="F2046" s="10"/>
      <c r="G2046" s="10"/>
      <c r="H2046" s="15"/>
      <c r="I2046" s="15"/>
      <c r="J2046" s="15"/>
      <c r="K2046" s="15"/>
      <c r="L2046" s="15"/>
      <c r="M2046" s="15"/>
      <c r="N2046" s="15"/>
      <c r="O2046" s="15"/>
      <c r="P2046" s="15"/>
      <c r="Q2046" s="71"/>
      <c r="R2046" s="84"/>
      <c r="S2046" s="10"/>
      <c r="T2046" s="10"/>
      <c r="U2046" s="10"/>
      <c r="V2046" s="10"/>
      <c r="W2046" s="138"/>
      <c r="Y2046"/>
      <c r="Z2046"/>
      <c r="AA2046"/>
      <c r="AB2046"/>
      <c r="AC2046"/>
      <c r="AD2046"/>
      <c r="AE2046"/>
      <c r="AF2046"/>
      <c r="AG2046"/>
      <c r="AH2046"/>
      <c r="AI2046"/>
      <c r="AJ2046"/>
      <c r="AK2046"/>
      <c r="AL2046"/>
      <c r="AM2046"/>
      <c r="AN2046"/>
      <c r="AO2046"/>
    </row>
    <row r="2047" spans="1:41" ht="15">
      <c r="A2047"/>
      <c r="B2047"/>
      <c r="C2047" s="137"/>
      <c r="D2047" s="30"/>
      <c r="E2047" s="30"/>
      <c r="F2047" s="10"/>
      <c r="G2047" s="10"/>
      <c r="H2047" s="15"/>
      <c r="I2047" s="15"/>
      <c r="J2047" s="15"/>
      <c r="K2047" s="15"/>
      <c r="L2047" s="15"/>
      <c r="M2047" s="15"/>
      <c r="N2047" s="15"/>
      <c r="O2047" s="15"/>
      <c r="P2047" s="15"/>
      <c r="Q2047" s="71"/>
      <c r="R2047" s="84"/>
      <c r="S2047" s="10"/>
      <c r="T2047" s="10"/>
      <c r="U2047" s="10"/>
      <c r="V2047" s="10"/>
      <c r="W2047" s="138"/>
      <c r="Y2047"/>
      <c r="Z2047"/>
      <c r="AA2047"/>
      <c r="AB2047"/>
      <c r="AC2047"/>
      <c r="AD2047"/>
      <c r="AE2047"/>
      <c r="AF2047"/>
      <c r="AG2047"/>
      <c r="AH2047"/>
      <c r="AI2047"/>
      <c r="AJ2047"/>
      <c r="AK2047"/>
      <c r="AL2047"/>
      <c r="AM2047"/>
      <c r="AN2047"/>
      <c r="AO2047"/>
    </row>
    <row r="2048" spans="1:41" ht="15">
      <c r="A2048"/>
      <c r="B2048"/>
      <c r="C2048" s="137"/>
      <c r="D2048" s="30"/>
      <c r="E2048" s="30"/>
      <c r="F2048" s="10"/>
      <c r="G2048" s="10"/>
      <c r="H2048" s="15"/>
      <c r="I2048" s="15"/>
      <c r="J2048" s="15"/>
      <c r="K2048" s="15"/>
      <c r="L2048" s="15"/>
      <c r="M2048" s="15"/>
      <c r="N2048" s="15"/>
      <c r="O2048" s="15"/>
      <c r="P2048" s="15"/>
      <c r="Q2048" s="71"/>
      <c r="R2048" s="84"/>
      <c r="S2048" s="10"/>
      <c r="T2048" s="10"/>
      <c r="U2048" s="10"/>
      <c r="V2048" s="10"/>
      <c r="W2048" s="138"/>
      <c r="Y2048"/>
      <c r="Z2048"/>
      <c r="AA2048"/>
      <c r="AB2048"/>
      <c r="AC2048"/>
      <c r="AD2048"/>
      <c r="AE2048"/>
      <c r="AF2048"/>
      <c r="AG2048"/>
      <c r="AH2048"/>
      <c r="AI2048"/>
      <c r="AJ2048"/>
      <c r="AK2048"/>
      <c r="AL2048"/>
      <c r="AM2048"/>
      <c r="AN2048"/>
      <c r="AO2048"/>
    </row>
    <row r="2049" spans="1:41" ht="15">
      <c r="A2049"/>
      <c r="B2049"/>
      <c r="C2049" s="137"/>
      <c r="D2049" s="30"/>
      <c r="E2049" s="30"/>
      <c r="F2049" s="10"/>
      <c r="G2049" s="10"/>
      <c r="H2049" s="15"/>
      <c r="I2049" s="15"/>
      <c r="J2049" s="15"/>
      <c r="K2049" s="15"/>
      <c r="L2049" s="15"/>
      <c r="M2049" s="15"/>
      <c r="N2049" s="15"/>
      <c r="O2049" s="15"/>
      <c r="P2049" s="15"/>
      <c r="Q2049" s="71"/>
      <c r="R2049" s="84"/>
      <c r="S2049" s="10"/>
      <c r="T2049" s="10"/>
      <c r="U2049" s="10"/>
      <c r="V2049" s="10"/>
      <c r="W2049" s="138"/>
      <c r="Y2049"/>
      <c r="Z2049"/>
      <c r="AA2049"/>
      <c r="AB2049"/>
      <c r="AC2049"/>
      <c r="AD2049"/>
      <c r="AE2049"/>
      <c r="AF2049"/>
      <c r="AG2049"/>
      <c r="AH2049"/>
      <c r="AI2049"/>
      <c r="AJ2049"/>
      <c r="AK2049"/>
      <c r="AL2049"/>
      <c r="AM2049"/>
      <c r="AN2049"/>
      <c r="AO2049"/>
    </row>
    <row r="2050" spans="1:41" ht="15">
      <c r="A2050"/>
      <c r="B2050"/>
      <c r="C2050" s="137"/>
      <c r="D2050" s="30"/>
      <c r="E2050" s="30"/>
      <c r="F2050" s="10"/>
      <c r="G2050" s="10"/>
      <c r="H2050" s="15"/>
      <c r="I2050" s="15"/>
      <c r="J2050" s="15"/>
      <c r="K2050" s="15"/>
      <c r="L2050" s="15"/>
      <c r="M2050" s="15"/>
      <c r="N2050" s="15"/>
      <c r="O2050" s="15"/>
      <c r="P2050" s="15"/>
      <c r="Q2050" s="71"/>
      <c r="R2050" s="84"/>
      <c r="S2050" s="10"/>
      <c r="T2050" s="10"/>
      <c r="U2050" s="10"/>
      <c r="V2050" s="10"/>
      <c r="W2050" s="138"/>
      <c r="Y2050"/>
      <c r="Z2050"/>
      <c r="AA2050"/>
      <c r="AB2050"/>
      <c r="AC2050"/>
      <c r="AD2050"/>
      <c r="AE2050"/>
      <c r="AF2050"/>
      <c r="AG2050"/>
      <c r="AH2050"/>
      <c r="AI2050"/>
      <c r="AJ2050"/>
      <c r="AK2050"/>
      <c r="AL2050"/>
      <c r="AM2050"/>
      <c r="AN2050"/>
      <c r="AO2050"/>
    </row>
    <row r="2051" spans="1:41" ht="15">
      <c r="A2051"/>
      <c r="B2051"/>
      <c r="C2051" s="137"/>
      <c r="D2051" s="30"/>
      <c r="E2051" s="30"/>
      <c r="F2051" s="10"/>
      <c r="G2051" s="10"/>
      <c r="H2051" s="15"/>
      <c r="I2051" s="15"/>
      <c r="J2051" s="15"/>
      <c r="K2051" s="15"/>
      <c r="L2051" s="15"/>
      <c r="M2051" s="15"/>
      <c r="N2051" s="15"/>
      <c r="O2051" s="15"/>
      <c r="P2051" s="15"/>
      <c r="Q2051" s="71"/>
      <c r="R2051" s="84"/>
      <c r="S2051" s="10"/>
      <c r="T2051" s="10"/>
      <c r="U2051" s="10"/>
      <c r="V2051" s="10"/>
      <c r="W2051" s="138"/>
      <c r="Y2051"/>
      <c r="Z2051"/>
      <c r="AA2051"/>
      <c r="AB2051"/>
      <c r="AC2051"/>
      <c r="AD2051"/>
      <c r="AE2051"/>
      <c r="AF2051"/>
      <c r="AG2051"/>
      <c r="AH2051"/>
      <c r="AI2051"/>
      <c r="AJ2051"/>
      <c r="AK2051"/>
      <c r="AL2051"/>
      <c r="AM2051"/>
      <c r="AN2051"/>
      <c r="AO2051"/>
    </row>
    <row r="2052" spans="1:41" ht="15">
      <c r="A2052"/>
      <c r="B2052"/>
      <c r="C2052" s="137"/>
      <c r="D2052" s="30"/>
      <c r="E2052" s="30"/>
      <c r="F2052" s="10"/>
      <c r="G2052" s="10"/>
      <c r="H2052" s="15"/>
      <c r="I2052" s="15"/>
      <c r="J2052" s="15"/>
      <c r="K2052" s="15"/>
      <c r="L2052" s="15"/>
      <c r="M2052" s="15"/>
      <c r="N2052" s="15"/>
      <c r="O2052" s="15"/>
      <c r="P2052" s="15"/>
      <c r="Q2052" s="71"/>
      <c r="R2052" s="84"/>
      <c r="S2052" s="10"/>
      <c r="T2052" s="10"/>
      <c r="U2052" s="10"/>
      <c r="V2052" s="10"/>
      <c r="W2052" s="138"/>
      <c r="Y2052"/>
      <c r="Z2052"/>
      <c r="AA2052"/>
      <c r="AB2052"/>
      <c r="AC2052"/>
      <c r="AD2052"/>
      <c r="AE2052"/>
      <c r="AF2052"/>
      <c r="AG2052"/>
      <c r="AH2052"/>
      <c r="AI2052"/>
      <c r="AJ2052"/>
      <c r="AK2052"/>
      <c r="AL2052"/>
      <c r="AM2052"/>
      <c r="AN2052"/>
      <c r="AO2052"/>
    </row>
    <row r="2053" spans="1:41" ht="15">
      <c r="A2053"/>
      <c r="B2053"/>
      <c r="C2053" s="137"/>
      <c r="D2053" s="30"/>
      <c r="E2053" s="30"/>
      <c r="F2053" s="10"/>
      <c r="G2053" s="10"/>
      <c r="H2053" s="15"/>
      <c r="I2053" s="15"/>
      <c r="J2053" s="15"/>
      <c r="K2053" s="15"/>
      <c r="L2053" s="15"/>
      <c r="M2053" s="15"/>
      <c r="N2053" s="15"/>
      <c r="O2053" s="15"/>
      <c r="P2053" s="15"/>
      <c r="Q2053" s="71"/>
      <c r="R2053" s="84"/>
      <c r="S2053" s="10"/>
      <c r="T2053" s="10"/>
      <c r="U2053" s="10"/>
      <c r="V2053" s="10"/>
      <c r="W2053" s="138"/>
      <c r="Y2053"/>
      <c r="Z2053"/>
      <c r="AA2053"/>
      <c r="AB2053"/>
      <c r="AC2053"/>
      <c r="AD2053"/>
      <c r="AE2053"/>
      <c r="AF2053"/>
      <c r="AG2053"/>
      <c r="AH2053"/>
      <c r="AI2053"/>
      <c r="AJ2053"/>
      <c r="AK2053"/>
      <c r="AL2053"/>
      <c r="AM2053"/>
      <c r="AN2053"/>
      <c r="AO2053"/>
    </row>
    <row r="2054" spans="1:41" ht="15">
      <c r="A2054"/>
      <c r="B2054"/>
      <c r="C2054" s="137"/>
      <c r="D2054" s="30"/>
      <c r="E2054" s="30"/>
      <c r="F2054" s="10"/>
      <c r="G2054" s="10"/>
      <c r="H2054" s="15"/>
      <c r="I2054" s="15"/>
      <c r="J2054" s="15"/>
      <c r="K2054" s="15"/>
      <c r="L2054" s="15"/>
      <c r="M2054" s="15"/>
      <c r="N2054" s="15"/>
      <c r="O2054" s="15"/>
      <c r="P2054" s="15"/>
      <c r="Q2054" s="71"/>
      <c r="R2054" s="84"/>
      <c r="S2054" s="10"/>
      <c r="T2054" s="10"/>
      <c r="U2054" s="10"/>
      <c r="V2054" s="10"/>
      <c r="W2054" s="138"/>
      <c r="Y2054"/>
      <c r="Z2054"/>
      <c r="AA2054"/>
      <c r="AB2054"/>
      <c r="AC2054"/>
      <c r="AD2054"/>
      <c r="AE2054"/>
      <c r="AF2054"/>
      <c r="AG2054"/>
      <c r="AH2054"/>
      <c r="AI2054"/>
      <c r="AJ2054"/>
      <c r="AK2054"/>
      <c r="AL2054"/>
      <c r="AM2054"/>
      <c r="AN2054"/>
      <c r="AO2054"/>
    </row>
    <row r="2055" spans="1:41" ht="15">
      <c r="A2055"/>
      <c r="B2055"/>
      <c r="C2055" s="137"/>
      <c r="D2055" s="30"/>
      <c r="E2055" s="30"/>
      <c r="F2055" s="10"/>
      <c r="G2055" s="10"/>
      <c r="H2055" s="15"/>
      <c r="I2055" s="15"/>
      <c r="J2055" s="15"/>
      <c r="K2055" s="15"/>
      <c r="L2055" s="15"/>
      <c r="M2055" s="15"/>
      <c r="N2055" s="15"/>
      <c r="O2055" s="15"/>
      <c r="P2055" s="15"/>
      <c r="Q2055" s="71"/>
      <c r="R2055" s="84"/>
      <c r="S2055" s="10"/>
      <c r="T2055" s="10"/>
      <c r="U2055" s="10"/>
      <c r="V2055" s="10"/>
      <c r="W2055" s="138"/>
      <c r="Y2055"/>
      <c r="Z2055"/>
      <c r="AA2055"/>
      <c r="AB2055"/>
      <c r="AC2055"/>
      <c r="AD2055"/>
      <c r="AE2055"/>
      <c r="AF2055"/>
      <c r="AG2055"/>
      <c r="AH2055"/>
      <c r="AI2055"/>
      <c r="AJ2055"/>
      <c r="AK2055"/>
      <c r="AL2055"/>
      <c r="AM2055"/>
      <c r="AN2055"/>
      <c r="AO2055"/>
    </row>
    <row r="2056" spans="1:41" ht="15">
      <c r="A2056"/>
      <c r="B2056"/>
      <c r="C2056" s="137"/>
      <c r="D2056" s="30"/>
      <c r="E2056" s="30"/>
      <c r="F2056" s="10"/>
      <c r="G2056" s="10"/>
      <c r="H2056" s="15"/>
      <c r="I2056" s="15"/>
      <c r="J2056" s="15"/>
      <c r="K2056" s="15"/>
      <c r="L2056" s="15"/>
      <c r="M2056" s="15"/>
      <c r="N2056" s="15"/>
      <c r="O2056" s="15"/>
      <c r="P2056" s="15"/>
      <c r="Q2056" s="71"/>
      <c r="R2056" s="84"/>
      <c r="S2056" s="10"/>
      <c r="T2056" s="10"/>
      <c r="U2056" s="10"/>
      <c r="V2056" s="10"/>
      <c r="W2056" s="138"/>
      <c r="Y2056"/>
      <c r="Z2056"/>
      <c r="AA2056"/>
      <c r="AB2056"/>
      <c r="AC2056"/>
      <c r="AD2056"/>
      <c r="AE2056"/>
      <c r="AF2056"/>
      <c r="AG2056"/>
      <c r="AH2056"/>
      <c r="AI2056"/>
      <c r="AJ2056"/>
      <c r="AK2056"/>
      <c r="AL2056"/>
      <c r="AM2056"/>
      <c r="AN2056"/>
      <c r="AO2056"/>
    </row>
    <row r="2057" spans="1:41" ht="15">
      <c r="A2057"/>
      <c r="B2057"/>
      <c r="C2057" s="137"/>
      <c r="D2057" s="30"/>
      <c r="E2057" s="30"/>
      <c r="F2057" s="10"/>
      <c r="G2057" s="10"/>
      <c r="H2057" s="15"/>
      <c r="I2057" s="15"/>
      <c r="J2057" s="15"/>
      <c r="K2057" s="15"/>
      <c r="L2057" s="15"/>
      <c r="M2057" s="15"/>
      <c r="N2057" s="15"/>
      <c r="O2057" s="15"/>
      <c r="P2057" s="15"/>
      <c r="Q2057" s="71"/>
      <c r="R2057" s="84"/>
      <c r="S2057" s="10"/>
      <c r="T2057" s="10"/>
      <c r="U2057" s="10"/>
      <c r="V2057" s="10"/>
      <c r="W2057" s="138"/>
      <c r="Y2057"/>
      <c r="Z2057"/>
      <c r="AA2057"/>
      <c r="AB2057"/>
      <c r="AC2057"/>
      <c r="AD2057"/>
      <c r="AE2057"/>
      <c r="AF2057"/>
      <c r="AG2057"/>
      <c r="AH2057"/>
      <c r="AI2057"/>
      <c r="AJ2057"/>
      <c r="AK2057"/>
      <c r="AL2057"/>
      <c r="AM2057"/>
      <c r="AN2057"/>
      <c r="AO2057"/>
    </row>
    <row r="2058" spans="1:41" ht="15">
      <c r="A2058"/>
      <c r="B2058"/>
      <c r="C2058" s="137"/>
      <c r="D2058" s="30"/>
      <c r="E2058" s="30"/>
      <c r="F2058" s="10"/>
      <c r="G2058" s="10"/>
      <c r="H2058" s="15"/>
      <c r="I2058" s="15"/>
      <c r="J2058" s="15"/>
      <c r="K2058" s="15"/>
      <c r="L2058" s="15"/>
      <c r="M2058" s="15"/>
      <c r="N2058" s="15"/>
      <c r="O2058" s="15"/>
      <c r="P2058" s="15"/>
      <c r="Q2058" s="71"/>
      <c r="R2058" s="84"/>
      <c r="S2058" s="10"/>
      <c r="T2058" s="10"/>
      <c r="U2058" s="10"/>
      <c r="V2058" s="10"/>
      <c r="W2058" s="138"/>
      <c r="Y2058"/>
      <c r="Z2058"/>
      <c r="AA2058"/>
      <c r="AB2058"/>
      <c r="AC2058"/>
      <c r="AD2058"/>
      <c r="AE2058"/>
      <c r="AF2058"/>
      <c r="AG2058"/>
      <c r="AH2058"/>
      <c r="AI2058"/>
      <c r="AJ2058"/>
      <c r="AK2058"/>
      <c r="AL2058"/>
      <c r="AM2058"/>
      <c r="AN2058"/>
      <c r="AO2058"/>
    </row>
    <row r="2059" spans="1:41" ht="15">
      <c r="A2059"/>
      <c r="B2059"/>
      <c r="C2059" s="137"/>
      <c r="D2059" s="30"/>
      <c r="E2059" s="30"/>
      <c r="F2059" s="10"/>
      <c r="G2059" s="10"/>
      <c r="H2059" s="15"/>
      <c r="I2059" s="15"/>
      <c r="J2059" s="15"/>
      <c r="K2059" s="15"/>
      <c r="L2059" s="15"/>
      <c r="M2059" s="15"/>
      <c r="N2059" s="15"/>
      <c r="O2059" s="15"/>
      <c r="P2059" s="15"/>
      <c r="Q2059" s="71"/>
      <c r="R2059" s="84"/>
      <c r="S2059" s="10"/>
      <c r="T2059" s="10"/>
      <c r="U2059" s="10"/>
      <c r="V2059" s="10"/>
      <c r="W2059" s="138"/>
      <c r="Y2059"/>
      <c r="Z2059"/>
      <c r="AA2059"/>
      <c r="AB2059"/>
      <c r="AC2059"/>
      <c r="AD2059"/>
      <c r="AE2059"/>
      <c r="AF2059"/>
      <c r="AG2059"/>
      <c r="AH2059"/>
      <c r="AI2059"/>
      <c r="AJ2059"/>
      <c r="AK2059"/>
      <c r="AL2059"/>
      <c r="AM2059"/>
      <c r="AN2059"/>
      <c r="AO2059"/>
    </row>
    <row r="2060" spans="1:41" ht="15">
      <c r="A2060"/>
      <c r="B2060"/>
      <c r="C2060" s="137"/>
      <c r="D2060" s="30"/>
      <c r="E2060" s="30"/>
      <c r="F2060" s="10"/>
      <c r="G2060" s="10"/>
      <c r="H2060" s="15"/>
      <c r="I2060" s="15"/>
      <c r="J2060" s="15"/>
      <c r="K2060" s="15"/>
      <c r="L2060" s="15"/>
      <c r="M2060" s="15"/>
      <c r="N2060" s="15"/>
      <c r="O2060" s="15"/>
      <c r="P2060" s="15"/>
      <c r="Q2060" s="71"/>
      <c r="R2060" s="84"/>
      <c r="S2060" s="10"/>
      <c r="T2060" s="10"/>
      <c r="U2060" s="10"/>
      <c r="V2060" s="10"/>
      <c r="W2060" s="138"/>
      <c r="Y2060"/>
      <c r="Z2060"/>
      <c r="AA2060"/>
      <c r="AB2060"/>
      <c r="AC2060"/>
      <c r="AD2060"/>
      <c r="AE2060"/>
      <c r="AF2060"/>
      <c r="AG2060"/>
      <c r="AH2060"/>
      <c r="AI2060"/>
      <c r="AJ2060"/>
      <c r="AK2060"/>
      <c r="AL2060"/>
      <c r="AM2060"/>
      <c r="AN2060"/>
      <c r="AO2060"/>
    </row>
    <row r="2061" spans="1:41" ht="15">
      <c r="A2061"/>
      <c r="B2061"/>
      <c r="C2061" s="137"/>
      <c r="D2061" s="30"/>
      <c r="E2061" s="30"/>
      <c r="F2061" s="10"/>
      <c r="G2061" s="10"/>
      <c r="H2061" s="15"/>
      <c r="I2061" s="15"/>
      <c r="J2061" s="15"/>
      <c r="K2061" s="15"/>
      <c r="L2061" s="15"/>
      <c r="M2061" s="15"/>
      <c r="N2061" s="15"/>
      <c r="O2061" s="15"/>
      <c r="P2061" s="15"/>
      <c r="Q2061" s="71"/>
      <c r="R2061" s="84"/>
      <c r="S2061" s="10"/>
      <c r="T2061" s="10"/>
      <c r="U2061" s="10"/>
      <c r="V2061" s="10"/>
      <c r="W2061" s="138"/>
      <c r="Y2061"/>
      <c r="Z2061"/>
      <c r="AA2061"/>
      <c r="AB2061"/>
      <c r="AC2061"/>
      <c r="AD2061"/>
      <c r="AE2061"/>
      <c r="AF2061"/>
      <c r="AG2061"/>
      <c r="AH2061"/>
      <c r="AI2061"/>
      <c r="AJ2061"/>
      <c r="AK2061"/>
      <c r="AL2061"/>
      <c r="AM2061"/>
      <c r="AN2061"/>
      <c r="AO2061"/>
    </row>
    <row r="2062" spans="1:41" ht="15">
      <c r="A2062"/>
      <c r="B2062"/>
      <c r="C2062" s="137"/>
      <c r="D2062" s="30"/>
      <c r="E2062" s="30"/>
      <c r="F2062" s="10"/>
      <c r="G2062" s="10"/>
      <c r="H2062" s="15"/>
      <c r="I2062" s="15"/>
      <c r="J2062" s="15"/>
      <c r="K2062" s="15"/>
      <c r="L2062" s="15"/>
      <c r="M2062" s="15"/>
      <c r="N2062" s="15"/>
      <c r="O2062" s="15"/>
      <c r="P2062" s="15"/>
      <c r="Q2062" s="71"/>
      <c r="R2062" s="84"/>
      <c r="S2062" s="10"/>
      <c r="T2062" s="10"/>
      <c r="U2062" s="10"/>
      <c r="V2062" s="10"/>
      <c r="W2062" s="138"/>
      <c r="Y2062"/>
      <c r="Z2062"/>
      <c r="AA2062"/>
      <c r="AB2062"/>
      <c r="AC2062"/>
      <c r="AD2062"/>
      <c r="AE2062"/>
      <c r="AF2062"/>
      <c r="AG2062"/>
      <c r="AH2062"/>
      <c r="AI2062"/>
      <c r="AJ2062"/>
      <c r="AK2062"/>
      <c r="AL2062"/>
      <c r="AM2062"/>
      <c r="AN2062"/>
      <c r="AO2062"/>
    </row>
    <row r="2063" spans="1:41" ht="15">
      <c r="A2063"/>
      <c r="B2063"/>
      <c r="C2063" s="137"/>
      <c r="D2063" s="30"/>
      <c r="E2063" s="30"/>
      <c r="F2063" s="10"/>
      <c r="G2063" s="10"/>
      <c r="H2063" s="15"/>
      <c r="I2063" s="15"/>
      <c r="J2063" s="15"/>
      <c r="K2063" s="15"/>
      <c r="L2063" s="15"/>
      <c r="M2063" s="15"/>
      <c r="N2063" s="15"/>
      <c r="O2063" s="15"/>
      <c r="P2063" s="15"/>
      <c r="Q2063" s="71"/>
      <c r="R2063" s="84"/>
      <c r="S2063" s="10"/>
      <c r="T2063" s="10"/>
      <c r="U2063" s="10"/>
      <c r="V2063" s="10"/>
      <c r="W2063" s="138"/>
      <c r="Y2063"/>
      <c r="Z2063"/>
      <c r="AA2063"/>
      <c r="AB2063"/>
      <c r="AC2063"/>
      <c r="AD2063"/>
      <c r="AE2063"/>
      <c r="AF2063"/>
      <c r="AG2063"/>
      <c r="AH2063"/>
      <c r="AI2063"/>
      <c r="AJ2063"/>
      <c r="AK2063"/>
      <c r="AL2063"/>
      <c r="AM2063"/>
      <c r="AN2063"/>
      <c r="AO2063"/>
    </row>
    <row r="2064" spans="1:41" ht="15">
      <c r="A2064"/>
      <c r="B2064"/>
      <c r="C2064" s="137"/>
      <c r="D2064" s="30"/>
      <c r="E2064" s="30"/>
      <c r="F2064" s="10"/>
      <c r="G2064" s="10"/>
      <c r="H2064" s="15"/>
      <c r="I2064" s="15"/>
      <c r="J2064" s="15"/>
      <c r="K2064" s="15"/>
      <c r="L2064" s="15"/>
      <c r="M2064" s="15"/>
      <c r="N2064" s="15"/>
      <c r="O2064" s="15"/>
      <c r="P2064" s="15"/>
      <c r="Q2064" s="71"/>
      <c r="R2064" s="84"/>
      <c r="S2064" s="10"/>
      <c r="T2064" s="10"/>
      <c r="U2064" s="10"/>
      <c r="V2064" s="10"/>
      <c r="W2064" s="138"/>
      <c r="Y2064"/>
      <c r="Z2064"/>
      <c r="AA2064"/>
      <c r="AB2064"/>
      <c r="AC2064"/>
      <c r="AD2064"/>
      <c r="AE2064"/>
      <c r="AF2064"/>
      <c r="AG2064"/>
      <c r="AH2064"/>
      <c r="AI2064"/>
      <c r="AJ2064"/>
      <c r="AK2064"/>
      <c r="AL2064"/>
      <c r="AM2064"/>
      <c r="AN2064"/>
      <c r="AO2064"/>
    </row>
    <row r="2065" spans="1:41" ht="15">
      <c r="A2065"/>
      <c r="B2065"/>
      <c r="C2065" s="137"/>
      <c r="D2065" s="30"/>
      <c r="E2065" s="30"/>
      <c r="F2065" s="10"/>
      <c r="G2065" s="10"/>
      <c r="H2065" s="15"/>
      <c r="I2065" s="15"/>
      <c r="J2065" s="15"/>
      <c r="K2065" s="15"/>
      <c r="L2065" s="15"/>
      <c r="M2065" s="15"/>
      <c r="N2065" s="15"/>
      <c r="O2065" s="15"/>
      <c r="P2065" s="15"/>
      <c r="Q2065" s="71"/>
      <c r="R2065" s="84"/>
      <c r="S2065" s="10"/>
      <c r="T2065" s="10"/>
      <c r="U2065" s="10"/>
      <c r="V2065" s="10"/>
      <c r="W2065" s="138"/>
      <c r="Y2065"/>
      <c r="Z2065"/>
      <c r="AA2065"/>
      <c r="AB2065"/>
      <c r="AC2065"/>
      <c r="AD2065"/>
      <c r="AE2065"/>
      <c r="AF2065"/>
      <c r="AG2065"/>
      <c r="AH2065"/>
      <c r="AI2065"/>
      <c r="AJ2065"/>
      <c r="AK2065"/>
      <c r="AL2065"/>
      <c r="AM2065"/>
      <c r="AN2065"/>
      <c r="AO2065"/>
    </row>
    <row r="2066" spans="1:41" ht="15">
      <c r="A2066"/>
      <c r="B2066"/>
      <c r="C2066" s="137"/>
      <c r="D2066" s="30"/>
      <c r="E2066" s="30"/>
      <c r="F2066" s="10"/>
      <c r="G2066" s="10"/>
      <c r="H2066" s="15"/>
      <c r="I2066" s="15"/>
      <c r="J2066" s="15"/>
      <c r="K2066" s="15"/>
      <c r="L2066" s="15"/>
      <c r="M2066" s="15"/>
      <c r="N2066" s="15"/>
      <c r="O2066" s="15"/>
      <c r="P2066" s="15"/>
      <c r="Q2066" s="71"/>
      <c r="R2066" s="84"/>
      <c r="S2066" s="10"/>
      <c r="T2066" s="10"/>
      <c r="U2066" s="10"/>
      <c r="V2066" s="10"/>
      <c r="W2066" s="138"/>
      <c r="Y2066"/>
      <c r="Z2066"/>
      <c r="AA2066"/>
      <c r="AB2066"/>
      <c r="AC2066"/>
      <c r="AD2066"/>
      <c r="AE2066"/>
      <c r="AF2066"/>
      <c r="AG2066"/>
      <c r="AH2066"/>
      <c r="AI2066"/>
      <c r="AJ2066"/>
      <c r="AK2066"/>
      <c r="AL2066"/>
      <c r="AM2066"/>
      <c r="AN2066"/>
      <c r="AO2066"/>
    </row>
    <row r="2067" spans="1:41" ht="15">
      <c r="A2067"/>
      <c r="B2067"/>
      <c r="C2067" s="137"/>
      <c r="D2067" s="30"/>
      <c r="E2067" s="30"/>
      <c r="F2067" s="10"/>
      <c r="G2067" s="10"/>
      <c r="H2067" s="15"/>
      <c r="I2067" s="15"/>
      <c r="J2067" s="15"/>
      <c r="K2067" s="15"/>
      <c r="L2067" s="15"/>
      <c r="M2067" s="15"/>
      <c r="N2067" s="15"/>
      <c r="O2067" s="15"/>
      <c r="P2067" s="15"/>
      <c r="Q2067" s="71"/>
      <c r="R2067" s="84"/>
      <c r="S2067" s="10"/>
      <c r="T2067" s="10"/>
      <c r="U2067" s="10"/>
      <c r="V2067" s="10"/>
      <c r="W2067" s="138"/>
      <c r="Y2067"/>
      <c r="Z2067"/>
      <c r="AA2067"/>
      <c r="AB2067"/>
      <c r="AC2067"/>
      <c r="AD2067"/>
      <c r="AE2067"/>
      <c r="AF2067"/>
      <c r="AG2067"/>
      <c r="AH2067"/>
      <c r="AI2067"/>
      <c r="AJ2067"/>
      <c r="AK2067"/>
      <c r="AL2067"/>
      <c r="AM2067"/>
      <c r="AN2067"/>
      <c r="AO2067"/>
    </row>
    <row r="2068" spans="1:41" ht="15">
      <c r="A2068"/>
      <c r="B2068"/>
      <c r="C2068" s="137"/>
      <c r="D2068" s="30"/>
      <c r="E2068" s="30"/>
      <c r="F2068" s="10"/>
      <c r="G2068" s="10"/>
      <c r="H2068" s="15"/>
      <c r="I2068" s="15"/>
      <c r="J2068" s="15"/>
      <c r="K2068" s="15"/>
      <c r="L2068" s="15"/>
      <c r="M2068" s="15"/>
      <c r="N2068" s="15"/>
      <c r="O2068" s="15"/>
      <c r="P2068" s="15"/>
      <c r="Q2068" s="71"/>
      <c r="R2068" s="84"/>
      <c r="S2068" s="10"/>
      <c r="T2068" s="10"/>
      <c r="U2068" s="10"/>
      <c r="V2068" s="10"/>
      <c r="W2068" s="138"/>
      <c r="Y2068"/>
      <c r="Z2068"/>
      <c r="AA2068"/>
      <c r="AB2068"/>
      <c r="AC2068"/>
      <c r="AD2068"/>
      <c r="AE2068"/>
      <c r="AF2068"/>
      <c r="AG2068"/>
      <c r="AH2068"/>
      <c r="AI2068"/>
      <c r="AJ2068"/>
      <c r="AK2068"/>
      <c r="AL2068"/>
      <c r="AM2068"/>
      <c r="AN2068"/>
      <c r="AO2068"/>
    </row>
    <row r="2069" spans="1:41" ht="15">
      <c r="A2069"/>
      <c r="B2069"/>
      <c r="C2069" s="137"/>
      <c r="D2069" s="30"/>
      <c r="E2069" s="30"/>
      <c r="F2069" s="10"/>
      <c r="G2069" s="10"/>
      <c r="H2069" s="15"/>
      <c r="I2069" s="15"/>
      <c r="J2069" s="15"/>
      <c r="K2069" s="15"/>
      <c r="L2069" s="15"/>
      <c r="M2069" s="15"/>
      <c r="N2069" s="15"/>
      <c r="O2069" s="15"/>
      <c r="P2069" s="15"/>
      <c r="Q2069" s="71"/>
      <c r="R2069" s="84"/>
      <c r="S2069" s="10"/>
      <c r="T2069" s="10"/>
      <c r="U2069" s="10"/>
      <c r="V2069" s="10"/>
      <c r="W2069" s="138"/>
      <c r="Y2069"/>
      <c r="Z2069"/>
      <c r="AA2069"/>
      <c r="AB2069"/>
      <c r="AC2069"/>
      <c r="AD2069"/>
      <c r="AE2069"/>
      <c r="AF2069"/>
      <c r="AG2069"/>
      <c r="AH2069"/>
      <c r="AI2069"/>
      <c r="AJ2069"/>
      <c r="AK2069"/>
      <c r="AL2069"/>
      <c r="AM2069"/>
      <c r="AN2069"/>
      <c r="AO2069"/>
    </row>
    <row r="2070" spans="1:41" ht="15">
      <c r="A2070"/>
      <c r="B2070"/>
      <c r="C2070" s="137"/>
      <c r="D2070" s="30"/>
      <c r="E2070" s="30"/>
      <c r="F2070" s="10"/>
      <c r="G2070" s="10"/>
      <c r="H2070" s="15"/>
      <c r="I2070" s="15"/>
      <c r="J2070" s="15"/>
      <c r="K2070" s="15"/>
      <c r="L2070" s="15"/>
      <c r="M2070" s="15"/>
      <c r="N2070" s="15"/>
      <c r="O2070" s="15"/>
      <c r="P2070" s="15"/>
      <c r="Q2070" s="71"/>
      <c r="R2070" s="84"/>
      <c r="S2070" s="10"/>
      <c r="T2070" s="10"/>
      <c r="U2070" s="10"/>
      <c r="V2070" s="10"/>
      <c r="W2070" s="138"/>
      <c r="Y2070"/>
      <c r="Z2070"/>
      <c r="AA2070"/>
      <c r="AB2070"/>
      <c r="AC2070"/>
      <c r="AD2070"/>
      <c r="AE2070"/>
      <c r="AF2070"/>
      <c r="AG2070"/>
      <c r="AH2070"/>
      <c r="AI2070"/>
      <c r="AJ2070"/>
      <c r="AK2070"/>
      <c r="AL2070"/>
      <c r="AM2070"/>
      <c r="AN2070"/>
      <c r="AO2070"/>
    </row>
    <row r="2071" spans="1:41" ht="15">
      <c r="A2071"/>
      <c r="B2071"/>
      <c r="C2071" s="137"/>
      <c r="D2071" s="30"/>
      <c r="E2071" s="30"/>
      <c r="F2071" s="10"/>
      <c r="G2071" s="10"/>
      <c r="H2071" s="15"/>
      <c r="I2071" s="15"/>
      <c r="J2071" s="15"/>
      <c r="K2071" s="15"/>
      <c r="L2071" s="15"/>
      <c r="M2071" s="15"/>
      <c r="N2071" s="15"/>
      <c r="O2071" s="15"/>
      <c r="P2071" s="15"/>
      <c r="Q2071" s="71"/>
      <c r="R2071" s="84"/>
      <c r="S2071" s="10"/>
      <c r="T2071" s="10"/>
      <c r="U2071" s="10"/>
      <c r="V2071" s="10"/>
      <c r="W2071" s="138"/>
      <c r="Y2071"/>
      <c r="Z2071"/>
      <c r="AA2071"/>
      <c r="AB2071"/>
      <c r="AC2071"/>
      <c r="AD2071"/>
      <c r="AE2071"/>
      <c r="AF2071"/>
      <c r="AG2071"/>
      <c r="AH2071"/>
      <c r="AI2071"/>
      <c r="AJ2071"/>
      <c r="AK2071"/>
      <c r="AL2071"/>
      <c r="AM2071"/>
      <c r="AN2071"/>
      <c r="AO2071"/>
    </row>
    <row r="2072" spans="1:41" ht="15">
      <c r="A2072"/>
      <c r="B2072"/>
      <c r="C2072" s="137"/>
      <c r="D2072" s="30"/>
      <c r="E2072" s="30"/>
      <c r="F2072" s="10"/>
      <c r="G2072" s="10"/>
      <c r="H2072" s="15"/>
      <c r="I2072" s="15"/>
      <c r="J2072" s="15"/>
      <c r="K2072" s="15"/>
      <c r="L2072" s="15"/>
      <c r="M2072" s="15"/>
      <c r="N2072" s="15"/>
      <c r="O2072" s="15"/>
      <c r="P2072" s="15"/>
      <c r="Q2072" s="71"/>
      <c r="R2072" s="84"/>
      <c r="S2072" s="10"/>
      <c r="T2072" s="10"/>
      <c r="U2072" s="10"/>
      <c r="V2072" s="10"/>
      <c r="W2072" s="138"/>
      <c r="Y2072"/>
      <c r="Z2072"/>
      <c r="AA2072"/>
      <c r="AB2072"/>
      <c r="AC2072"/>
      <c r="AD2072"/>
      <c r="AE2072"/>
      <c r="AF2072"/>
      <c r="AG2072"/>
      <c r="AH2072"/>
      <c r="AI2072"/>
      <c r="AJ2072"/>
      <c r="AK2072"/>
      <c r="AL2072"/>
      <c r="AM2072"/>
      <c r="AN2072"/>
      <c r="AO2072"/>
    </row>
    <row r="2073" spans="1:41" ht="15">
      <c r="A2073"/>
      <c r="B2073"/>
      <c r="C2073" s="137"/>
      <c r="D2073" s="30"/>
      <c r="E2073" s="30"/>
      <c r="F2073" s="10"/>
      <c r="G2073" s="10"/>
      <c r="H2073" s="15"/>
      <c r="I2073" s="15"/>
      <c r="J2073" s="15"/>
      <c r="K2073" s="15"/>
      <c r="L2073" s="15"/>
      <c r="M2073" s="15"/>
      <c r="N2073" s="15"/>
      <c r="O2073" s="15"/>
      <c r="P2073" s="15"/>
      <c r="Q2073" s="71"/>
      <c r="R2073" s="84"/>
      <c r="S2073" s="10"/>
      <c r="T2073" s="10"/>
      <c r="U2073" s="10"/>
      <c r="V2073" s="10"/>
      <c r="W2073" s="138"/>
      <c r="Y2073"/>
      <c r="Z2073"/>
      <c r="AA2073"/>
      <c r="AB2073"/>
      <c r="AC2073"/>
      <c r="AD2073"/>
      <c r="AE2073"/>
      <c r="AF2073"/>
      <c r="AG2073"/>
      <c r="AH2073"/>
      <c r="AI2073"/>
      <c r="AJ2073"/>
      <c r="AK2073"/>
      <c r="AL2073"/>
      <c r="AM2073"/>
      <c r="AN2073"/>
      <c r="AO2073"/>
    </row>
    <row r="2074" spans="1:41" ht="15">
      <c r="A2074"/>
      <c r="B2074"/>
      <c r="C2074" s="137"/>
      <c r="D2074" s="30"/>
      <c r="E2074" s="30"/>
      <c r="F2074" s="10"/>
      <c r="G2074" s="10"/>
      <c r="H2074" s="15"/>
      <c r="I2074" s="15"/>
      <c r="J2074" s="15"/>
      <c r="K2074" s="15"/>
      <c r="L2074" s="15"/>
      <c r="M2074" s="15"/>
      <c r="N2074" s="15"/>
      <c r="O2074" s="15"/>
      <c r="P2074" s="15"/>
      <c r="Q2074" s="71"/>
      <c r="R2074" s="84"/>
      <c r="S2074" s="10"/>
      <c r="T2074" s="10"/>
      <c r="U2074" s="10"/>
      <c r="V2074" s="10"/>
      <c r="W2074" s="138"/>
      <c r="Y2074"/>
      <c r="Z2074"/>
      <c r="AA2074"/>
      <c r="AB2074"/>
      <c r="AC2074"/>
      <c r="AD2074"/>
      <c r="AE2074"/>
      <c r="AF2074"/>
      <c r="AG2074"/>
      <c r="AH2074"/>
      <c r="AI2074"/>
      <c r="AJ2074"/>
      <c r="AK2074"/>
      <c r="AL2074"/>
      <c r="AM2074"/>
      <c r="AN2074"/>
      <c r="AO2074"/>
    </row>
    <row r="2075" spans="1:41" ht="15">
      <c r="A2075"/>
      <c r="B2075"/>
      <c r="C2075" s="137"/>
      <c r="D2075" s="30"/>
      <c r="E2075" s="30"/>
      <c r="F2075" s="10"/>
      <c r="G2075" s="10"/>
      <c r="H2075" s="15"/>
      <c r="I2075" s="15"/>
      <c r="J2075" s="15"/>
      <c r="K2075" s="15"/>
      <c r="L2075" s="15"/>
      <c r="M2075" s="15"/>
      <c r="N2075" s="15"/>
      <c r="O2075" s="15"/>
      <c r="P2075" s="15"/>
      <c r="Q2075" s="71"/>
      <c r="R2075" s="84"/>
      <c r="S2075" s="10"/>
      <c r="T2075" s="10"/>
      <c r="U2075" s="10"/>
      <c r="V2075" s="10"/>
      <c r="W2075" s="138"/>
      <c r="Y2075"/>
      <c r="Z2075"/>
      <c r="AA2075"/>
      <c r="AB2075"/>
      <c r="AC2075"/>
      <c r="AD2075"/>
      <c r="AE2075"/>
      <c r="AF2075"/>
      <c r="AG2075"/>
      <c r="AH2075"/>
      <c r="AI2075"/>
      <c r="AJ2075"/>
      <c r="AK2075"/>
      <c r="AL2075"/>
      <c r="AM2075"/>
      <c r="AN2075"/>
      <c r="AO2075"/>
    </row>
    <row r="2076" spans="1:41" ht="15">
      <c r="A2076"/>
      <c r="B2076"/>
      <c r="C2076" s="137"/>
      <c r="D2076" s="30"/>
      <c r="E2076" s="30"/>
      <c r="F2076" s="10"/>
      <c r="G2076" s="10"/>
      <c r="H2076" s="15"/>
      <c r="I2076" s="15"/>
      <c r="J2076" s="15"/>
      <c r="K2076" s="15"/>
      <c r="L2076" s="15"/>
      <c r="M2076" s="15"/>
      <c r="N2076" s="15"/>
      <c r="O2076" s="15"/>
      <c r="P2076" s="15"/>
      <c r="Q2076" s="71"/>
      <c r="R2076" s="84"/>
      <c r="S2076" s="10"/>
      <c r="T2076" s="10"/>
      <c r="U2076" s="10"/>
      <c r="V2076" s="10"/>
      <c r="W2076" s="138"/>
      <c r="Y2076"/>
      <c r="Z2076"/>
      <c r="AA2076"/>
      <c r="AB2076"/>
      <c r="AC2076"/>
      <c r="AD2076"/>
      <c r="AE2076"/>
      <c r="AF2076"/>
      <c r="AG2076"/>
      <c r="AH2076"/>
      <c r="AI2076"/>
      <c r="AJ2076"/>
      <c r="AK2076"/>
      <c r="AL2076"/>
      <c r="AM2076"/>
      <c r="AN2076"/>
      <c r="AO2076"/>
    </row>
    <row r="2077" spans="1:41" ht="15">
      <c r="A2077"/>
      <c r="B2077"/>
      <c r="C2077" s="137"/>
      <c r="D2077" s="30"/>
      <c r="E2077" s="30"/>
      <c r="F2077" s="10"/>
      <c r="G2077" s="10"/>
      <c r="H2077" s="15"/>
      <c r="I2077" s="15"/>
      <c r="J2077" s="15"/>
      <c r="K2077" s="15"/>
      <c r="L2077" s="15"/>
      <c r="M2077" s="15"/>
      <c r="N2077" s="15"/>
      <c r="O2077" s="15"/>
      <c r="P2077" s="15"/>
      <c r="Q2077" s="71"/>
      <c r="R2077" s="84"/>
      <c r="S2077" s="10"/>
      <c r="T2077" s="10"/>
      <c r="U2077" s="10"/>
      <c r="V2077" s="10"/>
      <c r="W2077" s="138"/>
      <c r="Y2077"/>
      <c r="Z2077"/>
      <c r="AA2077"/>
      <c r="AB2077"/>
      <c r="AC2077"/>
      <c r="AD2077"/>
      <c r="AE2077"/>
      <c r="AF2077"/>
      <c r="AG2077"/>
      <c r="AH2077"/>
      <c r="AI2077"/>
      <c r="AJ2077"/>
      <c r="AK2077"/>
      <c r="AL2077"/>
      <c r="AM2077"/>
      <c r="AN2077"/>
      <c r="AO2077"/>
    </row>
    <row r="2078" spans="1:41" ht="15">
      <c r="A2078"/>
      <c r="B2078"/>
      <c r="C2078" s="137"/>
      <c r="D2078" s="30"/>
      <c r="E2078" s="30"/>
      <c r="F2078" s="10"/>
      <c r="G2078" s="10"/>
      <c r="H2078" s="15"/>
      <c r="I2078" s="15"/>
      <c r="J2078" s="15"/>
      <c r="K2078" s="15"/>
      <c r="L2078" s="15"/>
      <c r="M2078" s="15"/>
      <c r="N2078" s="15"/>
      <c r="O2078" s="15"/>
      <c r="P2078" s="15"/>
      <c r="Q2078" s="71"/>
      <c r="R2078" s="84"/>
      <c r="S2078" s="10"/>
      <c r="T2078" s="10"/>
      <c r="U2078" s="10"/>
      <c r="V2078" s="10"/>
      <c r="W2078" s="138"/>
      <c r="Y2078"/>
      <c r="Z2078"/>
      <c r="AA2078"/>
      <c r="AB2078"/>
      <c r="AC2078"/>
      <c r="AD2078"/>
      <c r="AE2078"/>
      <c r="AF2078"/>
      <c r="AG2078"/>
      <c r="AH2078"/>
      <c r="AI2078"/>
      <c r="AJ2078"/>
      <c r="AK2078"/>
      <c r="AL2078"/>
      <c r="AM2078"/>
      <c r="AN2078"/>
      <c r="AO2078"/>
    </row>
    <row r="2079" spans="1:41" ht="15">
      <c r="A2079"/>
      <c r="B2079"/>
      <c r="C2079" s="137"/>
      <c r="D2079" s="30"/>
      <c r="E2079" s="30"/>
      <c r="F2079" s="10"/>
      <c r="G2079" s="10"/>
      <c r="H2079" s="15"/>
      <c r="I2079" s="15"/>
      <c r="J2079" s="15"/>
      <c r="K2079" s="15"/>
      <c r="L2079" s="15"/>
      <c r="M2079" s="15"/>
      <c r="N2079" s="15"/>
      <c r="O2079" s="15"/>
      <c r="P2079" s="15"/>
      <c r="Q2079" s="71"/>
      <c r="R2079" s="84"/>
      <c r="S2079" s="10"/>
      <c r="T2079" s="10"/>
      <c r="U2079" s="10"/>
      <c r="V2079" s="10"/>
      <c r="W2079" s="138"/>
      <c r="Y2079"/>
      <c r="Z2079"/>
      <c r="AA2079"/>
      <c r="AB2079"/>
      <c r="AC2079"/>
      <c r="AD2079"/>
      <c r="AE2079"/>
      <c r="AF2079"/>
      <c r="AG2079"/>
      <c r="AH2079"/>
      <c r="AI2079"/>
      <c r="AJ2079"/>
      <c r="AK2079"/>
      <c r="AL2079"/>
      <c r="AM2079"/>
      <c r="AN2079"/>
      <c r="AO2079"/>
    </row>
    <row r="2080" spans="1:41" ht="15">
      <c r="A2080"/>
      <c r="B2080"/>
      <c r="C2080" s="137"/>
      <c r="D2080" s="30"/>
      <c r="E2080" s="30"/>
      <c r="F2080" s="10"/>
      <c r="G2080" s="10"/>
      <c r="H2080" s="15"/>
      <c r="I2080" s="15"/>
      <c r="J2080" s="15"/>
      <c r="K2080" s="15"/>
      <c r="L2080" s="15"/>
      <c r="M2080" s="15"/>
      <c r="N2080" s="15"/>
      <c r="O2080" s="15"/>
      <c r="P2080" s="15"/>
      <c r="Q2080" s="71"/>
      <c r="R2080" s="84"/>
      <c r="S2080" s="10"/>
      <c r="T2080" s="10"/>
      <c r="U2080" s="10"/>
      <c r="V2080" s="10"/>
      <c r="W2080" s="138"/>
      <c r="Y2080"/>
      <c r="Z2080"/>
      <c r="AA2080"/>
      <c r="AB2080"/>
      <c r="AC2080"/>
      <c r="AD2080"/>
      <c r="AE2080"/>
      <c r="AF2080"/>
      <c r="AG2080"/>
      <c r="AH2080"/>
      <c r="AI2080"/>
      <c r="AJ2080"/>
      <c r="AK2080"/>
      <c r="AL2080"/>
      <c r="AM2080"/>
      <c r="AN2080"/>
      <c r="AO2080"/>
    </row>
    <row r="2081" spans="1:41" ht="15">
      <c r="A2081"/>
      <c r="B2081"/>
      <c r="C2081" s="137"/>
      <c r="D2081" s="30"/>
      <c r="E2081" s="30"/>
      <c r="F2081" s="10"/>
      <c r="G2081" s="10"/>
      <c r="H2081" s="15"/>
      <c r="I2081" s="15"/>
      <c r="J2081" s="15"/>
      <c r="K2081" s="15"/>
      <c r="L2081" s="15"/>
      <c r="M2081" s="15"/>
      <c r="N2081" s="15"/>
      <c r="O2081" s="15"/>
      <c r="P2081" s="15"/>
      <c r="Q2081" s="71"/>
      <c r="R2081" s="84"/>
      <c r="S2081" s="10"/>
      <c r="T2081" s="10"/>
      <c r="U2081" s="10"/>
      <c r="V2081" s="10"/>
      <c r="W2081" s="138"/>
      <c r="Y2081"/>
      <c r="Z2081"/>
      <c r="AA2081"/>
      <c r="AB2081"/>
      <c r="AC2081"/>
      <c r="AD2081"/>
      <c r="AE2081"/>
      <c r="AF2081"/>
      <c r="AG2081"/>
      <c r="AH2081"/>
      <c r="AI2081"/>
      <c r="AJ2081"/>
      <c r="AK2081"/>
      <c r="AL2081"/>
      <c r="AM2081"/>
      <c r="AN2081"/>
      <c r="AO2081"/>
    </row>
    <row r="2082" spans="1:41" ht="15">
      <c r="A2082"/>
      <c r="B2082"/>
      <c r="C2082" s="137"/>
      <c r="D2082" s="30"/>
      <c r="E2082" s="30"/>
      <c r="F2082" s="10"/>
      <c r="G2082" s="10"/>
      <c r="H2082" s="15"/>
      <c r="I2082" s="15"/>
      <c r="J2082" s="15"/>
      <c r="K2082" s="15"/>
      <c r="L2082" s="15"/>
      <c r="M2082" s="15"/>
      <c r="N2082" s="15"/>
      <c r="O2082" s="15"/>
      <c r="P2082" s="15"/>
      <c r="Q2082" s="71"/>
      <c r="R2082" s="84"/>
      <c r="S2082" s="10"/>
      <c r="T2082" s="10"/>
      <c r="U2082" s="10"/>
      <c r="V2082" s="10"/>
      <c r="W2082" s="138"/>
      <c r="Y2082"/>
      <c r="Z2082"/>
      <c r="AA2082"/>
      <c r="AB2082"/>
      <c r="AC2082"/>
      <c r="AD2082"/>
      <c r="AE2082"/>
      <c r="AF2082"/>
      <c r="AG2082"/>
      <c r="AH2082"/>
      <c r="AI2082"/>
      <c r="AJ2082"/>
      <c r="AK2082"/>
      <c r="AL2082"/>
      <c r="AM2082"/>
      <c r="AN2082"/>
      <c r="AO2082"/>
    </row>
    <row r="2083" spans="1:41" ht="15">
      <c r="A2083"/>
      <c r="B2083"/>
      <c r="C2083" s="137"/>
      <c r="D2083" s="30"/>
      <c r="E2083" s="30"/>
      <c r="F2083" s="10"/>
      <c r="G2083" s="10"/>
      <c r="H2083" s="15"/>
      <c r="I2083" s="15"/>
      <c r="J2083" s="15"/>
      <c r="K2083" s="15"/>
      <c r="L2083" s="15"/>
      <c r="M2083" s="15"/>
      <c r="N2083" s="15"/>
      <c r="O2083" s="15"/>
      <c r="P2083" s="15"/>
      <c r="Q2083" s="71"/>
      <c r="R2083" s="84"/>
      <c r="S2083" s="10"/>
      <c r="T2083" s="10"/>
      <c r="U2083" s="10"/>
      <c r="V2083" s="10"/>
      <c r="W2083" s="138"/>
      <c r="Y2083"/>
      <c r="Z2083"/>
      <c r="AA2083"/>
      <c r="AB2083"/>
      <c r="AC2083"/>
      <c r="AD2083"/>
      <c r="AE2083"/>
      <c r="AF2083"/>
      <c r="AG2083"/>
      <c r="AH2083"/>
      <c r="AI2083"/>
      <c r="AJ2083"/>
      <c r="AK2083"/>
      <c r="AL2083"/>
      <c r="AM2083"/>
      <c r="AN2083"/>
      <c r="AO2083"/>
    </row>
    <row r="2084" spans="1:41" ht="15">
      <c r="A2084"/>
      <c r="B2084"/>
      <c r="C2084" s="137"/>
      <c r="D2084" s="30"/>
      <c r="E2084" s="30"/>
      <c r="F2084" s="10"/>
      <c r="G2084" s="10"/>
      <c r="H2084" s="15"/>
      <c r="I2084" s="15"/>
      <c r="J2084" s="15"/>
      <c r="K2084" s="15"/>
      <c r="L2084" s="15"/>
      <c r="M2084" s="15"/>
      <c r="N2084" s="15"/>
      <c r="O2084" s="15"/>
      <c r="P2084" s="15"/>
      <c r="Q2084" s="71"/>
      <c r="R2084" s="84"/>
      <c r="S2084" s="10"/>
      <c r="T2084" s="10"/>
      <c r="U2084" s="10"/>
      <c r="V2084" s="10"/>
      <c r="W2084" s="138"/>
      <c r="Y2084"/>
      <c r="Z2084"/>
      <c r="AA2084"/>
      <c r="AB2084"/>
      <c r="AC2084"/>
      <c r="AD2084"/>
      <c r="AE2084"/>
      <c r="AF2084"/>
      <c r="AG2084"/>
      <c r="AH2084"/>
      <c r="AI2084"/>
      <c r="AJ2084"/>
      <c r="AK2084"/>
      <c r="AL2084"/>
      <c r="AM2084"/>
      <c r="AN2084"/>
      <c r="AO2084"/>
    </row>
    <row r="2085" spans="1:41" ht="15">
      <c r="A2085"/>
      <c r="B2085"/>
      <c r="C2085" s="137"/>
      <c r="D2085" s="30"/>
      <c r="E2085" s="30"/>
      <c r="F2085" s="10"/>
      <c r="G2085" s="10"/>
      <c r="H2085" s="15"/>
      <c r="I2085" s="15"/>
      <c r="J2085" s="15"/>
      <c r="K2085" s="15"/>
      <c r="L2085" s="15"/>
      <c r="M2085" s="15"/>
      <c r="N2085" s="15"/>
      <c r="O2085" s="15"/>
      <c r="P2085" s="15"/>
      <c r="Q2085" s="71"/>
      <c r="R2085" s="84"/>
      <c r="S2085" s="10"/>
      <c r="T2085" s="10"/>
      <c r="U2085" s="10"/>
      <c r="V2085" s="10"/>
      <c r="W2085" s="138"/>
      <c r="Y2085"/>
      <c r="Z2085"/>
      <c r="AA2085"/>
      <c r="AB2085"/>
      <c r="AC2085"/>
      <c r="AD2085"/>
      <c r="AE2085"/>
      <c r="AF2085"/>
      <c r="AG2085"/>
      <c r="AH2085"/>
      <c r="AI2085"/>
      <c r="AJ2085"/>
      <c r="AK2085"/>
      <c r="AL2085"/>
      <c r="AM2085"/>
      <c r="AN2085"/>
      <c r="AO2085"/>
    </row>
    <row r="2086" spans="1:41" ht="15">
      <c r="A2086"/>
      <c r="B2086"/>
      <c r="C2086" s="137"/>
      <c r="D2086" s="30"/>
      <c r="E2086" s="30"/>
      <c r="F2086" s="10"/>
      <c r="G2086" s="10"/>
      <c r="H2086" s="15"/>
      <c r="I2086" s="15"/>
      <c r="J2086" s="15"/>
      <c r="K2086" s="15"/>
      <c r="L2086" s="15"/>
      <c r="M2086" s="15"/>
      <c r="N2086" s="15"/>
      <c r="O2086" s="15"/>
      <c r="P2086" s="15"/>
      <c r="Q2086" s="71"/>
      <c r="R2086" s="84"/>
      <c r="S2086" s="10"/>
      <c r="T2086" s="10"/>
      <c r="U2086" s="10"/>
      <c r="V2086" s="10"/>
      <c r="W2086" s="138"/>
      <c r="Y2086"/>
      <c r="Z2086"/>
      <c r="AA2086"/>
      <c r="AB2086"/>
      <c r="AC2086"/>
      <c r="AD2086"/>
      <c r="AE2086"/>
      <c r="AF2086"/>
      <c r="AG2086"/>
      <c r="AH2086"/>
      <c r="AI2086"/>
      <c r="AJ2086"/>
      <c r="AK2086"/>
      <c r="AL2086"/>
      <c r="AM2086"/>
      <c r="AN2086"/>
      <c r="AO2086"/>
    </row>
    <row r="2087" spans="1:41" ht="15">
      <c r="A2087"/>
      <c r="B2087"/>
      <c r="C2087" s="137"/>
      <c r="D2087" s="30"/>
      <c r="E2087" s="30"/>
      <c r="F2087" s="10"/>
      <c r="G2087" s="10"/>
      <c r="H2087" s="15"/>
      <c r="I2087" s="15"/>
      <c r="J2087" s="15"/>
      <c r="K2087" s="15"/>
      <c r="L2087" s="15"/>
      <c r="M2087" s="15"/>
      <c r="N2087" s="15"/>
      <c r="O2087" s="15"/>
      <c r="P2087" s="15"/>
      <c r="Q2087" s="71"/>
      <c r="R2087" s="84"/>
      <c r="S2087" s="10"/>
      <c r="T2087" s="10"/>
      <c r="U2087" s="10"/>
      <c r="V2087" s="10"/>
      <c r="W2087" s="138"/>
      <c r="Y2087"/>
      <c r="Z2087"/>
      <c r="AA2087"/>
      <c r="AB2087"/>
      <c r="AC2087"/>
      <c r="AD2087"/>
      <c r="AE2087"/>
      <c r="AF2087"/>
      <c r="AG2087"/>
      <c r="AH2087"/>
      <c r="AI2087"/>
      <c r="AJ2087"/>
      <c r="AK2087"/>
      <c r="AL2087"/>
      <c r="AM2087"/>
      <c r="AN2087"/>
      <c r="AO2087"/>
    </row>
    <row r="2088" spans="1:41" ht="15">
      <c r="A2088"/>
      <c r="B2088"/>
      <c r="C2088" s="137"/>
      <c r="D2088" s="30"/>
      <c r="E2088" s="30"/>
      <c r="F2088" s="10"/>
      <c r="G2088" s="10"/>
      <c r="H2088" s="15"/>
      <c r="I2088" s="15"/>
      <c r="J2088" s="15"/>
      <c r="K2088" s="15"/>
      <c r="L2088" s="15"/>
      <c r="M2088" s="15"/>
      <c r="N2088" s="15"/>
      <c r="O2088" s="15"/>
      <c r="P2088" s="15"/>
      <c r="Q2088" s="71"/>
      <c r="R2088" s="84"/>
      <c r="S2088" s="10"/>
      <c r="T2088" s="10"/>
      <c r="U2088" s="10"/>
      <c r="V2088" s="10"/>
      <c r="W2088" s="138"/>
      <c r="Y2088"/>
      <c r="Z2088"/>
      <c r="AA2088"/>
      <c r="AB2088"/>
      <c r="AC2088"/>
      <c r="AD2088"/>
      <c r="AE2088"/>
      <c r="AF2088"/>
      <c r="AG2088"/>
      <c r="AH2088"/>
      <c r="AI2088"/>
      <c r="AJ2088"/>
      <c r="AK2088"/>
      <c r="AL2088"/>
      <c r="AM2088"/>
      <c r="AN2088"/>
      <c r="AO2088"/>
    </row>
    <row r="2089" spans="1:41" ht="15">
      <c r="A2089"/>
      <c r="B2089"/>
      <c r="C2089" s="137"/>
      <c r="D2089" s="30"/>
      <c r="E2089" s="30"/>
      <c r="F2089" s="10"/>
      <c r="G2089" s="10"/>
      <c r="H2089" s="15"/>
      <c r="I2089" s="15"/>
      <c r="J2089" s="15"/>
      <c r="K2089" s="15"/>
      <c r="L2089" s="15"/>
      <c r="M2089" s="15"/>
      <c r="N2089" s="15"/>
      <c r="O2089" s="15"/>
      <c r="P2089" s="15"/>
      <c r="Q2089" s="71"/>
      <c r="R2089" s="84"/>
      <c r="S2089" s="10"/>
      <c r="T2089" s="10"/>
      <c r="U2089" s="10"/>
      <c r="V2089" s="10"/>
      <c r="W2089" s="138"/>
      <c r="Y2089"/>
      <c r="Z2089"/>
      <c r="AA2089"/>
      <c r="AB2089"/>
      <c r="AC2089"/>
      <c r="AD2089"/>
      <c r="AE2089"/>
      <c r="AF2089"/>
      <c r="AG2089"/>
      <c r="AH2089"/>
      <c r="AI2089"/>
      <c r="AJ2089"/>
      <c r="AK2089"/>
      <c r="AL2089"/>
      <c r="AM2089"/>
      <c r="AN2089"/>
      <c r="AO2089"/>
    </row>
    <row r="2090" spans="1:41" ht="15">
      <c r="A2090"/>
      <c r="B2090"/>
      <c r="C2090" s="137"/>
      <c r="D2090" s="30"/>
      <c r="E2090" s="30"/>
      <c r="F2090" s="10"/>
      <c r="G2090" s="10"/>
      <c r="H2090" s="15"/>
      <c r="I2090" s="15"/>
      <c r="J2090" s="15"/>
      <c r="K2090" s="15"/>
      <c r="L2090" s="15"/>
      <c r="M2090" s="15"/>
      <c r="N2090" s="15"/>
      <c r="O2090" s="15"/>
      <c r="P2090" s="15"/>
      <c r="Q2090" s="71"/>
      <c r="R2090" s="84"/>
      <c r="S2090" s="10"/>
      <c r="T2090" s="10"/>
      <c r="U2090" s="10"/>
      <c r="V2090" s="10"/>
      <c r="W2090" s="138"/>
      <c r="Y2090"/>
      <c r="Z2090"/>
      <c r="AA2090"/>
      <c r="AB2090"/>
      <c r="AC2090"/>
      <c r="AD2090"/>
      <c r="AE2090"/>
      <c r="AF2090"/>
      <c r="AG2090"/>
      <c r="AH2090"/>
      <c r="AI2090"/>
      <c r="AJ2090"/>
      <c r="AK2090"/>
      <c r="AL2090"/>
      <c r="AM2090"/>
      <c r="AN2090"/>
      <c r="AO2090"/>
    </row>
    <row r="2091" spans="1:41" ht="15">
      <c r="A2091"/>
      <c r="B2091"/>
      <c r="C2091" s="137"/>
      <c r="D2091" s="30"/>
      <c r="E2091" s="30"/>
      <c r="F2091" s="10"/>
      <c r="G2091" s="10"/>
      <c r="H2091" s="15"/>
      <c r="I2091" s="15"/>
      <c r="J2091" s="15"/>
      <c r="K2091" s="15"/>
      <c r="L2091" s="15"/>
      <c r="M2091" s="15"/>
      <c r="N2091" s="15"/>
      <c r="O2091" s="15"/>
      <c r="P2091" s="15"/>
      <c r="Q2091" s="71"/>
      <c r="R2091" s="84"/>
      <c r="S2091" s="10"/>
      <c r="T2091" s="10"/>
      <c r="U2091" s="10"/>
      <c r="V2091" s="10"/>
      <c r="W2091" s="138"/>
      <c r="Y2091"/>
      <c r="Z2091"/>
      <c r="AA2091"/>
      <c r="AB2091"/>
      <c r="AC2091"/>
      <c r="AD2091"/>
      <c r="AE2091"/>
      <c r="AF2091"/>
      <c r="AG2091"/>
      <c r="AH2091"/>
      <c r="AI2091"/>
      <c r="AJ2091"/>
      <c r="AK2091"/>
      <c r="AL2091"/>
      <c r="AM2091"/>
      <c r="AN2091"/>
      <c r="AO2091"/>
    </row>
    <row r="2092" spans="1:41" ht="15">
      <c r="A2092"/>
      <c r="B2092"/>
      <c r="C2092" s="137"/>
      <c r="D2092" s="30"/>
      <c r="E2092" s="30"/>
      <c r="F2092" s="10"/>
      <c r="G2092" s="10"/>
      <c r="H2092" s="15"/>
      <c r="I2092" s="15"/>
      <c r="J2092" s="15"/>
      <c r="K2092" s="15"/>
      <c r="L2092" s="15"/>
      <c r="M2092" s="15"/>
      <c r="N2092" s="15"/>
      <c r="O2092" s="15"/>
      <c r="P2092" s="15"/>
      <c r="Q2092" s="71"/>
      <c r="R2092" s="84"/>
      <c r="S2092" s="10"/>
      <c r="T2092" s="10"/>
      <c r="U2092" s="10"/>
      <c r="V2092" s="10"/>
      <c r="W2092" s="138"/>
      <c r="Y2092"/>
      <c r="Z2092"/>
      <c r="AA2092"/>
      <c r="AB2092"/>
      <c r="AC2092"/>
      <c r="AD2092"/>
      <c r="AE2092"/>
      <c r="AF2092"/>
      <c r="AG2092"/>
      <c r="AH2092"/>
      <c r="AI2092"/>
      <c r="AJ2092"/>
      <c r="AK2092"/>
      <c r="AL2092"/>
      <c r="AM2092"/>
      <c r="AN2092"/>
      <c r="AO2092"/>
    </row>
    <row r="2093" spans="1:41" ht="15">
      <c r="A2093"/>
      <c r="B2093"/>
      <c r="C2093" s="137"/>
      <c r="D2093" s="30"/>
      <c r="E2093" s="30"/>
      <c r="F2093" s="10"/>
      <c r="G2093" s="10"/>
      <c r="H2093" s="15"/>
      <c r="I2093" s="15"/>
      <c r="J2093" s="15"/>
      <c r="K2093" s="15"/>
      <c r="L2093" s="15"/>
      <c r="M2093" s="15"/>
      <c r="N2093" s="15"/>
      <c r="O2093" s="15"/>
      <c r="P2093" s="15"/>
      <c r="Q2093" s="71"/>
      <c r="R2093" s="84"/>
      <c r="S2093" s="10"/>
      <c r="T2093" s="10"/>
      <c r="U2093" s="10"/>
      <c r="V2093" s="10"/>
      <c r="W2093" s="138"/>
      <c r="Y2093"/>
      <c r="Z2093"/>
      <c r="AA2093"/>
      <c r="AB2093"/>
      <c r="AC2093"/>
      <c r="AD2093"/>
      <c r="AE2093"/>
      <c r="AF2093"/>
      <c r="AG2093"/>
      <c r="AH2093"/>
      <c r="AI2093"/>
      <c r="AJ2093"/>
      <c r="AK2093"/>
      <c r="AL2093"/>
      <c r="AM2093"/>
      <c r="AN2093"/>
      <c r="AO2093"/>
    </row>
    <row r="2094" spans="1:41" ht="15">
      <c r="A2094"/>
      <c r="B2094"/>
      <c r="C2094" s="137"/>
      <c r="D2094" s="30"/>
      <c r="E2094" s="30"/>
      <c r="F2094" s="10"/>
      <c r="G2094" s="10"/>
      <c r="H2094" s="15"/>
      <c r="I2094" s="15"/>
      <c r="J2094" s="15"/>
      <c r="K2094" s="15"/>
      <c r="L2094" s="15"/>
      <c r="M2094" s="15"/>
      <c r="N2094" s="15"/>
      <c r="O2094" s="15"/>
      <c r="P2094" s="15"/>
      <c r="Q2094" s="71"/>
      <c r="R2094" s="84"/>
      <c r="S2094" s="10"/>
      <c r="T2094" s="10"/>
      <c r="U2094" s="10"/>
      <c r="V2094" s="10"/>
      <c r="W2094" s="138"/>
      <c r="Y2094"/>
      <c r="Z2094"/>
      <c r="AA2094"/>
      <c r="AB2094"/>
      <c r="AC2094"/>
      <c r="AD2094"/>
      <c r="AE2094"/>
      <c r="AF2094"/>
      <c r="AG2094"/>
      <c r="AH2094"/>
      <c r="AI2094"/>
      <c r="AJ2094"/>
      <c r="AK2094"/>
      <c r="AL2094"/>
      <c r="AM2094"/>
      <c r="AN2094"/>
      <c r="AO2094"/>
    </row>
    <row r="2095" spans="1:41" ht="15">
      <c r="A2095"/>
      <c r="B2095"/>
      <c r="C2095" s="137"/>
      <c r="D2095" s="30"/>
      <c r="E2095" s="30"/>
      <c r="F2095" s="10"/>
      <c r="G2095" s="10"/>
      <c r="H2095" s="15"/>
      <c r="I2095" s="15"/>
      <c r="J2095" s="15"/>
      <c r="K2095" s="15"/>
      <c r="L2095" s="15"/>
      <c r="M2095" s="15"/>
      <c r="N2095" s="15"/>
      <c r="O2095" s="15"/>
      <c r="P2095" s="15"/>
      <c r="Q2095" s="71"/>
      <c r="R2095" s="84"/>
      <c r="S2095" s="10"/>
      <c r="T2095" s="10"/>
      <c r="U2095" s="10"/>
      <c r="V2095" s="10"/>
      <c r="W2095" s="138"/>
      <c r="Y2095"/>
      <c r="Z2095"/>
      <c r="AA2095"/>
      <c r="AB2095"/>
      <c r="AC2095"/>
      <c r="AD2095"/>
      <c r="AE2095"/>
      <c r="AF2095"/>
      <c r="AG2095"/>
      <c r="AH2095"/>
      <c r="AI2095"/>
      <c r="AJ2095"/>
      <c r="AK2095"/>
      <c r="AL2095"/>
      <c r="AM2095"/>
      <c r="AN2095"/>
      <c r="AO2095"/>
    </row>
    <row r="2096" spans="1:41" ht="15">
      <c r="A2096"/>
      <c r="B2096"/>
      <c r="C2096" s="137"/>
      <c r="D2096" s="30"/>
      <c r="E2096" s="30"/>
      <c r="F2096" s="10"/>
      <c r="G2096" s="10"/>
      <c r="H2096" s="15"/>
      <c r="I2096" s="15"/>
      <c r="J2096" s="15"/>
      <c r="K2096" s="15"/>
      <c r="L2096" s="15"/>
      <c r="M2096" s="15"/>
      <c r="N2096" s="15"/>
      <c r="O2096" s="15"/>
      <c r="P2096" s="15"/>
      <c r="Q2096" s="71"/>
      <c r="R2096" s="84"/>
      <c r="S2096" s="10"/>
      <c r="T2096" s="10"/>
      <c r="U2096" s="10"/>
      <c r="V2096" s="10"/>
      <c r="W2096" s="138"/>
      <c r="Y2096"/>
      <c r="Z2096"/>
      <c r="AA2096"/>
      <c r="AB2096"/>
      <c r="AC2096"/>
      <c r="AD2096"/>
      <c r="AE2096"/>
      <c r="AF2096"/>
      <c r="AG2096"/>
      <c r="AH2096"/>
      <c r="AI2096"/>
      <c r="AJ2096"/>
      <c r="AK2096"/>
      <c r="AL2096"/>
      <c r="AM2096"/>
      <c r="AN2096"/>
      <c r="AO2096"/>
    </row>
    <row r="2097" spans="1:41" ht="15">
      <c r="A2097"/>
      <c r="B2097"/>
      <c r="C2097" s="137"/>
      <c r="D2097" s="30"/>
      <c r="E2097" s="30"/>
      <c r="F2097" s="10"/>
      <c r="G2097" s="10"/>
      <c r="H2097" s="15"/>
      <c r="I2097" s="15"/>
      <c r="J2097" s="15"/>
      <c r="K2097" s="15"/>
      <c r="L2097" s="15"/>
      <c r="M2097" s="15"/>
      <c r="N2097" s="15"/>
      <c r="O2097" s="15"/>
      <c r="P2097" s="15"/>
      <c r="Q2097" s="71"/>
      <c r="R2097" s="84"/>
      <c r="S2097" s="10"/>
      <c r="T2097" s="10"/>
      <c r="U2097" s="10"/>
      <c r="V2097" s="10"/>
      <c r="W2097" s="138"/>
      <c r="Y2097"/>
      <c r="Z2097"/>
      <c r="AA2097"/>
      <c r="AB2097"/>
      <c r="AC2097"/>
      <c r="AD2097"/>
      <c r="AE2097"/>
      <c r="AF2097"/>
      <c r="AG2097"/>
      <c r="AH2097"/>
      <c r="AI2097"/>
      <c r="AJ2097"/>
      <c r="AK2097"/>
      <c r="AL2097"/>
      <c r="AM2097"/>
      <c r="AN2097"/>
      <c r="AO2097"/>
    </row>
    <row r="2098" spans="1:41" ht="15">
      <c r="A2098"/>
      <c r="B2098"/>
      <c r="C2098" s="137"/>
      <c r="D2098" s="30"/>
      <c r="E2098" s="30"/>
      <c r="F2098" s="10"/>
      <c r="G2098" s="10"/>
      <c r="H2098" s="15"/>
      <c r="I2098" s="15"/>
      <c r="J2098" s="15"/>
      <c r="K2098" s="15"/>
      <c r="L2098" s="15"/>
      <c r="M2098" s="15"/>
      <c r="N2098" s="15"/>
      <c r="O2098" s="15"/>
      <c r="P2098" s="15"/>
      <c r="Q2098" s="71"/>
      <c r="R2098" s="84"/>
      <c r="S2098" s="10"/>
      <c r="T2098" s="10"/>
      <c r="U2098" s="10"/>
      <c r="V2098" s="10"/>
      <c r="W2098" s="138"/>
      <c r="Y2098"/>
      <c r="Z2098"/>
      <c r="AA2098"/>
      <c r="AB2098"/>
      <c r="AC2098"/>
      <c r="AD2098"/>
      <c r="AE2098"/>
      <c r="AF2098"/>
      <c r="AG2098"/>
      <c r="AH2098"/>
      <c r="AI2098"/>
      <c r="AJ2098"/>
      <c r="AK2098"/>
      <c r="AL2098"/>
      <c r="AM2098"/>
      <c r="AN2098"/>
      <c r="AO2098"/>
    </row>
    <row r="2099" spans="1:41" ht="15">
      <c r="A2099"/>
      <c r="B2099"/>
      <c r="C2099" s="137"/>
      <c r="D2099" s="30"/>
      <c r="E2099" s="30"/>
      <c r="F2099" s="10"/>
      <c r="G2099" s="10"/>
      <c r="H2099" s="15"/>
      <c r="I2099" s="15"/>
      <c r="J2099" s="15"/>
      <c r="K2099" s="15"/>
      <c r="L2099" s="15"/>
      <c r="M2099" s="15"/>
      <c r="N2099" s="15"/>
      <c r="O2099" s="15"/>
      <c r="P2099" s="15"/>
      <c r="Q2099" s="71"/>
      <c r="R2099" s="84"/>
      <c r="S2099" s="10"/>
      <c r="T2099" s="10"/>
      <c r="U2099" s="10"/>
      <c r="V2099" s="10"/>
      <c r="W2099" s="138"/>
      <c r="Y2099"/>
      <c r="Z2099"/>
      <c r="AA2099"/>
      <c r="AB2099"/>
      <c r="AC2099"/>
      <c r="AD2099"/>
      <c r="AE2099"/>
      <c r="AF2099"/>
      <c r="AG2099"/>
      <c r="AH2099"/>
      <c r="AI2099"/>
      <c r="AJ2099"/>
      <c r="AK2099"/>
      <c r="AL2099"/>
      <c r="AM2099"/>
      <c r="AN2099"/>
      <c r="AO2099"/>
    </row>
    <row r="2100" spans="1:41" ht="15">
      <c r="A2100"/>
      <c r="B2100"/>
      <c r="C2100" s="137"/>
      <c r="D2100" s="30"/>
      <c r="E2100" s="30"/>
      <c r="F2100" s="10"/>
      <c r="G2100" s="10"/>
      <c r="H2100" s="15"/>
      <c r="I2100" s="15"/>
      <c r="J2100" s="15"/>
      <c r="K2100" s="15"/>
      <c r="L2100" s="15"/>
      <c r="M2100" s="15"/>
      <c r="N2100" s="15"/>
      <c r="O2100" s="15"/>
      <c r="P2100" s="15"/>
      <c r="Q2100" s="71"/>
      <c r="R2100" s="84"/>
      <c r="S2100" s="10"/>
      <c r="T2100" s="10"/>
      <c r="U2100" s="10"/>
      <c r="V2100" s="10"/>
      <c r="W2100" s="138"/>
      <c r="Y2100"/>
      <c r="Z2100"/>
      <c r="AA2100"/>
      <c r="AB2100"/>
      <c r="AC2100"/>
      <c r="AD2100"/>
      <c r="AE2100"/>
      <c r="AF2100"/>
      <c r="AG2100"/>
      <c r="AH2100"/>
      <c r="AI2100"/>
      <c r="AJ2100"/>
      <c r="AK2100"/>
      <c r="AL2100"/>
      <c r="AM2100"/>
      <c r="AN2100"/>
      <c r="AO2100"/>
    </row>
    <row r="2101" spans="1:41" ht="15">
      <c r="A2101"/>
      <c r="B2101"/>
      <c r="C2101" s="137"/>
      <c r="D2101" s="30"/>
      <c r="E2101" s="30"/>
      <c r="F2101" s="10"/>
      <c r="G2101" s="10"/>
      <c r="H2101" s="15"/>
      <c r="I2101" s="15"/>
      <c r="J2101" s="15"/>
      <c r="K2101" s="15"/>
      <c r="L2101" s="15"/>
      <c r="M2101" s="15"/>
      <c r="N2101" s="15"/>
      <c r="O2101" s="15"/>
      <c r="P2101" s="15"/>
      <c r="Q2101" s="71"/>
      <c r="R2101" s="84"/>
      <c r="S2101" s="10"/>
      <c r="T2101" s="10"/>
      <c r="U2101" s="10"/>
      <c r="V2101" s="10"/>
      <c r="W2101" s="138"/>
      <c r="Y2101"/>
      <c r="Z2101"/>
      <c r="AA2101"/>
      <c r="AB2101"/>
      <c r="AC2101"/>
      <c r="AD2101"/>
      <c r="AE2101"/>
      <c r="AF2101"/>
      <c r="AG2101"/>
      <c r="AH2101"/>
      <c r="AI2101"/>
      <c r="AJ2101"/>
      <c r="AK2101"/>
      <c r="AL2101"/>
      <c r="AM2101"/>
      <c r="AN2101"/>
      <c r="AO2101"/>
    </row>
    <row r="2102" spans="1:41" ht="15">
      <c r="A2102"/>
      <c r="B2102"/>
      <c r="C2102" s="137"/>
      <c r="D2102" s="30"/>
      <c r="E2102" s="30"/>
      <c r="F2102" s="10"/>
      <c r="G2102" s="10"/>
      <c r="H2102" s="15"/>
      <c r="I2102" s="15"/>
      <c r="J2102" s="15"/>
      <c r="K2102" s="15"/>
      <c r="L2102" s="15"/>
      <c r="M2102" s="15"/>
      <c r="N2102" s="15"/>
      <c r="O2102" s="15"/>
      <c r="P2102" s="15"/>
      <c r="Q2102" s="71"/>
      <c r="R2102" s="84"/>
      <c r="S2102" s="10"/>
      <c r="T2102" s="10"/>
      <c r="U2102" s="10"/>
      <c r="V2102" s="10"/>
      <c r="W2102" s="138"/>
      <c r="Y2102"/>
      <c r="Z2102"/>
      <c r="AA2102"/>
      <c r="AB2102"/>
      <c r="AC2102"/>
      <c r="AD2102"/>
      <c r="AE2102"/>
      <c r="AF2102"/>
      <c r="AG2102"/>
      <c r="AH2102"/>
      <c r="AI2102"/>
      <c r="AJ2102"/>
      <c r="AK2102"/>
      <c r="AL2102"/>
      <c r="AM2102"/>
      <c r="AN2102"/>
      <c r="AO2102"/>
    </row>
    <row r="2103" spans="1:41" ht="15">
      <c r="A2103"/>
      <c r="B2103"/>
      <c r="C2103" s="137"/>
      <c r="D2103" s="30"/>
      <c r="E2103" s="30"/>
      <c r="F2103" s="10"/>
      <c r="G2103" s="10"/>
      <c r="H2103" s="15"/>
      <c r="I2103" s="15"/>
      <c r="J2103" s="15"/>
      <c r="K2103" s="15"/>
      <c r="L2103" s="15"/>
      <c r="M2103" s="15"/>
      <c r="N2103" s="15"/>
      <c r="O2103" s="15"/>
      <c r="P2103" s="15"/>
      <c r="Q2103" s="71"/>
      <c r="R2103" s="84"/>
      <c r="S2103" s="10"/>
      <c r="T2103" s="10"/>
      <c r="U2103" s="10"/>
      <c r="V2103" s="10"/>
      <c r="W2103" s="138"/>
      <c r="Y2103"/>
      <c r="Z2103"/>
      <c r="AA2103"/>
      <c r="AB2103"/>
      <c r="AC2103"/>
      <c r="AD2103"/>
      <c r="AE2103"/>
      <c r="AF2103"/>
      <c r="AG2103"/>
      <c r="AH2103"/>
      <c r="AI2103"/>
      <c r="AJ2103"/>
      <c r="AK2103"/>
      <c r="AL2103"/>
      <c r="AM2103"/>
      <c r="AN2103"/>
      <c r="AO2103"/>
    </row>
    <row r="2104" spans="1:41" ht="15">
      <c r="A2104"/>
      <c r="B2104"/>
      <c r="C2104" s="137"/>
      <c r="D2104" s="30"/>
      <c r="E2104" s="30"/>
      <c r="F2104" s="10"/>
      <c r="G2104" s="10"/>
      <c r="H2104" s="15"/>
      <c r="I2104" s="15"/>
      <c r="J2104" s="15"/>
      <c r="K2104" s="15"/>
      <c r="L2104" s="15"/>
      <c r="M2104" s="15"/>
      <c r="N2104" s="15"/>
      <c r="O2104" s="15"/>
      <c r="P2104" s="15"/>
      <c r="Q2104" s="71"/>
      <c r="R2104" s="84"/>
      <c r="S2104" s="10"/>
      <c r="T2104" s="10"/>
      <c r="U2104" s="10"/>
      <c r="V2104" s="10"/>
      <c r="W2104" s="138"/>
      <c r="Y2104"/>
      <c r="Z2104"/>
      <c r="AA2104"/>
      <c r="AB2104"/>
      <c r="AC2104"/>
      <c r="AD2104"/>
      <c r="AE2104"/>
      <c r="AF2104"/>
      <c r="AG2104"/>
      <c r="AH2104"/>
      <c r="AI2104"/>
      <c r="AJ2104"/>
      <c r="AK2104"/>
      <c r="AL2104"/>
      <c r="AM2104"/>
      <c r="AN2104"/>
      <c r="AO2104"/>
    </row>
    <row r="2105" spans="1:41" ht="15">
      <c r="A2105"/>
      <c r="B2105"/>
      <c r="C2105" s="137"/>
      <c r="D2105" s="30"/>
      <c r="E2105" s="30"/>
      <c r="F2105" s="10"/>
      <c r="G2105" s="10"/>
      <c r="H2105" s="15"/>
      <c r="I2105" s="15"/>
      <c r="J2105" s="15"/>
      <c r="K2105" s="15"/>
      <c r="L2105" s="15"/>
      <c r="M2105" s="15"/>
      <c r="N2105" s="15"/>
      <c r="O2105" s="15"/>
      <c r="P2105" s="15"/>
      <c r="Q2105" s="71"/>
      <c r="R2105" s="84"/>
      <c r="S2105" s="10"/>
      <c r="T2105" s="10"/>
      <c r="U2105" s="10"/>
      <c r="V2105" s="10"/>
      <c r="W2105" s="138"/>
      <c r="Y2105"/>
      <c r="Z2105"/>
      <c r="AA2105"/>
      <c r="AB2105"/>
      <c r="AC2105"/>
      <c r="AD2105"/>
      <c r="AE2105"/>
      <c r="AF2105"/>
      <c r="AG2105"/>
      <c r="AH2105"/>
      <c r="AI2105"/>
      <c r="AJ2105"/>
      <c r="AK2105"/>
      <c r="AL2105"/>
      <c r="AM2105"/>
      <c r="AN2105"/>
      <c r="AO2105"/>
    </row>
    <row r="2106" spans="1:41" ht="15">
      <c r="A2106"/>
      <c r="B2106"/>
      <c r="C2106" s="137"/>
      <c r="D2106" s="30"/>
      <c r="E2106" s="30"/>
      <c r="F2106" s="10"/>
      <c r="G2106" s="10"/>
      <c r="H2106" s="15"/>
      <c r="I2106" s="15"/>
      <c r="J2106" s="15"/>
      <c r="K2106" s="15"/>
      <c r="L2106" s="15"/>
      <c r="M2106" s="15"/>
      <c r="N2106" s="15"/>
      <c r="O2106" s="15"/>
      <c r="P2106" s="15"/>
      <c r="Q2106" s="71"/>
      <c r="R2106" s="84"/>
      <c r="S2106" s="10"/>
      <c r="T2106" s="10"/>
      <c r="U2106" s="10"/>
      <c r="V2106" s="10"/>
      <c r="W2106" s="138"/>
      <c r="Y2106"/>
      <c r="Z2106"/>
      <c r="AA2106"/>
      <c r="AB2106"/>
      <c r="AC2106"/>
      <c r="AD2106"/>
      <c r="AE2106"/>
      <c r="AF2106"/>
      <c r="AG2106"/>
      <c r="AH2106"/>
      <c r="AI2106"/>
      <c r="AJ2106"/>
      <c r="AK2106"/>
      <c r="AL2106"/>
      <c r="AM2106"/>
      <c r="AN2106"/>
      <c r="AO2106"/>
    </row>
    <row r="2107" spans="1:41" ht="15">
      <c r="A2107"/>
      <c r="B2107"/>
      <c r="C2107" s="137"/>
      <c r="D2107" s="30"/>
      <c r="E2107" s="30"/>
      <c r="F2107" s="10"/>
      <c r="G2107" s="10"/>
      <c r="H2107" s="15"/>
      <c r="I2107" s="15"/>
      <c r="J2107" s="15"/>
      <c r="K2107" s="15"/>
      <c r="L2107" s="15"/>
      <c r="M2107" s="15"/>
      <c r="N2107" s="15"/>
      <c r="O2107" s="15"/>
      <c r="P2107" s="15"/>
      <c r="Q2107" s="71"/>
      <c r="R2107" s="84"/>
      <c r="S2107" s="10"/>
      <c r="T2107" s="10"/>
      <c r="U2107" s="10"/>
      <c r="V2107" s="10"/>
      <c r="W2107" s="138"/>
      <c r="Y2107"/>
      <c r="Z2107"/>
      <c r="AA2107"/>
      <c r="AB2107"/>
      <c r="AC2107"/>
      <c r="AD2107"/>
      <c r="AE2107"/>
      <c r="AF2107"/>
      <c r="AG2107"/>
      <c r="AH2107"/>
      <c r="AI2107"/>
      <c r="AJ2107"/>
      <c r="AK2107"/>
      <c r="AL2107"/>
      <c r="AM2107"/>
      <c r="AN2107"/>
      <c r="AO2107"/>
    </row>
    <row r="2108" spans="1:41" ht="15">
      <c r="A2108"/>
      <c r="B2108"/>
      <c r="C2108" s="137"/>
      <c r="D2108" s="30"/>
      <c r="E2108" s="30"/>
      <c r="F2108" s="10"/>
      <c r="G2108" s="10"/>
      <c r="H2108" s="15"/>
      <c r="I2108" s="15"/>
      <c r="J2108" s="15"/>
      <c r="K2108" s="15"/>
      <c r="L2108" s="15"/>
      <c r="M2108" s="15"/>
      <c r="N2108" s="15"/>
      <c r="O2108" s="15"/>
      <c r="P2108" s="15"/>
      <c r="Q2108" s="71"/>
      <c r="R2108" s="84"/>
      <c r="S2108" s="10"/>
      <c r="T2108" s="10"/>
      <c r="U2108" s="10"/>
      <c r="V2108" s="10"/>
      <c r="W2108" s="138"/>
      <c r="Y2108"/>
      <c r="Z2108"/>
      <c r="AA2108"/>
      <c r="AB2108"/>
      <c r="AC2108"/>
      <c r="AD2108"/>
      <c r="AE2108"/>
      <c r="AF2108"/>
      <c r="AG2108"/>
      <c r="AH2108"/>
      <c r="AI2108"/>
      <c r="AJ2108"/>
      <c r="AK2108"/>
      <c r="AL2108"/>
      <c r="AM2108"/>
      <c r="AN2108"/>
      <c r="AO2108"/>
    </row>
    <row r="2109" spans="1:41" ht="15">
      <c r="A2109"/>
      <c r="B2109"/>
      <c r="C2109" s="137"/>
      <c r="D2109" s="30"/>
      <c r="E2109" s="30"/>
      <c r="F2109" s="10"/>
      <c r="G2109" s="10"/>
      <c r="H2109" s="15"/>
      <c r="I2109" s="15"/>
      <c r="J2109" s="15"/>
      <c r="K2109" s="15"/>
      <c r="L2109" s="15"/>
      <c r="M2109" s="15"/>
      <c r="N2109" s="15"/>
      <c r="O2109" s="15"/>
      <c r="P2109" s="15"/>
      <c r="Q2109" s="71"/>
      <c r="R2109" s="84"/>
      <c r="S2109" s="10"/>
      <c r="T2109" s="10"/>
      <c r="U2109" s="10"/>
      <c r="V2109" s="10"/>
      <c r="W2109" s="138"/>
      <c r="Y2109"/>
      <c r="Z2109"/>
      <c r="AA2109"/>
      <c r="AB2109"/>
      <c r="AC2109"/>
      <c r="AD2109"/>
      <c r="AE2109"/>
      <c r="AF2109"/>
      <c r="AG2109"/>
      <c r="AH2109"/>
      <c r="AI2109"/>
      <c r="AJ2109"/>
      <c r="AK2109"/>
      <c r="AL2109"/>
      <c r="AM2109"/>
      <c r="AN2109"/>
      <c r="AO2109"/>
    </row>
    <row r="2110" spans="1:41" ht="15">
      <c r="A2110"/>
      <c r="B2110"/>
      <c r="C2110" s="137"/>
      <c r="D2110" s="30"/>
      <c r="E2110" s="30"/>
      <c r="F2110" s="10"/>
      <c r="G2110" s="10"/>
      <c r="H2110" s="15"/>
      <c r="I2110" s="15"/>
      <c r="J2110" s="15"/>
      <c r="K2110" s="15"/>
      <c r="L2110" s="15"/>
      <c r="M2110" s="15"/>
      <c r="N2110" s="15"/>
      <c r="O2110" s="15"/>
      <c r="P2110" s="15"/>
      <c r="Q2110" s="71"/>
      <c r="R2110" s="84"/>
      <c r="S2110" s="10"/>
      <c r="T2110" s="10"/>
      <c r="U2110" s="10"/>
      <c r="V2110" s="10"/>
      <c r="W2110" s="138"/>
      <c r="Y2110"/>
      <c r="Z2110"/>
      <c r="AA2110"/>
      <c r="AB2110"/>
      <c r="AC2110"/>
      <c r="AD2110"/>
      <c r="AE2110"/>
      <c r="AF2110"/>
      <c r="AG2110"/>
      <c r="AH2110"/>
      <c r="AI2110"/>
      <c r="AJ2110"/>
      <c r="AK2110"/>
      <c r="AL2110"/>
      <c r="AM2110"/>
      <c r="AN2110"/>
      <c r="AO2110"/>
    </row>
    <row r="2111" spans="1:41" ht="15">
      <c r="A2111"/>
      <c r="B2111"/>
      <c r="C2111" s="137"/>
      <c r="D2111" s="30"/>
      <c r="E2111" s="30"/>
      <c r="F2111" s="10"/>
      <c r="G2111" s="10"/>
      <c r="H2111" s="15"/>
      <c r="I2111" s="15"/>
      <c r="J2111" s="15"/>
      <c r="K2111" s="15"/>
      <c r="L2111" s="15"/>
      <c r="M2111" s="15"/>
      <c r="N2111" s="15"/>
      <c r="O2111" s="15"/>
      <c r="P2111" s="15"/>
      <c r="Q2111" s="71"/>
      <c r="R2111" s="84"/>
      <c r="S2111" s="10"/>
      <c r="T2111" s="10"/>
      <c r="U2111" s="10"/>
      <c r="V2111" s="10"/>
      <c r="W2111" s="138"/>
      <c r="Y2111"/>
      <c r="Z2111"/>
      <c r="AA2111"/>
      <c r="AB2111"/>
      <c r="AC2111"/>
      <c r="AD2111"/>
      <c r="AE2111"/>
      <c r="AF2111"/>
      <c r="AG2111"/>
      <c r="AH2111"/>
      <c r="AI2111"/>
      <c r="AJ2111"/>
      <c r="AK2111"/>
      <c r="AL2111"/>
      <c r="AM2111"/>
      <c r="AN2111"/>
      <c r="AO2111"/>
    </row>
    <row r="2112" spans="1:41" ht="15">
      <c r="A2112"/>
      <c r="B2112"/>
      <c r="C2112" s="137"/>
      <c r="D2112" s="30"/>
      <c r="E2112" s="30"/>
      <c r="F2112" s="10"/>
      <c r="G2112" s="10"/>
      <c r="H2112" s="15"/>
      <c r="I2112" s="15"/>
      <c r="J2112" s="15"/>
      <c r="K2112" s="15"/>
      <c r="L2112" s="15"/>
      <c r="M2112" s="15"/>
      <c r="N2112" s="15"/>
      <c r="O2112" s="15"/>
      <c r="P2112" s="15"/>
      <c r="Q2112" s="71"/>
      <c r="R2112" s="84"/>
      <c r="S2112" s="10"/>
      <c r="T2112" s="10"/>
      <c r="U2112" s="10"/>
      <c r="V2112" s="10"/>
      <c r="W2112" s="138"/>
      <c r="Y2112"/>
      <c r="Z2112"/>
      <c r="AA2112"/>
      <c r="AB2112"/>
      <c r="AC2112"/>
      <c r="AD2112"/>
      <c r="AE2112"/>
      <c r="AF2112"/>
      <c r="AG2112"/>
      <c r="AH2112"/>
      <c r="AI2112"/>
      <c r="AJ2112"/>
      <c r="AK2112"/>
      <c r="AL2112"/>
      <c r="AM2112"/>
      <c r="AN2112"/>
      <c r="AO2112"/>
    </row>
    <row r="2113" spans="1:41" ht="15">
      <c r="A2113"/>
      <c r="B2113"/>
      <c r="C2113" s="137"/>
      <c r="D2113" s="30"/>
      <c r="E2113" s="30"/>
      <c r="F2113" s="10"/>
      <c r="G2113" s="10"/>
      <c r="H2113" s="15"/>
      <c r="I2113" s="15"/>
      <c r="J2113" s="15"/>
      <c r="K2113" s="15"/>
      <c r="L2113" s="15"/>
      <c r="M2113" s="15"/>
      <c r="N2113" s="15"/>
      <c r="O2113" s="15"/>
      <c r="P2113" s="15"/>
      <c r="Q2113" s="71"/>
      <c r="R2113" s="84"/>
      <c r="S2113" s="10"/>
      <c r="T2113" s="10"/>
      <c r="U2113" s="10"/>
      <c r="V2113" s="10"/>
      <c r="W2113" s="138"/>
      <c r="Y2113"/>
      <c r="Z2113"/>
      <c r="AA2113"/>
      <c r="AB2113"/>
      <c r="AC2113"/>
      <c r="AD2113"/>
      <c r="AE2113"/>
      <c r="AF2113"/>
      <c r="AG2113"/>
      <c r="AH2113"/>
      <c r="AI2113"/>
      <c r="AJ2113"/>
      <c r="AK2113"/>
      <c r="AL2113"/>
      <c r="AM2113"/>
      <c r="AN2113"/>
      <c r="AO2113"/>
    </row>
    <row r="2114" spans="1:41" ht="15">
      <c r="A2114"/>
      <c r="B2114"/>
      <c r="C2114" s="137"/>
      <c r="D2114" s="30"/>
      <c r="E2114" s="30"/>
      <c r="F2114" s="10"/>
      <c r="G2114" s="10"/>
      <c r="H2114" s="15"/>
      <c r="I2114" s="15"/>
      <c r="J2114" s="15"/>
      <c r="K2114" s="15"/>
      <c r="L2114" s="15"/>
      <c r="M2114" s="15"/>
      <c r="N2114" s="15"/>
      <c r="O2114" s="15"/>
      <c r="P2114" s="15"/>
      <c r="Q2114" s="71"/>
      <c r="R2114" s="84"/>
      <c r="S2114" s="10"/>
      <c r="T2114" s="10"/>
      <c r="U2114" s="10"/>
      <c r="V2114" s="10"/>
      <c r="W2114" s="138"/>
      <c r="Y2114"/>
      <c r="Z2114"/>
      <c r="AA2114"/>
      <c r="AB2114"/>
      <c r="AC2114"/>
      <c r="AD2114"/>
      <c r="AE2114"/>
      <c r="AF2114"/>
      <c r="AG2114"/>
      <c r="AH2114"/>
      <c r="AI2114"/>
      <c r="AJ2114"/>
      <c r="AK2114"/>
      <c r="AL2114"/>
      <c r="AM2114"/>
      <c r="AN2114"/>
      <c r="AO2114"/>
    </row>
    <row r="2115" spans="1:41" ht="15">
      <c r="A2115"/>
      <c r="B2115"/>
      <c r="C2115" s="137"/>
      <c r="D2115" s="30"/>
      <c r="E2115" s="30"/>
      <c r="F2115" s="10"/>
      <c r="G2115" s="10"/>
      <c r="H2115" s="15"/>
      <c r="I2115" s="15"/>
      <c r="J2115" s="15"/>
      <c r="K2115" s="15"/>
      <c r="L2115" s="15"/>
      <c r="M2115" s="15"/>
      <c r="N2115" s="15"/>
      <c r="O2115" s="15"/>
      <c r="P2115" s="15"/>
      <c r="Q2115" s="71"/>
      <c r="R2115" s="84"/>
      <c r="S2115" s="10"/>
      <c r="T2115" s="10"/>
      <c r="U2115" s="10"/>
      <c r="V2115" s="10"/>
      <c r="W2115" s="138"/>
      <c r="Y2115"/>
      <c r="Z2115"/>
      <c r="AA2115"/>
      <c r="AB2115"/>
      <c r="AC2115"/>
      <c r="AD2115"/>
      <c r="AE2115"/>
      <c r="AF2115"/>
      <c r="AG2115"/>
      <c r="AH2115"/>
      <c r="AI2115"/>
      <c r="AJ2115"/>
      <c r="AK2115"/>
      <c r="AL2115"/>
      <c r="AM2115"/>
      <c r="AN2115"/>
      <c r="AO2115"/>
    </row>
    <row r="2116" spans="1:41" ht="15">
      <c r="A2116"/>
      <c r="B2116"/>
      <c r="C2116" s="137"/>
      <c r="D2116" s="30"/>
      <c r="E2116" s="30"/>
      <c r="F2116" s="10"/>
      <c r="G2116" s="10"/>
      <c r="H2116" s="15"/>
      <c r="I2116" s="15"/>
      <c r="J2116" s="15"/>
      <c r="K2116" s="15"/>
      <c r="L2116" s="15"/>
      <c r="M2116" s="15"/>
      <c r="N2116" s="15"/>
      <c r="O2116" s="15"/>
      <c r="P2116" s="15"/>
      <c r="Q2116" s="71"/>
      <c r="R2116" s="84"/>
      <c r="S2116" s="10"/>
      <c r="T2116" s="10"/>
      <c r="U2116" s="10"/>
      <c r="V2116" s="10"/>
      <c r="W2116" s="138"/>
      <c r="Y2116"/>
      <c r="Z2116"/>
      <c r="AA2116"/>
      <c r="AB2116"/>
      <c r="AC2116"/>
      <c r="AD2116"/>
      <c r="AE2116"/>
      <c r="AF2116"/>
      <c r="AG2116"/>
      <c r="AH2116"/>
      <c r="AI2116"/>
      <c r="AJ2116"/>
      <c r="AK2116"/>
      <c r="AL2116"/>
      <c r="AM2116"/>
      <c r="AN2116"/>
      <c r="AO2116"/>
    </row>
    <row r="2117" spans="1:41" ht="15">
      <c r="A2117"/>
      <c r="B2117"/>
      <c r="C2117" s="137"/>
      <c r="D2117" s="30"/>
      <c r="E2117" s="30"/>
      <c r="F2117" s="10"/>
      <c r="G2117" s="10"/>
      <c r="H2117" s="15"/>
      <c r="I2117" s="15"/>
      <c r="J2117" s="15"/>
      <c r="K2117" s="15"/>
      <c r="L2117" s="15"/>
      <c r="M2117" s="15"/>
      <c r="N2117" s="15"/>
      <c r="O2117" s="15"/>
      <c r="P2117" s="15"/>
      <c r="Q2117" s="71"/>
      <c r="R2117" s="84"/>
      <c r="S2117" s="10"/>
      <c r="T2117" s="10"/>
      <c r="U2117" s="10"/>
      <c r="V2117" s="10"/>
      <c r="W2117" s="138"/>
      <c r="Y2117"/>
      <c r="Z2117"/>
      <c r="AA2117"/>
      <c r="AB2117"/>
      <c r="AC2117"/>
      <c r="AD2117"/>
      <c r="AE2117"/>
      <c r="AF2117"/>
      <c r="AG2117"/>
      <c r="AH2117"/>
      <c r="AI2117"/>
      <c r="AJ2117"/>
      <c r="AK2117"/>
      <c r="AL2117"/>
      <c r="AM2117"/>
      <c r="AN2117"/>
      <c r="AO2117"/>
    </row>
    <row r="2118" spans="1:41" ht="15">
      <c r="A2118"/>
      <c r="B2118"/>
      <c r="C2118" s="137"/>
      <c r="D2118" s="30"/>
      <c r="E2118" s="30"/>
      <c r="F2118" s="10"/>
      <c r="G2118" s="10"/>
      <c r="H2118" s="15"/>
      <c r="I2118" s="15"/>
      <c r="J2118" s="15"/>
      <c r="K2118" s="15"/>
      <c r="L2118" s="15"/>
      <c r="M2118" s="15"/>
      <c r="N2118" s="15"/>
      <c r="O2118" s="15"/>
      <c r="P2118" s="15"/>
      <c r="Q2118" s="71"/>
      <c r="R2118" s="84"/>
      <c r="S2118" s="10"/>
      <c r="T2118" s="10"/>
      <c r="U2118" s="10"/>
      <c r="V2118" s="10"/>
      <c r="W2118" s="138"/>
      <c r="Y2118"/>
      <c r="Z2118"/>
      <c r="AA2118"/>
      <c r="AB2118"/>
      <c r="AC2118"/>
      <c r="AD2118"/>
      <c r="AE2118"/>
      <c r="AF2118"/>
      <c r="AG2118"/>
      <c r="AH2118"/>
      <c r="AI2118"/>
      <c r="AJ2118"/>
      <c r="AK2118"/>
      <c r="AL2118"/>
      <c r="AM2118"/>
      <c r="AN2118"/>
      <c r="AO2118"/>
    </row>
    <row r="2119" spans="1:41" ht="15">
      <c r="A2119"/>
      <c r="B2119"/>
      <c r="C2119" s="137"/>
      <c r="D2119" s="30"/>
      <c r="E2119" s="30"/>
      <c r="F2119" s="10"/>
      <c r="G2119" s="10"/>
      <c r="H2119" s="15"/>
      <c r="I2119" s="15"/>
      <c r="J2119" s="15"/>
      <c r="K2119" s="15"/>
      <c r="L2119" s="15"/>
      <c r="M2119" s="15"/>
      <c r="N2119" s="15"/>
      <c r="O2119" s="15"/>
      <c r="P2119" s="15"/>
      <c r="Q2119" s="71"/>
      <c r="R2119" s="84"/>
      <c r="S2119" s="10"/>
      <c r="T2119" s="10"/>
      <c r="U2119" s="10"/>
      <c r="V2119" s="10"/>
      <c r="W2119" s="138"/>
      <c r="Y2119"/>
      <c r="Z2119"/>
      <c r="AA2119"/>
      <c r="AB2119"/>
      <c r="AC2119"/>
      <c r="AD2119"/>
      <c r="AE2119"/>
      <c r="AF2119"/>
      <c r="AG2119"/>
      <c r="AH2119"/>
      <c r="AI2119"/>
      <c r="AJ2119"/>
      <c r="AK2119"/>
      <c r="AL2119"/>
      <c r="AM2119"/>
      <c r="AN2119"/>
      <c r="AO2119"/>
    </row>
    <row r="2120" spans="1:41" ht="15">
      <c r="A2120"/>
      <c r="B2120"/>
      <c r="C2120" s="137"/>
      <c r="D2120" s="30"/>
      <c r="E2120" s="30"/>
      <c r="F2120" s="10"/>
      <c r="G2120" s="10"/>
      <c r="H2120" s="15"/>
      <c r="I2120" s="15"/>
      <c r="J2120" s="15"/>
      <c r="K2120" s="15"/>
      <c r="L2120" s="15"/>
      <c r="M2120" s="15"/>
      <c r="N2120" s="15"/>
      <c r="O2120" s="15"/>
      <c r="P2120" s="15"/>
      <c r="Q2120" s="71"/>
      <c r="R2120" s="84"/>
      <c r="S2120" s="10"/>
      <c r="T2120" s="10"/>
      <c r="U2120" s="10"/>
      <c r="V2120" s="10"/>
      <c r="W2120" s="138"/>
      <c r="Y2120"/>
      <c r="Z2120"/>
      <c r="AA2120"/>
      <c r="AB2120"/>
      <c r="AC2120"/>
      <c r="AD2120"/>
      <c r="AE2120"/>
      <c r="AF2120"/>
      <c r="AG2120"/>
      <c r="AH2120"/>
      <c r="AI2120"/>
      <c r="AJ2120"/>
      <c r="AK2120"/>
      <c r="AL2120"/>
      <c r="AM2120"/>
      <c r="AN2120"/>
      <c r="AO2120"/>
    </row>
    <row r="2121" spans="1:41" ht="15">
      <c r="A2121"/>
      <c r="B2121"/>
      <c r="C2121" s="137"/>
      <c r="D2121" s="30"/>
      <c r="E2121" s="30"/>
      <c r="F2121" s="10"/>
      <c r="G2121" s="10"/>
      <c r="H2121" s="15"/>
      <c r="I2121" s="15"/>
      <c r="J2121" s="15"/>
      <c r="K2121" s="15"/>
      <c r="L2121" s="15"/>
      <c r="M2121" s="15"/>
      <c r="N2121" s="15"/>
      <c r="O2121" s="15"/>
      <c r="P2121" s="15"/>
      <c r="Q2121" s="71"/>
      <c r="R2121" s="84"/>
      <c r="S2121" s="10"/>
      <c r="T2121" s="10"/>
      <c r="U2121" s="10"/>
      <c r="V2121" s="10"/>
      <c r="W2121" s="138"/>
      <c r="Y2121"/>
      <c r="Z2121"/>
      <c r="AA2121"/>
      <c r="AB2121"/>
      <c r="AC2121"/>
      <c r="AD2121"/>
      <c r="AE2121"/>
      <c r="AF2121"/>
      <c r="AG2121"/>
      <c r="AH2121"/>
      <c r="AI2121"/>
      <c r="AJ2121"/>
      <c r="AK2121"/>
      <c r="AL2121"/>
      <c r="AM2121"/>
      <c r="AN2121"/>
      <c r="AO2121"/>
    </row>
    <row r="2122" spans="1:41" ht="15">
      <c r="A2122"/>
      <c r="B2122"/>
      <c r="C2122" s="137"/>
      <c r="D2122" s="30"/>
      <c r="E2122" s="30"/>
      <c r="F2122" s="10"/>
      <c r="G2122" s="10"/>
      <c r="H2122" s="15"/>
      <c r="I2122" s="15"/>
      <c r="J2122" s="15"/>
      <c r="K2122" s="15"/>
      <c r="L2122" s="15"/>
      <c r="M2122" s="15"/>
      <c r="N2122" s="15"/>
      <c r="O2122" s="15"/>
      <c r="P2122" s="15"/>
      <c r="Q2122" s="71"/>
      <c r="R2122" s="84"/>
      <c r="S2122" s="10"/>
      <c r="T2122" s="10"/>
      <c r="U2122" s="10"/>
      <c r="V2122" s="10"/>
      <c r="W2122" s="138"/>
      <c r="Y2122"/>
      <c r="Z2122"/>
      <c r="AA2122"/>
      <c r="AB2122"/>
      <c r="AC2122"/>
      <c r="AD2122"/>
      <c r="AE2122"/>
      <c r="AF2122"/>
      <c r="AG2122"/>
      <c r="AH2122"/>
      <c r="AI2122"/>
      <c r="AJ2122"/>
      <c r="AK2122"/>
      <c r="AL2122"/>
      <c r="AM2122"/>
      <c r="AN2122"/>
      <c r="AO2122"/>
    </row>
    <row r="2123" spans="1:41" ht="15">
      <c r="A2123"/>
      <c r="B2123"/>
      <c r="C2123" s="137"/>
      <c r="D2123" s="30"/>
      <c r="E2123" s="30"/>
      <c r="F2123" s="10"/>
      <c r="G2123" s="10"/>
      <c r="H2123" s="15"/>
      <c r="I2123" s="15"/>
      <c r="J2123" s="15"/>
      <c r="K2123" s="15"/>
      <c r="L2123" s="15"/>
      <c r="M2123" s="15"/>
      <c r="N2123" s="15"/>
      <c r="O2123" s="15"/>
      <c r="P2123" s="15"/>
      <c r="Q2123" s="71"/>
      <c r="R2123" s="84"/>
      <c r="S2123" s="10"/>
      <c r="T2123" s="10"/>
      <c r="U2123" s="10"/>
      <c r="V2123" s="10"/>
      <c r="W2123" s="138"/>
      <c r="Y2123"/>
      <c r="Z2123"/>
      <c r="AA2123"/>
      <c r="AB2123"/>
      <c r="AC2123"/>
      <c r="AD2123"/>
      <c r="AE2123"/>
      <c r="AF2123"/>
      <c r="AG2123"/>
      <c r="AH2123"/>
      <c r="AI2123"/>
      <c r="AJ2123"/>
      <c r="AK2123"/>
      <c r="AL2123"/>
      <c r="AM2123"/>
      <c r="AN2123"/>
      <c r="AO2123"/>
    </row>
    <row r="2124" spans="1:41" ht="15">
      <c r="A2124"/>
      <c r="B2124"/>
      <c r="C2124" s="137"/>
      <c r="D2124" s="30"/>
      <c r="E2124" s="30"/>
      <c r="F2124" s="10"/>
      <c r="G2124" s="10"/>
      <c r="H2124" s="15"/>
      <c r="I2124" s="15"/>
      <c r="J2124" s="15"/>
      <c r="K2124" s="15"/>
      <c r="L2124" s="15"/>
      <c r="M2124" s="15"/>
      <c r="N2124" s="15"/>
      <c r="O2124" s="15"/>
      <c r="P2124" s="15"/>
      <c r="Q2124" s="71"/>
      <c r="R2124" s="84"/>
      <c r="S2124" s="10"/>
      <c r="T2124" s="10"/>
      <c r="U2124" s="10"/>
      <c r="V2124" s="10"/>
      <c r="W2124" s="138"/>
      <c r="Y2124"/>
      <c r="Z2124"/>
      <c r="AA2124"/>
      <c r="AB2124"/>
      <c r="AC2124"/>
      <c r="AD2124"/>
      <c r="AE2124"/>
      <c r="AF2124"/>
      <c r="AG2124"/>
      <c r="AH2124"/>
      <c r="AI2124"/>
      <c r="AJ2124"/>
      <c r="AK2124"/>
      <c r="AL2124"/>
      <c r="AM2124"/>
      <c r="AN2124"/>
      <c r="AO2124"/>
    </row>
    <row r="2125" spans="1:41" ht="15">
      <c r="A2125"/>
      <c r="B2125"/>
      <c r="C2125" s="137"/>
      <c r="D2125" s="30"/>
      <c r="E2125" s="30"/>
      <c r="F2125" s="10"/>
      <c r="G2125" s="10"/>
      <c r="H2125" s="15"/>
      <c r="I2125" s="15"/>
      <c r="J2125" s="15"/>
      <c r="K2125" s="15"/>
      <c r="L2125" s="15"/>
      <c r="M2125" s="15"/>
      <c r="N2125" s="15"/>
      <c r="O2125" s="15"/>
      <c r="P2125" s="15"/>
      <c r="Q2125" s="71"/>
      <c r="R2125" s="84"/>
      <c r="S2125" s="10"/>
      <c r="T2125" s="10"/>
      <c r="U2125" s="10"/>
      <c r="V2125" s="10"/>
      <c r="W2125" s="138"/>
      <c r="Y2125"/>
      <c r="Z2125"/>
      <c r="AA2125"/>
      <c r="AB2125"/>
      <c r="AC2125"/>
      <c r="AD2125"/>
      <c r="AE2125"/>
      <c r="AF2125"/>
      <c r="AG2125"/>
      <c r="AH2125"/>
      <c r="AI2125"/>
      <c r="AJ2125"/>
      <c r="AK2125"/>
      <c r="AL2125"/>
      <c r="AM2125"/>
      <c r="AN2125"/>
      <c r="AO2125"/>
    </row>
    <row r="2126" spans="1:41" ht="15">
      <c r="A2126"/>
      <c r="B2126"/>
      <c r="C2126" s="137"/>
      <c r="D2126" s="30"/>
      <c r="E2126" s="30"/>
      <c r="F2126" s="10"/>
      <c r="G2126" s="10"/>
      <c r="H2126" s="15"/>
      <c r="I2126" s="15"/>
      <c r="J2126" s="15"/>
      <c r="K2126" s="15"/>
      <c r="L2126" s="15"/>
      <c r="M2126" s="15"/>
      <c r="N2126" s="15"/>
      <c r="O2126" s="15"/>
      <c r="P2126" s="15"/>
      <c r="Q2126" s="71"/>
      <c r="R2126" s="84"/>
      <c r="S2126" s="10"/>
      <c r="T2126" s="10"/>
      <c r="U2126" s="10"/>
      <c r="V2126" s="10"/>
      <c r="W2126" s="138"/>
      <c r="Y2126"/>
      <c r="Z2126"/>
      <c r="AA2126"/>
      <c r="AB2126"/>
      <c r="AC2126"/>
      <c r="AD2126"/>
      <c r="AE2126"/>
      <c r="AF2126"/>
      <c r="AG2126"/>
      <c r="AH2126"/>
      <c r="AI2126"/>
      <c r="AJ2126"/>
      <c r="AK2126"/>
      <c r="AL2126"/>
      <c r="AM2126"/>
      <c r="AN2126"/>
      <c r="AO2126"/>
    </row>
    <row r="2127" spans="1:41" ht="15">
      <c r="A2127"/>
      <c r="B2127"/>
      <c r="C2127" s="137"/>
      <c r="D2127" s="30"/>
      <c r="E2127" s="30"/>
      <c r="F2127" s="10"/>
      <c r="G2127" s="10"/>
      <c r="H2127" s="15"/>
      <c r="I2127" s="15"/>
      <c r="J2127" s="15"/>
      <c r="K2127" s="15"/>
      <c r="L2127" s="15"/>
      <c r="M2127" s="15"/>
      <c r="N2127" s="15"/>
      <c r="O2127" s="15"/>
      <c r="P2127" s="15"/>
      <c r="Q2127" s="71"/>
      <c r="R2127" s="84"/>
      <c r="S2127" s="10"/>
      <c r="T2127" s="10"/>
      <c r="U2127" s="10"/>
      <c r="V2127" s="10"/>
      <c r="W2127" s="138"/>
      <c r="Y2127"/>
      <c r="Z2127"/>
      <c r="AA2127"/>
      <c r="AB2127"/>
      <c r="AC2127"/>
      <c r="AD2127"/>
      <c r="AE2127"/>
      <c r="AF2127"/>
      <c r="AG2127"/>
      <c r="AH2127"/>
      <c r="AI2127"/>
      <c r="AJ2127"/>
      <c r="AK2127"/>
      <c r="AL2127"/>
      <c r="AM2127"/>
      <c r="AN2127"/>
      <c r="AO2127"/>
    </row>
    <row r="2128" spans="1:41" ht="15">
      <c r="A2128"/>
      <c r="B2128"/>
      <c r="C2128" s="137"/>
      <c r="D2128" s="30"/>
      <c r="E2128" s="30"/>
      <c r="F2128" s="10"/>
      <c r="G2128" s="10"/>
      <c r="H2128" s="15"/>
      <c r="I2128" s="15"/>
      <c r="J2128" s="15"/>
      <c r="K2128" s="15"/>
      <c r="L2128" s="15"/>
      <c r="M2128" s="15"/>
      <c r="N2128" s="15"/>
      <c r="O2128" s="15"/>
      <c r="P2128" s="15"/>
      <c r="Q2128" s="71"/>
      <c r="R2128" s="84"/>
      <c r="S2128" s="10"/>
      <c r="T2128" s="10"/>
      <c r="U2128" s="10"/>
      <c r="V2128" s="10"/>
      <c r="W2128" s="138"/>
      <c r="Y2128"/>
      <c r="Z2128"/>
      <c r="AA2128"/>
      <c r="AB2128"/>
      <c r="AC2128"/>
      <c r="AD2128"/>
      <c r="AE2128"/>
      <c r="AF2128"/>
      <c r="AG2128"/>
      <c r="AH2128"/>
      <c r="AI2128"/>
      <c r="AJ2128"/>
      <c r="AK2128"/>
      <c r="AL2128"/>
      <c r="AM2128"/>
      <c r="AN2128"/>
      <c r="AO2128"/>
    </row>
    <row r="2129" spans="1:41" ht="15">
      <c r="A2129"/>
      <c r="B2129"/>
      <c r="C2129" s="137"/>
      <c r="D2129" s="30"/>
      <c r="E2129" s="30"/>
      <c r="F2129" s="10"/>
      <c r="G2129" s="10"/>
      <c r="H2129" s="15"/>
      <c r="I2129" s="15"/>
      <c r="J2129" s="15"/>
      <c r="K2129" s="15"/>
      <c r="L2129" s="15"/>
      <c r="M2129" s="15"/>
      <c r="N2129" s="15"/>
      <c r="O2129" s="15"/>
      <c r="P2129" s="15"/>
      <c r="Q2129" s="71"/>
      <c r="R2129" s="84"/>
      <c r="S2129" s="10"/>
      <c r="T2129" s="10"/>
      <c r="U2129" s="10"/>
      <c r="V2129" s="10"/>
      <c r="W2129" s="138"/>
      <c r="Y2129"/>
      <c r="Z2129"/>
      <c r="AA2129"/>
      <c r="AB2129"/>
      <c r="AC2129"/>
      <c r="AD2129"/>
      <c r="AE2129"/>
      <c r="AF2129"/>
      <c r="AG2129"/>
      <c r="AH2129"/>
      <c r="AI2129"/>
      <c r="AJ2129"/>
      <c r="AK2129"/>
      <c r="AL2129"/>
      <c r="AM2129"/>
      <c r="AN2129"/>
      <c r="AO2129"/>
    </row>
    <row r="2130" spans="1:41" ht="15">
      <c r="A2130"/>
      <c r="B2130"/>
      <c r="C2130" s="137"/>
      <c r="D2130" s="30"/>
      <c r="E2130" s="30"/>
      <c r="F2130" s="10"/>
      <c r="G2130" s="10"/>
      <c r="H2130" s="15"/>
      <c r="I2130" s="15"/>
      <c r="J2130" s="15"/>
      <c r="K2130" s="15"/>
      <c r="L2130" s="15"/>
      <c r="M2130" s="15"/>
      <c r="N2130" s="15"/>
      <c r="O2130" s="15"/>
      <c r="P2130" s="15"/>
      <c r="Q2130" s="71"/>
      <c r="R2130" s="84"/>
      <c r="S2130" s="10"/>
      <c r="T2130" s="10"/>
      <c r="U2130" s="10"/>
      <c r="V2130" s="10"/>
      <c r="W2130" s="138"/>
      <c r="Y2130"/>
      <c r="Z2130"/>
      <c r="AA2130"/>
      <c r="AB2130"/>
      <c r="AC2130"/>
      <c r="AD2130"/>
      <c r="AE2130"/>
      <c r="AF2130"/>
      <c r="AG2130"/>
      <c r="AH2130"/>
      <c r="AI2130"/>
      <c r="AJ2130"/>
      <c r="AK2130"/>
      <c r="AL2130"/>
      <c r="AM2130"/>
      <c r="AN2130"/>
      <c r="AO2130"/>
    </row>
    <row r="2131" spans="1:41" ht="15">
      <c r="A2131"/>
      <c r="B2131"/>
      <c r="C2131" s="137"/>
      <c r="D2131" s="30"/>
      <c r="E2131" s="30"/>
      <c r="F2131" s="10"/>
      <c r="G2131" s="10"/>
      <c r="H2131" s="15"/>
      <c r="I2131" s="15"/>
      <c r="J2131" s="15"/>
      <c r="K2131" s="15"/>
      <c r="L2131" s="15"/>
      <c r="M2131" s="15"/>
      <c r="N2131" s="15"/>
      <c r="O2131" s="15"/>
      <c r="P2131" s="15"/>
      <c r="Q2131" s="71"/>
      <c r="R2131" s="84"/>
      <c r="S2131" s="10"/>
      <c r="T2131" s="10"/>
      <c r="U2131" s="10"/>
      <c r="V2131" s="10"/>
      <c r="W2131" s="138"/>
      <c r="Y2131"/>
      <c r="Z2131"/>
      <c r="AA2131"/>
      <c r="AB2131"/>
      <c r="AC2131"/>
      <c r="AD2131"/>
      <c r="AE2131"/>
      <c r="AF2131"/>
      <c r="AG2131"/>
      <c r="AH2131"/>
      <c r="AI2131"/>
      <c r="AJ2131"/>
      <c r="AK2131"/>
      <c r="AL2131"/>
      <c r="AM2131"/>
      <c r="AN2131"/>
      <c r="AO2131"/>
    </row>
    <row r="2132" spans="1:41" ht="15">
      <c r="A2132"/>
      <c r="B2132"/>
      <c r="C2132" s="137"/>
      <c r="D2132" s="30"/>
      <c r="E2132" s="30"/>
      <c r="F2132" s="10"/>
      <c r="G2132" s="10"/>
      <c r="H2132" s="15"/>
      <c r="I2132" s="15"/>
      <c r="J2132" s="15"/>
      <c r="K2132" s="15"/>
      <c r="L2132" s="15"/>
      <c r="M2132" s="15"/>
      <c r="N2132" s="15"/>
      <c r="O2132" s="15"/>
      <c r="P2132" s="15"/>
      <c r="Q2132" s="71"/>
      <c r="R2132" s="84"/>
      <c r="S2132" s="10"/>
      <c r="T2132" s="10"/>
      <c r="U2132" s="10"/>
      <c r="V2132" s="10"/>
      <c r="W2132" s="138"/>
      <c r="Y2132"/>
      <c r="Z2132"/>
      <c r="AA2132"/>
      <c r="AB2132"/>
      <c r="AC2132"/>
      <c r="AD2132"/>
      <c r="AE2132"/>
      <c r="AF2132"/>
      <c r="AG2132"/>
      <c r="AH2132"/>
      <c r="AI2132"/>
      <c r="AJ2132"/>
      <c r="AK2132"/>
      <c r="AL2132"/>
      <c r="AM2132"/>
      <c r="AN2132"/>
      <c r="AO2132"/>
    </row>
    <row r="2133" spans="1:41" ht="15">
      <c r="A2133"/>
      <c r="B2133"/>
      <c r="C2133" s="137"/>
      <c r="D2133" s="30"/>
      <c r="E2133" s="30"/>
      <c r="F2133" s="10"/>
      <c r="G2133" s="10"/>
      <c r="H2133" s="15"/>
      <c r="I2133" s="15"/>
      <c r="J2133" s="15"/>
      <c r="K2133" s="15"/>
      <c r="L2133" s="15"/>
      <c r="M2133" s="15"/>
      <c r="N2133" s="15"/>
      <c r="O2133" s="15"/>
      <c r="P2133" s="15"/>
      <c r="Q2133" s="71"/>
      <c r="R2133" s="84"/>
      <c r="S2133" s="10"/>
      <c r="T2133" s="10"/>
      <c r="U2133" s="10"/>
      <c r="V2133" s="10"/>
      <c r="W2133" s="138"/>
      <c r="Y2133"/>
      <c r="Z2133"/>
      <c r="AA2133"/>
      <c r="AB2133"/>
      <c r="AC2133"/>
      <c r="AD2133"/>
      <c r="AE2133"/>
      <c r="AF2133"/>
      <c r="AG2133"/>
      <c r="AH2133"/>
      <c r="AI2133"/>
      <c r="AJ2133"/>
      <c r="AK2133"/>
      <c r="AL2133"/>
      <c r="AM2133"/>
      <c r="AN2133"/>
      <c r="AO2133"/>
    </row>
    <row r="2134" spans="1:41" ht="15">
      <c r="A2134"/>
      <c r="B2134"/>
      <c r="C2134" s="137"/>
      <c r="D2134" s="30"/>
      <c r="E2134" s="30"/>
      <c r="F2134" s="10"/>
      <c r="G2134" s="10"/>
      <c r="H2134" s="15"/>
      <c r="I2134" s="15"/>
      <c r="J2134" s="15"/>
      <c r="K2134" s="15"/>
      <c r="L2134" s="15"/>
      <c r="M2134" s="15"/>
      <c r="N2134" s="15"/>
      <c r="O2134" s="15"/>
      <c r="P2134" s="15"/>
      <c r="Q2134" s="71"/>
      <c r="R2134" s="84"/>
      <c r="S2134" s="10"/>
      <c r="T2134" s="10"/>
      <c r="U2134" s="10"/>
      <c r="V2134" s="10"/>
      <c r="W2134" s="138"/>
      <c r="Y2134"/>
      <c r="Z2134"/>
      <c r="AA2134"/>
      <c r="AB2134"/>
      <c r="AC2134"/>
      <c r="AD2134"/>
      <c r="AE2134"/>
      <c r="AF2134"/>
      <c r="AG2134"/>
      <c r="AH2134"/>
      <c r="AI2134"/>
      <c r="AJ2134"/>
      <c r="AK2134"/>
      <c r="AL2134"/>
      <c r="AM2134"/>
      <c r="AN2134"/>
      <c r="AO2134"/>
    </row>
    <row r="2135" spans="1:41" ht="15">
      <c r="A2135"/>
      <c r="B2135"/>
      <c r="C2135" s="137"/>
      <c r="D2135" s="30"/>
      <c r="E2135" s="30"/>
      <c r="F2135" s="10"/>
      <c r="G2135" s="10"/>
      <c r="H2135" s="15"/>
      <c r="I2135" s="15"/>
      <c r="J2135" s="15"/>
      <c r="K2135" s="15"/>
      <c r="L2135" s="15"/>
      <c r="M2135" s="15"/>
      <c r="N2135" s="15"/>
      <c r="O2135" s="15"/>
      <c r="P2135" s="15"/>
      <c r="Q2135" s="71"/>
      <c r="R2135" s="84"/>
      <c r="S2135" s="10"/>
      <c r="T2135" s="10"/>
      <c r="U2135" s="10"/>
      <c r="V2135" s="10"/>
      <c r="W2135" s="138"/>
      <c r="Y2135"/>
      <c r="Z2135"/>
      <c r="AA2135"/>
      <c r="AB2135"/>
      <c r="AC2135"/>
      <c r="AD2135"/>
      <c r="AE2135"/>
      <c r="AF2135"/>
      <c r="AG2135"/>
      <c r="AH2135"/>
      <c r="AI2135"/>
      <c r="AJ2135"/>
      <c r="AK2135"/>
      <c r="AL2135"/>
      <c r="AM2135"/>
      <c r="AN2135"/>
      <c r="AO2135"/>
    </row>
    <row r="2136" spans="1:41" ht="15">
      <c r="A2136"/>
      <c r="B2136"/>
      <c r="C2136" s="137"/>
      <c r="D2136" s="30"/>
      <c r="E2136" s="30"/>
      <c r="F2136" s="10"/>
      <c r="G2136" s="10"/>
      <c r="H2136" s="15"/>
      <c r="I2136" s="15"/>
      <c r="J2136" s="15"/>
      <c r="K2136" s="15"/>
      <c r="L2136" s="15"/>
      <c r="M2136" s="15"/>
      <c r="N2136" s="15"/>
      <c r="O2136" s="15"/>
      <c r="P2136" s="15"/>
      <c r="Q2136" s="71"/>
      <c r="R2136" s="84"/>
      <c r="S2136" s="10"/>
      <c r="T2136" s="10"/>
      <c r="U2136" s="10"/>
      <c r="V2136" s="10"/>
      <c r="W2136" s="138"/>
      <c r="Y2136"/>
      <c r="Z2136"/>
      <c r="AA2136"/>
      <c r="AB2136"/>
      <c r="AC2136"/>
      <c r="AD2136"/>
      <c r="AE2136"/>
      <c r="AF2136"/>
      <c r="AG2136"/>
      <c r="AH2136"/>
      <c r="AI2136"/>
      <c r="AJ2136"/>
      <c r="AK2136"/>
      <c r="AL2136"/>
      <c r="AM2136"/>
      <c r="AN2136"/>
      <c r="AO2136"/>
    </row>
    <row r="2137" spans="1:41" ht="15">
      <c r="A2137"/>
      <c r="B2137"/>
      <c r="C2137" s="137"/>
      <c r="D2137" s="30"/>
      <c r="E2137" s="30"/>
      <c r="F2137" s="10"/>
      <c r="G2137" s="10"/>
      <c r="H2137" s="15"/>
      <c r="I2137" s="15"/>
      <c r="J2137" s="15"/>
      <c r="K2137" s="15"/>
      <c r="L2137" s="15"/>
      <c r="M2137" s="15"/>
      <c r="N2137" s="15"/>
      <c r="O2137" s="15"/>
      <c r="P2137" s="15"/>
      <c r="Q2137" s="71"/>
      <c r="R2137" s="84"/>
      <c r="S2137" s="10"/>
      <c r="T2137" s="10"/>
      <c r="U2137" s="10"/>
      <c r="V2137" s="10"/>
      <c r="W2137" s="138"/>
      <c r="Y2137"/>
      <c r="Z2137"/>
      <c r="AA2137"/>
      <c r="AB2137"/>
      <c r="AC2137"/>
      <c r="AD2137"/>
      <c r="AE2137"/>
      <c r="AF2137"/>
      <c r="AG2137"/>
      <c r="AH2137"/>
      <c r="AI2137"/>
      <c r="AJ2137"/>
      <c r="AK2137"/>
      <c r="AL2137"/>
      <c r="AM2137"/>
      <c r="AN2137"/>
      <c r="AO2137"/>
    </row>
    <row r="2138" spans="1:41" ht="15">
      <c r="A2138"/>
      <c r="B2138"/>
      <c r="C2138" s="137"/>
      <c r="D2138" s="30"/>
      <c r="E2138" s="30"/>
      <c r="F2138" s="10"/>
      <c r="G2138" s="10"/>
      <c r="H2138" s="15"/>
      <c r="I2138" s="15"/>
      <c r="J2138" s="15"/>
      <c r="K2138" s="15"/>
      <c r="L2138" s="15"/>
      <c r="M2138" s="15"/>
      <c r="N2138" s="15"/>
      <c r="O2138" s="15"/>
      <c r="P2138" s="15"/>
      <c r="Q2138" s="71"/>
      <c r="R2138" s="84"/>
      <c r="S2138" s="10"/>
      <c r="T2138" s="10"/>
      <c r="U2138" s="10"/>
      <c r="V2138" s="10"/>
      <c r="W2138" s="138"/>
      <c r="Y2138"/>
      <c r="Z2138"/>
      <c r="AA2138"/>
      <c r="AB2138"/>
      <c r="AC2138"/>
      <c r="AD2138"/>
      <c r="AE2138"/>
      <c r="AF2138"/>
      <c r="AG2138"/>
      <c r="AH2138"/>
      <c r="AI2138"/>
      <c r="AJ2138"/>
      <c r="AK2138"/>
      <c r="AL2138"/>
      <c r="AM2138"/>
      <c r="AN2138"/>
      <c r="AO2138"/>
    </row>
    <row r="2139" spans="1:41" ht="15">
      <c r="A2139"/>
      <c r="B2139"/>
      <c r="C2139" s="137"/>
      <c r="D2139" s="30"/>
      <c r="E2139" s="30"/>
      <c r="F2139" s="10"/>
      <c r="G2139" s="10"/>
      <c r="H2139" s="15"/>
      <c r="I2139" s="15"/>
      <c r="J2139" s="15"/>
      <c r="K2139" s="15"/>
      <c r="L2139" s="15"/>
      <c r="M2139" s="15"/>
      <c r="N2139" s="15"/>
      <c r="O2139" s="15"/>
      <c r="P2139" s="15"/>
      <c r="Q2139" s="71"/>
      <c r="R2139" s="84"/>
      <c r="S2139" s="10"/>
      <c r="T2139" s="10"/>
      <c r="U2139" s="10"/>
      <c r="V2139" s="10"/>
      <c r="W2139" s="138"/>
      <c r="Y2139"/>
      <c r="Z2139"/>
      <c r="AA2139"/>
      <c r="AB2139"/>
      <c r="AC2139"/>
      <c r="AD2139"/>
      <c r="AE2139"/>
      <c r="AF2139"/>
      <c r="AG2139"/>
      <c r="AH2139"/>
      <c r="AI2139"/>
      <c r="AJ2139"/>
      <c r="AK2139"/>
      <c r="AL2139"/>
      <c r="AM2139"/>
      <c r="AN2139"/>
      <c r="AO2139"/>
    </row>
    <row r="2140" spans="1:41" ht="15">
      <c r="A2140"/>
      <c r="B2140"/>
      <c r="C2140" s="137"/>
      <c r="D2140" s="30"/>
      <c r="E2140" s="30"/>
      <c r="F2140" s="10"/>
      <c r="G2140" s="10"/>
      <c r="H2140" s="15"/>
      <c r="I2140" s="15"/>
      <c r="J2140" s="15"/>
      <c r="K2140" s="15"/>
      <c r="L2140" s="15"/>
      <c r="M2140" s="15"/>
      <c r="N2140" s="15"/>
      <c r="O2140" s="15"/>
      <c r="P2140" s="15"/>
      <c r="Q2140" s="71"/>
      <c r="R2140" s="84"/>
      <c r="S2140" s="10"/>
      <c r="T2140" s="10"/>
      <c r="U2140" s="10"/>
      <c r="V2140" s="10"/>
      <c r="W2140" s="138"/>
      <c r="Y2140"/>
      <c r="Z2140"/>
      <c r="AA2140"/>
      <c r="AB2140"/>
      <c r="AC2140"/>
      <c r="AD2140"/>
      <c r="AE2140"/>
      <c r="AF2140"/>
      <c r="AG2140"/>
      <c r="AH2140"/>
      <c r="AI2140"/>
      <c r="AJ2140"/>
      <c r="AK2140"/>
      <c r="AL2140"/>
      <c r="AM2140"/>
      <c r="AN2140"/>
      <c r="AO2140"/>
    </row>
    <row r="2141" spans="1:41" ht="15">
      <c r="A2141"/>
      <c r="B2141"/>
      <c r="C2141" s="137"/>
      <c r="D2141" s="30"/>
      <c r="E2141" s="30"/>
      <c r="F2141" s="10"/>
      <c r="G2141" s="10"/>
      <c r="H2141" s="15"/>
      <c r="I2141" s="15"/>
      <c r="J2141" s="15"/>
      <c r="K2141" s="15"/>
      <c r="L2141" s="15"/>
      <c r="M2141" s="15"/>
      <c r="N2141" s="15"/>
      <c r="O2141" s="15"/>
      <c r="P2141" s="15"/>
      <c r="Q2141" s="71"/>
      <c r="R2141" s="84"/>
      <c r="S2141" s="10"/>
      <c r="T2141" s="10"/>
      <c r="U2141" s="10"/>
      <c r="V2141" s="10"/>
      <c r="W2141" s="138"/>
      <c r="Y2141"/>
      <c r="Z2141"/>
      <c r="AA2141"/>
      <c r="AB2141"/>
      <c r="AC2141"/>
      <c r="AD2141"/>
      <c r="AE2141"/>
      <c r="AF2141"/>
      <c r="AG2141"/>
      <c r="AH2141"/>
      <c r="AI2141"/>
      <c r="AJ2141"/>
      <c r="AK2141"/>
      <c r="AL2141"/>
      <c r="AM2141"/>
      <c r="AN2141"/>
      <c r="AO2141"/>
    </row>
    <row r="2142" spans="1:41" ht="15">
      <c r="A2142"/>
      <c r="B2142"/>
      <c r="C2142" s="137"/>
      <c r="D2142" s="30"/>
      <c r="E2142" s="30"/>
      <c r="F2142" s="10"/>
      <c r="G2142" s="10"/>
      <c r="H2142" s="15"/>
      <c r="I2142" s="15"/>
      <c r="J2142" s="15"/>
      <c r="K2142" s="15"/>
      <c r="L2142" s="15"/>
      <c r="M2142" s="15"/>
      <c r="N2142" s="15"/>
      <c r="O2142" s="15"/>
      <c r="P2142" s="15"/>
      <c r="Q2142" s="71"/>
      <c r="R2142" s="84"/>
      <c r="S2142" s="10"/>
      <c r="T2142" s="10"/>
      <c r="U2142" s="10"/>
      <c r="V2142" s="10"/>
      <c r="W2142" s="138"/>
      <c r="Y2142"/>
      <c r="Z2142"/>
      <c r="AA2142"/>
      <c r="AB2142"/>
      <c r="AC2142"/>
      <c r="AD2142"/>
      <c r="AE2142"/>
      <c r="AF2142"/>
      <c r="AG2142"/>
      <c r="AH2142"/>
      <c r="AI2142"/>
      <c r="AJ2142"/>
      <c r="AK2142"/>
      <c r="AL2142"/>
      <c r="AM2142"/>
      <c r="AN2142"/>
      <c r="AO2142"/>
    </row>
    <row r="2143" spans="1:41" ht="15">
      <c r="A2143"/>
      <c r="B2143"/>
      <c r="C2143" s="137"/>
      <c r="D2143" s="30"/>
      <c r="E2143" s="30"/>
      <c r="F2143" s="10"/>
      <c r="G2143" s="10"/>
      <c r="H2143" s="15"/>
      <c r="I2143" s="15"/>
      <c r="J2143" s="15"/>
      <c r="K2143" s="15"/>
      <c r="L2143" s="15"/>
      <c r="M2143" s="15"/>
      <c r="N2143" s="15"/>
      <c r="O2143" s="15"/>
      <c r="P2143" s="15"/>
      <c r="Q2143" s="71"/>
      <c r="R2143" s="84"/>
      <c r="S2143" s="10"/>
      <c r="T2143" s="10"/>
      <c r="U2143" s="10"/>
      <c r="V2143" s="10"/>
      <c r="W2143" s="138"/>
      <c r="Y2143"/>
      <c r="Z2143"/>
      <c r="AA2143"/>
      <c r="AB2143"/>
      <c r="AC2143"/>
      <c r="AD2143"/>
      <c r="AE2143"/>
      <c r="AF2143"/>
      <c r="AG2143"/>
      <c r="AH2143"/>
      <c r="AI2143"/>
      <c r="AJ2143"/>
      <c r="AK2143"/>
      <c r="AL2143"/>
      <c r="AM2143"/>
      <c r="AN2143"/>
      <c r="AO2143"/>
    </row>
    <row r="2144" spans="1:41" ht="15">
      <c r="A2144"/>
      <c r="B2144"/>
      <c r="C2144" s="137"/>
      <c r="D2144" s="30"/>
      <c r="E2144" s="30"/>
      <c r="F2144" s="10"/>
      <c r="G2144" s="10"/>
      <c r="H2144" s="15"/>
      <c r="I2144" s="15"/>
      <c r="J2144" s="15"/>
      <c r="K2144" s="15"/>
      <c r="L2144" s="15"/>
      <c r="M2144" s="15"/>
      <c r="N2144" s="15"/>
      <c r="O2144" s="15"/>
      <c r="P2144" s="15"/>
      <c r="Q2144" s="71"/>
      <c r="R2144" s="84"/>
      <c r="S2144" s="10"/>
      <c r="T2144" s="10"/>
      <c r="U2144" s="10"/>
      <c r="V2144" s="10"/>
      <c r="W2144" s="138"/>
      <c r="Y2144"/>
      <c r="Z2144"/>
      <c r="AA2144"/>
      <c r="AB2144"/>
      <c r="AC2144"/>
      <c r="AD2144"/>
      <c r="AE2144"/>
      <c r="AF2144"/>
      <c r="AG2144"/>
      <c r="AH2144"/>
      <c r="AI2144"/>
      <c r="AJ2144"/>
      <c r="AK2144"/>
      <c r="AL2144"/>
      <c r="AM2144"/>
      <c r="AN2144"/>
      <c r="AO2144"/>
    </row>
    <row r="2145" spans="1:41" ht="15">
      <c r="A2145"/>
      <c r="B2145"/>
      <c r="C2145" s="137"/>
      <c r="D2145" s="30"/>
      <c r="E2145" s="30"/>
      <c r="F2145" s="10"/>
      <c r="G2145" s="10"/>
      <c r="H2145" s="15"/>
      <c r="I2145" s="15"/>
      <c r="J2145" s="15"/>
      <c r="K2145" s="15"/>
      <c r="L2145" s="15"/>
      <c r="M2145" s="15"/>
      <c r="N2145" s="15"/>
      <c r="O2145" s="15"/>
      <c r="P2145" s="15"/>
      <c r="Q2145" s="71"/>
      <c r="R2145" s="84"/>
      <c r="S2145" s="10"/>
      <c r="T2145" s="10"/>
      <c r="U2145" s="10"/>
      <c r="V2145" s="10"/>
      <c r="W2145" s="138"/>
      <c r="Y2145"/>
      <c r="Z2145"/>
      <c r="AA2145"/>
      <c r="AB2145"/>
      <c r="AC2145"/>
      <c r="AD2145"/>
      <c r="AE2145"/>
      <c r="AF2145"/>
      <c r="AG2145"/>
      <c r="AH2145"/>
      <c r="AI2145"/>
      <c r="AJ2145"/>
      <c r="AK2145"/>
      <c r="AL2145"/>
      <c r="AM2145"/>
      <c r="AN2145"/>
      <c r="AO2145"/>
    </row>
    <row r="2146" spans="1:41" ht="15">
      <c r="A2146"/>
      <c r="B2146"/>
      <c r="C2146" s="137"/>
      <c r="D2146" s="30"/>
      <c r="E2146" s="30"/>
      <c r="F2146" s="10"/>
      <c r="G2146" s="10"/>
      <c r="H2146" s="15"/>
      <c r="I2146" s="15"/>
      <c r="J2146" s="15"/>
      <c r="K2146" s="15"/>
      <c r="L2146" s="15"/>
      <c r="M2146" s="15"/>
      <c r="N2146" s="15"/>
      <c r="O2146" s="15"/>
      <c r="P2146" s="15"/>
      <c r="Q2146" s="71"/>
      <c r="R2146" s="84"/>
      <c r="S2146" s="10"/>
      <c r="T2146" s="10"/>
      <c r="U2146" s="10"/>
      <c r="V2146" s="10"/>
      <c r="W2146" s="138"/>
      <c r="Y2146"/>
      <c r="Z2146"/>
      <c r="AA2146"/>
      <c r="AB2146"/>
      <c r="AC2146"/>
      <c r="AD2146"/>
      <c r="AE2146"/>
      <c r="AF2146"/>
      <c r="AG2146"/>
      <c r="AH2146"/>
      <c r="AI2146"/>
      <c r="AJ2146"/>
      <c r="AK2146"/>
      <c r="AL2146"/>
      <c r="AM2146"/>
      <c r="AN2146"/>
      <c r="AO2146"/>
    </row>
    <row r="2147" spans="1:41" ht="15">
      <c r="A2147"/>
      <c r="B2147"/>
      <c r="C2147" s="137"/>
      <c r="D2147" s="30"/>
      <c r="E2147" s="30"/>
      <c r="F2147" s="10"/>
      <c r="G2147" s="10"/>
      <c r="H2147" s="15"/>
      <c r="I2147" s="15"/>
      <c r="J2147" s="15"/>
      <c r="K2147" s="15"/>
      <c r="L2147" s="15"/>
      <c r="M2147" s="15"/>
      <c r="N2147" s="15"/>
      <c r="O2147" s="15"/>
      <c r="P2147" s="15"/>
      <c r="Q2147" s="71"/>
      <c r="R2147" s="84"/>
      <c r="S2147" s="10"/>
      <c r="T2147" s="10"/>
      <c r="U2147" s="10"/>
      <c r="V2147" s="10"/>
      <c r="W2147" s="138"/>
      <c r="Y2147"/>
      <c r="Z2147"/>
      <c r="AA2147"/>
      <c r="AB2147"/>
      <c r="AC2147"/>
      <c r="AD2147"/>
      <c r="AE2147"/>
      <c r="AF2147"/>
      <c r="AG2147"/>
      <c r="AH2147"/>
      <c r="AI2147"/>
      <c r="AJ2147"/>
      <c r="AK2147"/>
      <c r="AL2147"/>
      <c r="AM2147"/>
      <c r="AN2147"/>
      <c r="AO2147"/>
    </row>
    <row r="2148" spans="1:41" ht="15">
      <c r="A2148"/>
      <c r="B2148"/>
      <c r="C2148" s="137"/>
      <c r="D2148" s="30"/>
      <c r="E2148" s="30"/>
      <c r="F2148" s="10"/>
      <c r="G2148" s="10"/>
      <c r="H2148" s="15"/>
      <c r="I2148" s="15"/>
      <c r="J2148" s="15"/>
      <c r="K2148" s="15"/>
      <c r="L2148" s="15"/>
      <c r="M2148" s="15"/>
      <c r="N2148" s="15"/>
      <c r="O2148" s="15"/>
      <c r="P2148" s="15"/>
      <c r="Q2148" s="71"/>
      <c r="R2148" s="84"/>
      <c r="S2148" s="10"/>
      <c r="T2148" s="10"/>
      <c r="U2148" s="10"/>
      <c r="V2148" s="10"/>
      <c r="W2148" s="138"/>
      <c r="Y2148"/>
      <c r="Z2148"/>
      <c r="AA2148"/>
      <c r="AB2148"/>
      <c r="AC2148"/>
      <c r="AD2148"/>
      <c r="AE2148"/>
      <c r="AF2148"/>
      <c r="AG2148"/>
      <c r="AH2148"/>
      <c r="AI2148"/>
      <c r="AJ2148"/>
      <c r="AK2148"/>
      <c r="AL2148"/>
      <c r="AM2148"/>
      <c r="AN2148"/>
      <c r="AO2148"/>
    </row>
    <row r="2149" spans="1:41" ht="15">
      <c r="A2149"/>
      <c r="B2149"/>
      <c r="C2149" s="137"/>
      <c r="D2149" s="30"/>
      <c r="E2149" s="30"/>
      <c r="F2149" s="10"/>
      <c r="G2149" s="10"/>
      <c r="H2149" s="15"/>
      <c r="I2149" s="15"/>
      <c r="J2149" s="15"/>
      <c r="K2149" s="15"/>
      <c r="L2149" s="15"/>
      <c r="M2149" s="15"/>
      <c r="N2149" s="15"/>
      <c r="O2149" s="15"/>
      <c r="P2149" s="15"/>
      <c r="Q2149" s="71"/>
      <c r="R2149" s="84"/>
      <c r="S2149" s="10"/>
      <c r="T2149" s="10"/>
      <c r="U2149" s="10"/>
      <c r="V2149" s="10"/>
      <c r="W2149" s="138"/>
      <c r="Y2149"/>
      <c r="Z2149"/>
      <c r="AA2149"/>
      <c r="AB2149"/>
      <c r="AC2149"/>
      <c r="AD2149"/>
      <c r="AE2149"/>
      <c r="AF2149"/>
      <c r="AG2149"/>
      <c r="AH2149"/>
      <c r="AI2149"/>
      <c r="AJ2149"/>
      <c r="AK2149"/>
      <c r="AL2149"/>
      <c r="AM2149"/>
      <c r="AN2149"/>
      <c r="AO2149"/>
    </row>
    <row r="2150" spans="1:41" ht="15">
      <c r="A2150"/>
      <c r="B2150"/>
      <c r="C2150" s="137"/>
      <c r="D2150" s="30"/>
      <c r="E2150" s="30"/>
      <c r="F2150" s="10"/>
      <c r="G2150" s="10"/>
      <c r="H2150" s="15"/>
      <c r="I2150" s="15"/>
      <c r="J2150" s="15"/>
      <c r="K2150" s="15"/>
      <c r="L2150" s="15"/>
      <c r="M2150" s="15"/>
      <c r="N2150" s="15"/>
      <c r="O2150" s="15"/>
      <c r="P2150" s="15"/>
      <c r="Q2150" s="71"/>
      <c r="R2150" s="84"/>
      <c r="S2150" s="10"/>
      <c r="T2150" s="10"/>
      <c r="U2150" s="10"/>
      <c r="V2150" s="10"/>
      <c r="W2150" s="138"/>
      <c r="Y2150"/>
      <c r="Z2150"/>
      <c r="AA2150"/>
      <c r="AB2150"/>
      <c r="AC2150"/>
      <c r="AD2150"/>
      <c r="AE2150"/>
      <c r="AF2150"/>
      <c r="AG2150"/>
      <c r="AH2150"/>
      <c r="AI2150"/>
      <c r="AJ2150"/>
      <c r="AK2150"/>
      <c r="AL2150"/>
      <c r="AM2150"/>
      <c r="AN2150"/>
      <c r="AO2150"/>
    </row>
    <row r="2151" spans="1:41" ht="15">
      <c r="A2151"/>
      <c r="B2151"/>
      <c r="C2151" s="137"/>
      <c r="D2151" s="30"/>
      <c r="E2151" s="30"/>
      <c r="F2151" s="10"/>
      <c r="G2151" s="10"/>
      <c r="H2151" s="15"/>
      <c r="I2151" s="15"/>
      <c r="J2151" s="15"/>
      <c r="K2151" s="15"/>
      <c r="L2151" s="15"/>
      <c r="M2151" s="15"/>
      <c r="N2151" s="15"/>
      <c r="O2151" s="15"/>
      <c r="P2151" s="15"/>
      <c r="Q2151" s="71"/>
      <c r="R2151" s="84"/>
      <c r="S2151" s="10"/>
      <c r="T2151" s="10"/>
      <c r="U2151" s="10"/>
      <c r="V2151" s="10"/>
      <c r="W2151" s="138"/>
      <c r="Y2151"/>
      <c r="Z2151"/>
      <c r="AA2151"/>
      <c r="AB2151"/>
      <c r="AC2151"/>
      <c r="AD2151"/>
      <c r="AE2151"/>
      <c r="AF2151"/>
      <c r="AG2151"/>
      <c r="AH2151"/>
      <c r="AI2151"/>
      <c r="AJ2151"/>
      <c r="AK2151"/>
      <c r="AL2151"/>
      <c r="AM2151"/>
      <c r="AN2151"/>
      <c r="AO2151"/>
    </row>
    <row r="2152" spans="1:41" ht="15">
      <c r="A2152"/>
      <c r="B2152"/>
      <c r="C2152" s="137"/>
      <c r="D2152" s="30"/>
      <c r="E2152" s="30"/>
      <c r="F2152" s="10"/>
      <c r="G2152" s="10"/>
      <c r="H2152" s="15"/>
      <c r="I2152" s="15"/>
      <c r="J2152" s="15"/>
      <c r="K2152" s="15"/>
      <c r="L2152" s="15"/>
      <c r="M2152" s="15"/>
      <c r="N2152" s="15"/>
      <c r="O2152" s="15"/>
      <c r="P2152" s="15"/>
      <c r="Q2152" s="71"/>
      <c r="R2152" s="84"/>
      <c r="S2152" s="10"/>
      <c r="T2152" s="10"/>
      <c r="U2152" s="10"/>
      <c r="V2152" s="10"/>
      <c r="W2152" s="138"/>
      <c r="Y2152"/>
      <c r="Z2152"/>
      <c r="AA2152"/>
      <c r="AB2152"/>
      <c r="AC2152"/>
      <c r="AD2152"/>
      <c r="AE2152"/>
      <c r="AF2152"/>
      <c r="AG2152"/>
      <c r="AH2152"/>
      <c r="AI2152"/>
      <c r="AJ2152"/>
      <c r="AK2152"/>
      <c r="AL2152"/>
      <c r="AM2152"/>
      <c r="AN2152"/>
      <c r="AO2152"/>
    </row>
    <row r="2153" spans="1:41" ht="15">
      <c r="A2153"/>
      <c r="B2153"/>
      <c r="C2153" s="137"/>
      <c r="D2153" s="30"/>
      <c r="E2153" s="30"/>
      <c r="F2153" s="10"/>
      <c r="G2153" s="10"/>
      <c r="H2153" s="15"/>
      <c r="I2153" s="15"/>
      <c r="J2153" s="15"/>
      <c r="K2153" s="15"/>
      <c r="L2153" s="15"/>
      <c r="M2153" s="15"/>
      <c r="N2153" s="15"/>
      <c r="O2153" s="15"/>
      <c r="P2153" s="15"/>
      <c r="Q2153" s="71"/>
      <c r="R2153" s="84"/>
      <c r="S2153" s="10"/>
      <c r="T2153" s="10"/>
      <c r="U2153" s="10"/>
      <c r="V2153" s="10"/>
      <c r="W2153" s="138"/>
      <c r="Y2153"/>
      <c r="Z2153"/>
      <c r="AA2153"/>
      <c r="AB2153"/>
      <c r="AC2153"/>
      <c r="AD2153"/>
      <c r="AE2153"/>
      <c r="AF2153"/>
      <c r="AG2153"/>
      <c r="AH2153"/>
      <c r="AI2153"/>
      <c r="AJ2153"/>
      <c r="AK2153"/>
      <c r="AL2153"/>
      <c r="AM2153"/>
      <c r="AN2153"/>
      <c r="AO2153"/>
    </row>
    <row r="2154" spans="1:41" ht="15">
      <c r="A2154"/>
      <c r="B2154"/>
      <c r="C2154" s="137"/>
      <c r="D2154" s="30"/>
      <c r="E2154" s="30"/>
      <c r="F2154" s="10"/>
      <c r="G2154" s="10"/>
      <c r="H2154" s="15"/>
      <c r="I2154" s="15"/>
      <c r="J2154" s="15"/>
      <c r="K2154" s="15"/>
      <c r="L2154" s="15"/>
      <c r="M2154" s="15"/>
      <c r="N2154" s="15"/>
      <c r="O2154" s="15"/>
      <c r="P2154" s="15"/>
      <c r="Q2154" s="71"/>
      <c r="R2154" s="84"/>
      <c r="S2154" s="10"/>
      <c r="T2154" s="10"/>
      <c r="U2154" s="10"/>
      <c r="V2154" s="10"/>
      <c r="W2154" s="138"/>
      <c r="Y2154"/>
      <c r="Z2154"/>
      <c r="AA2154"/>
      <c r="AB2154"/>
      <c r="AC2154"/>
      <c r="AD2154"/>
      <c r="AE2154"/>
      <c r="AF2154"/>
      <c r="AG2154"/>
      <c r="AH2154"/>
      <c r="AI2154"/>
      <c r="AJ2154"/>
      <c r="AK2154"/>
      <c r="AL2154"/>
      <c r="AM2154"/>
      <c r="AN2154"/>
      <c r="AO2154"/>
    </row>
    <row r="2155" spans="1:41" ht="15">
      <c r="A2155"/>
      <c r="B2155"/>
      <c r="C2155" s="137"/>
      <c r="D2155" s="30"/>
      <c r="E2155" s="30"/>
      <c r="F2155" s="10"/>
      <c r="G2155" s="10"/>
      <c r="H2155" s="15"/>
      <c r="I2155" s="15"/>
      <c r="J2155" s="15"/>
      <c r="K2155" s="15"/>
      <c r="L2155" s="15"/>
      <c r="M2155" s="15"/>
      <c r="N2155" s="15"/>
      <c r="O2155" s="15"/>
      <c r="P2155" s="15"/>
      <c r="Q2155" s="71"/>
      <c r="R2155" s="84"/>
      <c r="S2155" s="10"/>
      <c r="T2155" s="10"/>
      <c r="U2155" s="10"/>
      <c r="V2155" s="10"/>
      <c r="W2155" s="138"/>
      <c r="Y2155"/>
      <c r="Z2155"/>
      <c r="AA2155"/>
      <c r="AB2155"/>
      <c r="AC2155"/>
      <c r="AD2155"/>
      <c r="AE2155"/>
      <c r="AF2155"/>
      <c r="AG2155"/>
      <c r="AH2155"/>
      <c r="AI2155"/>
      <c r="AJ2155"/>
      <c r="AK2155"/>
      <c r="AL2155"/>
      <c r="AM2155"/>
      <c r="AN2155"/>
      <c r="AO2155"/>
    </row>
    <row r="2156" spans="1:41" ht="15">
      <c r="A2156"/>
      <c r="B2156"/>
      <c r="C2156" s="137"/>
      <c r="D2156" s="30"/>
      <c r="E2156" s="30"/>
      <c r="F2156" s="10"/>
      <c r="G2156" s="10"/>
      <c r="H2156" s="15"/>
      <c r="I2156" s="15"/>
      <c r="J2156" s="15"/>
      <c r="K2156" s="15"/>
      <c r="L2156" s="15"/>
      <c r="M2156" s="15"/>
      <c r="N2156" s="15"/>
      <c r="O2156" s="15"/>
      <c r="P2156" s="15"/>
      <c r="Q2156" s="71"/>
      <c r="R2156" s="84"/>
      <c r="S2156" s="10"/>
      <c r="T2156" s="10"/>
      <c r="U2156" s="10"/>
      <c r="V2156" s="10"/>
      <c r="W2156" s="138"/>
      <c r="Y2156"/>
      <c r="Z2156"/>
      <c r="AA2156"/>
      <c r="AB2156"/>
      <c r="AC2156"/>
      <c r="AD2156"/>
      <c r="AE2156"/>
      <c r="AF2156"/>
      <c r="AG2156"/>
      <c r="AH2156"/>
      <c r="AI2156"/>
      <c r="AJ2156"/>
      <c r="AK2156"/>
      <c r="AL2156"/>
      <c r="AM2156"/>
      <c r="AN2156"/>
      <c r="AO2156"/>
    </row>
    <row r="2157" spans="1:41" ht="15">
      <c r="A2157"/>
      <c r="B2157"/>
      <c r="C2157" s="137"/>
      <c r="D2157" s="30"/>
      <c r="E2157" s="30"/>
      <c r="F2157" s="10"/>
      <c r="G2157" s="10"/>
      <c r="H2157" s="15"/>
      <c r="I2157" s="15"/>
      <c r="J2157" s="15"/>
      <c r="K2157" s="15"/>
      <c r="L2157" s="15"/>
      <c r="M2157" s="15"/>
      <c r="N2157" s="15"/>
      <c r="O2157" s="15"/>
      <c r="P2157" s="15"/>
      <c r="Q2157" s="71"/>
      <c r="R2157" s="84"/>
      <c r="S2157" s="10"/>
      <c r="T2157" s="10"/>
      <c r="U2157" s="10"/>
      <c r="V2157" s="10"/>
      <c r="W2157" s="138"/>
      <c r="Y2157"/>
      <c r="Z2157"/>
      <c r="AA2157"/>
      <c r="AB2157"/>
      <c r="AC2157"/>
      <c r="AD2157"/>
      <c r="AE2157"/>
      <c r="AF2157"/>
      <c r="AG2157"/>
      <c r="AH2157"/>
      <c r="AI2157"/>
      <c r="AJ2157"/>
      <c r="AK2157"/>
      <c r="AL2157"/>
      <c r="AM2157"/>
      <c r="AN2157"/>
      <c r="AO2157"/>
    </row>
    <row r="2158" spans="1:41" ht="15">
      <c r="A2158"/>
      <c r="B2158"/>
      <c r="C2158" s="137"/>
      <c r="D2158" s="30"/>
      <c r="E2158" s="30"/>
      <c r="F2158" s="10"/>
      <c r="G2158" s="10"/>
      <c r="H2158" s="15"/>
      <c r="I2158" s="15"/>
      <c r="J2158" s="15"/>
      <c r="K2158" s="15"/>
      <c r="L2158" s="15"/>
      <c r="M2158" s="15"/>
      <c r="N2158" s="15"/>
      <c r="O2158" s="15"/>
      <c r="P2158" s="15"/>
      <c r="Q2158" s="71"/>
      <c r="R2158" s="84"/>
      <c r="S2158" s="10"/>
      <c r="T2158" s="10"/>
      <c r="U2158" s="10"/>
      <c r="V2158" s="10"/>
      <c r="W2158" s="138"/>
      <c r="Y2158"/>
      <c r="Z2158"/>
      <c r="AA2158"/>
      <c r="AB2158"/>
      <c r="AC2158"/>
      <c r="AD2158"/>
      <c r="AE2158"/>
      <c r="AF2158"/>
      <c r="AG2158"/>
      <c r="AH2158"/>
      <c r="AI2158"/>
      <c r="AJ2158"/>
      <c r="AK2158"/>
      <c r="AL2158"/>
      <c r="AM2158"/>
      <c r="AN2158"/>
      <c r="AO2158"/>
    </row>
    <row r="2159" spans="1:41" ht="15">
      <c r="A2159"/>
      <c r="B2159"/>
      <c r="C2159" s="137"/>
      <c r="D2159" s="30"/>
      <c r="E2159" s="30"/>
      <c r="F2159" s="10"/>
      <c r="G2159" s="10"/>
      <c r="H2159" s="15"/>
      <c r="I2159" s="15"/>
      <c r="J2159" s="15"/>
      <c r="K2159" s="15"/>
      <c r="L2159" s="15"/>
      <c r="M2159" s="15"/>
      <c r="N2159" s="15"/>
      <c r="O2159" s="15"/>
      <c r="P2159" s="15"/>
      <c r="Q2159" s="71"/>
      <c r="R2159" s="84"/>
      <c r="S2159" s="10"/>
      <c r="T2159" s="10"/>
      <c r="U2159" s="10"/>
      <c r="V2159" s="10"/>
      <c r="W2159" s="138"/>
      <c r="Y2159"/>
      <c r="Z2159"/>
      <c r="AA2159"/>
      <c r="AB2159"/>
      <c r="AC2159"/>
      <c r="AD2159"/>
      <c r="AE2159"/>
      <c r="AF2159"/>
      <c r="AG2159"/>
      <c r="AH2159"/>
      <c r="AI2159"/>
      <c r="AJ2159"/>
      <c r="AK2159"/>
      <c r="AL2159"/>
      <c r="AM2159"/>
      <c r="AN2159"/>
      <c r="AO2159"/>
    </row>
    <row r="2160" spans="1:41" ht="15">
      <c r="A2160"/>
      <c r="B2160"/>
      <c r="C2160" s="137"/>
      <c r="D2160" s="30"/>
      <c r="E2160" s="30"/>
      <c r="F2160" s="10"/>
      <c r="G2160" s="10"/>
      <c r="H2160" s="15"/>
      <c r="I2160" s="15"/>
      <c r="J2160" s="15"/>
      <c r="K2160" s="15"/>
      <c r="L2160" s="15"/>
      <c r="M2160" s="15"/>
      <c r="N2160" s="15"/>
      <c r="O2160" s="15"/>
      <c r="P2160" s="15"/>
      <c r="Q2160" s="71"/>
      <c r="R2160" s="84"/>
      <c r="S2160" s="10"/>
      <c r="T2160" s="10"/>
      <c r="U2160" s="10"/>
      <c r="V2160" s="10"/>
      <c r="W2160" s="138"/>
      <c r="Y2160"/>
      <c r="Z2160"/>
      <c r="AA2160"/>
      <c r="AB2160"/>
      <c r="AC2160"/>
      <c r="AD2160"/>
      <c r="AE2160"/>
      <c r="AF2160"/>
      <c r="AG2160"/>
      <c r="AH2160"/>
      <c r="AI2160"/>
      <c r="AJ2160"/>
      <c r="AK2160"/>
      <c r="AL2160"/>
      <c r="AM2160"/>
      <c r="AN2160"/>
      <c r="AO2160"/>
    </row>
    <row r="2161" spans="1:41" ht="15">
      <c r="A2161"/>
      <c r="B2161"/>
      <c r="C2161" s="137"/>
      <c r="D2161" s="30"/>
      <c r="E2161" s="30"/>
      <c r="F2161" s="10"/>
      <c r="G2161" s="10"/>
      <c r="H2161" s="15"/>
      <c r="I2161" s="15"/>
      <c r="J2161" s="15"/>
      <c r="K2161" s="15"/>
      <c r="L2161" s="15"/>
      <c r="M2161" s="15"/>
      <c r="N2161" s="15"/>
      <c r="O2161" s="15"/>
      <c r="P2161" s="15"/>
      <c r="Q2161" s="71"/>
      <c r="R2161" s="84"/>
      <c r="S2161" s="10"/>
      <c r="T2161" s="10"/>
      <c r="U2161" s="10"/>
      <c r="V2161" s="10"/>
      <c r="W2161" s="138"/>
      <c r="Y2161"/>
      <c r="Z2161"/>
      <c r="AA2161"/>
      <c r="AB2161"/>
      <c r="AC2161"/>
      <c r="AD2161"/>
      <c r="AE2161"/>
      <c r="AF2161"/>
      <c r="AG2161"/>
      <c r="AH2161"/>
      <c r="AI2161"/>
      <c r="AJ2161"/>
      <c r="AK2161"/>
      <c r="AL2161"/>
      <c r="AM2161"/>
      <c r="AN2161"/>
      <c r="AO2161"/>
    </row>
    <row r="2162" spans="1:41" ht="15">
      <c r="A2162"/>
      <c r="B2162"/>
      <c r="C2162" s="137"/>
      <c r="D2162" s="30"/>
      <c r="E2162" s="30"/>
      <c r="F2162" s="10"/>
      <c r="G2162" s="10"/>
      <c r="H2162" s="15"/>
      <c r="I2162" s="15"/>
      <c r="J2162" s="15"/>
      <c r="K2162" s="15"/>
      <c r="L2162" s="15"/>
      <c r="M2162" s="15"/>
      <c r="N2162" s="15"/>
      <c r="O2162" s="15"/>
      <c r="P2162" s="15"/>
      <c r="Q2162" s="71"/>
      <c r="R2162" s="84"/>
      <c r="S2162" s="10"/>
      <c r="T2162" s="10"/>
      <c r="U2162" s="10"/>
      <c r="V2162" s="10"/>
      <c r="W2162" s="138"/>
      <c r="Y2162"/>
      <c r="Z2162"/>
      <c r="AA2162"/>
      <c r="AB2162"/>
      <c r="AC2162"/>
      <c r="AD2162"/>
      <c r="AE2162"/>
      <c r="AF2162"/>
      <c r="AG2162"/>
      <c r="AH2162"/>
      <c r="AI2162"/>
      <c r="AJ2162"/>
      <c r="AK2162"/>
      <c r="AL2162"/>
      <c r="AM2162"/>
      <c r="AN2162"/>
      <c r="AO2162"/>
    </row>
    <row r="2163" spans="1:41" ht="15">
      <c r="A2163"/>
      <c r="B2163"/>
      <c r="C2163" s="137"/>
      <c r="D2163" s="30"/>
      <c r="E2163" s="30"/>
      <c r="F2163" s="10"/>
      <c r="G2163" s="10"/>
      <c r="H2163" s="15"/>
      <c r="I2163" s="15"/>
      <c r="J2163" s="15"/>
      <c r="K2163" s="15"/>
      <c r="L2163" s="15"/>
      <c r="M2163" s="15"/>
      <c r="N2163" s="15"/>
      <c r="O2163" s="15"/>
      <c r="P2163" s="15"/>
      <c r="Q2163" s="71"/>
      <c r="R2163" s="84"/>
      <c r="S2163" s="10"/>
      <c r="T2163" s="10"/>
      <c r="U2163" s="10"/>
      <c r="V2163" s="10"/>
      <c r="W2163" s="138"/>
      <c r="Y2163"/>
      <c r="Z2163"/>
      <c r="AA2163"/>
      <c r="AB2163"/>
      <c r="AC2163"/>
      <c r="AD2163"/>
      <c r="AE2163"/>
      <c r="AF2163"/>
      <c r="AG2163"/>
      <c r="AH2163"/>
      <c r="AI2163"/>
      <c r="AJ2163"/>
      <c r="AK2163"/>
      <c r="AL2163"/>
      <c r="AM2163"/>
      <c r="AN2163"/>
      <c r="AO2163"/>
    </row>
    <row r="2164" spans="1:41" ht="15">
      <c r="A2164"/>
      <c r="B2164"/>
      <c r="C2164" s="137"/>
      <c r="D2164" s="30"/>
      <c r="E2164" s="30"/>
      <c r="F2164" s="10"/>
      <c r="G2164" s="10"/>
      <c r="H2164" s="15"/>
      <c r="I2164" s="15"/>
      <c r="J2164" s="15"/>
      <c r="K2164" s="15"/>
      <c r="L2164" s="15"/>
      <c r="M2164" s="15"/>
      <c r="N2164" s="15"/>
      <c r="O2164" s="15"/>
      <c r="P2164" s="15"/>
      <c r="Q2164" s="71"/>
      <c r="R2164" s="84"/>
      <c r="S2164" s="10"/>
      <c r="T2164" s="10"/>
      <c r="U2164" s="10"/>
      <c r="V2164" s="10"/>
      <c r="W2164" s="138"/>
      <c r="Y2164"/>
      <c r="Z2164"/>
      <c r="AA2164"/>
      <c r="AB2164"/>
      <c r="AC2164"/>
      <c r="AD2164"/>
      <c r="AE2164"/>
      <c r="AF2164"/>
      <c r="AG2164"/>
      <c r="AH2164"/>
      <c r="AI2164"/>
      <c r="AJ2164"/>
      <c r="AK2164"/>
      <c r="AL2164"/>
      <c r="AM2164"/>
      <c r="AN2164"/>
      <c r="AO2164"/>
    </row>
    <row r="2165" spans="1:41" ht="15">
      <c r="A2165"/>
      <c r="B2165"/>
      <c r="C2165" s="137"/>
      <c r="D2165" s="30"/>
      <c r="E2165" s="30"/>
      <c r="F2165" s="10"/>
      <c r="G2165" s="10"/>
      <c r="H2165" s="15"/>
      <c r="I2165" s="15"/>
      <c r="J2165" s="15"/>
      <c r="K2165" s="15"/>
      <c r="L2165" s="15"/>
      <c r="M2165" s="15"/>
      <c r="N2165" s="15"/>
      <c r="O2165" s="15"/>
      <c r="P2165" s="15"/>
      <c r="Q2165" s="71"/>
      <c r="R2165" s="84"/>
      <c r="S2165" s="10"/>
      <c r="T2165" s="10"/>
      <c r="U2165" s="10"/>
      <c r="V2165" s="10"/>
      <c r="W2165" s="138"/>
      <c r="Y2165"/>
      <c r="Z2165"/>
      <c r="AA2165"/>
      <c r="AB2165"/>
      <c r="AC2165"/>
      <c r="AD2165"/>
      <c r="AE2165"/>
      <c r="AF2165"/>
      <c r="AG2165"/>
      <c r="AH2165"/>
      <c r="AI2165"/>
      <c r="AJ2165"/>
      <c r="AK2165"/>
      <c r="AL2165"/>
      <c r="AM2165"/>
      <c r="AN2165"/>
      <c r="AO2165"/>
    </row>
    <row r="2166" spans="1:41" ht="15">
      <c r="A2166"/>
      <c r="B2166"/>
      <c r="C2166" s="137"/>
      <c r="D2166" s="30"/>
      <c r="E2166" s="30"/>
      <c r="F2166" s="10"/>
      <c r="G2166" s="10"/>
      <c r="H2166" s="15"/>
      <c r="I2166" s="15"/>
      <c r="J2166" s="15"/>
      <c r="K2166" s="15"/>
      <c r="L2166" s="15"/>
      <c r="M2166" s="15"/>
      <c r="N2166" s="15"/>
      <c r="O2166" s="15"/>
      <c r="P2166" s="15"/>
      <c r="Q2166" s="71"/>
      <c r="R2166" s="84"/>
      <c r="S2166" s="10"/>
      <c r="T2166" s="10"/>
      <c r="U2166" s="10"/>
      <c r="V2166" s="10"/>
      <c r="W2166" s="138"/>
      <c r="Y2166"/>
      <c r="Z2166"/>
      <c r="AA2166"/>
      <c r="AB2166"/>
      <c r="AC2166"/>
      <c r="AD2166"/>
      <c r="AE2166"/>
      <c r="AF2166"/>
      <c r="AG2166"/>
      <c r="AH2166"/>
      <c r="AI2166"/>
      <c r="AJ2166"/>
      <c r="AK2166"/>
      <c r="AL2166"/>
      <c r="AM2166"/>
      <c r="AN2166"/>
      <c r="AO2166"/>
    </row>
    <row r="2167" spans="1:41" ht="15">
      <c r="A2167"/>
      <c r="B2167"/>
      <c r="C2167" s="137"/>
      <c r="D2167" s="30"/>
      <c r="E2167" s="30"/>
      <c r="F2167" s="10"/>
      <c r="G2167" s="10"/>
      <c r="H2167" s="15"/>
      <c r="I2167" s="15"/>
      <c r="J2167" s="15"/>
      <c r="K2167" s="15"/>
      <c r="L2167" s="15"/>
      <c r="M2167" s="15"/>
      <c r="N2167" s="15"/>
      <c r="O2167" s="15"/>
      <c r="P2167" s="15"/>
      <c r="Q2167" s="71"/>
      <c r="R2167" s="84"/>
      <c r="S2167" s="10"/>
      <c r="T2167" s="10"/>
      <c r="U2167" s="10"/>
      <c r="V2167" s="10"/>
      <c r="W2167" s="138"/>
      <c r="Y2167"/>
      <c r="Z2167"/>
      <c r="AA2167"/>
      <c r="AB2167"/>
      <c r="AC2167"/>
      <c r="AD2167"/>
      <c r="AE2167"/>
      <c r="AF2167"/>
      <c r="AG2167"/>
      <c r="AH2167"/>
      <c r="AI2167"/>
      <c r="AJ2167"/>
      <c r="AK2167"/>
      <c r="AL2167"/>
      <c r="AM2167"/>
      <c r="AN2167"/>
      <c r="AO2167"/>
    </row>
    <row r="2168" spans="1:41" ht="15">
      <c r="A2168"/>
      <c r="B2168"/>
      <c r="C2168" s="137"/>
      <c r="D2168" s="30"/>
      <c r="E2168" s="30"/>
      <c r="F2168" s="10"/>
      <c r="G2168" s="10"/>
      <c r="H2168" s="15"/>
      <c r="I2168" s="15"/>
      <c r="J2168" s="15"/>
      <c r="K2168" s="15"/>
      <c r="L2168" s="15"/>
      <c r="M2168" s="15"/>
      <c r="N2168" s="15"/>
      <c r="O2168" s="15"/>
      <c r="P2168" s="15"/>
      <c r="Q2168" s="71"/>
      <c r="R2168" s="84"/>
      <c r="S2168" s="10"/>
      <c r="T2168" s="10"/>
      <c r="U2168" s="10"/>
      <c r="V2168" s="10"/>
      <c r="W2168" s="138"/>
      <c r="Y2168"/>
      <c r="Z2168"/>
      <c r="AA2168"/>
      <c r="AB2168"/>
      <c r="AC2168"/>
      <c r="AD2168"/>
      <c r="AE2168"/>
      <c r="AF2168"/>
      <c r="AG2168"/>
      <c r="AH2168"/>
      <c r="AI2168"/>
      <c r="AJ2168"/>
      <c r="AK2168"/>
      <c r="AL2168"/>
      <c r="AM2168"/>
      <c r="AN2168"/>
      <c r="AO2168"/>
    </row>
    <row r="2169" spans="1:41" ht="15">
      <c r="A2169"/>
      <c r="B2169"/>
      <c r="C2169" s="137"/>
      <c r="D2169" s="30"/>
      <c r="E2169" s="30"/>
      <c r="F2169" s="10"/>
      <c r="G2169" s="10"/>
      <c r="H2169" s="15"/>
      <c r="I2169" s="15"/>
      <c r="J2169" s="15"/>
      <c r="K2169" s="15"/>
      <c r="L2169" s="15"/>
      <c r="M2169" s="15"/>
      <c r="N2169" s="15"/>
      <c r="O2169" s="15"/>
      <c r="P2169" s="15"/>
      <c r="Q2169" s="71"/>
      <c r="R2169" s="84"/>
      <c r="S2169" s="10"/>
      <c r="T2169" s="10"/>
      <c r="U2169" s="10"/>
      <c r="V2169" s="10"/>
      <c r="W2169" s="138"/>
      <c r="Y2169"/>
      <c r="Z2169"/>
      <c r="AA2169"/>
      <c r="AB2169"/>
      <c r="AC2169"/>
      <c r="AD2169"/>
      <c r="AE2169"/>
      <c r="AF2169"/>
      <c r="AG2169"/>
      <c r="AH2169"/>
      <c r="AI2169"/>
      <c r="AJ2169"/>
      <c r="AK2169"/>
      <c r="AL2169"/>
      <c r="AM2169"/>
      <c r="AN2169"/>
      <c r="AO2169"/>
    </row>
    <row r="2170" spans="1:41" ht="15">
      <c r="A2170"/>
      <c r="B2170"/>
      <c r="C2170" s="137"/>
      <c r="D2170" s="30"/>
      <c r="E2170" s="30"/>
      <c r="F2170" s="10"/>
      <c r="G2170" s="10"/>
      <c r="H2170" s="15"/>
      <c r="I2170" s="15"/>
      <c r="J2170" s="15"/>
      <c r="K2170" s="15"/>
      <c r="L2170" s="15"/>
      <c r="M2170" s="15"/>
      <c r="N2170" s="15"/>
      <c r="O2170" s="15"/>
      <c r="P2170" s="15"/>
      <c r="Q2170" s="71"/>
      <c r="R2170" s="84"/>
      <c r="S2170" s="10"/>
      <c r="T2170" s="10"/>
      <c r="U2170" s="10"/>
      <c r="V2170" s="10"/>
      <c r="W2170" s="138"/>
      <c r="Y2170"/>
      <c r="Z2170"/>
      <c r="AA2170"/>
      <c r="AB2170"/>
      <c r="AC2170"/>
      <c r="AD2170"/>
      <c r="AE2170"/>
      <c r="AF2170"/>
      <c r="AG2170"/>
      <c r="AH2170"/>
      <c r="AI2170"/>
      <c r="AJ2170"/>
      <c r="AK2170"/>
      <c r="AL2170"/>
      <c r="AM2170"/>
      <c r="AN2170"/>
      <c r="AO2170"/>
    </row>
    <row r="2171" spans="1:41" ht="15">
      <c r="A2171"/>
      <c r="B2171"/>
      <c r="C2171" s="137"/>
      <c r="D2171" s="30"/>
      <c r="E2171" s="30"/>
      <c r="F2171" s="10"/>
      <c r="G2171" s="10"/>
      <c r="H2171" s="15"/>
      <c r="I2171" s="15"/>
      <c r="J2171" s="15"/>
      <c r="K2171" s="15"/>
      <c r="L2171" s="15"/>
      <c r="M2171" s="15"/>
      <c r="N2171" s="15"/>
      <c r="O2171" s="15"/>
      <c r="P2171" s="15"/>
      <c r="Q2171" s="71"/>
      <c r="R2171" s="84"/>
      <c r="S2171" s="10"/>
      <c r="T2171" s="10"/>
      <c r="U2171" s="10"/>
      <c r="V2171" s="10"/>
      <c r="W2171" s="138"/>
      <c r="Y2171"/>
      <c r="Z2171"/>
      <c r="AA2171"/>
      <c r="AB2171"/>
      <c r="AC2171"/>
      <c r="AD2171"/>
      <c r="AE2171"/>
      <c r="AF2171"/>
      <c r="AG2171"/>
      <c r="AH2171"/>
      <c r="AI2171"/>
      <c r="AJ2171"/>
      <c r="AK2171"/>
      <c r="AL2171"/>
      <c r="AM2171"/>
      <c r="AN2171"/>
      <c r="AO2171"/>
    </row>
    <row r="2172" spans="1:41" ht="15">
      <c r="A2172"/>
      <c r="B2172"/>
      <c r="C2172" s="137"/>
      <c r="D2172" s="30"/>
      <c r="E2172" s="30"/>
      <c r="F2172" s="10"/>
      <c r="G2172" s="10"/>
      <c r="H2172" s="15"/>
      <c r="I2172" s="15"/>
      <c r="J2172" s="15"/>
      <c r="K2172" s="15"/>
      <c r="L2172" s="15"/>
      <c r="M2172" s="15"/>
      <c r="N2172" s="15"/>
      <c r="O2172" s="15"/>
      <c r="P2172" s="15"/>
      <c r="Q2172" s="71"/>
      <c r="R2172" s="84"/>
      <c r="S2172" s="10"/>
      <c r="T2172" s="10"/>
      <c r="U2172" s="10"/>
      <c r="V2172" s="10"/>
      <c r="W2172" s="138"/>
      <c r="Y2172"/>
      <c r="Z2172"/>
      <c r="AA2172"/>
      <c r="AB2172"/>
      <c r="AC2172"/>
      <c r="AD2172"/>
      <c r="AE2172"/>
      <c r="AF2172"/>
      <c r="AG2172"/>
      <c r="AH2172"/>
      <c r="AI2172"/>
      <c r="AJ2172"/>
      <c r="AK2172"/>
      <c r="AL2172"/>
      <c r="AM2172"/>
      <c r="AN2172"/>
      <c r="AO2172"/>
    </row>
    <row r="2173" spans="1:41" ht="15">
      <c r="A2173"/>
      <c r="B2173"/>
      <c r="C2173" s="137"/>
      <c r="D2173" s="30"/>
      <c r="E2173" s="30"/>
      <c r="F2173" s="10"/>
      <c r="G2173" s="10"/>
      <c r="H2173" s="15"/>
      <c r="I2173" s="15"/>
      <c r="J2173" s="15"/>
      <c r="K2173" s="15"/>
      <c r="L2173" s="15"/>
      <c r="M2173" s="15"/>
      <c r="N2173" s="15"/>
      <c r="O2173" s="15"/>
      <c r="P2173" s="15"/>
      <c r="Q2173" s="71"/>
      <c r="R2173" s="84"/>
      <c r="S2173" s="10"/>
      <c r="T2173" s="10"/>
      <c r="U2173" s="10"/>
      <c r="V2173" s="10"/>
      <c r="W2173" s="138"/>
      <c r="Y2173"/>
      <c r="Z2173"/>
      <c r="AA2173"/>
      <c r="AB2173"/>
      <c r="AC2173"/>
      <c r="AD2173"/>
      <c r="AE2173"/>
      <c r="AF2173"/>
      <c r="AG2173"/>
      <c r="AH2173"/>
      <c r="AI2173"/>
      <c r="AJ2173"/>
      <c r="AK2173"/>
      <c r="AL2173"/>
      <c r="AM2173"/>
      <c r="AN2173"/>
      <c r="AO2173"/>
    </row>
    <row r="2174" spans="1:41" ht="15">
      <c r="A2174"/>
      <c r="B2174"/>
      <c r="C2174" s="137"/>
      <c r="D2174" s="30"/>
      <c r="E2174" s="30"/>
      <c r="F2174" s="10"/>
      <c r="G2174" s="10"/>
      <c r="H2174" s="15"/>
      <c r="I2174" s="15"/>
      <c r="J2174" s="15"/>
      <c r="K2174" s="15"/>
      <c r="L2174" s="15"/>
      <c r="M2174" s="15"/>
      <c r="N2174" s="15"/>
      <c r="O2174" s="15"/>
      <c r="P2174" s="15"/>
      <c r="Q2174" s="71"/>
      <c r="R2174" s="84"/>
      <c r="S2174" s="10"/>
      <c r="T2174" s="10"/>
      <c r="U2174" s="10"/>
      <c r="V2174" s="10"/>
      <c r="W2174" s="138"/>
      <c r="Y2174"/>
      <c r="Z2174"/>
      <c r="AA2174"/>
      <c r="AB2174"/>
      <c r="AC2174"/>
      <c r="AD2174"/>
      <c r="AE2174"/>
      <c r="AF2174"/>
      <c r="AG2174"/>
      <c r="AH2174"/>
      <c r="AI2174"/>
      <c r="AJ2174"/>
      <c r="AK2174"/>
      <c r="AL2174"/>
      <c r="AM2174"/>
      <c r="AN2174"/>
      <c r="AO2174"/>
    </row>
    <row r="2175" spans="1:41" ht="15">
      <c r="A2175"/>
      <c r="B2175"/>
      <c r="C2175" s="137"/>
      <c r="D2175" s="30"/>
      <c r="E2175" s="30"/>
      <c r="F2175" s="10"/>
      <c r="G2175" s="10"/>
      <c r="H2175" s="15"/>
      <c r="I2175" s="15"/>
      <c r="J2175" s="15"/>
      <c r="K2175" s="15"/>
      <c r="L2175" s="15"/>
      <c r="M2175" s="15"/>
      <c r="N2175" s="15"/>
      <c r="O2175" s="15"/>
      <c r="P2175" s="15"/>
      <c r="Q2175" s="71"/>
      <c r="R2175" s="84"/>
      <c r="S2175" s="10"/>
      <c r="T2175" s="10"/>
      <c r="U2175" s="10"/>
      <c r="V2175" s="10"/>
      <c r="W2175" s="138"/>
      <c r="Y2175"/>
      <c r="Z2175"/>
      <c r="AA2175"/>
      <c r="AB2175"/>
      <c r="AC2175"/>
      <c r="AD2175"/>
      <c r="AE2175"/>
      <c r="AF2175"/>
      <c r="AG2175"/>
      <c r="AH2175"/>
      <c r="AI2175"/>
      <c r="AJ2175"/>
      <c r="AK2175"/>
      <c r="AL2175"/>
      <c r="AM2175"/>
      <c r="AN2175"/>
      <c r="AO2175"/>
    </row>
    <row r="2176" spans="1:41" ht="15">
      <c r="A2176"/>
      <c r="B2176"/>
      <c r="C2176" s="137"/>
      <c r="D2176" s="30"/>
      <c r="E2176" s="30"/>
      <c r="F2176" s="10"/>
      <c r="G2176" s="10"/>
      <c r="H2176" s="15"/>
      <c r="I2176" s="15"/>
      <c r="J2176" s="15"/>
      <c r="K2176" s="15"/>
      <c r="L2176" s="15"/>
      <c r="M2176" s="15"/>
      <c r="N2176" s="15"/>
      <c r="O2176" s="15"/>
      <c r="P2176" s="15"/>
      <c r="Q2176" s="71"/>
      <c r="R2176" s="84"/>
      <c r="S2176" s="10"/>
      <c r="T2176" s="10"/>
      <c r="U2176" s="10"/>
      <c r="V2176" s="10"/>
      <c r="W2176" s="138"/>
      <c r="Y2176"/>
      <c r="Z2176"/>
      <c r="AA2176"/>
      <c r="AB2176"/>
      <c r="AC2176"/>
      <c r="AD2176"/>
      <c r="AE2176"/>
      <c r="AF2176"/>
      <c r="AG2176"/>
      <c r="AH2176"/>
      <c r="AI2176"/>
      <c r="AJ2176"/>
      <c r="AK2176"/>
      <c r="AL2176"/>
      <c r="AM2176"/>
      <c r="AN2176"/>
      <c r="AO2176"/>
    </row>
    <row r="2177" spans="1:41" ht="15">
      <c r="A2177"/>
      <c r="B2177"/>
      <c r="C2177" s="137"/>
      <c r="D2177" s="30"/>
      <c r="E2177" s="30"/>
      <c r="F2177" s="10"/>
      <c r="G2177" s="10"/>
      <c r="H2177" s="15"/>
      <c r="I2177" s="15"/>
      <c r="J2177" s="15"/>
      <c r="K2177" s="15"/>
      <c r="L2177" s="15"/>
      <c r="M2177" s="15"/>
      <c r="N2177" s="15"/>
      <c r="O2177" s="15"/>
      <c r="P2177" s="15"/>
      <c r="Q2177" s="71"/>
      <c r="R2177" s="84"/>
      <c r="S2177" s="10"/>
      <c r="T2177" s="10"/>
      <c r="U2177" s="10"/>
      <c r="V2177" s="10"/>
      <c r="W2177" s="138"/>
      <c r="Y2177"/>
      <c r="Z2177"/>
      <c r="AA2177"/>
      <c r="AB2177"/>
      <c r="AC2177"/>
      <c r="AD2177"/>
      <c r="AE2177"/>
      <c r="AF2177"/>
      <c r="AG2177"/>
      <c r="AH2177"/>
      <c r="AI2177"/>
      <c r="AJ2177"/>
      <c r="AK2177"/>
      <c r="AL2177"/>
      <c r="AM2177"/>
      <c r="AN2177"/>
      <c r="AO2177"/>
    </row>
    <row r="2178" spans="1:41" ht="15">
      <c r="A2178"/>
      <c r="B2178"/>
      <c r="C2178" s="137"/>
      <c r="D2178" s="30"/>
      <c r="E2178" s="30"/>
      <c r="F2178" s="10"/>
      <c r="G2178" s="10"/>
      <c r="H2178" s="15"/>
      <c r="I2178" s="15"/>
      <c r="J2178" s="15"/>
      <c r="K2178" s="15"/>
      <c r="L2178" s="15"/>
      <c r="M2178" s="15"/>
      <c r="N2178" s="15"/>
      <c r="O2178" s="15"/>
      <c r="P2178" s="15"/>
      <c r="Q2178" s="71"/>
      <c r="R2178" s="84"/>
      <c r="S2178" s="10"/>
      <c r="T2178" s="10"/>
      <c r="U2178" s="10"/>
      <c r="V2178" s="10"/>
      <c r="W2178" s="138"/>
      <c r="Y2178"/>
      <c r="Z2178"/>
      <c r="AA2178"/>
      <c r="AB2178"/>
      <c r="AC2178"/>
      <c r="AD2178"/>
      <c r="AE2178"/>
      <c r="AF2178"/>
      <c r="AG2178"/>
      <c r="AH2178"/>
      <c r="AI2178"/>
      <c r="AJ2178"/>
      <c r="AK2178"/>
      <c r="AL2178"/>
      <c r="AM2178"/>
      <c r="AN2178"/>
      <c r="AO2178"/>
    </row>
    <row r="2179" spans="1:41" ht="15">
      <c r="A2179"/>
      <c r="B2179"/>
      <c r="C2179" s="137"/>
      <c r="D2179" s="30"/>
      <c r="E2179" s="30"/>
      <c r="F2179" s="10"/>
      <c r="G2179" s="10"/>
      <c r="H2179" s="15"/>
      <c r="I2179" s="15"/>
      <c r="J2179" s="15"/>
      <c r="K2179" s="15"/>
      <c r="L2179" s="15"/>
      <c r="M2179" s="15"/>
      <c r="N2179" s="15"/>
      <c r="O2179" s="15"/>
      <c r="P2179" s="15"/>
      <c r="Q2179" s="71"/>
      <c r="R2179" s="84"/>
      <c r="S2179" s="10"/>
      <c r="T2179" s="10"/>
      <c r="U2179" s="10"/>
      <c r="V2179" s="10"/>
      <c r="W2179" s="138"/>
      <c r="Y2179"/>
      <c r="Z2179"/>
      <c r="AA2179"/>
      <c r="AB2179"/>
      <c r="AC2179"/>
      <c r="AD2179"/>
      <c r="AE2179"/>
      <c r="AF2179"/>
      <c r="AG2179"/>
      <c r="AH2179"/>
      <c r="AI2179"/>
      <c r="AJ2179"/>
      <c r="AK2179"/>
      <c r="AL2179"/>
      <c r="AM2179"/>
      <c r="AN2179"/>
      <c r="AO2179"/>
    </row>
    <row r="2180" spans="1:41" ht="15">
      <c r="A2180"/>
      <c r="B2180"/>
      <c r="C2180" s="137"/>
      <c r="D2180" s="30"/>
      <c r="E2180" s="30"/>
      <c r="F2180" s="10"/>
      <c r="G2180" s="10"/>
      <c r="H2180" s="15"/>
      <c r="I2180" s="15"/>
      <c r="J2180" s="15"/>
      <c r="K2180" s="15"/>
      <c r="L2180" s="15"/>
      <c r="M2180" s="15"/>
      <c r="N2180" s="15"/>
      <c r="O2180" s="15"/>
      <c r="P2180" s="15"/>
      <c r="Q2180" s="71"/>
      <c r="R2180" s="84"/>
      <c r="S2180" s="10"/>
      <c r="T2180" s="10"/>
      <c r="U2180" s="10"/>
      <c r="V2180" s="10"/>
      <c r="W2180" s="138"/>
      <c r="Y2180"/>
      <c r="Z2180"/>
      <c r="AA2180"/>
      <c r="AB2180"/>
      <c r="AC2180"/>
      <c r="AD2180"/>
      <c r="AE2180"/>
      <c r="AF2180"/>
      <c r="AG2180"/>
      <c r="AH2180"/>
      <c r="AI2180"/>
      <c r="AJ2180"/>
      <c r="AK2180"/>
      <c r="AL2180"/>
      <c r="AM2180"/>
      <c r="AN2180"/>
      <c r="AO2180"/>
    </row>
    <row r="2181" spans="1:41" ht="15">
      <c r="A2181"/>
      <c r="B2181"/>
      <c r="C2181" s="137"/>
      <c r="D2181" s="30"/>
      <c r="E2181" s="30"/>
      <c r="F2181" s="10"/>
      <c r="G2181" s="10"/>
      <c r="H2181" s="15"/>
      <c r="I2181" s="15"/>
      <c r="J2181" s="15"/>
      <c r="K2181" s="15"/>
      <c r="L2181" s="15"/>
      <c r="M2181" s="15"/>
      <c r="N2181" s="15"/>
      <c r="O2181" s="15"/>
      <c r="P2181" s="15"/>
      <c r="Q2181" s="71"/>
      <c r="R2181" s="84"/>
      <c r="S2181" s="10"/>
      <c r="T2181" s="10"/>
      <c r="U2181" s="10"/>
      <c r="V2181" s="10"/>
      <c r="W2181" s="138"/>
      <c r="Y2181"/>
      <c r="Z2181"/>
      <c r="AA2181"/>
      <c r="AB2181"/>
      <c r="AC2181"/>
      <c r="AD2181"/>
      <c r="AE2181"/>
      <c r="AF2181"/>
      <c r="AG2181"/>
      <c r="AH2181"/>
      <c r="AI2181"/>
      <c r="AJ2181"/>
      <c r="AK2181"/>
      <c r="AL2181"/>
      <c r="AM2181"/>
      <c r="AN2181"/>
      <c r="AO2181"/>
    </row>
    <row r="2182" spans="1:41" ht="15">
      <c r="A2182"/>
      <c r="B2182"/>
      <c r="C2182" s="137"/>
      <c r="D2182" s="30"/>
      <c r="E2182" s="30"/>
      <c r="F2182" s="10"/>
      <c r="G2182" s="10"/>
      <c r="H2182" s="15"/>
      <c r="I2182" s="15"/>
      <c r="J2182" s="15"/>
      <c r="K2182" s="15"/>
      <c r="L2182" s="15"/>
      <c r="M2182" s="15"/>
      <c r="N2182" s="15"/>
      <c r="O2182" s="15"/>
      <c r="P2182" s="15"/>
      <c r="Q2182" s="71"/>
      <c r="R2182" s="84"/>
      <c r="S2182" s="10"/>
      <c r="T2182" s="10"/>
      <c r="U2182" s="10"/>
      <c r="V2182" s="10"/>
      <c r="W2182" s="138"/>
      <c r="Y2182"/>
      <c r="Z2182"/>
      <c r="AA2182"/>
      <c r="AB2182"/>
      <c r="AC2182"/>
      <c r="AD2182"/>
      <c r="AE2182"/>
      <c r="AF2182"/>
      <c r="AG2182"/>
      <c r="AH2182"/>
      <c r="AI2182"/>
      <c r="AJ2182"/>
      <c r="AK2182"/>
      <c r="AL2182"/>
      <c r="AM2182"/>
      <c r="AN2182"/>
      <c r="AO2182"/>
    </row>
    <row r="2183" spans="1:41" ht="15">
      <c r="A2183"/>
      <c r="B2183"/>
      <c r="C2183" s="137"/>
      <c r="D2183" s="30"/>
      <c r="E2183" s="30"/>
      <c r="F2183" s="10"/>
      <c r="G2183" s="10"/>
      <c r="H2183" s="15"/>
      <c r="I2183" s="15"/>
      <c r="J2183" s="15"/>
      <c r="K2183" s="15"/>
      <c r="L2183" s="15"/>
      <c r="M2183" s="15"/>
      <c r="N2183" s="15"/>
      <c r="O2183" s="15"/>
      <c r="P2183" s="15"/>
      <c r="Q2183" s="71"/>
      <c r="R2183" s="84"/>
      <c r="S2183" s="10"/>
      <c r="T2183" s="10"/>
      <c r="U2183" s="10"/>
      <c r="V2183" s="10"/>
      <c r="W2183" s="138"/>
      <c r="Y2183"/>
      <c r="Z2183"/>
      <c r="AA2183"/>
      <c r="AB2183"/>
      <c r="AC2183"/>
      <c r="AD2183"/>
      <c r="AE2183"/>
      <c r="AF2183"/>
      <c r="AG2183"/>
      <c r="AH2183"/>
      <c r="AI2183"/>
      <c r="AJ2183"/>
      <c r="AK2183"/>
      <c r="AL2183"/>
      <c r="AM2183"/>
      <c r="AN2183"/>
      <c r="AO2183"/>
    </row>
    <row r="2184" spans="1:41" ht="15">
      <c r="A2184"/>
      <c r="B2184"/>
      <c r="C2184" s="137"/>
      <c r="D2184" s="30"/>
      <c r="E2184" s="30"/>
      <c r="F2184" s="10"/>
      <c r="G2184" s="10"/>
      <c r="H2184" s="15"/>
      <c r="I2184" s="15"/>
      <c r="J2184" s="15"/>
      <c r="K2184" s="15"/>
      <c r="L2184" s="15"/>
      <c r="M2184" s="15"/>
      <c r="N2184" s="15"/>
      <c r="O2184" s="15"/>
      <c r="P2184" s="15"/>
      <c r="Q2184" s="71"/>
      <c r="R2184" s="84"/>
      <c r="S2184" s="10"/>
      <c r="T2184" s="10"/>
      <c r="U2184" s="10"/>
      <c r="V2184" s="10"/>
      <c r="W2184" s="138"/>
      <c r="Y2184"/>
      <c r="Z2184"/>
      <c r="AA2184"/>
      <c r="AB2184"/>
      <c r="AC2184"/>
      <c r="AD2184"/>
      <c r="AE2184"/>
      <c r="AF2184"/>
      <c r="AG2184"/>
      <c r="AH2184"/>
      <c r="AI2184"/>
      <c r="AJ2184"/>
      <c r="AK2184"/>
      <c r="AL2184"/>
      <c r="AM2184"/>
      <c r="AN2184"/>
      <c r="AO2184"/>
    </row>
    <row r="2185" spans="1:41" ht="15">
      <c r="A2185"/>
      <c r="B2185"/>
      <c r="C2185" s="137"/>
      <c r="D2185" s="30"/>
      <c r="E2185" s="30"/>
      <c r="F2185" s="10"/>
      <c r="G2185" s="10"/>
      <c r="H2185" s="15"/>
      <c r="I2185" s="15"/>
      <c r="J2185" s="15"/>
      <c r="K2185" s="15"/>
      <c r="L2185" s="15"/>
      <c r="M2185" s="15"/>
      <c r="N2185" s="15"/>
      <c r="O2185" s="15"/>
      <c r="P2185" s="15"/>
      <c r="Q2185" s="71"/>
      <c r="R2185" s="84"/>
      <c r="S2185" s="10"/>
      <c r="T2185" s="10"/>
      <c r="U2185" s="10"/>
      <c r="V2185" s="10"/>
      <c r="W2185" s="138"/>
      <c r="Y2185"/>
      <c r="Z2185"/>
      <c r="AA2185"/>
      <c r="AB2185"/>
      <c r="AC2185"/>
      <c r="AD2185"/>
      <c r="AE2185"/>
      <c r="AF2185"/>
      <c r="AG2185"/>
      <c r="AH2185"/>
      <c r="AI2185"/>
      <c r="AJ2185"/>
      <c r="AK2185"/>
      <c r="AL2185"/>
      <c r="AM2185"/>
      <c r="AN2185"/>
      <c r="AO2185"/>
    </row>
    <row r="2186" spans="1:41" ht="15">
      <c r="A2186"/>
      <c r="B2186"/>
      <c r="C2186" s="137"/>
      <c r="D2186" s="30"/>
      <c r="E2186" s="30"/>
      <c r="F2186" s="10"/>
      <c r="G2186" s="10"/>
      <c r="H2186" s="15"/>
      <c r="I2186" s="15"/>
      <c r="J2186" s="15"/>
      <c r="K2186" s="15"/>
      <c r="L2186" s="15"/>
      <c r="M2186" s="15"/>
      <c r="N2186" s="15"/>
      <c r="O2186" s="15"/>
      <c r="P2186" s="15"/>
      <c r="Q2186" s="71"/>
      <c r="R2186" s="84"/>
      <c r="S2186" s="10"/>
      <c r="T2186" s="10"/>
      <c r="U2186" s="10"/>
      <c r="V2186" s="10"/>
      <c r="W2186" s="138"/>
      <c r="Y2186"/>
      <c r="Z2186"/>
      <c r="AA2186"/>
      <c r="AB2186"/>
      <c r="AC2186"/>
      <c r="AD2186"/>
      <c r="AE2186"/>
      <c r="AF2186"/>
      <c r="AG2186"/>
      <c r="AH2186"/>
      <c r="AI2186"/>
      <c r="AJ2186"/>
      <c r="AK2186"/>
      <c r="AL2186"/>
      <c r="AM2186"/>
      <c r="AN2186"/>
      <c r="AO2186"/>
    </row>
    <row r="2187" spans="1:41" ht="15">
      <c r="A2187"/>
      <c r="B2187"/>
      <c r="C2187" s="137"/>
      <c r="D2187" s="30"/>
      <c r="E2187" s="30"/>
      <c r="F2187" s="10"/>
      <c r="G2187" s="10"/>
      <c r="H2187" s="15"/>
      <c r="I2187" s="15"/>
      <c r="J2187" s="15"/>
      <c r="K2187" s="15"/>
      <c r="L2187" s="15"/>
      <c r="M2187" s="15"/>
      <c r="N2187" s="15"/>
      <c r="O2187" s="15"/>
      <c r="P2187" s="15"/>
      <c r="Q2187" s="71"/>
      <c r="R2187" s="84"/>
      <c r="S2187" s="10"/>
      <c r="T2187" s="10"/>
      <c r="U2187" s="10"/>
      <c r="V2187" s="10"/>
      <c r="W2187" s="138"/>
      <c r="Y2187"/>
      <c r="Z2187"/>
      <c r="AA2187"/>
      <c r="AB2187"/>
      <c r="AC2187"/>
      <c r="AD2187"/>
      <c r="AE2187"/>
      <c r="AF2187"/>
      <c r="AG2187"/>
      <c r="AH2187"/>
      <c r="AI2187"/>
      <c r="AJ2187"/>
      <c r="AK2187"/>
      <c r="AL2187"/>
      <c r="AM2187"/>
      <c r="AN2187"/>
      <c r="AO2187"/>
    </row>
    <row r="2188" spans="1:41" ht="15">
      <c r="A2188"/>
      <c r="B2188"/>
      <c r="C2188" s="137"/>
      <c r="D2188" s="30"/>
      <c r="E2188" s="30"/>
      <c r="F2188" s="10"/>
      <c r="G2188" s="10"/>
      <c r="H2188" s="15"/>
      <c r="I2188" s="15"/>
      <c r="J2188" s="15"/>
      <c r="K2188" s="15"/>
      <c r="L2188" s="15"/>
      <c r="M2188" s="15"/>
      <c r="N2188" s="15"/>
      <c r="O2188" s="15"/>
      <c r="P2188" s="15"/>
      <c r="Q2188" s="71"/>
      <c r="R2188" s="84"/>
      <c r="S2188" s="10"/>
      <c r="T2188" s="10"/>
      <c r="U2188" s="10"/>
      <c r="V2188" s="10"/>
      <c r="W2188" s="138"/>
      <c r="Y2188"/>
      <c r="Z2188"/>
      <c r="AA2188"/>
      <c r="AB2188"/>
      <c r="AC2188"/>
      <c r="AD2188"/>
      <c r="AE2188"/>
      <c r="AF2188"/>
      <c r="AG2188"/>
      <c r="AH2188"/>
      <c r="AI2188"/>
      <c r="AJ2188"/>
      <c r="AK2188"/>
      <c r="AL2188"/>
      <c r="AM2188"/>
      <c r="AN2188"/>
      <c r="AO2188"/>
    </row>
    <row r="2189" spans="1:41" ht="15">
      <c r="A2189"/>
      <c r="B2189"/>
      <c r="C2189" s="137"/>
      <c r="D2189" s="30"/>
      <c r="E2189" s="30"/>
      <c r="F2189" s="10"/>
      <c r="G2189" s="10"/>
      <c r="H2189" s="15"/>
      <c r="I2189" s="15"/>
      <c r="J2189" s="15"/>
      <c r="K2189" s="15"/>
      <c r="L2189" s="15"/>
      <c r="M2189" s="15"/>
      <c r="N2189" s="15"/>
      <c r="O2189" s="15"/>
      <c r="P2189" s="15"/>
      <c r="Q2189" s="71"/>
      <c r="R2189" s="84"/>
      <c r="S2189" s="10"/>
      <c r="T2189" s="10"/>
      <c r="U2189" s="10"/>
      <c r="V2189" s="10"/>
      <c r="W2189" s="138"/>
      <c r="Y2189"/>
      <c r="Z2189"/>
      <c r="AA2189"/>
      <c r="AB2189"/>
      <c r="AC2189"/>
      <c r="AD2189"/>
      <c r="AE2189"/>
      <c r="AF2189"/>
      <c r="AG2189"/>
      <c r="AH2189"/>
      <c r="AI2189"/>
      <c r="AJ2189"/>
      <c r="AK2189"/>
      <c r="AL2189"/>
      <c r="AM2189"/>
      <c r="AN2189"/>
      <c r="AO2189"/>
    </row>
    <row r="2190" spans="1:41" ht="15">
      <c r="A2190"/>
      <c r="B2190"/>
      <c r="C2190" s="137"/>
      <c r="D2190" s="30"/>
      <c r="E2190" s="30"/>
      <c r="F2190" s="10"/>
      <c r="G2190" s="10"/>
      <c r="H2190" s="15"/>
      <c r="I2190" s="15"/>
      <c r="J2190" s="15"/>
      <c r="K2190" s="15"/>
      <c r="L2190" s="15"/>
      <c r="M2190" s="15"/>
      <c r="N2190" s="15"/>
      <c r="O2190" s="15"/>
      <c r="P2190" s="15"/>
      <c r="Q2190" s="71"/>
      <c r="R2190" s="84"/>
      <c r="S2190" s="10"/>
      <c r="T2190" s="10"/>
      <c r="U2190" s="10"/>
      <c r="V2190" s="10"/>
      <c r="W2190" s="138"/>
      <c r="Y2190"/>
      <c r="Z2190"/>
      <c r="AA2190"/>
      <c r="AB2190"/>
      <c r="AC2190"/>
      <c r="AD2190"/>
      <c r="AE2190"/>
      <c r="AF2190"/>
      <c r="AG2190"/>
      <c r="AH2190"/>
      <c r="AI2190"/>
      <c r="AJ2190"/>
      <c r="AK2190"/>
      <c r="AL2190"/>
      <c r="AM2190"/>
      <c r="AN2190"/>
      <c r="AO2190"/>
    </row>
    <row r="2191" spans="1:41" ht="15">
      <c r="A2191"/>
      <c r="B2191"/>
      <c r="C2191" s="137"/>
      <c r="D2191" s="30"/>
      <c r="E2191" s="30"/>
      <c r="F2191" s="10"/>
      <c r="G2191" s="10"/>
      <c r="H2191" s="15"/>
      <c r="I2191" s="15"/>
      <c r="J2191" s="15"/>
      <c r="K2191" s="15"/>
      <c r="L2191" s="15"/>
      <c r="M2191" s="15"/>
      <c r="N2191" s="15"/>
      <c r="O2191" s="15"/>
      <c r="P2191" s="15"/>
      <c r="Q2191" s="71"/>
      <c r="R2191" s="84"/>
      <c r="S2191" s="10"/>
      <c r="T2191" s="10"/>
      <c r="U2191" s="10"/>
      <c r="V2191" s="10"/>
      <c r="W2191" s="138"/>
      <c r="Y2191"/>
      <c r="Z2191"/>
      <c r="AA2191"/>
      <c r="AB2191"/>
      <c r="AC2191"/>
      <c r="AD2191"/>
      <c r="AE2191"/>
      <c r="AF2191"/>
      <c r="AG2191"/>
      <c r="AH2191"/>
      <c r="AI2191"/>
      <c r="AJ2191"/>
      <c r="AK2191"/>
      <c r="AL2191"/>
      <c r="AM2191"/>
      <c r="AN2191"/>
      <c r="AO2191"/>
    </row>
    <row r="2192" spans="1:41" ht="15">
      <c r="A2192"/>
      <c r="B2192"/>
      <c r="C2192" s="137"/>
      <c r="D2192" s="30"/>
      <c r="E2192" s="30"/>
      <c r="F2192" s="10"/>
      <c r="G2192" s="10"/>
      <c r="H2192" s="15"/>
      <c r="I2192" s="15"/>
      <c r="J2192" s="15"/>
      <c r="K2192" s="15"/>
      <c r="L2192" s="15"/>
      <c r="M2192" s="15"/>
      <c r="N2192" s="15"/>
      <c r="O2192" s="15"/>
      <c r="P2192" s="15"/>
      <c r="Q2192" s="71"/>
      <c r="R2192" s="84"/>
      <c r="S2192" s="10"/>
      <c r="T2192" s="10"/>
      <c r="U2192" s="10"/>
      <c r="V2192" s="10"/>
      <c r="W2192" s="138"/>
      <c r="Y2192"/>
      <c r="Z2192"/>
      <c r="AA2192"/>
      <c r="AB2192"/>
      <c r="AC2192"/>
      <c r="AD2192"/>
      <c r="AE2192"/>
      <c r="AF2192"/>
      <c r="AG2192"/>
      <c r="AH2192"/>
      <c r="AI2192"/>
      <c r="AJ2192"/>
      <c r="AK2192"/>
      <c r="AL2192"/>
      <c r="AM2192"/>
      <c r="AN2192"/>
      <c r="AO2192"/>
    </row>
    <row r="2193" spans="1:41" ht="15">
      <c r="A2193"/>
      <c r="B2193"/>
      <c r="C2193" s="137"/>
      <c r="D2193" s="30"/>
      <c r="E2193" s="30"/>
      <c r="F2193" s="10"/>
      <c r="G2193" s="10"/>
      <c r="H2193" s="15"/>
      <c r="I2193" s="15"/>
      <c r="J2193" s="15"/>
      <c r="K2193" s="15"/>
      <c r="L2193" s="15"/>
      <c r="M2193" s="15"/>
      <c r="N2193" s="15"/>
      <c r="O2193" s="15"/>
      <c r="P2193" s="15"/>
      <c r="Q2193" s="71"/>
      <c r="R2193" s="84"/>
      <c r="S2193" s="10"/>
      <c r="T2193" s="10"/>
      <c r="U2193" s="10"/>
      <c r="V2193" s="10"/>
      <c r="W2193" s="138"/>
      <c r="Y2193"/>
      <c r="Z2193"/>
      <c r="AA2193"/>
      <c r="AB2193"/>
      <c r="AC2193"/>
      <c r="AD2193"/>
      <c r="AE2193"/>
      <c r="AF2193"/>
      <c r="AG2193"/>
      <c r="AH2193"/>
      <c r="AI2193"/>
      <c r="AJ2193"/>
      <c r="AK2193"/>
      <c r="AL2193"/>
      <c r="AM2193"/>
      <c r="AN2193"/>
      <c r="AO2193"/>
    </row>
    <row r="2194" spans="1:41" ht="15">
      <c r="A2194"/>
      <c r="B2194"/>
      <c r="C2194" s="137"/>
      <c r="D2194" s="30"/>
      <c r="E2194" s="30"/>
      <c r="F2194" s="10"/>
      <c r="G2194" s="10"/>
      <c r="H2194" s="15"/>
      <c r="I2194" s="15"/>
      <c r="J2194" s="15"/>
      <c r="K2194" s="15"/>
      <c r="L2194" s="15"/>
      <c r="M2194" s="15"/>
      <c r="N2194" s="15"/>
      <c r="O2194" s="15"/>
      <c r="P2194" s="15"/>
      <c r="Q2194" s="71"/>
      <c r="R2194" s="84"/>
      <c r="S2194" s="10"/>
      <c r="T2194" s="10"/>
      <c r="U2194" s="10"/>
      <c r="V2194" s="10"/>
      <c r="W2194" s="138"/>
      <c r="Y2194"/>
      <c r="Z2194"/>
      <c r="AA2194"/>
      <c r="AB2194"/>
      <c r="AC2194"/>
      <c r="AD2194"/>
      <c r="AE2194"/>
      <c r="AF2194"/>
      <c r="AG2194"/>
      <c r="AH2194"/>
      <c r="AI2194"/>
      <c r="AJ2194"/>
      <c r="AK2194"/>
      <c r="AL2194"/>
      <c r="AM2194"/>
      <c r="AN2194"/>
      <c r="AO2194"/>
    </row>
    <row r="2195" spans="1:41" ht="15">
      <c r="A2195"/>
      <c r="B2195"/>
      <c r="C2195" s="137"/>
      <c r="D2195" s="30"/>
      <c r="E2195" s="30"/>
      <c r="F2195" s="10"/>
      <c r="G2195" s="10"/>
      <c r="H2195" s="15"/>
      <c r="I2195" s="15"/>
      <c r="J2195" s="15"/>
      <c r="K2195" s="15"/>
      <c r="L2195" s="15"/>
      <c r="M2195" s="15"/>
      <c r="N2195" s="15"/>
      <c r="O2195" s="15"/>
      <c r="P2195" s="15"/>
      <c r="Q2195" s="71"/>
      <c r="R2195" s="84"/>
      <c r="S2195" s="10"/>
      <c r="T2195" s="10"/>
      <c r="U2195" s="10"/>
      <c r="V2195" s="10"/>
      <c r="W2195" s="138"/>
      <c r="Y2195"/>
      <c r="Z2195"/>
      <c r="AA2195"/>
      <c r="AB2195"/>
      <c r="AC2195"/>
      <c r="AD2195"/>
      <c r="AE2195"/>
      <c r="AF2195"/>
      <c r="AG2195"/>
      <c r="AH2195"/>
      <c r="AI2195"/>
      <c r="AJ2195"/>
      <c r="AK2195"/>
      <c r="AL2195"/>
      <c r="AM2195"/>
      <c r="AN2195"/>
      <c r="AO2195"/>
    </row>
    <row r="2196" spans="1:41" ht="15">
      <c r="A2196"/>
      <c r="B2196"/>
      <c r="C2196" s="137"/>
      <c r="D2196" s="30"/>
      <c r="E2196" s="30"/>
      <c r="F2196" s="10"/>
      <c r="G2196" s="10"/>
      <c r="H2196" s="15"/>
      <c r="I2196" s="15"/>
      <c r="J2196" s="15"/>
      <c r="K2196" s="15"/>
      <c r="L2196" s="15"/>
      <c r="M2196" s="15"/>
      <c r="N2196" s="15"/>
      <c r="O2196" s="15"/>
      <c r="P2196" s="15"/>
      <c r="Q2196" s="71"/>
      <c r="R2196" s="84"/>
      <c r="S2196" s="10"/>
      <c r="T2196" s="10"/>
      <c r="U2196" s="10"/>
      <c r="V2196" s="10"/>
      <c r="W2196" s="138"/>
      <c r="Y2196"/>
      <c r="Z2196"/>
      <c r="AA2196"/>
      <c r="AB2196"/>
      <c r="AC2196"/>
      <c r="AD2196"/>
      <c r="AE2196"/>
      <c r="AF2196"/>
      <c r="AG2196"/>
      <c r="AH2196"/>
      <c r="AI2196"/>
      <c r="AJ2196"/>
      <c r="AK2196"/>
      <c r="AL2196"/>
      <c r="AM2196"/>
      <c r="AN2196"/>
      <c r="AO2196"/>
    </row>
    <row r="2197" spans="1:41" ht="15">
      <c r="A2197"/>
      <c r="B2197"/>
      <c r="C2197" s="137"/>
      <c r="D2197" s="30"/>
      <c r="E2197" s="30"/>
      <c r="F2197" s="10"/>
      <c r="G2197" s="10"/>
      <c r="H2197" s="15"/>
      <c r="I2197" s="15"/>
      <c r="J2197" s="15"/>
      <c r="K2197" s="15"/>
      <c r="L2197" s="15"/>
      <c r="M2197" s="15"/>
      <c r="N2197" s="15"/>
      <c r="O2197" s="15"/>
      <c r="P2197" s="15"/>
      <c r="Q2197" s="71"/>
      <c r="R2197" s="84"/>
      <c r="S2197" s="10"/>
      <c r="T2197" s="10"/>
      <c r="U2197" s="10"/>
      <c r="V2197" s="10"/>
      <c r="W2197" s="138"/>
      <c r="Y2197"/>
      <c r="Z2197"/>
      <c r="AA2197"/>
      <c r="AB2197"/>
      <c r="AC2197"/>
      <c r="AD2197"/>
      <c r="AE2197"/>
      <c r="AF2197"/>
      <c r="AG2197"/>
      <c r="AH2197"/>
      <c r="AI2197"/>
      <c r="AJ2197"/>
      <c r="AK2197"/>
      <c r="AL2197"/>
      <c r="AM2197"/>
      <c r="AN2197"/>
      <c r="AO2197"/>
    </row>
    <row r="2198" spans="1:41" ht="15">
      <c r="A2198"/>
      <c r="B2198"/>
      <c r="C2198" s="137"/>
      <c r="D2198" s="30"/>
      <c r="E2198" s="30"/>
      <c r="F2198" s="10"/>
      <c r="G2198" s="10"/>
      <c r="H2198" s="15"/>
      <c r="I2198" s="15"/>
      <c r="J2198" s="15"/>
      <c r="K2198" s="15"/>
      <c r="L2198" s="15"/>
      <c r="M2198" s="15"/>
      <c r="N2198" s="15"/>
      <c r="O2198" s="15"/>
      <c r="P2198" s="15"/>
      <c r="Q2198" s="71"/>
      <c r="R2198" s="84"/>
      <c r="S2198" s="10"/>
      <c r="T2198" s="10"/>
      <c r="U2198" s="10"/>
      <c r="V2198" s="10"/>
      <c r="W2198" s="138"/>
      <c r="Y2198"/>
      <c r="Z2198"/>
      <c r="AA2198"/>
      <c r="AB2198"/>
      <c r="AC2198"/>
      <c r="AD2198"/>
      <c r="AE2198"/>
      <c r="AF2198"/>
      <c r="AG2198"/>
      <c r="AH2198"/>
      <c r="AI2198"/>
      <c r="AJ2198"/>
      <c r="AK2198"/>
      <c r="AL2198"/>
      <c r="AM2198"/>
      <c r="AN2198"/>
      <c r="AO2198"/>
    </row>
    <row r="2199" spans="1:41" ht="15">
      <c r="A2199"/>
      <c r="B2199"/>
      <c r="C2199" s="137"/>
      <c r="D2199" s="30"/>
      <c r="E2199" s="30"/>
      <c r="F2199" s="10"/>
      <c r="G2199" s="10"/>
      <c r="H2199" s="15"/>
      <c r="I2199" s="15"/>
      <c r="J2199" s="15"/>
      <c r="K2199" s="15"/>
      <c r="L2199" s="15"/>
      <c r="M2199" s="15"/>
      <c r="N2199" s="15"/>
      <c r="O2199" s="15"/>
      <c r="P2199" s="15"/>
      <c r="Q2199" s="71"/>
      <c r="R2199" s="84"/>
      <c r="S2199" s="10"/>
      <c r="T2199" s="10"/>
      <c r="U2199" s="10"/>
      <c r="V2199" s="10"/>
      <c r="W2199" s="138"/>
      <c r="Y2199"/>
      <c r="Z2199"/>
      <c r="AA2199"/>
      <c r="AB2199"/>
      <c r="AC2199"/>
      <c r="AD2199"/>
      <c r="AE2199"/>
      <c r="AF2199"/>
      <c r="AG2199"/>
      <c r="AH2199"/>
      <c r="AI2199"/>
      <c r="AJ2199"/>
      <c r="AK2199"/>
      <c r="AL2199"/>
      <c r="AM2199"/>
      <c r="AN2199"/>
      <c r="AO2199"/>
    </row>
    <row r="2200" spans="1:41" ht="15">
      <c r="A2200"/>
      <c r="B2200"/>
      <c r="C2200" s="137"/>
      <c r="D2200" s="30"/>
      <c r="E2200" s="30"/>
      <c r="F2200" s="10"/>
      <c r="G2200" s="10"/>
      <c r="H2200" s="15"/>
      <c r="I2200" s="15"/>
      <c r="J2200" s="15"/>
      <c r="K2200" s="15"/>
      <c r="L2200" s="15"/>
      <c r="M2200" s="15"/>
      <c r="N2200" s="15"/>
      <c r="O2200" s="15"/>
      <c r="P2200" s="15"/>
      <c r="Q2200" s="71"/>
      <c r="R2200" s="84"/>
      <c r="S2200" s="10"/>
      <c r="T2200" s="10"/>
      <c r="U2200" s="10"/>
      <c r="V2200" s="10"/>
      <c r="W2200" s="138"/>
      <c r="Y2200"/>
      <c r="Z2200"/>
      <c r="AA2200"/>
      <c r="AB2200"/>
      <c r="AC2200"/>
      <c r="AD2200"/>
      <c r="AE2200"/>
      <c r="AF2200"/>
      <c r="AG2200"/>
      <c r="AH2200"/>
      <c r="AI2200"/>
      <c r="AJ2200"/>
      <c r="AK2200"/>
      <c r="AL2200"/>
      <c r="AM2200"/>
      <c r="AN2200"/>
      <c r="AO2200"/>
    </row>
    <row r="2201" spans="1:41" ht="15">
      <c r="A2201"/>
      <c r="B2201"/>
      <c r="C2201" s="137"/>
      <c r="D2201" s="30"/>
      <c r="E2201" s="30"/>
      <c r="F2201" s="10"/>
      <c r="G2201" s="10"/>
      <c r="H2201" s="15"/>
      <c r="I2201" s="15"/>
      <c r="J2201" s="15"/>
      <c r="K2201" s="15"/>
      <c r="L2201" s="15"/>
      <c r="M2201" s="15"/>
      <c r="N2201" s="15"/>
      <c r="O2201" s="15"/>
      <c r="P2201" s="15"/>
      <c r="Q2201" s="71"/>
      <c r="R2201" s="84"/>
      <c r="S2201" s="10"/>
      <c r="T2201" s="10"/>
      <c r="U2201" s="10"/>
      <c r="V2201" s="10"/>
      <c r="W2201" s="138"/>
      <c r="Y2201"/>
      <c r="Z2201"/>
      <c r="AA2201"/>
      <c r="AB2201"/>
      <c r="AC2201"/>
      <c r="AD2201"/>
      <c r="AE2201"/>
      <c r="AF2201"/>
      <c r="AG2201"/>
      <c r="AH2201"/>
      <c r="AI2201"/>
      <c r="AJ2201"/>
      <c r="AK2201"/>
      <c r="AL2201"/>
      <c r="AM2201"/>
      <c r="AN2201"/>
      <c r="AO2201"/>
    </row>
    <row r="2202" spans="1:41" ht="15">
      <c r="A2202"/>
      <c r="B2202"/>
      <c r="C2202" s="137"/>
      <c r="D2202" s="30"/>
      <c r="E2202" s="30"/>
      <c r="F2202" s="10"/>
      <c r="G2202" s="10"/>
      <c r="H2202" s="15"/>
      <c r="I2202" s="15"/>
      <c r="J2202" s="15"/>
      <c r="K2202" s="15"/>
      <c r="L2202" s="15"/>
      <c r="M2202" s="15"/>
      <c r="N2202" s="15"/>
      <c r="O2202" s="15"/>
      <c r="P2202" s="15"/>
      <c r="Q2202" s="71"/>
      <c r="R2202" s="84"/>
      <c r="S2202" s="10"/>
      <c r="T2202" s="10"/>
      <c r="U2202" s="10"/>
      <c r="V2202" s="10"/>
      <c r="W2202" s="138"/>
      <c r="Y2202"/>
      <c r="Z2202"/>
      <c r="AA2202"/>
      <c r="AB2202"/>
      <c r="AC2202"/>
      <c r="AD2202"/>
      <c r="AE2202"/>
      <c r="AF2202"/>
      <c r="AG2202"/>
      <c r="AH2202"/>
      <c r="AI2202"/>
      <c r="AJ2202"/>
      <c r="AK2202"/>
      <c r="AL2202"/>
      <c r="AM2202"/>
      <c r="AN2202"/>
      <c r="AO2202"/>
    </row>
    <row r="2203" spans="1:41" ht="15">
      <c r="A2203"/>
      <c r="B2203"/>
      <c r="C2203" s="137"/>
      <c r="D2203" s="30"/>
      <c r="E2203" s="30"/>
      <c r="F2203" s="10"/>
      <c r="G2203" s="10"/>
      <c r="H2203" s="15"/>
      <c r="I2203" s="15"/>
      <c r="J2203" s="15"/>
      <c r="K2203" s="15"/>
      <c r="L2203" s="15"/>
      <c r="M2203" s="15"/>
      <c r="N2203" s="15"/>
      <c r="O2203" s="15"/>
      <c r="P2203" s="15"/>
      <c r="Q2203" s="71"/>
      <c r="R2203" s="84"/>
      <c r="S2203" s="10"/>
      <c r="T2203" s="10"/>
      <c r="U2203" s="10"/>
      <c r="V2203" s="10"/>
      <c r="W2203" s="138"/>
      <c r="Y2203"/>
      <c r="Z2203"/>
      <c r="AA2203"/>
      <c r="AB2203"/>
      <c r="AC2203"/>
      <c r="AD2203"/>
      <c r="AE2203"/>
      <c r="AF2203"/>
      <c r="AG2203"/>
      <c r="AH2203"/>
      <c r="AI2203"/>
      <c r="AJ2203"/>
      <c r="AK2203"/>
      <c r="AL2203"/>
      <c r="AM2203"/>
      <c r="AN2203"/>
      <c r="AO2203"/>
    </row>
    <row r="2204" spans="1:41" ht="15">
      <c r="A2204"/>
      <c r="B2204"/>
      <c r="C2204" s="137"/>
      <c r="D2204" s="30"/>
      <c r="E2204" s="30"/>
      <c r="F2204" s="10"/>
      <c r="G2204" s="10"/>
      <c r="H2204" s="15"/>
      <c r="I2204" s="15"/>
      <c r="J2204" s="15"/>
      <c r="K2204" s="15"/>
      <c r="L2204" s="15"/>
      <c r="M2204" s="15"/>
      <c r="N2204" s="15"/>
      <c r="O2204" s="15"/>
      <c r="P2204" s="15"/>
      <c r="Q2204" s="71"/>
      <c r="R2204" s="84"/>
      <c r="S2204" s="10"/>
      <c r="T2204" s="10"/>
      <c r="U2204" s="10"/>
      <c r="V2204" s="10"/>
      <c r="W2204" s="138"/>
      <c r="Y2204"/>
      <c r="Z2204"/>
      <c r="AA2204"/>
      <c r="AB2204"/>
      <c r="AC2204"/>
      <c r="AD2204"/>
      <c r="AE2204"/>
      <c r="AF2204"/>
      <c r="AG2204"/>
      <c r="AH2204"/>
      <c r="AI2204"/>
      <c r="AJ2204"/>
      <c r="AK2204"/>
      <c r="AL2204"/>
      <c r="AM2204"/>
      <c r="AN2204"/>
      <c r="AO2204"/>
    </row>
    <row r="2205" spans="1:41" ht="15">
      <c r="A2205"/>
      <c r="B2205"/>
      <c r="C2205" s="137"/>
      <c r="D2205" s="30"/>
      <c r="E2205" s="30"/>
      <c r="F2205" s="10"/>
      <c r="G2205" s="10"/>
      <c r="H2205" s="15"/>
      <c r="I2205" s="15"/>
      <c r="J2205" s="15"/>
      <c r="K2205" s="15"/>
      <c r="L2205" s="15"/>
      <c r="M2205" s="15"/>
      <c r="N2205" s="15"/>
      <c r="O2205" s="15"/>
      <c r="P2205" s="15"/>
      <c r="Q2205" s="71"/>
      <c r="R2205" s="84"/>
      <c r="S2205" s="10"/>
      <c r="T2205" s="10"/>
      <c r="U2205" s="10"/>
      <c r="V2205" s="10"/>
      <c r="W2205" s="138"/>
      <c r="Y2205"/>
      <c r="Z2205"/>
      <c r="AA2205"/>
      <c r="AB2205"/>
      <c r="AC2205"/>
      <c r="AD2205"/>
      <c r="AE2205"/>
      <c r="AF2205"/>
      <c r="AG2205"/>
      <c r="AH2205"/>
      <c r="AI2205"/>
      <c r="AJ2205"/>
      <c r="AK2205"/>
      <c r="AL2205"/>
      <c r="AM2205"/>
      <c r="AN2205"/>
      <c r="AO2205"/>
    </row>
    <row r="2206" spans="1:41" ht="15">
      <c r="A2206"/>
      <c r="B2206"/>
      <c r="C2206" s="137"/>
      <c r="D2206" s="30"/>
      <c r="E2206" s="30"/>
      <c r="F2206" s="10"/>
      <c r="G2206" s="10"/>
      <c r="H2206" s="15"/>
      <c r="I2206" s="15"/>
      <c r="J2206" s="15"/>
      <c r="K2206" s="15"/>
      <c r="L2206" s="15"/>
      <c r="M2206" s="15"/>
      <c r="N2206" s="15"/>
      <c r="O2206" s="15"/>
      <c r="P2206" s="15"/>
      <c r="Q2206" s="71"/>
      <c r="R2206" s="84"/>
      <c r="S2206" s="10"/>
      <c r="T2206" s="10"/>
      <c r="U2206" s="10"/>
      <c r="V2206" s="10"/>
      <c r="W2206" s="138"/>
      <c r="Y2206"/>
      <c r="Z2206"/>
      <c r="AA2206"/>
      <c r="AB2206"/>
      <c r="AC2206"/>
      <c r="AD2206"/>
      <c r="AE2206"/>
      <c r="AF2206"/>
      <c r="AG2206"/>
      <c r="AH2206"/>
      <c r="AI2206"/>
      <c r="AJ2206"/>
      <c r="AK2206"/>
      <c r="AL2206"/>
      <c r="AM2206"/>
      <c r="AN2206"/>
      <c r="AO2206"/>
    </row>
    <row r="2207" spans="1:41" ht="15">
      <c r="A2207"/>
      <c r="B2207"/>
      <c r="C2207" s="137"/>
      <c r="D2207" s="30"/>
      <c r="E2207" s="30"/>
      <c r="F2207" s="10"/>
      <c r="G2207" s="10"/>
      <c r="H2207" s="15"/>
      <c r="I2207" s="15"/>
      <c r="J2207" s="15"/>
      <c r="K2207" s="15"/>
      <c r="L2207" s="15"/>
      <c r="M2207" s="15"/>
      <c r="N2207" s="15"/>
      <c r="O2207" s="15"/>
      <c r="P2207" s="15"/>
      <c r="Q2207" s="71"/>
      <c r="R2207" s="84"/>
      <c r="S2207" s="10"/>
      <c r="T2207" s="10"/>
      <c r="U2207" s="10"/>
      <c r="V2207" s="10"/>
      <c r="W2207" s="138"/>
      <c r="Y2207"/>
      <c r="Z2207"/>
      <c r="AA2207"/>
      <c r="AB2207"/>
      <c r="AC2207"/>
      <c r="AD2207"/>
      <c r="AE2207"/>
      <c r="AF2207"/>
      <c r="AG2207"/>
      <c r="AH2207"/>
      <c r="AI2207"/>
      <c r="AJ2207"/>
      <c r="AK2207"/>
      <c r="AL2207"/>
      <c r="AM2207"/>
      <c r="AN2207"/>
      <c r="AO2207"/>
    </row>
    <row r="2208" spans="1:41" ht="15">
      <c r="A2208"/>
      <c r="B2208"/>
      <c r="C2208" s="137"/>
      <c r="D2208" s="30"/>
      <c r="E2208" s="30"/>
      <c r="F2208" s="10"/>
      <c r="G2208" s="10"/>
      <c r="H2208" s="15"/>
      <c r="I2208" s="15"/>
      <c r="J2208" s="15"/>
      <c r="K2208" s="15"/>
      <c r="L2208" s="15"/>
      <c r="M2208" s="15"/>
      <c r="N2208" s="15"/>
      <c r="O2208" s="15"/>
      <c r="P2208" s="15"/>
      <c r="Q2208" s="71"/>
      <c r="R2208" s="84"/>
      <c r="S2208" s="10"/>
      <c r="T2208" s="10"/>
      <c r="U2208" s="10"/>
      <c r="V2208" s="10"/>
      <c r="W2208" s="138"/>
      <c r="Y2208"/>
      <c r="Z2208"/>
      <c r="AA2208"/>
      <c r="AB2208"/>
      <c r="AC2208"/>
      <c r="AD2208"/>
      <c r="AE2208"/>
      <c r="AF2208"/>
      <c r="AG2208"/>
      <c r="AH2208"/>
      <c r="AI2208"/>
      <c r="AJ2208"/>
      <c r="AK2208"/>
      <c r="AL2208"/>
      <c r="AM2208"/>
      <c r="AN2208"/>
      <c r="AO2208"/>
    </row>
    <row r="2209" spans="1:41" ht="15">
      <c r="A2209"/>
      <c r="B2209"/>
      <c r="C2209" s="137"/>
      <c r="D2209" s="30"/>
      <c r="E2209" s="30"/>
      <c r="F2209" s="10"/>
      <c r="G2209" s="10"/>
      <c r="H2209" s="15"/>
      <c r="I2209" s="15"/>
      <c r="J2209" s="15"/>
      <c r="K2209" s="15"/>
      <c r="L2209" s="15"/>
      <c r="M2209" s="15"/>
      <c r="N2209" s="15"/>
      <c r="O2209" s="15"/>
      <c r="P2209" s="15"/>
      <c r="Q2209" s="71"/>
      <c r="R2209" s="84"/>
      <c r="S2209" s="10"/>
      <c r="T2209" s="10"/>
      <c r="U2209" s="10"/>
      <c r="V2209" s="10"/>
      <c r="W2209" s="138"/>
      <c r="Y2209"/>
      <c r="Z2209"/>
      <c r="AA2209"/>
      <c r="AB2209"/>
      <c r="AC2209"/>
      <c r="AD2209"/>
      <c r="AE2209"/>
      <c r="AF2209"/>
      <c r="AG2209"/>
      <c r="AH2209"/>
      <c r="AI2209"/>
      <c r="AJ2209"/>
      <c r="AK2209"/>
      <c r="AL2209"/>
      <c r="AM2209"/>
      <c r="AN2209"/>
      <c r="AO2209"/>
    </row>
    <row r="2210" spans="1:41" ht="15">
      <c r="A2210"/>
      <c r="B2210"/>
      <c r="C2210" s="137"/>
      <c r="D2210" s="30"/>
      <c r="E2210" s="30"/>
      <c r="F2210" s="10"/>
      <c r="G2210" s="10"/>
      <c r="H2210" s="15"/>
      <c r="I2210" s="15"/>
      <c r="J2210" s="15"/>
      <c r="K2210" s="15"/>
      <c r="L2210" s="15"/>
      <c r="M2210" s="15"/>
      <c r="N2210" s="15"/>
      <c r="O2210" s="15"/>
      <c r="P2210" s="15"/>
      <c r="Q2210" s="71"/>
      <c r="R2210" s="84"/>
      <c r="S2210" s="10"/>
      <c r="T2210" s="10"/>
      <c r="U2210" s="10"/>
      <c r="V2210" s="10"/>
      <c r="W2210" s="138"/>
      <c r="Y2210"/>
      <c r="Z2210"/>
      <c r="AA2210"/>
      <c r="AB2210"/>
      <c r="AC2210"/>
      <c r="AD2210"/>
      <c r="AE2210"/>
      <c r="AF2210"/>
      <c r="AG2210"/>
      <c r="AH2210"/>
      <c r="AI2210"/>
      <c r="AJ2210"/>
      <c r="AK2210"/>
      <c r="AL2210"/>
      <c r="AM2210"/>
      <c r="AN2210"/>
      <c r="AO2210"/>
    </row>
    <row r="2211" spans="1:41" ht="15">
      <c r="A2211"/>
      <c r="B2211"/>
      <c r="C2211" s="137"/>
      <c r="D2211" s="30"/>
      <c r="E2211" s="30"/>
      <c r="F2211" s="10"/>
      <c r="G2211" s="10"/>
      <c r="H2211" s="15"/>
      <c r="I2211" s="15"/>
      <c r="J2211" s="15"/>
      <c r="K2211" s="15"/>
      <c r="L2211" s="15"/>
      <c r="M2211" s="15"/>
      <c r="N2211" s="15"/>
      <c r="O2211" s="15"/>
      <c r="P2211" s="15"/>
      <c r="Q2211" s="71"/>
      <c r="R2211" s="84"/>
      <c r="S2211" s="10"/>
      <c r="T2211" s="10"/>
      <c r="U2211" s="10"/>
      <c r="V2211" s="10"/>
      <c r="W2211" s="138"/>
      <c r="Y2211"/>
      <c r="Z2211"/>
      <c r="AA2211"/>
      <c r="AB2211"/>
      <c r="AC2211"/>
      <c r="AD2211"/>
      <c r="AE2211"/>
      <c r="AF2211"/>
      <c r="AG2211"/>
      <c r="AH2211"/>
      <c r="AI2211"/>
      <c r="AJ2211"/>
      <c r="AK2211"/>
      <c r="AL2211"/>
      <c r="AM2211"/>
      <c r="AN2211"/>
      <c r="AO2211"/>
    </row>
    <row r="2212" spans="1:41" ht="15">
      <c r="A2212"/>
      <c r="B2212"/>
      <c r="C2212" s="137"/>
      <c r="D2212" s="30"/>
      <c r="E2212" s="30"/>
      <c r="F2212" s="10"/>
      <c r="G2212" s="10"/>
      <c r="H2212" s="15"/>
      <c r="I2212" s="15"/>
      <c r="J2212" s="15"/>
      <c r="K2212" s="15"/>
      <c r="L2212" s="15"/>
      <c r="M2212" s="15"/>
      <c r="N2212" s="15"/>
      <c r="O2212" s="15"/>
      <c r="P2212" s="15"/>
      <c r="Q2212" s="71"/>
      <c r="R2212" s="84"/>
      <c r="S2212" s="10"/>
      <c r="T2212" s="10"/>
      <c r="U2212" s="10"/>
      <c r="V2212" s="10"/>
      <c r="W2212" s="138"/>
      <c r="Y2212"/>
      <c r="Z2212"/>
      <c r="AA2212"/>
      <c r="AB2212"/>
      <c r="AC2212"/>
      <c r="AD2212"/>
      <c r="AE2212"/>
      <c r="AF2212"/>
      <c r="AG2212"/>
      <c r="AH2212"/>
      <c r="AI2212"/>
      <c r="AJ2212"/>
      <c r="AK2212"/>
      <c r="AL2212"/>
      <c r="AM2212"/>
      <c r="AN2212"/>
      <c r="AO2212"/>
    </row>
    <row r="2213" spans="1:41" ht="15">
      <c r="A2213"/>
      <c r="B2213"/>
      <c r="C2213" s="137"/>
      <c r="D2213" s="30"/>
      <c r="E2213" s="30"/>
      <c r="F2213" s="10"/>
      <c r="G2213" s="10"/>
      <c r="H2213" s="15"/>
      <c r="I2213" s="15"/>
      <c r="J2213" s="15"/>
      <c r="K2213" s="15"/>
      <c r="L2213" s="15"/>
      <c r="M2213" s="15"/>
      <c r="N2213" s="15"/>
      <c r="O2213" s="15"/>
      <c r="P2213" s="15"/>
      <c r="Q2213" s="71"/>
      <c r="R2213" s="84"/>
      <c r="S2213" s="10"/>
      <c r="T2213" s="10"/>
      <c r="U2213" s="10"/>
      <c r="V2213" s="10"/>
      <c r="W2213" s="138"/>
      <c r="Y2213"/>
      <c r="Z2213"/>
      <c r="AA2213"/>
      <c r="AB2213"/>
      <c r="AC2213"/>
      <c r="AD2213"/>
      <c r="AE2213"/>
      <c r="AF2213"/>
      <c r="AG2213"/>
      <c r="AH2213"/>
      <c r="AI2213"/>
      <c r="AJ2213"/>
      <c r="AK2213"/>
      <c r="AL2213"/>
      <c r="AM2213"/>
      <c r="AN2213"/>
      <c r="AO2213"/>
    </row>
    <row r="2214" spans="1:41" ht="15">
      <c r="A2214"/>
      <c r="B2214"/>
      <c r="C2214" s="137"/>
      <c r="D2214" s="30"/>
      <c r="E2214" s="30"/>
      <c r="F2214" s="10"/>
      <c r="G2214" s="10"/>
      <c r="H2214" s="15"/>
      <c r="I2214" s="15"/>
      <c r="J2214" s="15"/>
      <c r="K2214" s="15"/>
      <c r="L2214" s="15"/>
      <c r="M2214" s="15"/>
      <c r="N2214" s="15"/>
      <c r="O2214" s="15"/>
      <c r="P2214" s="15"/>
      <c r="Q2214" s="71"/>
      <c r="R2214" s="84"/>
      <c r="S2214" s="10"/>
      <c r="T2214" s="10"/>
      <c r="U2214" s="10"/>
      <c r="V2214" s="10"/>
      <c r="W2214" s="138"/>
      <c r="Y2214"/>
      <c r="Z2214"/>
      <c r="AA2214"/>
      <c r="AB2214"/>
      <c r="AC2214"/>
      <c r="AD2214"/>
      <c r="AE2214"/>
      <c r="AF2214"/>
      <c r="AG2214"/>
      <c r="AH2214"/>
      <c r="AI2214"/>
      <c r="AJ2214"/>
      <c r="AK2214"/>
      <c r="AL2214"/>
      <c r="AM2214"/>
      <c r="AN2214"/>
      <c r="AO2214"/>
    </row>
    <row r="2215" spans="1:41" ht="15">
      <c r="A2215"/>
      <c r="B2215"/>
      <c r="C2215" s="137"/>
      <c r="D2215" s="30"/>
      <c r="E2215" s="30"/>
      <c r="F2215" s="10"/>
      <c r="G2215" s="10"/>
      <c r="H2215" s="15"/>
      <c r="I2215" s="15"/>
      <c r="J2215" s="15"/>
      <c r="K2215" s="15"/>
      <c r="L2215" s="15"/>
      <c r="M2215" s="15"/>
      <c r="N2215" s="15"/>
      <c r="O2215" s="15"/>
      <c r="P2215" s="15"/>
      <c r="Q2215" s="71"/>
      <c r="R2215" s="84"/>
      <c r="S2215" s="10"/>
      <c r="T2215" s="10"/>
      <c r="U2215" s="10"/>
      <c r="V2215" s="10"/>
      <c r="W2215" s="138"/>
      <c r="Y2215"/>
      <c r="Z2215"/>
      <c r="AA2215"/>
      <c r="AB2215"/>
      <c r="AC2215"/>
      <c r="AD2215"/>
      <c r="AE2215"/>
      <c r="AF2215"/>
      <c r="AG2215"/>
      <c r="AH2215"/>
      <c r="AI2215"/>
      <c r="AJ2215"/>
      <c r="AK2215"/>
      <c r="AL2215"/>
      <c r="AM2215"/>
      <c r="AN2215"/>
      <c r="AO2215"/>
    </row>
    <row r="2216" spans="1:41" ht="15">
      <c r="A2216"/>
      <c r="B2216"/>
      <c r="C2216" s="137"/>
      <c r="D2216" s="30"/>
      <c r="E2216" s="30"/>
      <c r="F2216" s="10"/>
      <c r="G2216" s="10"/>
      <c r="H2216" s="15"/>
      <c r="I2216" s="15"/>
      <c r="J2216" s="15"/>
      <c r="K2216" s="15"/>
      <c r="L2216" s="15"/>
      <c r="M2216" s="15"/>
      <c r="N2216" s="15"/>
      <c r="O2216" s="15"/>
      <c r="P2216" s="15"/>
      <c r="Q2216" s="71"/>
      <c r="R2216" s="84"/>
      <c r="S2216" s="10"/>
      <c r="T2216" s="10"/>
      <c r="U2216" s="10"/>
      <c r="V2216" s="10"/>
      <c r="W2216" s="138"/>
      <c r="Y2216"/>
      <c r="Z2216"/>
      <c r="AA2216"/>
      <c r="AB2216"/>
      <c r="AC2216"/>
      <c r="AD2216"/>
      <c r="AE2216"/>
      <c r="AF2216"/>
      <c r="AG2216"/>
      <c r="AH2216"/>
      <c r="AI2216"/>
      <c r="AJ2216"/>
      <c r="AK2216"/>
      <c r="AL2216"/>
      <c r="AM2216"/>
      <c r="AN2216"/>
      <c r="AO2216"/>
    </row>
    <row r="2217" spans="1:41" ht="15">
      <c r="A2217"/>
      <c r="B2217"/>
      <c r="C2217" s="137"/>
      <c r="D2217" s="30"/>
      <c r="E2217" s="30"/>
      <c r="F2217" s="10"/>
      <c r="G2217" s="10"/>
      <c r="H2217" s="15"/>
      <c r="I2217" s="15"/>
      <c r="J2217" s="15"/>
      <c r="K2217" s="15"/>
      <c r="L2217" s="15"/>
      <c r="M2217" s="15"/>
      <c r="N2217" s="15"/>
      <c r="O2217" s="15"/>
      <c r="P2217" s="15"/>
      <c r="Q2217" s="71"/>
      <c r="R2217" s="84"/>
      <c r="S2217" s="10"/>
      <c r="T2217" s="10"/>
      <c r="U2217" s="10"/>
      <c r="V2217" s="10"/>
      <c r="W2217" s="138"/>
      <c r="Y2217"/>
      <c r="Z2217"/>
      <c r="AA2217"/>
      <c r="AB2217"/>
      <c r="AC2217"/>
      <c r="AD2217"/>
      <c r="AE2217"/>
      <c r="AF2217"/>
      <c r="AG2217"/>
      <c r="AH2217"/>
      <c r="AI2217"/>
      <c r="AJ2217"/>
      <c r="AK2217"/>
      <c r="AL2217"/>
      <c r="AM2217"/>
      <c r="AN2217"/>
      <c r="AO2217"/>
    </row>
    <row r="2218" spans="1:41" ht="15">
      <c r="A2218"/>
      <c r="B2218"/>
      <c r="C2218" s="137"/>
      <c r="D2218" s="30"/>
      <c r="E2218" s="30"/>
      <c r="F2218" s="10"/>
      <c r="G2218" s="10"/>
      <c r="H2218" s="15"/>
      <c r="I2218" s="15"/>
      <c r="J2218" s="15"/>
      <c r="K2218" s="15"/>
      <c r="L2218" s="15"/>
      <c r="M2218" s="15"/>
      <c r="N2218" s="15"/>
      <c r="O2218" s="15"/>
      <c r="P2218" s="15"/>
      <c r="Q2218" s="71"/>
      <c r="R2218" s="84"/>
      <c r="S2218" s="10"/>
      <c r="T2218" s="10"/>
      <c r="U2218" s="10"/>
      <c r="V2218" s="10"/>
      <c r="W2218" s="138"/>
      <c r="Y2218"/>
      <c r="Z2218"/>
      <c r="AA2218"/>
      <c r="AB2218"/>
      <c r="AC2218"/>
      <c r="AD2218"/>
      <c r="AE2218"/>
      <c r="AF2218"/>
      <c r="AG2218"/>
      <c r="AH2218"/>
      <c r="AI2218"/>
      <c r="AJ2218"/>
      <c r="AK2218"/>
      <c r="AL2218"/>
      <c r="AM2218"/>
      <c r="AN2218"/>
      <c r="AO2218"/>
    </row>
    <row r="2219" spans="1:41" ht="15">
      <c r="A2219"/>
      <c r="B2219"/>
      <c r="C2219" s="137"/>
      <c r="D2219" s="30"/>
      <c r="E2219" s="30"/>
      <c r="F2219" s="10"/>
      <c r="G2219" s="10"/>
      <c r="H2219" s="15"/>
      <c r="I2219" s="15"/>
      <c r="J2219" s="15"/>
      <c r="K2219" s="15"/>
      <c r="L2219" s="15"/>
      <c r="M2219" s="15"/>
      <c r="N2219" s="15"/>
      <c r="O2219" s="15"/>
      <c r="P2219" s="15"/>
      <c r="Q2219" s="71"/>
      <c r="R2219" s="84"/>
      <c r="S2219" s="10"/>
      <c r="T2219" s="10"/>
      <c r="U2219" s="10"/>
      <c r="V2219" s="10"/>
      <c r="W2219" s="138"/>
      <c r="Y2219"/>
      <c r="Z2219"/>
      <c r="AA2219"/>
      <c r="AB2219"/>
      <c r="AC2219"/>
      <c r="AD2219"/>
      <c r="AE2219"/>
      <c r="AF2219"/>
      <c r="AG2219"/>
      <c r="AH2219"/>
      <c r="AI2219"/>
      <c r="AJ2219"/>
      <c r="AK2219"/>
      <c r="AL2219"/>
      <c r="AM2219"/>
      <c r="AN2219"/>
      <c r="AO2219"/>
    </row>
    <row r="2220" spans="1:41" ht="15">
      <c r="A2220"/>
      <c r="B2220"/>
      <c r="C2220" s="137"/>
      <c r="D2220" s="30"/>
      <c r="E2220" s="30"/>
      <c r="F2220" s="10"/>
      <c r="G2220" s="10"/>
      <c r="H2220" s="15"/>
      <c r="I2220" s="15"/>
      <c r="J2220" s="15"/>
      <c r="K2220" s="15"/>
      <c r="L2220" s="15"/>
      <c r="M2220" s="15"/>
      <c r="N2220" s="15"/>
      <c r="O2220" s="15"/>
      <c r="P2220" s="15"/>
      <c r="Q2220" s="71"/>
      <c r="R2220" s="84"/>
      <c r="S2220" s="10"/>
      <c r="T2220" s="10"/>
      <c r="U2220" s="10"/>
      <c r="V2220" s="10"/>
      <c r="W2220" s="138"/>
      <c r="Y2220"/>
      <c r="Z2220"/>
      <c r="AA2220"/>
      <c r="AB2220"/>
      <c r="AC2220"/>
      <c r="AD2220"/>
      <c r="AE2220"/>
      <c r="AF2220"/>
      <c r="AG2220"/>
      <c r="AH2220"/>
      <c r="AI2220"/>
      <c r="AJ2220"/>
      <c r="AK2220"/>
      <c r="AL2220"/>
      <c r="AM2220"/>
      <c r="AN2220"/>
      <c r="AO2220"/>
    </row>
    <row r="2221" spans="1:41" ht="15">
      <c r="A2221"/>
      <c r="B2221"/>
      <c r="C2221" s="137"/>
      <c r="D2221" s="30"/>
      <c r="E2221" s="30"/>
      <c r="F2221" s="10"/>
      <c r="G2221" s="10"/>
      <c r="H2221" s="15"/>
      <c r="I2221" s="15"/>
      <c r="J2221" s="15"/>
      <c r="K2221" s="15"/>
      <c r="L2221" s="15"/>
      <c r="M2221" s="15"/>
      <c r="N2221" s="15"/>
      <c r="O2221" s="15"/>
      <c r="P2221" s="15"/>
      <c r="Q2221" s="71"/>
      <c r="R2221" s="84"/>
      <c r="S2221" s="10"/>
      <c r="T2221" s="10"/>
      <c r="U2221" s="10"/>
      <c r="V2221" s="10"/>
      <c r="W2221" s="138"/>
      <c r="Y2221"/>
      <c r="Z2221"/>
      <c r="AA2221"/>
      <c r="AB2221"/>
      <c r="AC2221"/>
      <c r="AD2221"/>
      <c r="AE2221"/>
      <c r="AF2221"/>
      <c r="AG2221"/>
      <c r="AH2221"/>
      <c r="AI2221"/>
      <c r="AJ2221"/>
      <c r="AK2221"/>
      <c r="AL2221"/>
      <c r="AM2221"/>
      <c r="AN2221"/>
      <c r="AO2221"/>
    </row>
    <row r="2222" spans="1:41" ht="15">
      <c r="A2222"/>
      <c r="B2222"/>
      <c r="C2222" s="137"/>
      <c r="D2222" s="30"/>
      <c r="E2222" s="30"/>
      <c r="F2222" s="10"/>
      <c r="G2222" s="10"/>
      <c r="H2222" s="15"/>
      <c r="I2222" s="15"/>
      <c r="J2222" s="15"/>
      <c r="K2222" s="15"/>
      <c r="L2222" s="15"/>
      <c r="M2222" s="15"/>
      <c r="N2222" s="15"/>
      <c r="O2222" s="15"/>
      <c r="P2222" s="15"/>
      <c r="Q2222" s="71"/>
      <c r="R2222" s="84"/>
      <c r="S2222" s="10"/>
      <c r="T2222" s="10"/>
      <c r="U2222" s="10"/>
      <c r="V2222" s="10"/>
      <c r="W2222" s="138"/>
      <c r="Y2222"/>
      <c r="Z2222"/>
      <c r="AA2222"/>
      <c r="AB2222"/>
      <c r="AC2222"/>
      <c r="AD2222"/>
      <c r="AE2222"/>
      <c r="AF2222"/>
      <c r="AG2222"/>
      <c r="AH2222"/>
      <c r="AI2222"/>
      <c r="AJ2222"/>
      <c r="AK2222"/>
      <c r="AL2222"/>
      <c r="AM2222"/>
      <c r="AN2222"/>
      <c r="AO2222"/>
    </row>
    <row r="2223" spans="1:41" ht="15">
      <c r="A2223"/>
      <c r="B2223"/>
      <c r="C2223" s="137"/>
      <c r="D2223" s="30"/>
      <c r="E2223" s="30"/>
      <c r="F2223" s="10"/>
      <c r="G2223" s="10"/>
      <c r="H2223" s="15"/>
      <c r="I2223" s="15"/>
      <c r="J2223" s="15"/>
      <c r="K2223" s="15"/>
      <c r="L2223" s="15"/>
      <c r="M2223" s="15"/>
      <c r="N2223" s="15"/>
      <c r="O2223" s="15"/>
      <c r="P2223" s="15"/>
      <c r="Q2223" s="71"/>
      <c r="R2223" s="84"/>
      <c r="S2223" s="10"/>
      <c r="T2223" s="10"/>
      <c r="U2223" s="10"/>
      <c r="V2223" s="10"/>
      <c r="W2223" s="138"/>
      <c r="Y2223"/>
      <c r="Z2223"/>
      <c r="AA2223"/>
      <c r="AB2223"/>
      <c r="AC2223"/>
      <c r="AD2223"/>
      <c r="AE2223"/>
      <c r="AF2223"/>
      <c r="AG2223"/>
      <c r="AH2223"/>
      <c r="AI2223"/>
      <c r="AJ2223"/>
      <c r="AK2223"/>
      <c r="AL2223"/>
      <c r="AM2223"/>
      <c r="AN2223"/>
      <c r="AO2223"/>
    </row>
    <row r="2224" spans="1:41" ht="15">
      <c r="A2224"/>
      <c r="B2224"/>
      <c r="C2224" s="137"/>
      <c r="D2224" s="30"/>
      <c r="E2224" s="30"/>
      <c r="F2224" s="10"/>
      <c r="G2224" s="10"/>
      <c r="H2224" s="15"/>
      <c r="I2224" s="15"/>
      <c r="J2224" s="15"/>
      <c r="K2224" s="15"/>
      <c r="L2224" s="15"/>
      <c r="M2224" s="15"/>
      <c r="N2224" s="15"/>
      <c r="O2224" s="15"/>
      <c r="P2224" s="15"/>
      <c r="Q2224" s="71"/>
      <c r="R2224" s="84"/>
      <c r="S2224" s="10"/>
      <c r="T2224" s="10"/>
      <c r="U2224" s="10"/>
      <c r="V2224" s="10"/>
      <c r="W2224" s="138"/>
      <c r="Y2224"/>
      <c r="Z2224"/>
      <c r="AA2224"/>
      <c r="AB2224"/>
      <c r="AC2224"/>
      <c r="AD2224"/>
      <c r="AE2224"/>
      <c r="AF2224"/>
      <c r="AG2224"/>
      <c r="AH2224"/>
      <c r="AI2224"/>
      <c r="AJ2224"/>
      <c r="AK2224"/>
      <c r="AL2224"/>
      <c r="AM2224"/>
      <c r="AN2224"/>
      <c r="AO2224"/>
    </row>
    <row r="2225" spans="1:41" ht="15">
      <c r="A2225"/>
      <c r="B2225"/>
      <c r="C2225" s="137"/>
      <c r="D2225" s="30"/>
      <c r="E2225" s="30"/>
      <c r="F2225" s="10"/>
      <c r="G2225" s="10"/>
      <c r="H2225" s="15"/>
      <c r="I2225" s="15"/>
      <c r="J2225" s="15"/>
      <c r="K2225" s="15"/>
      <c r="L2225" s="15"/>
      <c r="M2225" s="15"/>
      <c r="N2225" s="15"/>
      <c r="O2225" s="15"/>
      <c r="P2225" s="15"/>
      <c r="Q2225" s="71"/>
      <c r="R2225" s="84"/>
      <c r="S2225" s="10"/>
      <c r="T2225" s="10"/>
      <c r="U2225" s="10"/>
      <c r="V2225" s="10"/>
      <c r="W2225" s="138"/>
      <c r="Y2225"/>
      <c r="Z2225"/>
      <c r="AA2225"/>
      <c r="AB2225"/>
      <c r="AC2225"/>
      <c r="AD2225"/>
      <c r="AE2225"/>
      <c r="AF2225"/>
      <c r="AG2225"/>
      <c r="AH2225"/>
      <c r="AI2225"/>
      <c r="AJ2225"/>
      <c r="AK2225"/>
      <c r="AL2225"/>
      <c r="AM2225"/>
      <c r="AN2225"/>
      <c r="AO2225"/>
    </row>
    <row r="2226" spans="1:41" ht="15">
      <c r="A2226"/>
      <c r="B2226"/>
      <c r="C2226" s="137"/>
      <c r="D2226" s="30"/>
      <c r="E2226" s="30"/>
      <c r="F2226" s="10"/>
      <c r="G2226" s="10"/>
      <c r="H2226" s="15"/>
      <c r="I2226" s="15"/>
      <c r="J2226" s="15"/>
      <c r="K2226" s="15"/>
      <c r="L2226" s="15"/>
      <c r="M2226" s="15"/>
      <c r="N2226" s="15"/>
      <c r="O2226" s="15"/>
      <c r="P2226" s="15"/>
      <c r="Q2226" s="71"/>
      <c r="R2226" s="84"/>
      <c r="S2226" s="10"/>
      <c r="T2226" s="10"/>
      <c r="U2226" s="10"/>
      <c r="V2226" s="10"/>
      <c r="W2226" s="138"/>
      <c r="Y2226"/>
      <c r="Z2226"/>
      <c r="AA2226"/>
      <c r="AB2226"/>
      <c r="AC2226"/>
      <c r="AD2226"/>
      <c r="AE2226"/>
      <c r="AF2226"/>
      <c r="AG2226"/>
      <c r="AH2226"/>
      <c r="AI2226"/>
      <c r="AJ2226"/>
      <c r="AK2226"/>
      <c r="AL2226"/>
      <c r="AM2226"/>
      <c r="AN2226"/>
      <c r="AO2226"/>
    </row>
    <row r="2227" spans="1:41" ht="15">
      <c r="A2227"/>
      <c r="B2227"/>
      <c r="C2227" s="137"/>
      <c r="D2227" s="30"/>
      <c r="E2227" s="30"/>
      <c r="F2227" s="10"/>
      <c r="G2227" s="10"/>
      <c r="H2227" s="15"/>
      <c r="I2227" s="15"/>
      <c r="J2227" s="15"/>
      <c r="K2227" s="15"/>
      <c r="L2227" s="15"/>
      <c r="M2227" s="15"/>
      <c r="N2227" s="15"/>
      <c r="O2227" s="15"/>
      <c r="P2227" s="15"/>
      <c r="Q2227" s="71"/>
      <c r="R2227" s="84"/>
      <c r="S2227" s="10"/>
      <c r="T2227" s="10"/>
      <c r="U2227" s="10"/>
      <c r="V2227" s="10"/>
      <c r="W2227" s="138"/>
      <c r="Y2227"/>
      <c r="Z2227"/>
      <c r="AA2227"/>
      <c r="AB2227"/>
      <c r="AC2227"/>
      <c r="AD2227"/>
      <c r="AE2227"/>
      <c r="AF2227"/>
      <c r="AG2227"/>
      <c r="AH2227"/>
      <c r="AI2227"/>
      <c r="AJ2227"/>
      <c r="AK2227"/>
      <c r="AL2227"/>
      <c r="AM2227"/>
      <c r="AN2227"/>
      <c r="AO2227"/>
    </row>
    <row r="2228" spans="1:41" ht="15">
      <c r="A2228"/>
      <c r="B2228"/>
      <c r="C2228" s="137"/>
      <c r="D2228" s="30"/>
      <c r="E2228" s="30"/>
      <c r="F2228" s="10"/>
      <c r="G2228" s="10"/>
      <c r="H2228" s="15"/>
      <c r="I2228" s="15"/>
      <c r="J2228" s="15"/>
      <c r="K2228" s="15"/>
      <c r="L2228" s="15"/>
      <c r="M2228" s="15"/>
      <c r="N2228" s="15"/>
      <c r="O2228" s="15"/>
      <c r="P2228" s="15"/>
      <c r="Q2228" s="71"/>
      <c r="R2228" s="84"/>
      <c r="S2228" s="10"/>
      <c r="T2228" s="10"/>
      <c r="U2228" s="10"/>
      <c r="V2228" s="10"/>
      <c r="W2228" s="138"/>
      <c r="Y2228"/>
      <c r="Z2228"/>
      <c r="AA2228"/>
      <c r="AB2228"/>
      <c r="AC2228"/>
      <c r="AD2228"/>
      <c r="AE2228"/>
      <c r="AF2228"/>
      <c r="AG2228"/>
      <c r="AH2228"/>
      <c r="AI2228"/>
      <c r="AJ2228"/>
      <c r="AK2228"/>
      <c r="AL2228"/>
      <c r="AM2228"/>
      <c r="AN2228"/>
      <c r="AO2228"/>
    </row>
    <row r="2229" spans="1:41" ht="15">
      <c r="A2229"/>
      <c r="B2229"/>
      <c r="C2229" s="137"/>
      <c r="D2229" s="30"/>
      <c r="E2229" s="30"/>
      <c r="F2229" s="10"/>
      <c r="G2229" s="10"/>
      <c r="H2229" s="15"/>
      <c r="I2229" s="15"/>
      <c r="J2229" s="15"/>
      <c r="K2229" s="15"/>
      <c r="L2229" s="15"/>
      <c r="M2229" s="15"/>
      <c r="N2229" s="15"/>
      <c r="O2229" s="15"/>
      <c r="P2229" s="15"/>
      <c r="Q2229" s="71"/>
      <c r="R2229" s="84"/>
      <c r="S2229" s="10"/>
      <c r="T2229" s="10"/>
      <c r="U2229" s="10"/>
      <c r="V2229" s="10"/>
      <c r="W2229" s="138"/>
      <c r="Y2229"/>
      <c r="Z2229"/>
      <c r="AA2229"/>
      <c r="AB2229"/>
      <c r="AC2229"/>
      <c r="AD2229"/>
      <c r="AE2229"/>
      <c r="AF2229"/>
      <c r="AG2229"/>
      <c r="AH2229"/>
      <c r="AI2229"/>
      <c r="AJ2229"/>
      <c r="AK2229"/>
      <c r="AL2229"/>
      <c r="AM2229"/>
      <c r="AN2229"/>
      <c r="AO2229"/>
    </row>
    <row r="2230" spans="1:41" ht="15">
      <c r="A2230"/>
      <c r="B2230"/>
      <c r="C2230" s="137"/>
      <c r="D2230" s="30"/>
      <c r="E2230" s="30"/>
      <c r="F2230" s="10"/>
      <c r="G2230" s="10"/>
      <c r="H2230" s="15"/>
      <c r="I2230" s="15"/>
      <c r="J2230" s="15"/>
      <c r="K2230" s="15"/>
      <c r="L2230" s="15"/>
      <c r="M2230" s="15"/>
      <c r="N2230" s="15"/>
      <c r="O2230" s="15"/>
      <c r="P2230" s="15"/>
      <c r="Q2230" s="71"/>
      <c r="R2230" s="84"/>
      <c r="S2230" s="10"/>
      <c r="T2230" s="10"/>
      <c r="U2230" s="10"/>
      <c r="V2230" s="10"/>
      <c r="W2230" s="138"/>
      <c r="Y2230"/>
      <c r="Z2230"/>
      <c r="AA2230"/>
      <c r="AB2230"/>
      <c r="AC2230"/>
      <c r="AD2230"/>
      <c r="AE2230"/>
      <c r="AF2230"/>
      <c r="AG2230"/>
      <c r="AH2230"/>
      <c r="AI2230"/>
      <c r="AJ2230"/>
      <c r="AK2230"/>
      <c r="AL2230"/>
      <c r="AM2230"/>
      <c r="AN2230"/>
      <c r="AO2230"/>
    </row>
    <row r="2231" spans="1:41" ht="15">
      <c r="A2231"/>
      <c r="B2231"/>
      <c r="C2231" s="137"/>
      <c r="D2231" s="30"/>
      <c r="E2231" s="30"/>
      <c r="F2231" s="10"/>
      <c r="G2231" s="10"/>
      <c r="H2231" s="15"/>
      <c r="I2231" s="15"/>
      <c r="J2231" s="15"/>
      <c r="K2231" s="15"/>
      <c r="L2231" s="15"/>
      <c r="M2231" s="15"/>
      <c r="N2231" s="15"/>
      <c r="O2231" s="15"/>
      <c r="P2231" s="15"/>
      <c r="Q2231" s="71"/>
      <c r="R2231" s="84"/>
      <c r="S2231" s="10"/>
      <c r="T2231" s="10"/>
      <c r="U2231" s="10"/>
      <c r="V2231" s="10"/>
      <c r="W2231" s="138"/>
      <c r="Y2231"/>
      <c r="Z2231"/>
      <c r="AA2231"/>
      <c r="AB2231"/>
      <c r="AC2231"/>
      <c r="AD2231"/>
      <c r="AE2231"/>
      <c r="AF2231"/>
      <c r="AG2231"/>
      <c r="AH2231"/>
      <c r="AI2231"/>
      <c r="AJ2231"/>
      <c r="AK2231"/>
      <c r="AL2231"/>
      <c r="AM2231"/>
      <c r="AN2231"/>
      <c r="AO2231"/>
    </row>
    <row r="2232" spans="1:41" ht="15">
      <c r="A2232"/>
      <c r="B2232"/>
      <c r="C2232" s="137"/>
      <c r="D2232" s="30"/>
      <c r="E2232" s="30"/>
      <c r="F2232" s="10"/>
      <c r="G2232" s="10"/>
      <c r="H2232" s="15"/>
      <c r="I2232" s="15"/>
      <c r="J2232" s="15"/>
      <c r="K2232" s="15"/>
      <c r="L2232" s="15"/>
      <c r="M2232" s="15"/>
      <c r="N2232" s="15"/>
      <c r="O2232" s="15"/>
      <c r="P2232" s="15"/>
      <c r="Q2232" s="71"/>
      <c r="R2232" s="84"/>
      <c r="S2232" s="10"/>
      <c r="T2232" s="10"/>
      <c r="U2232" s="10"/>
      <c r="V2232" s="10"/>
      <c r="W2232" s="138"/>
      <c r="Y2232"/>
      <c r="Z2232"/>
      <c r="AA2232"/>
      <c r="AB2232"/>
      <c r="AC2232"/>
      <c r="AD2232"/>
      <c r="AE2232"/>
      <c r="AF2232"/>
      <c r="AG2232"/>
      <c r="AH2232"/>
      <c r="AI2232"/>
      <c r="AJ2232"/>
      <c r="AK2232"/>
      <c r="AL2232"/>
      <c r="AM2232"/>
      <c r="AN2232"/>
      <c r="AO2232"/>
    </row>
    <row r="2233" spans="1:41" ht="15">
      <c r="A2233"/>
      <c r="B2233"/>
      <c r="C2233" s="137"/>
      <c r="D2233" s="30"/>
      <c r="E2233" s="30"/>
      <c r="F2233" s="10"/>
      <c r="G2233" s="10"/>
      <c r="H2233" s="15"/>
      <c r="I2233" s="15"/>
      <c r="J2233" s="15"/>
      <c r="K2233" s="15"/>
      <c r="L2233" s="15"/>
      <c r="M2233" s="15"/>
      <c r="N2233" s="15"/>
      <c r="O2233" s="15"/>
      <c r="P2233" s="15"/>
      <c r="Q2233" s="71"/>
      <c r="R2233" s="84"/>
      <c r="S2233" s="10"/>
      <c r="T2233" s="10"/>
      <c r="U2233" s="10"/>
      <c r="V2233" s="10"/>
      <c r="W2233" s="138"/>
      <c r="Y2233"/>
      <c r="Z2233"/>
      <c r="AA2233"/>
      <c r="AB2233"/>
      <c r="AC2233"/>
      <c r="AD2233"/>
      <c r="AE2233"/>
      <c r="AF2233"/>
      <c r="AG2233"/>
      <c r="AH2233"/>
      <c r="AI2233"/>
      <c r="AJ2233"/>
      <c r="AK2233"/>
      <c r="AL2233"/>
      <c r="AM2233"/>
      <c r="AN2233"/>
      <c r="AO2233"/>
    </row>
    <row r="2234" spans="1:41" ht="15">
      <c r="A2234"/>
      <c r="B2234"/>
      <c r="C2234" s="137"/>
      <c r="D2234" s="30"/>
      <c r="E2234" s="30"/>
      <c r="F2234" s="10"/>
      <c r="G2234" s="10"/>
      <c r="H2234" s="15"/>
      <c r="I2234" s="15"/>
      <c r="J2234" s="15"/>
      <c r="K2234" s="15"/>
      <c r="L2234" s="15"/>
      <c r="M2234" s="15"/>
      <c r="N2234" s="15"/>
      <c r="O2234" s="15"/>
      <c r="P2234" s="15"/>
      <c r="Q2234" s="71"/>
      <c r="R2234" s="84"/>
      <c r="S2234" s="10"/>
      <c r="T2234" s="10"/>
      <c r="U2234" s="10"/>
      <c r="V2234" s="10"/>
      <c r="W2234" s="138"/>
      <c r="Y2234"/>
      <c r="Z2234"/>
      <c r="AA2234"/>
      <c r="AB2234"/>
      <c r="AC2234"/>
      <c r="AD2234"/>
      <c r="AE2234"/>
      <c r="AF2234"/>
      <c r="AG2234"/>
      <c r="AH2234"/>
      <c r="AI2234"/>
      <c r="AJ2234"/>
      <c r="AK2234"/>
      <c r="AL2234"/>
      <c r="AM2234"/>
      <c r="AN2234"/>
      <c r="AO2234"/>
    </row>
    <row r="2235" spans="1:41" ht="15">
      <c r="A2235"/>
      <c r="B2235"/>
      <c r="C2235" s="137"/>
      <c r="D2235" s="30"/>
      <c r="E2235" s="30"/>
      <c r="F2235" s="10"/>
      <c r="G2235" s="10"/>
      <c r="H2235" s="15"/>
      <c r="I2235" s="15"/>
      <c r="J2235" s="15"/>
      <c r="K2235" s="15"/>
      <c r="L2235" s="15"/>
      <c r="M2235" s="15"/>
      <c r="N2235" s="15"/>
      <c r="O2235" s="15"/>
      <c r="P2235" s="15"/>
      <c r="Q2235" s="71"/>
      <c r="R2235" s="84"/>
      <c r="S2235" s="10"/>
      <c r="T2235" s="10"/>
      <c r="U2235" s="10"/>
      <c r="V2235" s="10"/>
      <c r="W2235" s="138"/>
      <c r="Y2235"/>
      <c r="Z2235"/>
      <c r="AA2235"/>
      <c r="AB2235"/>
      <c r="AC2235"/>
      <c r="AD2235"/>
      <c r="AE2235"/>
      <c r="AF2235"/>
      <c r="AG2235"/>
      <c r="AH2235"/>
      <c r="AI2235"/>
      <c r="AJ2235"/>
      <c r="AK2235"/>
      <c r="AL2235"/>
      <c r="AM2235"/>
      <c r="AN2235"/>
      <c r="AO2235"/>
    </row>
    <row r="2236" spans="1:41" ht="15">
      <c r="A2236"/>
      <c r="B2236"/>
      <c r="C2236" s="137"/>
      <c r="D2236" s="30"/>
      <c r="E2236" s="30"/>
      <c r="F2236" s="10"/>
      <c r="G2236" s="10"/>
      <c r="H2236" s="15"/>
      <c r="I2236" s="15"/>
      <c r="J2236" s="15"/>
      <c r="K2236" s="15"/>
      <c r="L2236" s="15"/>
      <c r="M2236" s="15"/>
      <c r="N2236" s="15"/>
      <c r="O2236" s="15"/>
      <c r="P2236" s="15"/>
      <c r="Q2236" s="71"/>
      <c r="R2236" s="84"/>
      <c r="S2236" s="10"/>
      <c r="T2236" s="10"/>
      <c r="U2236" s="10"/>
      <c r="V2236" s="10"/>
      <c r="W2236" s="138"/>
      <c r="Y2236"/>
      <c r="Z2236"/>
      <c r="AA2236"/>
      <c r="AB2236"/>
      <c r="AC2236"/>
      <c r="AD2236"/>
      <c r="AE2236"/>
      <c r="AF2236"/>
      <c r="AG2236"/>
      <c r="AH2236"/>
      <c r="AI2236"/>
      <c r="AJ2236"/>
      <c r="AK2236"/>
      <c r="AL2236"/>
      <c r="AM2236"/>
      <c r="AN2236"/>
      <c r="AO2236"/>
    </row>
    <row r="2237" spans="1:41" ht="15">
      <c r="A2237"/>
      <c r="B2237"/>
      <c r="C2237" s="137"/>
      <c r="D2237" s="30"/>
      <c r="E2237" s="30"/>
      <c r="F2237" s="10"/>
      <c r="G2237" s="10"/>
      <c r="H2237" s="15"/>
      <c r="I2237" s="15"/>
      <c r="J2237" s="15"/>
      <c r="K2237" s="15"/>
      <c r="L2237" s="15"/>
      <c r="M2237" s="15"/>
      <c r="N2237" s="15"/>
      <c r="O2237" s="15"/>
      <c r="P2237" s="15"/>
      <c r="Q2237" s="71"/>
      <c r="R2237" s="84"/>
      <c r="S2237" s="10"/>
      <c r="T2237" s="10"/>
      <c r="U2237" s="10"/>
      <c r="V2237" s="10"/>
      <c r="W2237" s="138"/>
      <c r="Y2237"/>
      <c r="Z2237"/>
      <c r="AA2237"/>
      <c r="AB2237"/>
      <c r="AC2237"/>
      <c r="AD2237"/>
      <c r="AE2237"/>
      <c r="AF2237"/>
      <c r="AG2237"/>
      <c r="AH2237"/>
      <c r="AI2237"/>
      <c r="AJ2237"/>
      <c r="AK2237"/>
      <c r="AL2237"/>
      <c r="AM2237"/>
      <c r="AN2237"/>
      <c r="AO2237"/>
    </row>
    <row r="2238" spans="1:41" ht="15">
      <c r="A2238"/>
      <c r="B2238"/>
      <c r="C2238" s="137"/>
      <c r="D2238" s="30"/>
      <c r="E2238" s="30"/>
      <c r="F2238" s="10"/>
      <c r="G2238" s="10"/>
      <c r="H2238" s="15"/>
      <c r="I2238" s="15"/>
      <c r="J2238" s="15"/>
      <c r="K2238" s="15"/>
      <c r="L2238" s="15"/>
      <c r="M2238" s="15"/>
      <c r="N2238" s="15"/>
      <c r="O2238" s="15"/>
      <c r="P2238" s="15"/>
      <c r="Q2238" s="71"/>
      <c r="R2238" s="84"/>
      <c r="S2238" s="10"/>
      <c r="T2238" s="10"/>
      <c r="U2238" s="10"/>
      <c r="V2238" s="10"/>
      <c r="W2238" s="138"/>
      <c r="Y2238"/>
      <c r="Z2238"/>
      <c r="AA2238"/>
      <c r="AB2238"/>
      <c r="AC2238"/>
      <c r="AD2238"/>
      <c r="AE2238"/>
      <c r="AF2238"/>
      <c r="AG2238"/>
      <c r="AH2238"/>
      <c r="AI2238"/>
      <c r="AJ2238"/>
      <c r="AK2238"/>
      <c r="AL2238"/>
      <c r="AM2238"/>
      <c r="AN2238"/>
      <c r="AO2238"/>
    </row>
    <row r="2239" spans="1:41" ht="15">
      <c r="A2239"/>
      <c r="B2239"/>
      <c r="C2239" s="137"/>
      <c r="D2239" s="30"/>
      <c r="E2239" s="30"/>
      <c r="F2239" s="10"/>
      <c r="G2239" s="10"/>
      <c r="H2239" s="15"/>
      <c r="I2239" s="15"/>
      <c r="J2239" s="15"/>
      <c r="K2239" s="15"/>
      <c r="L2239" s="15"/>
      <c r="M2239" s="15"/>
      <c r="N2239" s="15"/>
      <c r="O2239" s="15"/>
      <c r="P2239" s="15"/>
      <c r="Q2239" s="71"/>
      <c r="R2239" s="84"/>
      <c r="S2239" s="10"/>
      <c r="T2239" s="10"/>
      <c r="U2239" s="10"/>
      <c r="V2239" s="10"/>
      <c r="W2239" s="138"/>
      <c r="Y2239"/>
      <c r="Z2239"/>
      <c r="AA2239"/>
      <c r="AB2239"/>
      <c r="AC2239"/>
      <c r="AD2239"/>
      <c r="AE2239"/>
      <c r="AF2239"/>
      <c r="AG2239"/>
      <c r="AH2239"/>
      <c r="AI2239"/>
      <c r="AJ2239"/>
      <c r="AK2239"/>
      <c r="AL2239"/>
      <c r="AM2239"/>
      <c r="AN2239"/>
      <c r="AO2239"/>
    </row>
    <row r="2240" spans="1:41" ht="15">
      <c r="A2240"/>
      <c r="B2240"/>
      <c r="C2240" s="137"/>
      <c r="D2240" s="30"/>
      <c r="E2240" s="30"/>
      <c r="F2240" s="10"/>
      <c r="G2240" s="10"/>
      <c r="H2240" s="15"/>
      <c r="I2240" s="15"/>
      <c r="J2240" s="15"/>
      <c r="K2240" s="15"/>
      <c r="L2240" s="15"/>
      <c r="M2240" s="15"/>
      <c r="N2240" s="15"/>
      <c r="O2240" s="15"/>
      <c r="P2240" s="15"/>
      <c r="Q2240" s="71"/>
      <c r="R2240" s="84"/>
      <c r="S2240" s="10"/>
      <c r="T2240" s="10"/>
      <c r="U2240" s="10"/>
      <c r="V2240" s="10"/>
      <c r="W2240" s="138"/>
      <c r="Y2240"/>
      <c r="Z2240"/>
      <c r="AA2240"/>
      <c r="AB2240"/>
      <c r="AC2240"/>
      <c r="AD2240"/>
      <c r="AE2240"/>
      <c r="AF2240"/>
      <c r="AG2240"/>
      <c r="AH2240"/>
      <c r="AI2240"/>
      <c r="AJ2240"/>
      <c r="AK2240"/>
      <c r="AL2240"/>
      <c r="AM2240"/>
      <c r="AN2240"/>
      <c r="AO2240"/>
    </row>
    <row r="2241" spans="1:41" ht="15">
      <c r="A2241"/>
      <c r="B2241"/>
      <c r="C2241" s="137"/>
      <c r="D2241" s="30"/>
      <c r="E2241" s="30"/>
      <c r="F2241" s="10"/>
      <c r="G2241" s="10"/>
      <c r="H2241" s="15"/>
      <c r="I2241" s="15"/>
      <c r="J2241" s="15"/>
      <c r="K2241" s="15"/>
      <c r="L2241" s="15"/>
      <c r="M2241" s="15"/>
      <c r="N2241" s="15"/>
      <c r="O2241" s="15"/>
      <c r="P2241" s="15"/>
      <c r="Q2241" s="71"/>
      <c r="R2241" s="84"/>
      <c r="S2241" s="10"/>
      <c r="T2241" s="10"/>
      <c r="U2241" s="10"/>
      <c r="V2241" s="10"/>
      <c r="W2241" s="138"/>
      <c r="Y2241"/>
      <c r="Z2241"/>
      <c r="AA2241"/>
      <c r="AB2241"/>
      <c r="AC2241"/>
      <c r="AD2241"/>
      <c r="AE2241"/>
      <c r="AF2241"/>
      <c r="AG2241"/>
      <c r="AH2241"/>
      <c r="AI2241"/>
      <c r="AJ2241"/>
      <c r="AK2241"/>
      <c r="AL2241"/>
      <c r="AM2241"/>
      <c r="AN2241"/>
      <c r="AO2241"/>
    </row>
    <row r="2242" spans="1:41" ht="15">
      <c r="A2242"/>
      <c r="B2242"/>
      <c r="C2242" s="137"/>
      <c r="D2242" s="30"/>
      <c r="E2242" s="30"/>
      <c r="F2242" s="10"/>
      <c r="G2242" s="10"/>
      <c r="H2242" s="15"/>
      <c r="I2242" s="15"/>
      <c r="J2242" s="15"/>
      <c r="K2242" s="15"/>
      <c r="L2242" s="15"/>
      <c r="M2242" s="15"/>
      <c r="N2242" s="15"/>
      <c r="O2242" s="15"/>
      <c r="P2242" s="15"/>
      <c r="Q2242" s="71"/>
      <c r="R2242" s="84"/>
      <c r="S2242" s="10"/>
      <c r="T2242" s="10"/>
      <c r="U2242" s="10"/>
      <c r="V2242" s="10"/>
      <c r="W2242" s="138"/>
      <c r="Y2242"/>
      <c r="Z2242"/>
      <c r="AA2242"/>
      <c r="AB2242"/>
      <c r="AC2242"/>
      <c r="AD2242"/>
      <c r="AE2242"/>
      <c r="AF2242"/>
      <c r="AG2242"/>
      <c r="AH2242"/>
      <c r="AI2242"/>
      <c r="AJ2242"/>
      <c r="AK2242"/>
      <c r="AL2242"/>
      <c r="AM2242"/>
      <c r="AN2242"/>
      <c r="AO2242"/>
    </row>
    <row r="2243" spans="1:41" ht="15">
      <c r="A2243"/>
      <c r="B2243"/>
      <c r="C2243" s="137"/>
      <c r="D2243" s="30"/>
      <c r="E2243" s="30"/>
      <c r="F2243" s="10"/>
      <c r="G2243" s="10"/>
      <c r="H2243" s="15"/>
      <c r="I2243" s="15"/>
      <c r="J2243" s="15"/>
      <c r="K2243" s="15"/>
      <c r="L2243" s="15"/>
      <c r="M2243" s="15"/>
      <c r="N2243" s="15"/>
      <c r="O2243" s="15"/>
      <c r="P2243" s="15"/>
      <c r="Q2243" s="71"/>
      <c r="R2243" s="84"/>
      <c r="S2243" s="10"/>
      <c r="T2243" s="10"/>
      <c r="U2243" s="10"/>
      <c r="V2243" s="10"/>
      <c r="W2243" s="138"/>
      <c r="Y2243"/>
      <c r="Z2243"/>
      <c r="AA2243"/>
      <c r="AB2243"/>
      <c r="AC2243"/>
      <c r="AD2243"/>
      <c r="AE2243"/>
      <c r="AF2243"/>
      <c r="AG2243"/>
      <c r="AH2243"/>
      <c r="AI2243"/>
      <c r="AJ2243"/>
      <c r="AK2243"/>
      <c r="AL2243"/>
      <c r="AM2243"/>
      <c r="AN2243"/>
      <c r="AO2243"/>
    </row>
    <row r="2244" spans="1:41" ht="15">
      <c r="A2244"/>
      <c r="B2244"/>
      <c r="C2244" s="137"/>
      <c r="D2244" s="30"/>
      <c r="E2244" s="30"/>
      <c r="F2244" s="10"/>
      <c r="G2244" s="10"/>
      <c r="H2244" s="15"/>
      <c r="I2244" s="15"/>
      <c r="J2244" s="15"/>
      <c r="K2244" s="15"/>
      <c r="L2244" s="15"/>
      <c r="M2244" s="15"/>
      <c r="N2244" s="15"/>
      <c r="O2244" s="15"/>
      <c r="P2244" s="15"/>
      <c r="Q2244" s="71"/>
      <c r="R2244" s="84"/>
      <c r="S2244" s="10"/>
      <c r="T2244" s="10"/>
      <c r="U2244" s="10"/>
      <c r="V2244" s="10"/>
      <c r="W2244" s="138"/>
      <c r="Y2244"/>
      <c r="Z2244"/>
      <c r="AA2244"/>
      <c r="AB2244"/>
      <c r="AC2244"/>
      <c r="AD2244"/>
      <c r="AE2244"/>
      <c r="AF2244"/>
      <c r="AG2244"/>
      <c r="AH2244"/>
      <c r="AI2244"/>
      <c r="AJ2244"/>
      <c r="AK2244"/>
      <c r="AL2244"/>
      <c r="AM2244"/>
      <c r="AN2244"/>
      <c r="AO2244"/>
    </row>
    <row r="2245" spans="1:41" ht="15">
      <c r="A2245"/>
      <c r="B2245"/>
      <c r="C2245" s="137"/>
      <c r="D2245" s="30"/>
      <c r="E2245" s="30"/>
      <c r="F2245" s="10"/>
      <c r="G2245" s="10"/>
      <c r="H2245" s="15"/>
      <c r="I2245" s="15"/>
      <c r="J2245" s="15"/>
      <c r="K2245" s="15"/>
      <c r="L2245" s="15"/>
      <c r="M2245" s="15"/>
      <c r="N2245" s="15"/>
      <c r="O2245" s="15"/>
      <c r="P2245" s="15"/>
      <c r="Q2245" s="71"/>
      <c r="R2245" s="84"/>
      <c r="S2245" s="10"/>
      <c r="T2245" s="10"/>
      <c r="U2245" s="10"/>
      <c r="V2245" s="10"/>
      <c r="W2245" s="138"/>
      <c r="Y2245"/>
      <c r="Z2245"/>
      <c r="AA2245"/>
      <c r="AB2245"/>
      <c r="AC2245"/>
      <c r="AD2245"/>
      <c r="AE2245"/>
      <c r="AF2245"/>
      <c r="AG2245"/>
      <c r="AH2245"/>
      <c r="AI2245"/>
      <c r="AJ2245"/>
      <c r="AK2245"/>
      <c r="AL2245"/>
      <c r="AM2245"/>
      <c r="AN2245"/>
      <c r="AO2245"/>
    </row>
    <row r="2246" spans="1:41" ht="15">
      <c r="A2246"/>
      <c r="B2246"/>
      <c r="C2246" s="137"/>
      <c r="D2246" s="30"/>
      <c r="E2246" s="30"/>
      <c r="F2246" s="10"/>
      <c r="G2246" s="10"/>
      <c r="H2246" s="15"/>
      <c r="I2246" s="15"/>
      <c r="J2246" s="15"/>
      <c r="K2246" s="15"/>
      <c r="L2246" s="15"/>
      <c r="M2246" s="15"/>
      <c r="N2246" s="15"/>
      <c r="O2246" s="15"/>
      <c r="P2246" s="15"/>
      <c r="Q2246" s="71"/>
      <c r="R2246" s="84"/>
      <c r="S2246" s="10"/>
      <c r="T2246" s="10"/>
      <c r="U2246" s="10"/>
      <c r="V2246" s="10"/>
      <c r="W2246" s="138"/>
      <c r="Y2246"/>
      <c r="Z2246"/>
      <c r="AA2246"/>
      <c r="AB2246"/>
      <c r="AC2246"/>
      <c r="AD2246"/>
      <c r="AE2246"/>
      <c r="AF2246"/>
      <c r="AG2246"/>
      <c r="AH2246"/>
      <c r="AI2246"/>
      <c r="AJ2246"/>
      <c r="AK2246"/>
      <c r="AL2246"/>
      <c r="AM2246"/>
      <c r="AN2246"/>
      <c r="AO2246"/>
    </row>
    <row r="2247" spans="1:41" ht="15">
      <c r="A2247"/>
      <c r="B2247"/>
      <c r="C2247" s="137"/>
      <c r="D2247" s="30"/>
      <c r="E2247" s="30"/>
      <c r="F2247" s="10"/>
      <c r="G2247" s="10"/>
      <c r="H2247" s="15"/>
      <c r="I2247" s="15"/>
      <c r="J2247" s="15"/>
      <c r="K2247" s="15"/>
      <c r="L2247" s="15"/>
      <c r="M2247" s="15"/>
      <c r="N2247" s="15"/>
      <c r="O2247" s="15"/>
      <c r="P2247" s="15"/>
      <c r="Q2247" s="71"/>
      <c r="R2247" s="84"/>
      <c r="S2247" s="10"/>
      <c r="T2247" s="10"/>
      <c r="U2247" s="10"/>
      <c r="V2247" s="10"/>
      <c r="W2247" s="138"/>
      <c r="Y2247"/>
      <c r="Z2247"/>
      <c r="AA2247"/>
      <c r="AB2247"/>
      <c r="AC2247"/>
      <c r="AD2247"/>
      <c r="AE2247"/>
      <c r="AF2247"/>
      <c r="AG2247"/>
      <c r="AH2247"/>
      <c r="AI2247"/>
      <c r="AJ2247"/>
      <c r="AK2247"/>
      <c r="AL2247"/>
      <c r="AM2247"/>
      <c r="AN2247"/>
      <c r="AO2247"/>
    </row>
    <row r="2248" spans="1:41" ht="15">
      <c r="A2248"/>
      <c r="B2248"/>
      <c r="C2248" s="137"/>
      <c r="D2248" s="30"/>
      <c r="E2248" s="30"/>
      <c r="F2248" s="10"/>
      <c r="G2248" s="10"/>
      <c r="H2248" s="15"/>
      <c r="I2248" s="15"/>
      <c r="J2248" s="15"/>
      <c r="K2248" s="15"/>
      <c r="L2248" s="15"/>
      <c r="M2248" s="15"/>
      <c r="N2248" s="15"/>
      <c r="O2248" s="15"/>
      <c r="P2248" s="15"/>
      <c r="Q2248" s="71"/>
      <c r="R2248" s="84"/>
      <c r="S2248" s="10"/>
      <c r="T2248" s="10"/>
      <c r="U2248" s="10"/>
      <c r="V2248" s="10"/>
      <c r="W2248" s="138"/>
      <c r="Y2248"/>
      <c r="Z2248"/>
      <c r="AA2248"/>
      <c r="AB2248"/>
      <c r="AC2248"/>
      <c r="AD2248"/>
      <c r="AE2248"/>
      <c r="AF2248"/>
      <c r="AG2248"/>
      <c r="AH2248"/>
      <c r="AI2248"/>
      <c r="AJ2248"/>
      <c r="AK2248"/>
      <c r="AL2248"/>
      <c r="AM2248"/>
      <c r="AN2248"/>
      <c r="AO2248"/>
    </row>
    <row r="2249" spans="1:41" ht="15">
      <c r="A2249"/>
      <c r="B2249"/>
      <c r="C2249" s="137"/>
      <c r="D2249" s="30"/>
      <c r="E2249" s="30"/>
      <c r="F2249" s="10"/>
      <c r="G2249" s="10"/>
      <c r="H2249" s="15"/>
      <c r="I2249" s="15"/>
      <c r="J2249" s="15"/>
      <c r="K2249" s="15"/>
      <c r="L2249" s="15"/>
      <c r="M2249" s="15"/>
      <c r="N2249" s="15"/>
      <c r="O2249" s="15"/>
      <c r="P2249" s="15"/>
      <c r="Q2249" s="71"/>
      <c r="R2249" s="84"/>
      <c r="S2249" s="10"/>
      <c r="T2249" s="10"/>
      <c r="U2249" s="10"/>
      <c r="V2249" s="10"/>
      <c r="W2249" s="138"/>
      <c r="Y2249"/>
      <c r="Z2249"/>
      <c r="AA2249"/>
      <c r="AB2249"/>
      <c r="AC2249"/>
      <c r="AD2249"/>
      <c r="AE2249"/>
      <c r="AF2249"/>
      <c r="AG2249"/>
      <c r="AH2249"/>
      <c r="AI2249"/>
      <c r="AJ2249"/>
      <c r="AK2249"/>
      <c r="AL2249"/>
      <c r="AM2249"/>
      <c r="AN2249"/>
      <c r="AO2249"/>
    </row>
    <row r="2250" spans="1:41" ht="15">
      <c r="A2250"/>
      <c r="B2250"/>
      <c r="C2250" s="137"/>
      <c r="D2250" s="30"/>
      <c r="E2250" s="30"/>
      <c r="F2250" s="10"/>
      <c r="G2250" s="10"/>
      <c r="H2250" s="15"/>
      <c r="I2250" s="15"/>
      <c r="J2250" s="15"/>
      <c r="K2250" s="15"/>
      <c r="L2250" s="15"/>
      <c r="M2250" s="15"/>
      <c r="N2250" s="15"/>
      <c r="O2250" s="15"/>
      <c r="P2250" s="15"/>
      <c r="Q2250" s="71"/>
      <c r="R2250" s="84"/>
      <c r="S2250" s="10"/>
      <c r="T2250" s="10"/>
      <c r="U2250" s="10"/>
      <c r="V2250" s="10"/>
      <c r="W2250" s="138"/>
      <c r="Y2250"/>
      <c r="Z2250"/>
      <c r="AA2250"/>
      <c r="AB2250"/>
      <c r="AC2250"/>
      <c r="AD2250"/>
      <c r="AE2250"/>
      <c r="AF2250"/>
      <c r="AG2250"/>
      <c r="AH2250"/>
      <c r="AI2250"/>
      <c r="AJ2250"/>
      <c r="AK2250"/>
      <c r="AL2250"/>
      <c r="AM2250"/>
      <c r="AN2250"/>
      <c r="AO2250"/>
    </row>
    <row r="2251" spans="1:41" ht="15">
      <c r="A2251"/>
      <c r="B2251"/>
      <c r="C2251" s="137"/>
      <c r="D2251" s="30"/>
      <c r="E2251" s="30"/>
      <c r="F2251" s="10"/>
      <c r="G2251" s="10"/>
      <c r="H2251" s="15"/>
      <c r="I2251" s="15"/>
      <c r="J2251" s="15"/>
      <c r="K2251" s="15"/>
      <c r="L2251" s="15"/>
      <c r="M2251" s="15"/>
      <c r="N2251" s="15"/>
      <c r="O2251" s="15"/>
      <c r="P2251" s="15"/>
      <c r="Q2251" s="71"/>
      <c r="R2251" s="84"/>
      <c r="S2251" s="10"/>
      <c r="T2251" s="10"/>
      <c r="U2251" s="10"/>
      <c r="V2251" s="10"/>
      <c r="W2251" s="138"/>
      <c r="Y2251"/>
      <c r="Z2251"/>
      <c r="AA2251"/>
      <c r="AB2251"/>
      <c r="AC2251"/>
      <c r="AD2251"/>
      <c r="AE2251"/>
      <c r="AF2251"/>
      <c r="AG2251"/>
      <c r="AH2251"/>
      <c r="AI2251"/>
      <c r="AJ2251"/>
      <c r="AK2251"/>
      <c r="AL2251"/>
      <c r="AM2251"/>
      <c r="AN2251"/>
      <c r="AO2251"/>
    </row>
    <row r="2252" spans="1:41" ht="15">
      <c r="A2252"/>
      <c r="B2252"/>
      <c r="C2252" s="137"/>
      <c r="D2252" s="30"/>
      <c r="E2252" s="30"/>
      <c r="F2252" s="10"/>
      <c r="G2252" s="10"/>
      <c r="H2252" s="15"/>
      <c r="I2252" s="15"/>
      <c r="J2252" s="15"/>
      <c r="K2252" s="15"/>
      <c r="L2252" s="15"/>
      <c r="M2252" s="15"/>
      <c r="N2252" s="15"/>
      <c r="O2252" s="15"/>
      <c r="P2252" s="15"/>
      <c r="Q2252" s="71"/>
      <c r="R2252" s="84"/>
      <c r="S2252" s="10"/>
      <c r="T2252" s="10"/>
      <c r="U2252" s="10"/>
      <c r="V2252" s="10"/>
      <c r="W2252" s="138"/>
      <c r="Y2252"/>
      <c r="Z2252"/>
      <c r="AA2252"/>
      <c r="AB2252"/>
      <c r="AC2252"/>
      <c r="AD2252"/>
      <c r="AE2252"/>
      <c r="AF2252"/>
      <c r="AG2252"/>
      <c r="AH2252"/>
      <c r="AI2252"/>
      <c r="AJ2252"/>
      <c r="AK2252"/>
      <c r="AL2252"/>
      <c r="AM2252"/>
      <c r="AN2252"/>
      <c r="AO2252"/>
    </row>
    <row r="2253" spans="1:41" ht="15">
      <c r="A2253"/>
      <c r="B2253"/>
      <c r="C2253" s="137"/>
      <c r="D2253" s="30"/>
      <c r="E2253" s="30"/>
      <c r="F2253" s="10"/>
      <c r="G2253" s="10"/>
      <c r="H2253" s="15"/>
      <c r="I2253" s="15"/>
      <c r="J2253" s="15"/>
      <c r="K2253" s="15"/>
      <c r="L2253" s="15"/>
      <c r="M2253" s="15"/>
      <c r="N2253" s="15"/>
      <c r="O2253" s="15"/>
      <c r="P2253" s="15"/>
      <c r="Q2253" s="71"/>
      <c r="R2253" s="84"/>
      <c r="S2253" s="10"/>
      <c r="T2253" s="10"/>
      <c r="U2253" s="10"/>
      <c r="V2253" s="10"/>
      <c r="W2253" s="138"/>
      <c r="Y2253"/>
      <c r="Z2253"/>
      <c r="AA2253"/>
      <c r="AB2253"/>
      <c r="AC2253"/>
      <c r="AD2253"/>
      <c r="AE2253"/>
      <c r="AF2253"/>
      <c r="AG2253"/>
      <c r="AH2253"/>
      <c r="AI2253"/>
      <c r="AJ2253"/>
      <c r="AK2253"/>
      <c r="AL2253"/>
      <c r="AM2253"/>
      <c r="AN2253"/>
      <c r="AO2253"/>
    </row>
    <row r="2254" spans="1:41" ht="15">
      <c r="A2254"/>
      <c r="B2254"/>
      <c r="C2254" s="137"/>
      <c r="D2254" s="30"/>
      <c r="E2254" s="30"/>
      <c r="F2254" s="10"/>
      <c r="G2254" s="10"/>
      <c r="H2254" s="15"/>
      <c r="I2254" s="15"/>
      <c r="J2254" s="15"/>
      <c r="K2254" s="15"/>
      <c r="L2254" s="15"/>
      <c r="M2254" s="15"/>
      <c r="N2254" s="15"/>
      <c r="O2254" s="15"/>
      <c r="P2254" s="15"/>
      <c r="Q2254" s="71"/>
      <c r="R2254" s="84"/>
      <c r="S2254" s="10"/>
      <c r="T2254" s="10"/>
      <c r="U2254" s="10"/>
      <c r="V2254" s="10"/>
      <c r="W2254" s="138"/>
      <c r="Y2254"/>
      <c r="Z2254"/>
      <c r="AA2254"/>
      <c r="AB2254"/>
      <c r="AC2254"/>
      <c r="AD2254"/>
      <c r="AE2254"/>
      <c r="AF2254"/>
      <c r="AG2254"/>
      <c r="AH2254"/>
      <c r="AI2254"/>
      <c r="AJ2254"/>
      <c r="AK2254"/>
      <c r="AL2254"/>
      <c r="AM2254"/>
      <c r="AN2254"/>
      <c r="AO2254"/>
    </row>
    <row r="2255" spans="1:41" ht="15">
      <c r="A2255"/>
      <c r="B2255"/>
      <c r="C2255" s="137"/>
      <c r="D2255" s="30"/>
      <c r="E2255" s="30"/>
      <c r="F2255" s="10"/>
      <c r="G2255" s="10"/>
      <c r="H2255" s="15"/>
      <c r="I2255" s="15"/>
      <c r="J2255" s="15"/>
      <c r="K2255" s="15"/>
      <c r="L2255" s="15"/>
      <c r="M2255" s="15"/>
      <c r="N2255" s="15"/>
      <c r="O2255" s="15"/>
      <c r="P2255" s="15"/>
      <c r="Q2255" s="71"/>
      <c r="R2255" s="84"/>
      <c r="S2255" s="10"/>
      <c r="T2255" s="10"/>
      <c r="U2255" s="10"/>
      <c r="V2255" s="10"/>
      <c r="W2255" s="138"/>
      <c r="Y2255"/>
      <c r="Z2255"/>
      <c r="AA2255"/>
      <c r="AB2255"/>
      <c r="AC2255"/>
      <c r="AD2255"/>
      <c r="AE2255"/>
      <c r="AF2255"/>
      <c r="AG2255"/>
      <c r="AH2255"/>
      <c r="AI2255"/>
      <c r="AJ2255"/>
      <c r="AK2255"/>
      <c r="AL2255"/>
      <c r="AM2255"/>
      <c r="AN2255"/>
      <c r="AO2255"/>
    </row>
    <row r="2256" spans="1:41" ht="15">
      <c r="A2256"/>
      <c r="B2256"/>
      <c r="C2256" s="137"/>
      <c r="D2256" s="30"/>
      <c r="E2256" s="30"/>
      <c r="F2256" s="10"/>
      <c r="G2256" s="10"/>
      <c r="H2256" s="15"/>
      <c r="I2256" s="15"/>
      <c r="J2256" s="15"/>
      <c r="K2256" s="15"/>
      <c r="L2256" s="15"/>
      <c r="M2256" s="15"/>
      <c r="N2256" s="15"/>
      <c r="O2256" s="15"/>
      <c r="P2256" s="15"/>
      <c r="Q2256" s="71"/>
      <c r="R2256" s="84"/>
      <c r="S2256" s="10"/>
      <c r="T2256" s="10"/>
      <c r="U2256" s="10"/>
      <c r="V2256" s="10"/>
      <c r="W2256" s="138"/>
      <c r="Y2256"/>
      <c r="Z2256"/>
      <c r="AA2256"/>
      <c r="AB2256"/>
      <c r="AC2256"/>
      <c r="AD2256"/>
      <c r="AE2256"/>
      <c r="AF2256"/>
      <c r="AG2256"/>
      <c r="AH2256"/>
      <c r="AI2256"/>
      <c r="AJ2256"/>
      <c r="AK2256"/>
      <c r="AL2256"/>
      <c r="AM2256"/>
      <c r="AN2256"/>
      <c r="AO2256"/>
    </row>
    <row r="2257" spans="1:41" ht="15">
      <c r="A2257"/>
      <c r="B2257"/>
      <c r="C2257" s="137"/>
      <c r="D2257" s="30"/>
      <c r="E2257" s="30"/>
      <c r="F2257" s="10"/>
      <c r="G2257" s="10"/>
      <c r="H2257" s="15"/>
      <c r="I2257" s="15"/>
      <c r="J2257" s="15"/>
      <c r="K2257" s="15"/>
      <c r="L2257" s="15"/>
      <c r="M2257" s="15"/>
      <c r="N2257" s="15"/>
      <c r="O2257" s="15"/>
      <c r="P2257" s="15"/>
      <c r="Q2257" s="71"/>
      <c r="R2257" s="84"/>
      <c r="S2257" s="10"/>
      <c r="T2257" s="10"/>
      <c r="U2257" s="10"/>
      <c r="V2257" s="10"/>
      <c r="W2257" s="138"/>
      <c r="Y2257"/>
      <c r="Z2257"/>
      <c r="AA2257"/>
      <c r="AB2257"/>
      <c r="AC2257"/>
      <c r="AD2257"/>
      <c r="AE2257"/>
      <c r="AF2257"/>
      <c r="AG2257"/>
      <c r="AH2257"/>
      <c r="AI2257"/>
      <c r="AJ2257"/>
      <c r="AK2257"/>
      <c r="AL2257"/>
      <c r="AM2257"/>
      <c r="AN2257"/>
      <c r="AO2257"/>
    </row>
    <row r="2258" spans="1:41" ht="15">
      <c r="A2258"/>
      <c r="B2258"/>
      <c r="C2258" s="137"/>
      <c r="D2258" s="30"/>
      <c r="E2258" s="30"/>
      <c r="F2258" s="10"/>
      <c r="G2258" s="10"/>
      <c r="H2258" s="15"/>
      <c r="I2258" s="15"/>
      <c r="J2258" s="15"/>
      <c r="K2258" s="15"/>
      <c r="L2258" s="15"/>
      <c r="M2258" s="15"/>
      <c r="N2258" s="15"/>
      <c r="O2258" s="15"/>
      <c r="P2258" s="15"/>
      <c r="Q2258" s="71"/>
      <c r="R2258" s="84"/>
      <c r="S2258" s="10"/>
      <c r="T2258" s="10"/>
      <c r="U2258" s="10"/>
      <c r="V2258" s="10"/>
      <c r="W2258" s="138"/>
      <c r="Y2258"/>
      <c r="Z2258"/>
      <c r="AA2258"/>
      <c r="AB2258"/>
      <c r="AC2258"/>
      <c r="AD2258"/>
      <c r="AE2258"/>
      <c r="AF2258"/>
      <c r="AG2258"/>
      <c r="AH2258"/>
      <c r="AI2258"/>
      <c r="AJ2258"/>
      <c r="AK2258"/>
      <c r="AL2258"/>
      <c r="AM2258"/>
      <c r="AN2258"/>
      <c r="AO2258"/>
    </row>
    <row r="2259" spans="1:41" ht="15">
      <c r="A2259"/>
      <c r="B2259"/>
      <c r="C2259" s="137"/>
      <c r="D2259" s="30"/>
      <c r="E2259" s="30"/>
      <c r="F2259" s="10"/>
      <c r="G2259" s="10"/>
      <c r="H2259" s="15"/>
      <c r="I2259" s="15"/>
      <c r="J2259" s="15"/>
      <c r="K2259" s="15"/>
      <c r="L2259" s="15"/>
      <c r="M2259" s="15"/>
      <c r="N2259" s="15"/>
      <c r="O2259" s="15"/>
      <c r="P2259" s="15"/>
      <c r="Q2259" s="71"/>
      <c r="R2259" s="84"/>
      <c r="S2259" s="10"/>
      <c r="T2259" s="10"/>
      <c r="U2259" s="10"/>
      <c r="V2259" s="10"/>
      <c r="W2259" s="138"/>
      <c r="Y2259"/>
      <c r="Z2259"/>
      <c r="AA2259"/>
      <c r="AB2259"/>
      <c r="AC2259"/>
      <c r="AD2259"/>
      <c r="AE2259"/>
      <c r="AF2259"/>
      <c r="AG2259"/>
      <c r="AH2259"/>
      <c r="AI2259"/>
      <c r="AJ2259"/>
      <c r="AK2259"/>
      <c r="AL2259"/>
      <c r="AM2259"/>
      <c r="AN2259"/>
      <c r="AO2259"/>
    </row>
    <row r="2260" spans="1:41" ht="15">
      <c r="A2260"/>
      <c r="B2260"/>
      <c r="C2260" s="137"/>
      <c r="D2260" s="30"/>
      <c r="E2260" s="30"/>
      <c r="F2260" s="10"/>
      <c r="G2260" s="10"/>
      <c r="H2260" s="15"/>
      <c r="I2260" s="15"/>
      <c r="J2260" s="15"/>
      <c r="K2260" s="15"/>
      <c r="L2260" s="15"/>
      <c r="M2260" s="15"/>
      <c r="N2260" s="15"/>
      <c r="O2260" s="15"/>
      <c r="P2260" s="15"/>
      <c r="Q2260" s="71"/>
      <c r="R2260" s="84"/>
      <c r="S2260" s="10"/>
      <c r="T2260" s="10"/>
      <c r="U2260" s="10"/>
      <c r="V2260" s="10"/>
      <c r="W2260" s="138"/>
      <c r="Y2260"/>
      <c r="Z2260"/>
      <c r="AA2260"/>
      <c r="AB2260"/>
      <c r="AC2260"/>
      <c r="AD2260"/>
      <c r="AE2260"/>
      <c r="AF2260"/>
      <c r="AG2260"/>
      <c r="AH2260"/>
      <c r="AI2260"/>
      <c r="AJ2260"/>
      <c r="AK2260"/>
      <c r="AL2260"/>
      <c r="AM2260"/>
      <c r="AN2260"/>
      <c r="AO2260"/>
    </row>
    <row r="2261" spans="1:41" ht="15">
      <c r="A2261"/>
      <c r="B2261"/>
      <c r="C2261" s="137"/>
      <c r="D2261" s="30"/>
      <c r="E2261" s="30"/>
      <c r="F2261" s="10"/>
      <c r="G2261" s="10"/>
      <c r="H2261" s="15"/>
      <c r="I2261" s="15"/>
      <c r="J2261" s="15"/>
      <c r="K2261" s="15"/>
      <c r="L2261" s="15"/>
      <c r="M2261" s="15"/>
      <c r="N2261" s="15"/>
      <c r="O2261" s="15"/>
      <c r="P2261" s="15"/>
      <c r="Q2261" s="71"/>
      <c r="R2261" s="84"/>
      <c r="S2261" s="10"/>
      <c r="T2261" s="10"/>
      <c r="U2261" s="10"/>
      <c r="V2261" s="10"/>
      <c r="W2261" s="138"/>
      <c r="Y2261"/>
      <c r="Z2261"/>
      <c r="AA2261"/>
      <c r="AB2261"/>
      <c r="AC2261"/>
      <c r="AD2261"/>
      <c r="AE2261"/>
      <c r="AF2261"/>
      <c r="AG2261"/>
      <c r="AH2261"/>
      <c r="AI2261"/>
      <c r="AJ2261"/>
      <c r="AK2261"/>
      <c r="AL2261"/>
      <c r="AM2261"/>
      <c r="AN2261"/>
      <c r="AO2261"/>
    </row>
    <row r="2262" spans="1:41" ht="15">
      <c r="A2262"/>
      <c r="B2262"/>
      <c r="C2262" s="137"/>
      <c r="D2262" s="30"/>
      <c r="E2262" s="30"/>
      <c r="F2262" s="10"/>
      <c r="G2262" s="10"/>
      <c r="H2262" s="15"/>
      <c r="I2262" s="15"/>
      <c r="J2262" s="15"/>
      <c r="K2262" s="15"/>
      <c r="L2262" s="15"/>
      <c r="M2262" s="15"/>
      <c r="N2262" s="15"/>
      <c r="O2262" s="15"/>
      <c r="P2262" s="15"/>
      <c r="Q2262" s="71"/>
      <c r="R2262" s="84"/>
      <c r="S2262" s="10"/>
      <c r="T2262" s="10"/>
      <c r="U2262" s="10"/>
      <c r="V2262" s="10"/>
      <c r="W2262" s="138"/>
      <c r="Y2262"/>
      <c r="Z2262"/>
      <c r="AA2262"/>
      <c r="AB2262"/>
      <c r="AC2262"/>
      <c r="AD2262"/>
      <c r="AE2262"/>
      <c r="AF2262"/>
      <c r="AG2262"/>
      <c r="AH2262"/>
      <c r="AI2262"/>
      <c r="AJ2262"/>
      <c r="AK2262"/>
      <c r="AL2262"/>
      <c r="AM2262"/>
      <c r="AN2262"/>
      <c r="AO2262"/>
    </row>
    <row r="2263" spans="1:41" ht="15">
      <c r="A2263"/>
      <c r="B2263"/>
      <c r="C2263" s="137"/>
      <c r="D2263" s="30"/>
      <c r="E2263" s="30"/>
      <c r="F2263" s="10"/>
      <c r="G2263" s="10"/>
      <c r="H2263" s="15"/>
      <c r="I2263" s="15"/>
      <c r="J2263" s="15"/>
      <c r="K2263" s="15"/>
      <c r="L2263" s="15"/>
      <c r="M2263" s="15"/>
      <c r="N2263" s="15"/>
      <c r="O2263" s="15"/>
      <c r="P2263" s="15"/>
      <c r="Q2263" s="71"/>
      <c r="R2263" s="84"/>
      <c r="S2263" s="10"/>
      <c r="T2263" s="10"/>
      <c r="U2263" s="10"/>
      <c r="V2263" s="10"/>
      <c r="W2263" s="138"/>
      <c r="Y2263"/>
      <c r="Z2263"/>
      <c r="AA2263"/>
      <c r="AB2263"/>
      <c r="AC2263"/>
      <c r="AD2263"/>
      <c r="AE2263"/>
      <c r="AF2263"/>
      <c r="AG2263"/>
      <c r="AH2263"/>
      <c r="AI2263"/>
      <c r="AJ2263"/>
      <c r="AK2263"/>
      <c r="AL2263"/>
      <c r="AM2263"/>
      <c r="AN2263"/>
      <c r="AO2263"/>
    </row>
    <row r="2264" spans="1:41" ht="15">
      <c r="A2264"/>
      <c r="B2264"/>
      <c r="C2264" s="137"/>
      <c r="D2264" s="30"/>
      <c r="E2264" s="30"/>
      <c r="F2264" s="10"/>
      <c r="G2264" s="10"/>
      <c r="H2264" s="15"/>
      <c r="I2264" s="15"/>
      <c r="J2264" s="15"/>
      <c r="K2264" s="15"/>
      <c r="L2264" s="15"/>
      <c r="M2264" s="15"/>
      <c r="N2264" s="15"/>
      <c r="O2264" s="15"/>
      <c r="P2264" s="15"/>
      <c r="Q2264" s="71"/>
      <c r="R2264" s="84"/>
      <c r="S2264" s="10"/>
      <c r="T2264" s="10"/>
      <c r="U2264" s="10"/>
      <c r="V2264" s="10"/>
      <c r="W2264" s="138"/>
      <c r="Y2264"/>
      <c r="Z2264"/>
      <c r="AA2264"/>
      <c r="AB2264"/>
      <c r="AC2264"/>
      <c r="AD2264"/>
      <c r="AE2264"/>
      <c r="AF2264"/>
      <c r="AG2264"/>
      <c r="AH2264"/>
      <c r="AI2264"/>
      <c r="AJ2264"/>
      <c r="AK2264"/>
      <c r="AL2264"/>
      <c r="AM2264"/>
      <c r="AN2264"/>
      <c r="AO2264"/>
    </row>
    <row r="2265" spans="1:41" ht="15">
      <c r="A2265"/>
      <c r="B2265"/>
      <c r="C2265" s="137"/>
      <c r="D2265" s="30"/>
      <c r="E2265" s="30"/>
      <c r="F2265" s="10"/>
      <c r="G2265" s="10"/>
      <c r="H2265" s="15"/>
      <c r="I2265" s="15"/>
      <c r="J2265" s="15"/>
      <c r="K2265" s="15"/>
      <c r="L2265" s="15"/>
      <c r="M2265" s="15"/>
      <c r="N2265" s="15"/>
      <c r="O2265" s="15"/>
      <c r="P2265" s="15"/>
      <c r="Q2265" s="71"/>
      <c r="R2265" s="84"/>
      <c r="S2265" s="10"/>
      <c r="T2265" s="10"/>
      <c r="U2265" s="10"/>
      <c r="V2265" s="10"/>
      <c r="W2265" s="138"/>
      <c r="Y2265"/>
      <c r="Z2265"/>
      <c r="AA2265"/>
      <c r="AB2265"/>
      <c r="AC2265"/>
      <c r="AD2265"/>
      <c r="AE2265"/>
      <c r="AF2265"/>
      <c r="AG2265"/>
      <c r="AH2265"/>
      <c r="AI2265"/>
      <c r="AJ2265"/>
      <c r="AK2265"/>
      <c r="AL2265"/>
      <c r="AM2265"/>
      <c r="AN2265"/>
      <c r="AO2265"/>
    </row>
    <row r="2266" spans="1:41" ht="15">
      <c r="A2266"/>
      <c r="B2266"/>
      <c r="C2266" s="137"/>
      <c r="D2266" s="30"/>
      <c r="E2266" s="30"/>
      <c r="F2266" s="10"/>
      <c r="G2266" s="10"/>
      <c r="H2266" s="15"/>
      <c r="I2266" s="15"/>
      <c r="J2266" s="15"/>
      <c r="K2266" s="15"/>
      <c r="L2266" s="15"/>
      <c r="M2266" s="15"/>
      <c r="N2266" s="15"/>
      <c r="O2266" s="15"/>
      <c r="P2266" s="15"/>
      <c r="Q2266" s="71"/>
      <c r="R2266" s="84"/>
      <c r="S2266" s="10"/>
      <c r="T2266" s="10"/>
      <c r="U2266" s="10"/>
      <c r="V2266" s="10"/>
      <c r="W2266" s="138"/>
      <c r="Y2266"/>
      <c r="Z2266"/>
      <c r="AA2266"/>
      <c r="AB2266"/>
      <c r="AC2266"/>
      <c r="AD2266"/>
      <c r="AE2266"/>
      <c r="AF2266"/>
      <c r="AG2266"/>
      <c r="AH2266"/>
      <c r="AI2266"/>
      <c r="AJ2266"/>
      <c r="AK2266"/>
      <c r="AL2266"/>
      <c r="AM2266"/>
      <c r="AN2266"/>
      <c r="AO2266"/>
    </row>
    <row r="2267" spans="1:41" ht="15">
      <c r="A2267"/>
      <c r="B2267"/>
      <c r="C2267" s="137"/>
      <c r="D2267" s="30"/>
      <c r="E2267" s="30"/>
      <c r="F2267" s="10"/>
      <c r="G2267" s="10"/>
      <c r="H2267" s="15"/>
      <c r="I2267" s="15"/>
      <c r="J2267" s="15"/>
      <c r="K2267" s="15"/>
      <c r="L2267" s="15"/>
      <c r="M2267" s="15"/>
      <c r="N2267" s="15"/>
      <c r="O2267" s="15"/>
      <c r="P2267" s="15"/>
      <c r="Q2267" s="71"/>
      <c r="R2267" s="84"/>
      <c r="S2267" s="10"/>
      <c r="T2267" s="10"/>
      <c r="U2267" s="10"/>
      <c r="V2267" s="10"/>
      <c r="W2267" s="138"/>
      <c r="Y2267"/>
      <c r="Z2267"/>
      <c r="AA2267"/>
      <c r="AB2267"/>
      <c r="AC2267"/>
      <c r="AD2267"/>
      <c r="AE2267"/>
      <c r="AF2267"/>
      <c r="AG2267"/>
      <c r="AH2267"/>
      <c r="AI2267"/>
      <c r="AJ2267"/>
      <c r="AK2267"/>
      <c r="AL2267"/>
      <c r="AM2267"/>
      <c r="AN2267"/>
      <c r="AO2267"/>
    </row>
    <row r="2268" spans="1:41" ht="15">
      <c r="A2268"/>
      <c r="B2268"/>
      <c r="C2268" s="137"/>
      <c r="D2268" s="30"/>
      <c r="E2268" s="30"/>
      <c r="F2268" s="10"/>
      <c r="G2268" s="10"/>
      <c r="H2268" s="15"/>
      <c r="I2268" s="15"/>
      <c r="J2268" s="15"/>
      <c r="K2268" s="15"/>
      <c r="L2268" s="15"/>
      <c r="M2268" s="15"/>
      <c r="N2268" s="15"/>
      <c r="O2268" s="15"/>
      <c r="P2268" s="15"/>
      <c r="Q2268" s="71"/>
      <c r="R2268" s="84"/>
      <c r="S2268" s="10"/>
      <c r="T2268" s="10"/>
      <c r="U2268" s="10"/>
      <c r="V2268" s="10"/>
      <c r="W2268" s="138"/>
      <c r="Y2268"/>
      <c r="Z2268"/>
      <c r="AA2268"/>
      <c r="AB2268"/>
      <c r="AC2268"/>
      <c r="AD2268"/>
      <c r="AE2268"/>
      <c r="AF2268"/>
      <c r="AG2268"/>
      <c r="AH2268"/>
      <c r="AI2268"/>
      <c r="AJ2268"/>
      <c r="AK2268"/>
      <c r="AL2268"/>
      <c r="AM2268"/>
      <c r="AN2268"/>
      <c r="AO2268"/>
    </row>
    <row r="2269" spans="1:41" ht="15">
      <c r="A2269"/>
      <c r="B2269"/>
      <c r="C2269" s="137"/>
      <c r="D2269" s="30"/>
      <c r="E2269" s="30"/>
      <c r="F2269" s="10"/>
      <c r="G2269" s="10"/>
      <c r="H2269" s="15"/>
      <c r="I2269" s="15"/>
      <c r="J2269" s="15"/>
      <c r="K2269" s="15"/>
      <c r="L2269" s="15"/>
      <c r="M2269" s="15"/>
      <c r="N2269" s="15"/>
      <c r="O2269" s="15"/>
      <c r="P2269" s="15"/>
      <c r="Q2269" s="71"/>
      <c r="R2269" s="84"/>
      <c r="S2269" s="10"/>
      <c r="T2269" s="10"/>
      <c r="U2269" s="10"/>
      <c r="V2269" s="10"/>
      <c r="W2269" s="138"/>
      <c r="Y2269"/>
      <c r="Z2269"/>
      <c r="AA2269"/>
      <c r="AB2269"/>
      <c r="AC2269"/>
      <c r="AD2269"/>
      <c r="AE2269"/>
      <c r="AF2269"/>
      <c r="AG2269"/>
      <c r="AH2269"/>
      <c r="AI2269"/>
      <c r="AJ2269"/>
      <c r="AK2269"/>
      <c r="AL2269"/>
      <c r="AM2269"/>
      <c r="AN2269"/>
      <c r="AO2269"/>
    </row>
    <row r="2270" spans="1:41" ht="15">
      <c r="A2270"/>
      <c r="B2270"/>
      <c r="C2270" s="137"/>
      <c r="D2270" s="30"/>
      <c r="E2270" s="30"/>
      <c r="F2270" s="10"/>
      <c r="G2270" s="10"/>
      <c r="H2270" s="15"/>
      <c r="I2270" s="15"/>
      <c r="J2270" s="15"/>
      <c r="K2270" s="15"/>
      <c r="L2270" s="15"/>
      <c r="M2270" s="15"/>
      <c r="N2270" s="15"/>
      <c r="O2270" s="15"/>
      <c r="P2270" s="15"/>
      <c r="Q2270" s="71"/>
      <c r="R2270" s="84"/>
      <c r="S2270" s="10"/>
      <c r="T2270" s="10"/>
      <c r="U2270" s="10"/>
      <c r="V2270" s="10"/>
      <c r="W2270" s="138"/>
      <c r="Y2270"/>
      <c r="Z2270"/>
      <c r="AA2270"/>
      <c r="AB2270"/>
      <c r="AC2270"/>
      <c r="AD2270"/>
      <c r="AE2270"/>
      <c r="AF2270"/>
      <c r="AG2270"/>
      <c r="AH2270"/>
      <c r="AI2270"/>
      <c r="AJ2270"/>
      <c r="AK2270"/>
      <c r="AL2270"/>
      <c r="AM2270"/>
      <c r="AN2270"/>
      <c r="AO2270"/>
    </row>
    <row r="2271" spans="1:41" ht="15">
      <c r="A2271"/>
      <c r="B2271"/>
      <c r="C2271" s="137"/>
      <c r="D2271" s="30"/>
      <c r="E2271" s="30"/>
      <c r="F2271" s="10"/>
      <c r="G2271" s="10"/>
      <c r="H2271" s="15"/>
      <c r="I2271" s="15"/>
      <c r="J2271" s="15"/>
      <c r="K2271" s="15"/>
      <c r="L2271" s="15"/>
      <c r="M2271" s="15"/>
      <c r="N2271" s="15"/>
      <c r="O2271" s="15"/>
      <c r="P2271" s="15"/>
      <c r="Q2271" s="71"/>
      <c r="R2271" s="84"/>
      <c r="S2271" s="10"/>
      <c r="T2271" s="10"/>
      <c r="U2271" s="10"/>
      <c r="V2271" s="10"/>
      <c r="W2271" s="138"/>
      <c r="Y2271"/>
      <c r="Z2271"/>
      <c r="AA2271"/>
      <c r="AB2271"/>
      <c r="AC2271"/>
      <c r="AD2271"/>
      <c r="AE2271"/>
      <c r="AF2271"/>
      <c r="AG2271"/>
      <c r="AH2271"/>
      <c r="AI2271"/>
      <c r="AJ2271"/>
      <c r="AK2271"/>
      <c r="AL2271"/>
      <c r="AM2271"/>
      <c r="AN2271"/>
      <c r="AO2271"/>
    </row>
    <row r="2272" spans="1:41" ht="15">
      <c r="A2272"/>
      <c r="B2272"/>
      <c r="C2272" s="137"/>
      <c r="D2272" s="30"/>
      <c r="E2272" s="30"/>
      <c r="F2272" s="10"/>
      <c r="G2272" s="10"/>
      <c r="H2272" s="15"/>
      <c r="I2272" s="15"/>
      <c r="J2272" s="15"/>
      <c r="K2272" s="15"/>
      <c r="L2272" s="15"/>
      <c r="M2272" s="15"/>
      <c r="N2272" s="15"/>
      <c r="O2272" s="15"/>
      <c r="P2272" s="15"/>
      <c r="Q2272" s="71"/>
      <c r="R2272" s="84"/>
      <c r="S2272" s="10"/>
      <c r="T2272" s="10"/>
      <c r="U2272" s="10"/>
      <c r="V2272" s="10"/>
      <c r="W2272" s="138"/>
      <c r="Y2272"/>
      <c r="Z2272"/>
      <c r="AA2272"/>
      <c r="AB2272"/>
      <c r="AC2272"/>
      <c r="AD2272"/>
      <c r="AE2272"/>
      <c r="AF2272"/>
      <c r="AG2272"/>
      <c r="AH2272"/>
      <c r="AI2272"/>
      <c r="AJ2272"/>
      <c r="AK2272"/>
      <c r="AL2272"/>
      <c r="AM2272"/>
      <c r="AN2272"/>
      <c r="AO2272"/>
    </row>
    <row r="2273" spans="1:41" ht="15">
      <c r="A2273"/>
      <c r="B2273"/>
      <c r="C2273" s="137"/>
      <c r="D2273" s="30"/>
      <c r="E2273" s="30"/>
      <c r="F2273" s="10"/>
      <c r="G2273" s="10"/>
      <c r="H2273" s="15"/>
      <c r="I2273" s="15"/>
      <c r="J2273" s="15"/>
      <c r="K2273" s="15"/>
      <c r="L2273" s="15"/>
      <c r="M2273" s="15"/>
      <c r="N2273" s="15"/>
      <c r="O2273" s="15"/>
      <c r="P2273" s="15"/>
      <c r="Q2273" s="71"/>
      <c r="R2273" s="84"/>
      <c r="S2273" s="10"/>
      <c r="T2273" s="10"/>
      <c r="U2273" s="10"/>
      <c r="V2273" s="10"/>
      <c r="W2273" s="138"/>
      <c r="Y2273"/>
      <c r="Z2273"/>
      <c r="AA2273"/>
      <c r="AB2273"/>
      <c r="AC2273"/>
      <c r="AD2273"/>
      <c r="AE2273"/>
      <c r="AF2273"/>
      <c r="AG2273"/>
      <c r="AH2273"/>
      <c r="AI2273"/>
      <c r="AJ2273"/>
      <c r="AK2273"/>
      <c r="AL2273"/>
      <c r="AM2273"/>
      <c r="AN2273"/>
      <c r="AO2273"/>
    </row>
    <row r="2274" spans="1:41" ht="15">
      <c r="A2274"/>
      <c r="B2274"/>
      <c r="C2274" s="137"/>
      <c r="D2274" s="30"/>
      <c r="E2274" s="30"/>
      <c r="F2274" s="10"/>
      <c r="G2274" s="10"/>
      <c r="H2274" s="15"/>
      <c r="I2274" s="15"/>
      <c r="J2274" s="15"/>
      <c r="K2274" s="15"/>
      <c r="L2274" s="15"/>
      <c r="M2274" s="15"/>
      <c r="N2274" s="15"/>
      <c r="O2274" s="15"/>
      <c r="P2274" s="15"/>
      <c r="Q2274" s="71"/>
      <c r="R2274" s="84"/>
      <c r="S2274" s="10"/>
      <c r="T2274" s="10"/>
      <c r="U2274" s="10"/>
      <c r="V2274" s="10"/>
      <c r="W2274" s="138"/>
      <c r="Y2274"/>
      <c r="Z2274"/>
      <c r="AA2274"/>
      <c r="AB2274"/>
      <c r="AC2274"/>
      <c r="AD2274"/>
      <c r="AE2274"/>
      <c r="AF2274"/>
      <c r="AG2274"/>
      <c r="AH2274"/>
      <c r="AI2274"/>
      <c r="AJ2274"/>
      <c r="AK2274"/>
      <c r="AL2274"/>
      <c r="AM2274"/>
      <c r="AN2274"/>
      <c r="AO2274"/>
    </row>
    <row r="2275" spans="1:41" ht="15">
      <c r="A2275"/>
      <c r="B2275"/>
      <c r="C2275" s="137"/>
      <c r="D2275" s="30"/>
      <c r="E2275" s="30"/>
      <c r="F2275" s="10"/>
      <c r="G2275" s="10"/>
      <c r="H2275" s="15"/>
      <c r="I2275" s="15"/>
      <c r="J2275" s="15"/>
      <c r="K2275" s="15"/>
      <c r="L2275" s="15"/>
      <c r="M2275" s="15"/>
      <c r="N2275" s="15"/>
      <c r="O2275" s="15"/>
      <c r="P2275" s="15"/>
      <c r="Q2275" s="71"/>
      <c r="R2275" s="84"/>
      <c r="S2275" s="10"/>
      <c r="T2275" s="10"/>
      <c r="U2275" s="10"/>
      <c r="V2275" s="10"/>
      <c r="W2275" s="138"/>
      <c r="Y2275"/>
      <c r="Z2275"/>
      <c r="AA2275"/>
      <c r="AB2275"/>
      <c r="AC2275"/>
      <c r="AD2275"/>
      <c r="AE2275"/>
      <c r="AF2275"/>
      <c r="AG2275"/>
      <c r="AH2275"/>
      <c r="AI2275"/>
      <c r="AJ2275"/>
      <c r="AK2275"/>
      <c r="AL2275"/>
      <c r="AM2275"/>
      <c r="AN2275"/>
      <c r="AO2275"/>
    </row>
    <row r="2276" spans="1:41" ht="15">
      <c r="A2276"/>
      <c r="B2276"/>
      <c r="C2276" s="137"/>
      <c r="D2276" s="30"/>
      <c r="E2276" s="30"/>
      <c r="F2276" s="10"/>
      <c r="G2276" s="10"/>
      <c r="H2276" s="15"/>
      <c r="I2276" s="15"/>
      <c r="J2276" s="15"/>
      <c r="K2276" s="15"/>
      <c r="L2276" s="15"/>
      <c r="M2276" s="15"/>
      <c r="N2276" s="15"/>
      <c r="O2276" s="15"/>
      <c r="P2276" s="15"/>
      <c r="Q2276" s="71"/>
      <c r="R2276" s="84"/>
      <c r="S2276" s="10"/>
      <c r="T2276" s="10"/>
      <c r="U2276" s="10"/>
      <c r="V2276" s="10"/>
      <c r="W2276" s="138"/>
      <c r="Y2276"/>
      <c r="Z2276"/>
      <c r="AA2276"/>
      <c r="AB2276"/>
      <c r="AC2276"/>
      <c r="AD2276"/>
      <c r="AE2276"/>
      <c r="AF2276"/>
      <c r="AG2276"/>
      <c r="AH2276"/>
      <c r="AI2276"/>
      <c r="AJ2276"/>
      <c r="AK2276"/>
      <c r="AL2276"/>
      <c r="AM2276"/>
      <c r="AN2276"/>
      <c r="AO2276"/>
    </row>
    <row r="2277" spans="1:41" ht="15">
      <c r="A2277"/>
      <c r="B2277"/>
      <c r="C2277" s="137"/>
      <c r="D2277" s="30"/>
      <c r="E2277" s="30"/>
      <c r="F2277" s="10"/>
      <c r="G2277" s="10"/>
      <c r="H2277" s="15"/>
      <c r="I2277" s="15"/>
      <c r="J2277" s="15"/>
      <c r="K2277" s="15"/>
      <c r="L2277" s="15"/>
      <c r="M2277" s="15"/>
      <c r="N2277" s="15"/>
      <c r="O2277" s="15"/>
      <c r="P2277" s="15"/>
      <c r="Q2277" s="71"/>
      <c r="R2277" s="84"/>
      <c r="S2277" s="10"/>
      <c r="T2277" s="10"/>
      <c r="U2277" s="10"/>
      <c r="V2277" s="10"/>
      <c r="W2277" s="138"/>
      <c r="Y2277"/>
      <c r="Z2277"/>
      <c r="AA2277"/>
      <c r="AB2277"/>
      <c r="AC2277"/>
      <c r="AD2277"/>
      <c r="AE2277"/>
      <c r="AF2277"/>
      <c r="AG2277"/>
      <c r="AH2277"/>
      <c r="AI2277"/>
      <c r="AJ2277"/>
      <c r="AK2277"/>
      <c r="AL2277"/>
      <c r="AM2277"/>
      <c r="AN2277"/>
      <c r="AO2277"/>
    </row>
    <row r="2278" spans="1:41" ht="15">
      <c r="A2278"/>
      <c r="B2278"/>
      <c r="C2278" s="137"/>
      <c r="D2278" s="30"/>
      <c r="E2278" s="30"/>
      <c r="F2278" s="10"/>
      <c r="G2278" s="10"/>
      <c r="H2278" s="15"/>
      <c r="I2278" s="15"/>
      <c r="J2278" s="15"/>
      <c r="K2278" s="15"/>
      <c r="L2278" s="15"/>
      <c r="M2278" s="15"/>
      <c r="N2278" s="15"/>
      <c r="O2278" s="15"/>
      <c r="P2278" s="15"/>
      <c r="Q2278" s="71"/>
      <c r="R2278" s="84"/>
      <c r="S2278" s="10"/>
      <c r="T2278" s="10"/>
      <c r="U2278" s="10"/>
      <c r="V2278" s="10"/>
      <c r="W2278" s="138"/>
      <c r="Y2278"/>
      <c r="Z2278"/>
      <c r="AA2278"/>
      <c r="AB2278"/>
      <c r="AC2278"/>
      <c r="AD2278"/>
      <c r="AE2278"/>
      <c r="AF2278"/>
      <c r="AG2278"/>
      <c r="AH2278"/>
      <c r="AI2278"/>
      <c r="AJ2278"/>
      <c r="AK2278"/>
      <c r="AL2278"/>
      <c r="AM2278"/>
      <c r="AN2278"/>
      <c r="AO2278"/>
    </row>
    <row r="2279" spans="1:41" ht="15">
      <c r="A2279"/>
      <c r="B2279"/>
      <c r="C2279" s="137"/>
      <c r="D2279" s="30"/>
      <c r="E2279" s="30"/>
      <c r="F2279" s="10"/>
      <c r="G2279" s="10"/>
      <c r="H2279" s="15"/>
      <c r="I2279" s="15"/>
      <c r="J2279" s="15"/>
      <c r="K2279" s="15"/>
      <c r="L2279" s="15"/>
      <c r="M2279" s="15"/>
      <c r="N2279" s="15"/>
      <c r="O2279" s="15"/>
      <c r="P2279" s="15"/>
      <c r="Q2279" s="71"/>
      <c r="R2279" s="84"/>
      <c r="S2279" s="10"/>
      <c r="T2279" s="10"/>
      <c r="U2279" s="10"/>
      <c r="V2279" s="10"/>
      <c r="W2279" s="138"/>
      <c r="Y2279"/>
      <c r="Z2279"/>
      <c r="AA2279"/>
      <c r="AB2279"/>
      <c r="AC2279"/>
      <c r="AD2279"/>
      <c r="AE2279"/>
      <c r="AF2279"/>
      <c r="AG2279"/>
      <c r="AH2279"/>
      <c r="AI2279"/>
      <c r="AJ2279"/>
      <c r="AK2279"/>
      <c r="AL2279"/>
      <c r="AM2279"/>
      <c r="AN2279"/>
      <c r="AO2279"/>
    </row>
    <row r="2280" spans="1:41" ht="15">
      <c r="A2280"/>
      <c r="B2280"/>
      <c r="C2280" s="137"/>
      <c r="D2280" s="30"/>
      <c r="E2280" s="30"/>
      <c r="F2280" s="10"/>
      <c r="G2280" s="10"/>
      <c r="H2280" s="15"/>
      <c r="I2280" s="15"/>
      <c r="J2280" s="15"/>
      <c r="K2280" s="15"/>
      <c r="L2280" s="15"/>
      <c r="M2280" s="15"/>
      <c r="N2280" s="15"/>
      <c r="O2280" s="15"/>
      <c r="P2280" s="15"/>
      <c r="Q2280" s="71"/>
      <c r="R2280" s="84"/>
      <c r="S2280" s="10"/>
      <c r="T2280" s="10"/>
      <c r="U2280" s="10"/>
      <c r="V2280" s="10"/>
      <c r="W2280" s="138"/>
      <c r="Y2280"/>
      <c r="Z2280"/>
      <c r="AA2280"/>
      <c r="AB2280"/>
      <c r="AC2280"/>
      <c r="AD2280"/>
      <c r="AE2280"/>
      <c r="AF2280"/>
      <c r="AG2280"/>
      <c r="AH2280"/>
      <c r="AI2280"/>
      <c r="AJ2280"/>
      <c r="AK2280"/>
      <c r="AL2280"/>
      <c r="AM2280"/>
      <c r="AN2280"/>
      <c r="AO2280"/>
    </row>
    <row r="2281" spans="1:41" ht="15">
      <c r="A2281"/>
      <c r="B2281"/>
      <c r="C2281" s="137"/>
      <c r="D2281" s="30"/>
      <c r="E2281" s="30"/>
      <c r="F2281" s="10"/>
      <c r="G2281" s="10"/>
      <c r="H2281" s="15"/>
      <c r="I2281" s="15"/>
      <c r="J2281" s="15"/>
      <c r="K2281" s="15"/>
      <c r="L2281" s="15"/>
      <c r="M2281" s="15"/>
      <c r="N2281" s="15"/>
      <c r="O2281" s="15"/>
      <c r="P2281" s="15"/>
      <c r="Q2281" s="71"/>
      <c r="R2281" s="84"/>
      <c r="S2281" s="10"/>
      <c r="T2281" s="10"/>
      <c r="U2281" s="10"/>
      <c r="V2281" s="10"/>
      <c r="W2281" s="138"/>
      <c r="Y2281"/>
      <c r="Z2281"/>
      <c r="AA2281"/>
      <c r="AB2281"/>
      <c r="AC2281"/>
      <c r="AD2281"/>
      <c r="AE2281"/>
      <c r="AF2281"/>
      <c r="AG2281"/>
      <c r="AH2281"/>
      <c r="AI2281"/>
      <c r="AJ2281"/>
      <c r="AK2281"/>
      <c r="AL2281"/>
      <c r="AM2281"/>
      <c r="AN2281"/>
      <c r="AO2281"/>
    </row>
    <row r="2282" spans="1:41" ht="15">
      <c r="A2282"/>
      <c r="B2282"/>
      <c r="C2282" s="137"/>
      <c r="D2282" s="30"/>
      <c r="E2282" s="30"/>
      <c r="F2282" s="10"/>
      <c r="G2282" s="10"/>
      <c r="H2282" s="15"/>
      <c r="I2282" s="15"/>
      <c r="J2282" s="15"/>
      <c r="K2282" s="15"/>
      <c r="L2282" s="15"/>
      <c r="M2282" s="15"/>
      <c r="N2282" s="15"/>
      <c r="O2282" s="15"/>
      <c r="P2282" s="15"/>
      <c r="Q2282" s="71"/>
      <c r="R2282" s="84"/>
      <c r="S2282" s="10"/>
      <c r="T2282" s="10"/>
      <c r="U2282" s="10"/>
      <c r="V2282" s="10"/>
      <c r="W2282" s="138"/>
      <c r="Y2282"/>
      <c r="Z2282"/>
      <c r="AA2282"/>
      <c r="AB2282"/>
      <c r="AC2282"/>
      <c r="AD2282"/>
      <c r="AE2282"/>
      <c r="AF2282"/>
      <c r="AG2282"/>
      <c r="AH2282"/>
      <c r="AI2282"/>
      <c r="AJ2282"/>
      <c r="AK2282"/>
      <c r="AL2282"/>
      <c r="AM2282"/>
      <c r="AN2282"/>
      <c r="AO2282"/>
    </row>
    <row r="2283" spans="1:41" ht="15">
      <c r="A2283"/>
      <c r="B2283"/>
      <c r="C2283" s="137"/>
      <c r="D2283" s="30"/>
      <c r="E2283" s="30"/>
      <c r="F2283" s="10"/>
      <c r="G2283" s="10"/>
      <c r="H2283" s="15"/>
      <c r="I2283" s="15"/>
      <c r="J2283" s="15"/>
      <c r="K2283" s="15"/>
      <c r="L2283" s="15"/>
      <c r="M2283" s="15"/>
      <c r="N2283" s="15"/>
      <c r="O2283" s="15"/>
      <c r="P2283" s="15"/>
      <c r="Q2283" s="71"/>
      <c r="R2283" s="84"/>
      <c r="S2283" s="10"/>
      <c r="T2283" s="10"/>
      <c r="U2283" s="10"/>
      <c r="V2283" s="10"/>
      <c r="W2283" s="138"/>
      <c r="Y2283"/>
      <c r="Z2283"/>
      <c r="AA2283"/>
      <c r="AB2283"/>
      <c r="AC2283"/>
      <c r="AD2283"/>
      <c r="AE2283"/>
      <c r="AF2283"/>
      <c r="AG2283"/>
      <c r="AH2283"/>
      <c r="AI2283"/>
      <c r="AJ2283"/>
      <c r="AK2283"/>
      <c r="AL2283"/>
      <c r="AM2283"/>
      <c r="AN2283"/>
      <c r="AO2283"/>
    </row>
    <row r="2284" spans="1:41" ht="15">
      <c r="A2284"/>
      <c r="B2284"/>
      <c r="C2284" s="137"/>
      <c r="D2284" s="30"/>
      <c r="E2284" s="30"/>
      <c r="F2284" s="10"/>
      <c r="G2284" s="10"/>
      <c r="H2284" s="15"/>
      <c r="I2284" s="15"/>
      <c r="J2284" s="15"/>
      <c r="K2284" s="15"/>
      <c r="L2284" s="15"/>
      <c r="M2284" s="15"/>
      <c r="N2284" s="15"/>
      <c r="O2284" s="15"/>
      <c r="P2284" s="15"/>
      <c r="Q2284" s="71"/>
      <c r="R2284" s="84"/>
      <c r="S2284" s="10"/>
      <c r="T2284" s="10"/>
      <c r="U2284" s="10"/>
      <c r="V2284" s="10"/>
      <c r="W2284" s="138"/>
      <c r="Y2284"/>
      <c r="Z2284"/>
      <c r="AA2284"/>
      <c r="AB2284"/>
      <c r="AC2284"/>
      <c r="AD2284"/>
      <c r="AE2284"/>
      <c r="AF2284"/>
      <c r="AG2284"/>
      <c r="AH2284"/>
      <c r="AI2284"/>
      <c r="AJ2284"/>
      <c r="AK2284"/>
      <c r="AL2284"/>
      <c r="AM2284"/>
      <c r="AN2284"/>
      <c r="AO2284"/>
    </row>
    <row r="2285" spans="1:41" ht="15">
      <c r="A2285"/>
      <c r="B2285"/>
      <c r="C2285" s="137"/>
      <c r="D2285" s="30"/>
      <c r="E2285" s="30"/>
      <c r="F2285" s="10"/>
      <c r="G2285" s="10"/>
      <c r="H2285" s="15"/>
      <c r="I2285" s="15"/>
      <c r="J2285" s="15"/>
      <c r="K2285" s="15"/>
      <c r="L2285" s="15"/>
      <c r="M2285" s="15"/>
      <c r="N2285" s="15"/>
      <c r="O2285" s="15"/>
      <c r="P2285" s="15"/>
      <c r="Q2285" s="71"/>
      <c r="R2285" s="84"/>
      <c r="S2285" s="10"/>
      <c r="T2285" s="10"/>
      <c r="U2285" s="10"/>
      <c r="V2285" s="10"/>
      <c r="W2285" s="138"/>
      <c r="Y2285"/>
      <c r="Z2285"/>
      <c r="AA2285"/>
      <c r="AB2285"/>
      <c r="AC2285"/>
      <c r="AD2285"/>
      <c r="AE2285"/>
      <c r="AF2285"/>
      <c r="AG2285"/>
      <c r="AH2285"/>
      <c r="AI2285"/>
      <c r="AJ2285"/>
      <c r="AK2285"/>
      <c r="AL2285"/>
      <c r="AM2285"/>
      <c r="AN2285"/>
      <c r="AO2285"/>
    </row>
    <row r="2286" spans="1:41" ht="15">
      <c r="A2286"/>
      <c r="B2286"/>
      <c r="C2286" s="137"/>
      <c r="D2286" s="30"/>
      <c r="E2286" s="30"/>
      <c r="F2286" s="10"/>
      <c r="G2286" s="10"/>
      <c r="H2286" s="15"/>
      <c r="I2286" s="15"/>
      <c r="J2286" s="15"/>
      <c r="K2286" s="15"/>
      <c r="L2286" s="15"/>
      <c r="M2286" s="15"/>
      <c r="N2286" s="15"/>
      <c r="O2286" s="15"/>
      <c r="P2286" s="15"/>
      <c r="Q2286" s="71"/>
      <c r="R2286" s="84"/>
      <c r="S2286" s="10"/>
      <c r="T2286" s="10"/>
      <c r="U2286" s="10"/>
      <c r="V2286" s="10"/>
      <c r="W2286" s="138"/>
      <c r="Y2286"/>
      <c r="Z2286"/>
      <c r="AA2286"/>
      <c r="AB2286"/>
      <c r="AC2286"/>
      <c r="AD2286"/>
      <c r="AE2286"/>
      <c r="AF2286"/>
      <c r="AG2286"/>
      <c r="AH2286"/>
      <c r="AI2286"/>
      <c r="AJ2286"/>
      <c r="AK2286"/>
      <c r="AL2286"/>
      <c r="AM2286"/>
      <c r="AN2286"/>
      <c r="AO2286"/>
    </row>
    <row r="2287" spans="1:41" ht="15">
      <c r="A2287"/>
      <c r="B2287"/>
      <c r="C2287" s="137"/>
      <c r="D2287" s="30"/>
      <c r="E2287" s="30"/>
      <c r="F2287" s="10"/>
      <c r="G2287" s="10"/>
      <c r="H2287" s="15"/>
      <c r="I2287" s="15"/>
      <c r="J2287" s="15"/>
      <c r="K2287" s="15"/>
      <c r="L2287" s="15"/>
      <c r="M2287" s="15"/>
      <c r="N2287" s="15"/>
      <c r="O2287" s="15"/>
      <c r="P2287" s="15"/>
      <c r="Q2287" s="71"/>
      <c r="R2287" s="84"/>
      <c r="S2287" s="10"/>
      <c r="T2287" s="10"/>
      <c r="U2287" s="10"/>
      <c r="V2287" s="10"/>
      <c r="W2287" s="138"/>
      <c r="Y2287"/>
      <c r="Z2287"/>
      <c r="AA2287"/>
      <c r="AB2287"/>
      <c r="AC2287"/>
      <c r="AD2287"/>
      <c r="AE2287"/>
      <c r="AF2287"/>
      <c r="AG2287"/>
      <c r="AH2287"/>
      <c r="AI2287"/>
      <c r="AJ2287"/>
      <c r="AK2287"/>
      <c r="AL2287"/>
      <c r="AM2287"/>
      <c r="AN2287"/>
      <c r="AO2287"/>
    </row>
    <row r="2288" spans="1:41" ht="15">
      <c r="A2288"/>
      <c r="B2288"/>
      <c r="C2288" s="137"/>
      <c r="D2288" s="30"/>
      <c r="E2288" s="30"/>
      <c r="F2288" s="10"/>
      <c r="G2288" s="10"/>
      <c r="H2288" s="15"/>
      <c r="I2288" s="15"/>
      <c r="J2288" s="15"/>
      <c r="K2288" s="15"/>
      <c r="L2288" s="15"/>
      <c r="M2288" s="15"/>
      <c r="N2288" s="15"/>
      <c r="O2288" s="15"/>
      <c r="P2288" s="15"/>
      <c r="Q2288" s="71"/>
      <c r="R2288" s="84"/>
      <c r="S2288" s="10"/>
      <c r="T2288" s="10"/>
      <c r="U2288" s="10"/>
      <c r="V2288" s="10"/>
      <c r="W2288" s="138"/>
      <c r="Y2288"/>
      <c r="Z2288"/>
      <c r="AA2288"/>
      <c r="AB2288"/>
      <c r="AC2288"/>
      <c r="AD2288"/>
      <c r="AE2288"/>
      <c r="AF2288"/>
      <c r="AG2288"/>
      <c r="AH2288"/>
      <c r="AI2288"/>
      <c r="AJ2288"/>
      <c r="AK2288"/>
      <c r="AL2288"/>
      <c r="AM2288"/>
      <c r="AN2288"/>
      <c r="AO2288"/>
    </row>
    <row r="2289" spans="1:41" ht="15">
      <c r="A2289"/>
      <c r="B2289"/>
      <c r="C2289" s="137"/>
      <c r="D2289" s="30"/>
      <c r="E2289" s="30"/>
      <c r="F2289" s="10"/>
      <c r="G2289" s="10"/>
      <c r="H2289" s="15"/>
      <c r="I2289" s="15"/>
      <c r="J2289" s="15"/>
      <c r="K2289" s="15"/>
      <c r="L2289" s="15"/>
      <c r="M2289" s="15"/>
      <c r="N2289" s="15"/>
      <c r="O2289" s="15"/>
      <c r="P2289" s="15"/>
      <c r="Q2289" s="71"/>
      <c r="R2289" s="84"/>
      <c r="S2289" s="10"/>
      <c r="T2289" s="10"/>
      <c r="U2289" s="10"/>
      <c r="V2289" s="10"/>
      <c r="W2289" s="138"/>
      <c r="Y2289"/>
      <c r="Z2289"/>
      <c r="AA2289"/>
      <c r="AB2289"/>
      <c r="AC2289"/>
      <c r="AD2289"/>
      <c r="AE2289"/>
      <c r="AF2289"/>
      <c r="AG2289"/>
      <c r="AH2289"/>
      <c r="AI2289"/>
      <c r="AJ2289"/>
      <c r="AK2289"/>
      <c r="AL2289"/>
      <c r="AM2289"/>
      <c r="AN2289"/>
      <c r="AO2289"/>
    </row>
    <row r="2290" spans="1:41" ht="15">
      <c r="A2290"/>
      <c r="B2290"/>
      <c r="C2290" s="137"/>
      <c r="D2290" s="30"/>
      <c r="E2290" s="30"/>
      <c r="F2290" s="10"/>
      <c r="G2290" s="10"/>
      <c r="H2290" s="15"/>
      <c r="I2290" s="15"/>
      <c r="J2290" s="15"/>
      <c r="K2290" s="15"/>
      <c r="L2290" s="15"/>
      <c r="M2290" s="15"/>
      <c r="N2290" s="15"/>
      <c r="O2290" s="15"/>
      <c r="P2290" s="15"/>
      <c r="Q2290" s="71"/>
      <c r="R2290" s="84"/>
      <c r="S2290" s="10"/>
      <c r="T2290" s="10"/>
      <c r="U2290" s="10"/>
      <c r="V2290" s="10"/>
      <c r="W2290" s="138"/>
      <c r="Y2290"/>
      <c r="Z2290"/>
      <c r="AA2290"/>
      <c r="AB2290"/>
      <c r="AC2290"/>
      <c r="AD2290"/>
      <c r="AE2290"/>
      <c r="AF2290"/>
      <c r="AG2290"/>
      <c r="AH2290"/>
      <c r="AI2290"/>
      <c r="AJ2290"/>
      <c r="AK2290"/>
      <c r="AL2290"/>
      <c r="AM2290"/>
      <c r="AN2290"/>
      <c r="AO2290"/>
    </row>
    <row r="2291" spans="1:41" ht="15">
      <c r="A2291"/>
      <c r="B2291"/>
      <c r="C2291" s="137"/>
      <c r="D2291" s="30"/>
      <c r="E2291" s="30"/>
      <c r="F2291" s="10"/>
      <c r="G2291" s="10"/>
      <c r="H2291" s="15"/>
      <c r="I2291" s="15"/>
      <c r="J2291" s="15"/>
      <c r="K2291" s="15"/>
      <c r="L2291" s="15"/>
      <c r="M2291" s="15"/>
      <c r="N2291" s="15"/>
      <c r="O2291" s="15"/>
      <c r="P2291" s="15"/>
      <c r="Q2291" s="71"/>
      <c r="R2291" s="84"/>
      <c r="S2291" s="10"/>
      <c r="T2291" s="10"/>
      <c r="U2291" s="10"/>
      <c r="V2291" s="10"/>
      <c r="W2291" s="138"/>
      <c r="Y2291"/>
      <c r="Z2291"/>
      <c r="AA2291"/>
      <c r="AB2291"/>
      <c r="AC2291"/>
      <c r="AD2291"/>
      <c r="AE2291"/>
      <c r="AF2291"/>
      <c r="AG2291"/>
      <c r="AH2291"/>
      <c r="AI2291"/>
      <c r="AJ2291"/>
      <c r="AK2291"/>
      <c r="AL2291"/>
      <c r="AM2291"/>
      <c r="AN2291"/>
      <c r="AO2291"/>
    </row>
    <row r="2292" spans="1:41" ht="15">
      <c r="A2292"/>
      <c r="B2292"/>
      <c r="C2292" s="137"/>
      <c r="D2292" s="30"/>
      <c r="E2292" s="30"/>
      <c r="F2292" s="10"/>
      <c r="G2292" s="10"/>
      <c r="H2292" s="15"/>
      <c r="I2292" s="15"/>
      <c r="J2292" s="15"/>
      <c r="K2292" s="15"/>
      <c r="L2292" s="15"/>
      <c r="M2292" s="15"/>
      <c r="N2292" s="15"/>
      <c r="O2292" s="15"/>
      <c r="P2292" s="15"/>
      <c r="Q2292" s="71"/>
      <c r="R2292" s="84"/>
      <c r="S2292" s="10"/>
      <c r="T2292" s="10"/>
      <c r="U2292" s="10"/>
      <c r="V2292" s="10"/>
      <c r="W2292" s="138"/>
      <c r="Y2292"/>
      <c r="Z2292"/>
      <c r="AA2292"/>
      <c r="AB2292"/>
      <c r="AC2292"/>
      <c r="AD2292"/>
      <c r="AE2292"/>
      <c r="AF2292"/>
      <c r="AG2292"/>
      <c r="AH2292"/>
      <c r="AI2292"/>
      <c r="AJ2292"/>
      <c r="AK2292"/>
      <c r="AL2292"/>
      <c r="AM2292"/>
      <c r="AN2292"/>
      <c r="AO2292"/>
    </row>
    <row r="2293" spans="1:41" ht="15">
      <c r="A2293"/>
      <c r="B2293"/>
      <c r="C2293" s="137"/>
      <c r="D2293" s="30"/>
      <c r="E2293" s="30"/>
      <c r="F2293" s="10"/>
      <c r="G2293" s="10"/>
      <c r="H2293" s="15"/>
      <c r="I2293" s="15"/>
      <c r="J2293" s="15"/>
      <c r="K2293" s="15"/>
      <c r="L2293" s="15"/>
      <c r="M2293" s="15"/>
      <c r="N2293" s="15"/>
      <c r="O2293" s="15"/>
      <c r="P2293" s="15"/>
      <c r="Q2293" s="71"/>
      <c r="R2293" s="84"/>
      <c r="S2293" s="10"/>
      <c r="T2293" s="10"/>
      <c r="U2293" s="10"/>
      <c r="V2293" s="10"/>
      <c r="W2293" s="138"/>
      <c r="Y2293"/>
      <c r="Z2293"/>
      <c r="AA2293"/>
      <c r="AB2293"/>
      <c r="AC2293"/>
      <c r="AD2293"/>
      <c r="AE2293"/>
      <c r="AF2293"/>
      <c r="AG2293"/>
      <c r="AH2293"/>
      <c r="AI2293"/>
      <c r="AJ2293"/>
      <c r="AK2293"/>
      <c r="AL2293"/>
      <c r="AM2293"/>
      <c r="AN2293"/>
      <c r="AO2293"/>
    </row>
    <row r="2294" spans="1:41" ht="15">
      <c r="A2294"/>
      <c r="B2294"/>
      <c r="C2294" s="137"/>
      <c r="D2294" s="30"/>
      <c r="E2294" s="30"/>
      <c r="F2294" s="10"/>
      <c r="G2294" s="10"/>
      <c r="H2294" s="15"/>
      <c r="I2294" s="15"/>
      <c r="J2294" s="15"/>
      <c r="K2294" s="15"/>
      <c r="L2294" s="15"/>
      <c r="M2294" s="15"/>
      <c r="N2294" s="15"/>
      <c r="O2294" s="15"/>
      <c r="P2294" s="15"/>
      <c r="Q2294" s="71"/>
      <c r="R2294" s="84"/>
      <c r="S2294" s="10"/>
      <c r="T2294" s="10"/>
      <c r="U2294" s="10"/>
      <c r="V2294" s="10"/>
      <c r="W2294" s="138"/>
      <c r="Y2294"/>
      <c r="Z2294"/>
      <c r="AA2294"/>
      <c r="AB2294"/>
      <c r="AC2294"/>
      <c r="AD2294"/>
      <c r="AE2294"/>
      <c r="AF2294"/>
      <c r="AG2294"/>
      <c r="AH2294"/>
      <c r="AI2294"/>
      <c r="AJ2294"/>
      <c r="AK2294"/>
      <c r="AL2294"/>
      <c r="AM2294"/>
      <c r="AN2294"/>
      <c r="AO2294"/>
    </row>
    <row r="2295" spans="1:41" ht="15">
      <c r="A2295"/>
      <c r="B2295"/>
      <c r="C2295" s="137"/>
      <c r="D2295" s="30"/>
      <c r="E2295" s="30"/>
      <c r="F2295" s="10"/>
      <c r="G2295" s="10"/>
      <c r="H2295" s="15"/>
      <c r="I2295" s="15"/>
      <c r="J2295" s="15"/>
      <c r="K2295" s="15"/>
      <c r="L2295" s="15"/>
      <c r="M2295" s="15"/>
      <c r="N2295" s="15"/>
      <c r="O2295" s="15"/>
      <c r="P2295" s="15"/>
      <c r="Q2295" s="71"/>
      <c r="R2295" s="84"/>
      <c r="S2295" s="10"/>
      <c r="T2295" s="10"/>
      <c r="U2295" s="10"/>
      <c r="V2295" s="10"/>
      <c r="W2295" s="138"/>
      <c r="Y2295"/>
      <c r="Z2295"/>
      <c r="AA2295"/>
      <c r="AB2295"/>
      <c r="AC2295"/>
      <c r="AD2295"/>
      <c r="AE2295"/>
      <c r="AF2295"/>
      <c r="AG2295"/>
      <c r="AH2295"/>
      <c r="AI2295"/>
      <c r="AJ2295"/>
      <c r="AK2295"/>
      <c r="AL2295"/>
      <c r="AM2295"/>
      <c r="AN2295"/>
      <c r="AO2295"/>
    </row>
    <row r="2296" spans="1:41" ht="15">
      <c r="A2296"/>
      <c r="B2296"/>
      <c r="C2296" s="137"/>
      <c r="D2296" s="30"/>
      <c r="E2296" s="30"/>
      <c r="F2296" s="10"/>
      <c r="G2296" s="10"/>
      <c r="H2296" s="15"/>
      <c r="I2296" s="15"/>
      <c r="J2296" s="15"/>
      <c r="K2296" s="15"/>
      <c r="L2296" s="15"/>
      <c r="M2296" s="15"/>
      <c r="N2296" s="15"/>
      <c r="O2296" s="15"/>
      <c r="P2296" s="15"/>
      <c r="Q2296" s="71"/>
      <c r="R2296" s="84"/>
      <c r="S2296" s="10"/>
      <c r="T2296" s="10"/>
      <c r="U2296" s="10"/>
      <c r="V2296" s="10"/>
      <c r="W2296" s="138"/>
      <c r="Y2296"/>
      <c r="Z2296"/>
      <c r="AA2296"/>
      <c r="AB2296"/>
      <c r="AC2296"/>
      <c r="AD2296"/>
      <c r="AE2296"/>
      <c r="AF2296"/>
      <c r="AG2296"/>
      <c r="AH2296"/>
      <c r="AI2296"/>
      <c r="AJ2296"/>
      <c r="AK2296"/>
      <c r="AL2296"/>
      <c r="AM2296"/>
      <c r="AN2296"/>
      <c r="AO2296"/>
    </row>
    <row r="2297" spans="1:41" ht="15">
      <c r="A2297"/>
      <c r="B2297"/>
      <c r="C2297" s="137"/>
      <c r="D2297" s="30"/>
      <c r="E2297" s="30"/>
      <c r="F2297" s="10"/>
      <c r="G2297" s="10"/>
      <c r="H2297" s="15"/>
      <c r="I2297" s="15"/>
      <c r="J2297" s="15"/>
      <c r="K2297" s="15"/>
      <c r="L2297" s="15"/>
      <c r="M2297" s="15"/>
      <c r="N2297" s="15"/>
      <c r="O2297" s="15"/>
      <c r="P2297" s="15"/>
      <c r="Q2297" s="71"/>
      <c r="R2297" s="84"/>
      <c r="S2297" s="10"/>
      <c r="T2297" s="10"/>
      <c r="U2297" s="10"/>
      <c r="V2297" s="10"/>
      <c r="W2297" s="138"/>
      <c r="Y2297"/>
      <c r="Z2297"/>
      <c r="AA2297"/>
      <c r="AB2297"/>
      <c r="AC2297"/>
      <c r="AD2297"/>
      <c r="AE2297"/>
      <c r="AF2297"/>
      <c r="AG2297"/>
      <c r="AH2297"/>
      <c r="AI2297"/>
      <c r="AJ2297"/>
      <c r="AK2297"/>
      <c r="AL2297"/>
      <c r="AM2297"/>
      <c r="AN2297"/>
      <c r="AO2297"/>
    </row>
    <row r="2298" spans="1:41" ht="15">
      <c r="A2298"/>
      <c r="B2298"/>
      <c r="C2298" s="137"/>
      <c r="D2298" s="30"/>
      <c r="E2298" s="30"/>
      <c r="F2298" s="10"/>
      <c r="G2298" s="10"/>
      <c r="H2298" s="15"/>
      <c r="I2298" s="15"/>
      <c r="J2298" s="15"/>
      <c r="K2298" s="15"/>
      <c r="L2298" s="15"/>
      <c r="M2298" s="15"/>
      <c r="N2298" s="15"/>
      <c r="O2298" s="15"/>
      <c r="P2298" s="15"/>
      <c r="Q2298" s="71"/>
      <c r="R2298" s="84"/>
      <c r="S2298" s="10"/>
      <c r="T2298" s="10"/>
      <c r="U2298" s="10"/>
      <c r="V2298" s="10"/>
      <c r="W2298" s="138"/>
      <c r="Y2298"/>
      <c r="Z2298"/>
      <c r="AA2298"/>
      <c r="AB2298"/>
      <c r="AC2298"/>
      <c r="AD2298"/>
      <c r="AE2298"/>
      <c r="AF2298"/>
      <c r="AG2298"/>
      <c r="AH2298"/>
      <c r="AI2298"/>
      <c r="AJ2298"/>
      <c r="AK2298"/>
      <c r="AL2298"/>
      <c r="AM2298"/>
      <c r="AN2298"/>
      <c r="AO2298"/>
    </row>
    <row r="2299" spans="1:41" ht="15">
      <c r="A2299"/>
      <c r="B2299"/>
      <c r="C2299" s="137"/>
      <c r="D2299" s="30"/>
      <c r="E2299" s="30"/>
      <c r="F2299" s="10"/>
      <c r="G2299" s="10"/>
      <c r="H2299" s="15"/>
      <c r="I2299" s="15"/>
      <c r="J2299" s="15"/>
      <c r="K2299" s="15"/>
      <c r="L2299" s="15"/>
      <c r="M2299" s="15"/>
      <c r="N2299" s="15"/>
      <c r="O2299" s="15"/>
      <c r="P2299" s="15"/>
      <c r="Q2299" s="71"/>
      <c r="R2299" s="84"/>
      <c r="S2299" s="10"/>
      <c r="T2299" s="10"/>
      <c r="U2299" s="10"/>
      <c r="V2299" s="10"/>
      <c r="W2299" s="138"/>
      <c r="Y2299"/>
      <c r="Z2299"/>
      <c r="AA2299"/>
      <c r="AB2299"/>
      <c r="AC2299"/>
      <c r="AD2299"/>
      <c r="AE2299"/>
      <c r="AF2299"/>
      <c r="AG2299"/>
      <c r="AH2299"/>
      <c r="AI2299"/>
      <c r="AJ2299"/>
      <c r="AK2299"/>
      <c r="AL2299"/>
      <c r="AM2299"/>
      <c r="AN2299"/>
      <c r="AO2299"/>
    </row>
    <row r="2300" spans="1:41" ht="15">
      <c r="A2300"/>
      <c r="B2300"/>
      <c r="C2300" s="137"/>
      <c r="D2300" s="30"/>
      <c r="E2300" s="30"/>
      <c r="F2300" s="10"/>
      <c r="G2300" s="10"/>
      <c r="H2300" s="15"/>
      <c r="I2300" s="15"/>
      <c r="J2300" s="15"/>
      <c r="K2300" s="15"/>
      <c r="L2300" s="15"/>
      <c r="M2300" s="15"/>
      <c r="N2300" s="15"/>
      <c r="O2300" s="15"/>
      <c r="P2300" s="15"/>
      <c r="Q2300" s="71"/>
      <c r="R2300" s="84"/>
      <c r="S2300" s="10"/>
      <c r="T2300" s="10"/>
      <c r="U2300" s="10"/>
      <c r="V2300" s="10"/>
      <c r="W2300" s="138"/>
      <c r="Y2300"/>
      <c r="Z2300"/>
      <c r="AA2300"/>
      <c r="AB2300"/>
      <c r="AC2300"/>
      <c r="AD2300"/>
      <c r="AE2300"/>
      <c r="AF2300"/>
      <c r="AG2300"/>
      <c r="AH2300"/>
      <c r="AI2300"/>
      <c r="AJ2300"/>
      <c r="AK2300"/>
      <c r="AL2300"/>
      <c r="AM2300"/>
      <c r="AN2300"/>
      <c r="AO2300"/>
    </row>
    <row r="2301" spans="1:41" ht="15">
      <c r="A2301"/>
      <c r="B2301"/>
      <c r="C2301" s="137"/>
      <c r="D2301" s="30"/>
      <c r="E2301" s="30"/>
      <c r="F2301" s="10"/>
      <c r="G2301" s="10"/>
      <c r="H2301" s="15"/>
      <c r="I2301" s="15"/>
      <c r="J2301" s="15"/>
      <c r="K2301" s="15"/>
      <c r="L2301" s="15"/>
      <c r="M2301" s="15"/>
      <c r="N2301" s="15"/>
      <c r="O2301" s="15"/>
      <c r="P2301" s="15"/>
      <c r="Q2301" s="71"/>
      <c r="R2301" s="84"/>
      <c r="S2301" s="10"/>
      <c r="T2301" s="10"/>
      <c r="U2301" s="10"/>
      <c r="V2301" s="10"/>
      <c r="W2301" s="138"/>
      <c r="Y2301"/>
      <c r="Z2301"/>
      <c r="AA2301"/>
      <c r="AB2301"/>
      <c r="AC2301"/>
      <c r="AD2301"/>
      <c r="AE2301"/>
      <c r="AF2301"/>
      <c r="AG2301"/>
      <c r="AH2301"/>
      <c r="AI2301"/>
      <c r="AJ2301"/>
      <c r="AK2301"/>
      <c r="AL2301"/>
      <c r="AM2301"/>
      <c r="AN2301"/>
      <c r="AO2301"/>
    </row>
    <row r="2302" spans="1:41" ht="15">
      <c r="A2302"/>
      <c r="B2302"/>
      <c r="C2302" s="137"/>
      <c r="D2302" s="30"/>
      <c r="E2302" s="30"/>
      <c r="F2302" s="10"/>
      <c r="G2302" s="10"/>
      <c r="H2302" s="15"/>
      <c r="I2302" s="15"/>
      <c r="J2302" s="15"/>
      <c r="K2302" s="15"/>
      <c r="L2302" s="15"/>
      <c r="M2302" s="15"/>
      <c r="N2302" s="15"/>
      <c r="O2302" s="15"/>
      <c r="P2302" s="15"/>
      <c r="Q2302" s="71"/>
      <c r="R2302" s="84"/>
      <c r="S2302" s="10"/>
      <c r="T2302" s="10"/>
      <c r="U2302" s="10"/>
      <c r="V2302" s="10"/>
      <c r="W2302" s="138"/>
      <c r="Y2302"/>
      <c r="Z2302"/>
      <c r="AA2302"/>
      <c r="AB2302"/>
      <c r="AC2302"/>
      <c r="AD2302"/>
      <c r="AE2302"/>
      <c r="AF2302"/>
      <c r="AG2302"/>
      <c r="AH2302"/>
      <c r="AI2302"/>
      <c r="AJ2302"/>
      <c r="AK2302"/>
      <c r="AL2302"/>
      <c r="AM2302"/>
      <c r="AN2302"/>
      <c r="AO2302"/>
    </row>
    <row r="2303" spans="1:41" ht="15">
      <c r="A2303"/>
      <c r="B2303"/>
      <c r="C2303" s="137"/>
      <c r="D2303" s="30"/>
      <c r="E2303" s="30"/>
      <c r="F2303" s="10"/>
      <c r="G2303" s="10"/>
      <c r="H2303" s="15"/>
      <c r="I2303" s="15"/>
      <c r="J2303" s="15"/>
      <c r="K2303" s="15"/>
      <c r="L2303" s="15"/>
      <c r="M2303" s="15"/>
      <c r="N2303" s="15"/>
      <c r="O2303" s="15"/>
      <c r="P2303" s="15"/>
      <c r="Q2303" s="71"/>
      <c r="R2303" s="84"/>
      <c r="S2303" s="10"/>
      <c r="T2303" s="10"/>
      <c r="U2303" s="10"/>
      <c r="V2303" s="10"/>
      <c r="W2303" s="138"/>
      <c r="Y2303"/>
      <c r="Z2303"/>
      <c r="AA2303"/>
      <c r="AB2303"/>
      <c r="AC2303"/>
      <c r="AD2303"/>
      <c r="AE2303"/>
      <c r="AF2303"/>
      <c r="AG2303"/>
      <c r="AH2303"/>
      <c r="AI2303"/>
      <c r="AJ2303"/>
      <c r="AK2303"/>
      <c r="AL2303"/>
      <c r="AM2303"/>
      <c r="AN2303"/>
      <c r="AO2303"/>
    </row>
    <row r="2304" spans="1:41" ht="15">
      <c r="A2304"/>
      <c r="B2304"/>
      <c r="C2304" s="137"/>
      <c r="D2304" s="30"/>
      <c r="E2304" s="30"/>
      <c r="F2304" s="10"/>
      <c r="G2304" s="10"/>
      <c r="H2304" s="15"/>
      <c r="I2304" s="15"/>
      <c r="J2304" s="15"/>
      <c r="K2304" s="15"/>
      <c r="L2304" s="15"/>
      <c r="M2304" s="15"/>
      <c r="N2304" s="15"/>
      <c r="O2304" s="15"/>
      <c r="P2304" s="15"/>
      <c r="Q2304" s="71"/>
      <c r="R2304" s="84"/>
      <c r="S2304" s="10"/>
      <c r="T2304" s="10"/>
      <c r="U2304" s="10"/>
      <c r="V2304" s="10"/>
      <c r="W2304" s="138"/>
      <c r="Y2304"/>
      <c r="Z2304"/>
      <c r="AA2304"/>
      <c r="AB2304"/>
      <c r="AC2304"/>
      <c r="AD2304"/>
      <c r="AE2304"/>
      <c r="AF2304"/>
      <c r="AG2304"/>
      <c r="AH2304"/>
      <c r="AI2304"/>
      <c r="AJ2304"/>
      <c r="AK2304"/>
      <c r="AL2304"/>
      <c r="AM2304"/>
      <c r="AN2304"/>
      <c r="AO2304"/>
    </row>
    <row r="2305" spans="1:41" ht="15">
      <c r="A2305"/>
      <c r="B2305"/>
      <c r="C2305" s="137"/>
      <c r="D2305" s="30"/>
      <c r="E2305" s="30"/>
      <c r="F2305" s="10"/>
      <c r="G2305" s="10"/>
      <c r="H2305" s="15"/>
      <c r="I2305" s="15"/>
      <c r="J2305" s="15"/>
      <c r="K2305" s="15"/>
      <c r="L2305" s="15"/>
      <c r="M2305" s="15"/>
      <c r="N2305" s="15"/>
      <c r="O2305" s="15"/>
      <c r="P2305" s="15"/>
      <c r="Q2305" s="71"/>
      <c r="R2305" s="84"/>
      <c r="S2305" s="10"/>
      <c r="T2305" s="10"/>
      <c r="U2305" s="10"/>
      <c r="V2305" s="10"/>
      <c r="W2305" s="138"/>
      <c r="Y2305"/>
      <c r="Z2305"/>
      <c r="AA2305"/>
      <c r="AB2305"/>
      <c r="AC2305"/>
      <c r="AD2305"/>
      <c r="AE2305"/>
      <c r="AF2305"/>
      <c r="AG2305"/>
      <c r="AH2305"/>
      <c r="AI2305"/>
      <c r="AJ2305"/>
      <c r="AK2305"/>
      <c r="AL2305"/>
      <c r="AM2305"/>
      <c r="AN2305"/>
      <c r="AO2305"/>
    </row>
    <row r="2306" spans="1:41" ht="15">
      <c r="A2306"/>
      <c r="B2306"/>
      <c r="C2306" s="137"/>
      <c r="D2306" s="30"/>
      <c r="E2306" s="30"/>
      <c r="F2306" s="10"/>
      <c r="G2306" s="10"/>
      <c r="H2306" s="15"/>
      <c r="I2306" s="15"/>
      <c r="J2306" s="15"/>
      <c r="K2306" s="15"/>
      <c r="L2306" s="15"/>
      <c r="M2306" s="15"/>
      <c r="N2306" s="15"/>
      <c r="O2306" s="15"/>
      <c r="P2306" s="15"/>
      <c r="Q2306" s="71"/>
      <c r="R2306" s="84"/>
      <c r="S2306" s="10"/>
      <c r="T2306" s="10"/>
      <c r="U2306" s="10"/>
      <c r="V2306" s="10"/>
      <c r="W2306" s="138"/>
      <c r="Y2306"/>
      <c r="Z2306"/>
      <c r="AA2306"/>
      <c r="AB2306"/>
      <c r="AC2306"/>
      <c r="AD2306"/>
      <c r="AE2306"/>
      <c r="AF2306"/>
      <c r="AG2306"/>
      <c r="AH2306"/>
      <c r="AI2306"/>
      <c r="AJ2306"/>
      <c r="AK2306"/>
      <c r="AL2306"/>
      <c r="AM2306"/>
      <c r="AN2306"/>
      <c r="AO2306"/>
    </row>
    <row r="2307" spans="1:41" ht="15">
      <c r="A2307"/>
      <c r="B2307"/>
      <c r="C2307" s="137"/>
      <c r="D2307" s="30"/>
      <c r="E2307" s="30"/>
      <c r="F2307" s="10"/>
      <c r="G2307" s="10"/>
      <c r="H2307" s="15"/>
      <c r="I2307" s="15"/>
      <c r="J2307" s="15"/>
      <c r="K2307" s="15"/>
      <c r="L2307" s="15"/>
      <c r="M2307" s="15"/>
      <c r="N2307" s="15"/>
      <c r="O2307" s="15"/>
      <c r="P2307" s="15"/>
      <c r="Q2307" s="71"/>
      <c r="R2307" s="84"/>
      <c r="S2307" s="10"/>
      <c r="T2307" s="10"/>
      <c r="U2307" s="10"/>
      <c r="V2307" s="10"/>
      <c r="W2307" s="138"/>
      <c r="Y2307"/>
      <c r="Z2307"/>
      <c r="AA2307"/>
      <c r="AB2307"/>
      <c r="AC2307"/>
      <c r="AD2307"/>
      <c r="AE2307"/>
      <c r="AF2307"/>
      <c r="AG2307"/>
      <c r="AH2307"/>
      <c r="AI2307"/>
      <c r="AJ2307"/>
      <c r="AK2307"/>
      <c r="AL2307"/>
      <c r="AM2307"/>
      <c r="AN2307"/>
      <c r="AO2307"/>
    </row>
    <row r="2308" spans="1:41" ht="15">
      <c r="A2308"/>
      <c r="B2308"/>
      <c r="C2308" s="137"/>
      <c r="D2308" s="30"/>
      <c r="E2308" s="30"/>
      <c r="F2308" s="10"/>
      <c r="G2308" s="10"/>
      <c r="H2308" s="15"/>
      <c r="I2308" s="15"/>
      <c r="J2308" s="15"/>
      <c r="K2308" s="15"/>
      <c r="L2308" s="15"/>
      <c r="M2308" s="15"/>
      <c r="N2308" s="15"/>
      <c r="O2308" s="15"/>
      <c r="P2308" s="15"/>
      <c r="Q2308" s="71"/>
      <c r="R2308" s="84"/>
      <c r="S2308" s="10"/>
      <c r="T2308" s="10"/>
      <c r="U2308" s="10"/>
      <c r="V2308" s="10"/>
      <c r="W2308" s="138"/>
      <c r="Y2308"/>
      <c r="Z2308"/>
      <c r="AA2308"/>
      <c r="AB2308"/>
      <c r="AC2308"/>
      <c r="AD2308"/>
      <c r="AE2308"/>
      <c r="AF2308"/>
      <c r="AG2308"/>
      <c r="AH2308"/>
      <c r="AI2308"/>
      <c r="AJ2308"/>
      <c r="AK2308"/>
      <c r="AL2308"/>
      <c r="AM2308"/>
      <c r="AN2308"/>
      <c r="AO2308"/>
    </row>
    <row r="2309" spans="1:41" ht="15">
      <c r="A2309"/>
      <c r="B2309"/>
      <c r="C2309" s="137"/>
      <c r="D2309" s="30"/>
      <c r="E2309" s="30"/>
      <c r="F2309" s="10"/>
      <c r="G2309" s="10"/>
      <c r="H2309" s="15"/>
      <c r="I2309" s="15"/>
      <c r="J2309" s="15"/>
      <c r="K2309" s="15"/>
      <c r="L2309" s="15"/>
      <c r="M2309" s="15"/>
      <c r="N2309" s="15"/>
      <c r="O2309" s="15"/>
      <c r="P2309" s="15"/>
      <c r="Q2309" s="71"/>
      <c r="R2309" s="84"/>
      <c r="S2309" s="10"/>
      <c r="T2309" s="10"/>
      <c r="U2309" s="10"/>
      <c r="V2309" s="10"/>
      <c r="W2309" s="138"/>
      <c r="Y2309"/>
      <c r="Z2309"/>
      <c r="AA2309"/>
      <c r="AB2309"/>
      <c r="AC2309"/>
      <c r="AD2309"/>
      <c r="AE2309"/>
      <c r="AF2309"/>
      <c r="AG2309"/>
      <c r="AH2309"/>
      <c r="AI2309"/>
      <c r="AJ2309"/>
      <c r="AK2309"/>
      <c r="AL2309"/>
      <c r="AM2309"/>
      <c r="AN2309"/>
      <c r="AO2309"/>
    </row>
    <row r="2310" spans="1:41" ht="15">
      <c r="A2310"/>
      <c r="B2310"/>
      <c r="C2310" s="137"/>
      <c r="D2310" s="30"/>
      <c r="E2310" s="30"/>
      <c r="F2310" s="10"/>
      <c r="G2310" s="10"/>
      <c r="H2310" s="15"/>
      <c r="I2310" s="15"/>
      <c r="J2310" s="15"/>
      <c r="K2310" s="15"/>
      <c r="L2310" s="15"/>
      <c r="M2310" s="15"/>
      <c r="N2310" s="15"/>
      <c r="O2310" s="15"/>
      <c r="P2310" s="15"/>
      <c r="Q2310" s="71"/>
      <c r="R2310" s="84"/>
      <c r="S2310" s="10"/>
      <c r="T2310" s="10"/>
      <c r="U2310" s="10"/>
      <c r="V2310" s="10"/>
      <c r="W2310" s="138"/>
      <c r="Y2310"/>
      <c r="Z2310"/>
      <c r="AA2310"/>
      <c r="AB2310"/>
      <c r="AC2310"/>
      <c r="AD2310"/>
      <c r="AE2310"/>
      <c r="AF2310"/>
      <c r="AG2310"/>
      <c r="AH2310"/>
      <c r="AI2310"/>
      <c r="AJ2310"/>
      <c r="AK2310"/>
      <c r="AL2310"/>
      <c r="AM2310"/>
      <c r="AN2310"/>
      <c r="AO2310"/>
    </row>
    <row r="2311" spans="1:41" ht="15">
      <c r="A2311"/>
      <c r="B2311"/>
      <c r="C2311" s="137"/>
      <c r="D2311" s="30"/>
      <c r="E2311" s="30"/>
      <c r="F2311" s="10"/>
      <c r="G2311" s="10"/>
      <c r="H2311" s="15"/>
      <c r="I2311" s="15"/>
      <c r="J2311" s="15"/>
      <c r="K2311" s="15"/>
      <c r="L2311" s="15"/>
      <c r="M2311" s="15"/>
      <c r="N2311" s="15"/>
      <c r="O2311" s="15"/>
      <c r="P2311" s="15"/>
      <c r="Q2311" s="71"/>
      <c r="R2311" s="84"/>
      <c r="S2311" s="10"/>
      <c r="T2311" s="10"/>
      <c r="U2311" s="10"/>
      <c r="V2311" s="10"/>
      <c r="W2311" s="138"/>
      <c r="Y2311"/>
      <c r="Z2311"/>
      <c r="AA2311"/>
      <c r="AB2311"/>
      <c r="AC2311"/>
      <c r="AD2311"/>
      <c r="AE2311"/>
      <c r="AF2311"/>
      <c r="AG2311"/>
      <c r="AH2311"/>
      <c r="AI2311"/>
      <c r="AJ2311"/>
      <c r="AK2311"/>
      <c r="AL2311"/>
      <c r="AM2311"/>
      <c r="AN2311"/>
      <c r="AO2311"/>
    </row>
    <row r="2312" spans="1:41" ht="15">
      <c r="A2312"/>
      <c r="B2312"/>
      <c r="C2312" s="137"/>
      <c r="D2312" s="30"/>
      <c r="E2312" s="30"/>
      <c r="F2312" s="10"/>
      <c r="G2312" s="10"/>
      <c r="H2312" s="15"/>
      <c r="I2312" s="15"/>
      <c r="J2312" s="15"/>
      <c r="K2312" s="15"/>
      <c r="L2312" s="15"/>
      <c r="M2312" s="15"/>
      <c r="N2312" s="15"/>
      <c r="O2312" s="15"/>
      <c r="P2312" s="15"/>
      <c r="Q2312" s="71"/>
      <c r="R2312" s="84"/>
      <c r="S2312" s="10"/>
      <c r="T2312" s="10"/>
      <c r="U2312" s="10"/>
      <c r="V2312" s="10"/>
      <c r="W2312" s="138"/>
      <c r="Y2312"/>
      <c r="Z2312"/>
      <c r="AA2312"/>
      <c r="AB2312"/>
      <c r="AC2312"/>
      <c r="AD2312"/>
      <c r="AE2312"/>
      <c r="AF2312"/>
      <c r="AG2312"/>
      <c r="AH2312"/>
      <c r="AI2312"/>
      <c r="AJ2312"/>
      <c r="AK2312"/>
      <c r="AL2312"/>
      <c r="AM2312"/>
      <c r="AN2312"/>
      <c r="AO2312"/>
    </row>
    <row r="2313" spans="1:41" ht="15">
      <c r="A2313"/>
      <c r="B2313"/>
      <c r="C2313" s="137"/>
      <c r="D2313" s="30"/>
      <c r="E2313" s="30"/>
      <c r="F2313" s="10"/>
      <c r="G2313" s="10"/>
      <c r="H2313" s="15"/>
      <c r="I2313" s="15"/>
      <c r="J2313" s="15"/>
      <c r="K2313" s="15"/>
      <c r="L2313" s="15"/>
      <c r="M2313" s="15"/>
      <c r="N2313" s="15"/>
      <c r="O2313" s="15"/>
      <c r="P2313" s="15"/>
      <c r="Q2313" s="71"/>
      <c r="R2313" s="84"/>
      <c r="S2313" s="10"/>
      <c r="T2313" s="10"/>
      <c r="U2313" s="10"/>
      <c r="V2313" s="10"/>
      <c r="W2313" s="138"/>
      <c r="Y2313"/>
      <c r="Z2313"/>
      <c r="AA2313"/>
      <c r="AB2313"/>
      <c r="AC2313"/>
      <c r="AD2313"/>
      <c r="AE2313"/>
      <c r="AF2313"/>
      <c r="AG2313"/>
      <c r="AH2313"/>
      <c r="AI2313"/>
      <c r="AJ2313"/>
      <c r="AK2313"/>
      <c r="AL2313"/>
      <c r="AM2313"/>
      <c r="AN2313"/>
      <c r="AO2313"/>
    </row>
    <row r="2314" spans="1:41" ht="15">
      <c r="A2314"/>
      <c r="B2314"/>
      <c r="C2314" s="137"/>
      <c r="D2314" s="30"/>
      <c r="E2314" s="30"/>
      <c r="F2314" s="10"/>
      <c r="G2314" s="10"/>
      <c r="H2314" s="15"/>
      <c r="I2314" s="15"/>
      <c r="J2314" s="15"/>
      <c r="K2314" s="15"/>
      <c r="L2314" s="15"/>
      <c r="M2314" s="15"/>
      <c r="N2314" s="15"/>
      <c r="O2314" s="15"/>
      <c r="P2314" s="15"/>
      <c r="Q2314" s="71"/>
      <c r="R2314" s="84"/>
      <c r="S2314" s="10"/>
      <c r="T2314" s="10"/>
      <c r="U2314" s="10"/>
      <c r="V2314" s="10"/>
      <c r="W2314" s="138"/>
      <c r="Y2314"/>
      <c r="Z2314"/>
      <c r="AA2314"/>
      <c r="AB2314"/>
      <c r="AC2314"/>
      <c r="AD2314"/>
      <c r="AE2314"/>
      <c r="AF2314"/>
      <c r="AG2314"/>
      <c r="AH2314"/>
      <c r="AI2314"/>
      <c r="AJ2314"/>
      <c r="AK2314"/>
      <c r="AL2314"/>
      <c r="AM2314"/>
      <c r="AN2314"/>
      <c r="AO2314"/>
    </row>
    <row r="2315" spans="1:41" ht="15">
      <c r="A2315"/>
      <c r="B2315"/>
      <c r="C2315" s="137"/>
      <c r="D2315" s="30"/>
      <c r="E2315" s="30"/>
      <c r="F2315" s="10"/>
      <c r="G2315" s="10"/>
      <c r="H2315" s="15"/>
      <c r="I2315" s="15"/>
      <c r="J2315" s="15"/>
      <c r="K2315" s="15"/>
      <c r="L2315" s="15"/>
      <c r="M2315" s="15"/>
      <c r="N2315" s="15"/>
      <c r="O2315" s="15"/>
      <c r="P2315" s="15"/>
      <c r="Q2315" s="71"/>
      <c r="R2315" s="84"/>
      <c r="S2315" s="10"/>
      <c r="T2315" s="10"/>
      <c r="U2315" s="10"/>
      <c r="V2315" s="10"/>
      <c r="W2315" s="138"/>
      <c r="Y2315"/>
      <c r="Z2315"/>
      <c r="AA2315"/>
      <c r="AB2315"/>
      <c r="AC2315"/>
      <c r="AD2315"/>
      <c r="AE2315"/>
      <c r="AF2315"/>
      <c r="AG2315"/>
      <c r="AH2315"/>
      <c r="AI2315"/>
      <c r="AJ2315"/>
      <c r="AK2315"/>
      <c r="AL2315"/>
      <c r="AM2315"/>
      <c r="AN2315"/>
      <c r="AO2315"/>
    </row>
    <row r="2316" spans="1:41" ht="15">
      <c r="A2316"/>
      <c r="B2316"/>
      <c r="C2316" s="137"/>
      <c r="D2316" s="30"/>
      <c r="E2316" s="30"/>
      <c r="F2316" s="10"/>
      <c r="G2316" s="10"/>
      <c r="H2316" s="15"/>
      <c r="I2316" s="15"/>
      <c r="J2316" s="15"/>
      <c r="K2316" s="15"/>
      <c r="L2316" s="15"/>
      <c r="M2316" s="15"/>
      <c r="N2316" s="15"/>
      <c r="O2316" s="15"/>
      <c r="P2316" s="15"/>
      <c r="Q2316" s="71"/>
      <c r="R2316" s="84"/>
      <c r="S2316" s="10"/>
      <c r="T2316" s="10"/>
      <c r="U2316" s="10"/>
      <c r="V2316" s="10"/>
      <c r="W2316" s="138"/>
      <c r="Y2316"/>
      <c r="Z2316"/>
      <c r="AA2316"/>
      <c r="AB2316"/>
      <c r="AC2316"/>
      <c r="AD2316"/>
      <c r="AE2316"/>
      <c r="AF2316"/>
      <c r="AG2316"/>
      <c r="AH2316"/>
      <c r="AI2316"/>
      <c r="AJ2316"/>
      <c r="AK2316"/>
      <c r="AL2316"/>
      <c r="AM2316"/>
      <c r="AN2316"/>
      <c r="AO2316"/>
    </row>
    <row r="2317" spans="1:41" ht="15">
      <c r="A2317"/>
      <c r="B2317"/>
      <c r="C2317" s="137"/>
      <c r="D2317" s="30"/>
      <c r="E2317" s="30"/>
      <c r="F2317" s="10"/>
      <c r="G2317" s="10"/>
      <c r="H2317" s="15"/>
      <c r="I2317" s="15"/>
      <c r="J2317" s="15"/>
      <c r="K2317" s="15"/>
      <c r="L2317" s="15"/>
      <c r="M2317" s="15"/>
      <c r="N2317" s="15"/>
      <c r="O2317" s="15"/>
      <c r="P2317" s="15"/>
      <c r="Q2317" s="71"/>
      <c r="R2317" s="84"/>
      <c r="S2317" s="10"/>
      <c r="T2317" s="10"/>
      <c r="U2317" s="10"/>
      <c r="V2317" s="10"/>
      <c r="W2317" s="138"/>
      <c r="Y2317"/>
      <c r="Z2317"/>
      <c r="AA2317"/>
      <c r="AB2317"/>
      <c r="AC2317"/>
      <c r="AD2317"/>
      <c r="AE2317"/>
      <c r="AF2317"/>
      <c r="AG2317"/>
      <c r="AH2317"/>
      <c r="AI2317"/>
      <c r="AJ2317"/>
      <c r="AK2317"/>
      <c r="AL2317"/>
      <c r="AM2317"/>
      <c r="AN2317"/>
      <c r="AO2317"/>
    </row>
    <row r="2318" spans="1:41" ht="15">
      <c r="A2318"/>
      <c r="B2318"/>
      <c r="C2318" s="137"/>
      <c r="D2318" s="30"/>
      <c r="E2318" s="30"/>
      <c r="F2318" s="10"/>
      <c r="G2318" s="10"/>
      <c r="H2318" s="15"/>
      <c r="I2318" s="15"/>
      <c r="J2318" s="15"/>
      <c r="K2318" s="15"/>
      <c r="L2318" s="15"/>
      <c r="M2318" s="15"/>
      <c r="N2318" s="15"/>
      <c r="O2318" s="15"/>
      <c r="P2318" s="15"/>
      <c r="Q2318" s="71"/>
      <c r="R2318" s="84"/>
      <c r="S2318" s="10"/>
      <c r="T2318" s="10"/>
      <c r="U2318" s="10"/>
      <c r="V2318" s="10"/>
      <c r="W2318" s="138"/>
      <c r="Y2318"/>
      <c r="Z2318"/>
      <c r="AA2318"/>
      <c r="AB2318"/>
      <c r="AC2318"/>
      <c r="AD2318"/>
      <c r="AE2318"/>
      <c r="AF2318"/>
      <c r="AG2318"/>
      <c r="AH2318"/>
      <c r="AI2318"/>
      <c r="AJ2318"/>
      <c r="AK2318"/>
      <c r="AL2318"/>
      <c r="AM2318"/>
      <c r="AN2318"/>
      <c r="AO2318"/>
    </row>
    <row r="2319" spans="1:41" ht="15">
      <c r="A2319"/>
      <c r="B2319"/>
      <c r="C2319" s="137"/>
      <c r="D2319" s="30"/>
      <c r="E2319" s="30"/>
      <c r="F2319" s="10"/>
      <c r="G2319" s="10"/>
      <c r="H2319" s="15"/>
      <c r="I2319" s="15"/>
      <c r="J2319" s="15"/>
      <c r="K2319" s="15"/>
      <c r="L2319" s="15"/>
      <c r="M2319" s="15"/>
      <c r="N2319" s="15"/>
      <c r="O2319" s="15"/>
      <c r="P2319" s="15"/>
      <c r="Q2319" s="71"/>
      <c r="R2319" s="84"/>
      <c r="S2319" s="10"/>
      <c r="T2319" s="10"/>
      <c r="U2319" s="10"/>
      <c r="V2319" s="10"/>
      <c r="W2319" s="138"/>
      <c r="Y2319"/>
      <c r="Z2319"/>
      <c r="AA2319"/>
      <c r="AB2319"/>
      <c r="AC2319"/>
      <c r="AD2319"/>
      <c r="AE2319"/>
      <c r="AF2319"/>
      <c r="AG2319"/>
      <c r="AH2319"/>
      <c r="AI2319"/>
      <c r="AJ2319"/>
      <c r="AK2319"/>
      <c r="AL2319"/>
      <c r="AM2319"/>
      <c r="AN2319"/>
      <c r="AO2319"/>
    </row>
    <row r="2320" spans="1:41" ht="15">
      <c r="A2320"/>
      <c r="B2320"/>
      <c r="C2320" s="137"/>
      <c r="D2320" s="30"/>
      <c r="E2320" s="30"/>
      <c r="F2320" s="10"/>
      <c r="G2320" s="10"/>
      <c r="H2320" s="15"/>
      <c r="I2320" s="15"/>
      <c r="J2320" s="15"/>
      <c r="K2320" s="15"/>
      <c r="L2320" s="15"/>
      <c r="M2320" s="15"/>
      <c r="N2320" s="15"/>
      <c r="O2320" s="15"/>
      <c r="P2320" s="15"/>
      <c r="Q2320" s="71"/>
      <c r="R2320" s="84"/>
      <c r="S2320" s="10"/>
      <c r="T2320" s="10"/>
      <c r="U2320" s="10"/>
      <c r="V2320" s="10"/>
      <c r="W2320" s="138"/>
      <c r="Y2320"/>
      <c r="Z2320"/>
      <c r="AA2320"/>
      <c r="AB2320"/>
      <c r="AC2320"/>
      <c r="AD2320"/>
      <c r="AE2320"/>
      <c r="AF2320"/>
      <c r="AG2320"/>
      <c r="AH2320"/>
      <c r="AI2320"/>
      <c r="AJ2320"/>
      <c r="AK2320"/>
      <c r="AL2320"/>
      <c r="AM2320"/>
      <c r="AN2320"/>
      <c r="AO2320"/>
    </row>
    <row r="2321" spans="1:41" ht="15">
      <c r="A2321"/>
      <c r="B2321"/>
      <c r="C2321" s="137"/>
      <c r="D2321" s="30"/>
      <c r="E2321" s="30"/>
      <c r="F2321" s="10"/>
      <c r="G2321" s="10"/>
      <c r="H2321" s="15"/>
      <c r="I2321" s="15"/>
      <c r="J2321" s="15"/>
      <c r="K2321" s="15"/>
      <c r="L2321" s="15"/>
      <c r="M2321" s="15"/>
      <c r="N2321" s="15"/>
      <c r="O2321" s="15"/>
      <c r="P2321" s="15"/>
      <c r="Q2321" s="71"/>
      <c r="R2321" s="84"/>
      <c r="S2321" s="10"/>
      <c r="T2321" s="10"/>
      <c r="U2321" s="10"/>
      <c r="V2321" s="10"/>
      <c r="W2321" s="138"/>
      <c r="Y2321"/>
      <c r="Z2321"/>
      <c r="AA2321"/>
      <c r="AB2321"/>
      <c r="AC2321"/>
      <c r="AD2321"/>
      <c r="AE2321"/>
      <c r="AF2321"/>
      <c r="AG2321"/>
      <c r="AH2321"/>
      <c r="AI2321"/>
      <c r="AJ2321"/>
      <c r="AK2321"/>
      <c r="AL2321"/>
      <c r="AM2321"/>
      <c r="AN2321"/>
      <c r="AO2321"/>
    </row>
    <row r="2322" spans="1:41" ht="15">
      <c r="A2322"/>
      <c r="B2322"/>
      <c r="C2322" s="137"/>
      <c r="D2322" s="30"/>
      <c r="E2322" s="30"/>
      <c r="F2322" s="10"/>
      <c r="G2322" s="10"/>
      <c r="H2322" s="15"/>
      <c r="I2322" s="15"/>
      <c r="J2322" s="15"/>
      <c r="K2322" s="15"/>
      <c r="L2322" s="15"/>
      <c r="M2322" s="15"/>
      <c r="N2322" s="15"/>
      <c r="O2322" s="15"/>
      <c r="P2322" s="15"/>
      <c r="Q2322" s="71"/>
      <c r="R2322" s="84"/>
      <c r="S2322" s="10"/>
      <c r="T2322" s="10"/>
      <c r="U2322" s="10"/>
      <c r="V2322" s="10"/>
      <c r="W2322" s="138"/>
      <c r="Y2322"/>
      <c r="Z2322"/>
      <c r="AA2322"/>
      <c r="AB2322"/>
      <c r="AC2322"/>
      <c r="AD2322"/>
      <c r="AE2322"/>
      <c r="AF2322"/>
      <c r="AG2322"/>
      <c r="AH2322"/>
      <c r="AI2322"/>
      <c r="AJ2322"/>
      <c r="AK2322"/>
      <c r="AL2322"/>
      <c r="AM2322"/>
      <c r="AN2322"/>
      <c r="AO2322"/>
    </row>
    <row r="2323" spans="1:41" ht="15">
      <c r="A2323"/>
      <c r="B2323"/>
      <c r="C2323" s="137"/>
      <c r="D2323" s="30"/>
      <c r="E2323" s="30"/>
      <c r="F2323" s="10"/>
      <c r="G2323" s="10"/>
      <c r="H2323" s="15"/>
      <c r="I2323" s="15"/>
      <c r="J2323" s="15"/>
      <c r="K2323" s="15"/>
      <c r="L2323" s="15"/>
      <c r="M2323" s="15"/>
      <c r="N2323" s="15"/>
      <c r="O2323" s="15"/>
      <c r="P2323" s="15"/>
      <c r="Q2323" s="71"/>
      <c r="R2323" s="84"/>
      <c r="S2323" s="10"/>
      <c r="T2323" s="10"/>
      <c r="U2323" s="10"/>
      <c r="V2323" s="10"/>
      <c r="W2323" s="138"/>
      <c r="Y2323"/>
      <c r="Z2323"/>
      <c r="AA2323"/>
      <c r="AB2323"/>
      <c r="AC2323"/>
      <c r="AD2323"/>
      <c r="AE2323"/>
      <c r="AF2323"/>
      <c r="AG2323"/>
      <c r="AH2323"/>
      <c r="AI2323"/>
      <c r="AJ2323"/>
      <c r="AK2323"/>
      <c r="AL2323"/>
      <c r="AM2323"/>
      <c r="AN2323"/>
      <c r="AO2323"/>
    </row>
    <row r="2324" spans="1:41" ht="15">
      <c r="A2324"/>
      <c r="B2324"/>
      <c r="C2324" s="137"/>
      <c r="D2324" s="30"/>
      <c r="E2324" s="30"/>
      <c r="F2324" s="10"/>
      <c r="G2324" s="10"/>
      <c r="H2324" s="15"/>
      <c r="I2324" s="15"/>
      <c r="J2324" s="15"/>
      <c r="K2324" s="15"/>
      <c r="L2324" s="15"/>
      <c r="M2324" s="15"/>
      <c r="N2324" s="15"/>
      <c r="O2324" s="15"/>
      <c r="P2324" s="15"/>
      <c r="Q2324" s="71"/>
      <c r="R2324" s="84"/>
      <c r="S2324" s="10"/>
      <c r="T2324" s="10"/>
      <c r="U2324" s="10"/>
      <c r="V2324" s="10"/>
      <c r="W2324" s="138"/>
      <c r="Y2324"/>
      <c r="Z2324"/>
      <c r="AA2324"/>
      <c r="AB2324"/>
      <c r="AC2324"/>
      <c r="AD2324"/>
      <c r="AE2324"/>
      <c r="AF2324"/>
      <c r="AG2324"/>
      <c r="AH2324"/>
      <c r="AI2324"/>
      <c r="AJ2324"/>
      <c r="AK2324"/>
      <c r="AL2324"/>
      <c r="AM2324"/>
      <c r="AN2324"/>
      <c r="AO2324"/>
    </row>
    <row r="2325" spans="1:41" ht="15">
      <c r="A2325"/>
      <c r="B2325"/>
      <c r="C2325" s="137"/>
      <c r="D2325" s="30"/>
      <c r="E2325" s="30"/>
      <c r="F2325" s="10"/>
      <c r="G2325" s="10"/>
      <c r="H2325" s="15"/>
      <c r="I2325" s="15"/>
      <c r="J2325" s="15"/>
      <c r="K2325" s="15"/>
      <c r="L2325" s="15"/>
      <c r="M2325" s="15"/>
      <c r="N2325" s="15"/>
      <c r="O2325" s="15"/>
      <c r="P2325" s="15"/>
      <c r="Q2325" s="71"/>
      <c r="R2325" s="84"/>
      <c r="S2325" s="10"/>
      <c r="T2325" s="10"/>
      <c r="U2325" s="10"/>
      <c r="V2325" s="10"/>
      <c r="W2325" s="138"/>
      <c r="Y2325"/>
      <c r="Z2325"/>
      <c r="AA2325"/>
      <c r="AB2325"/>
      <c r="AC2325"/>
      <c r="AD2325"/>
      <c r="AE2325"/>
      <c r="AF2325"/>
      <c r="AG2325"/>
      <c r="AH2325"/>
      <c r="AI2325"/>
      <c r="AJ2325"/>
      <c r="AK2325"/>
      <c r="AL2325"/>
      <c r="AM2325"/>
      <c r="AN2325"/>
      <c r="AO2325"/>
    </row>
    <row r="2326" spans="1:41" ht="15">
      <c r="A2326"/>
      <c r="B2326"/>
      <c r="C2326" s="137"/>
      <c r="D2326" s="30"/>
      <c r="E2326" s="30"/>
      <c r="F2326" s="10"/>
      <c r="G2326" s="10"/>
      <c r="H2326" s="15"/>
      <c r="I2326" s="15"/>
      <c r="J2326" s="15"/>
      <c r="K2326" s="15"/>
      <c r="L2326" s="15"/>
      <c r="M2326" s="15"/>
      <c r="N2326" s="15"/>
      <c r="O2326" s="15"/>
      <c r="P2326" s="15"/>
      <c r="Q2326" s="71"/>
      <c r="R2326" s="84"/>
      <c r="S2326" s="10"/>
      <c r="T2326" s="10"/>
      <c r="U2326" s="10"/>
      <c r="V2326" s="10"/>
      <c r="W2326" s="138"/>
      <c r="Y2326"/>
      <c r="Z2326"/>
      <c r="AA2326"/>
      <c r="AB2326"/>
      <c r="AC2326"/>
      <c r="AD2326"/>
      <c r="AE2326"/>
      <c r="AF2326"/>
      <c r="AG2326"/>
      <c r="AH2326"/>
      <c r="AI2326"/>
      <c r="AJ2326"/>
      <c r="AK2326"/>
      <c r="AL2326"/>
      <c r="AM2326"/>
      <c r="AN2326"/>
      <c r="AO2326"/>
    </row>
    <row r="2327" spans="1:41" ht="15">
      <c r="A2327"/>
      <c r="B2327"/>
      <c r="C2327" s="137"/>
      <c r="D2327" s="30"/>
      <c r="E2327" s="30"/>
      <c r="F2327" s="10"/>
      <c r="G2327" s="10"/>
      <c r="H2327" s="15"/>
      <c r="I2327" s="15"/>
      <c r="J2327" s="15"/>
      <c r="K2327" s="15"/>
      <c r="L2327" s="15"/>
      <c r="M2327" s="15"/>
      <c r="N2327" s="15"/>
      <c r="O2327" s="15"/>
      <c r="P2327" s="15"/>
      <c r="Q2327" s="71"/>
      <c r="R2327" s="84"/>
      <c r="S2327" s="10"/>
      <c r="T2327" s="10"/>
      <c r="U2327" s="10"/>
      <c r="V2327" s="10"/>
      <c r="W2327" s="138"/>
      <c r="Y2327"/>
      <c r="Z2327"/>
      <c r="AA2327"/>
      <c r="AB2327"/>
      <c r="AC2327"/>
      <c r="AD2327"/>
      <c r="AE2327"/>
      <c r="AF2327"/>
      <c r="AG2327"/>
      <c r="AH2327"/>
      <c r="AI2327"/>
      <c r="AJ2327"/>
      <c r="AK2327"/>
      <c r="AL2327"/>
      <c r="AM2327"/>
      <c r="AN2327"/>
      <c r="AO2327"/>
    </row>
    <row r="2328" spans="1:41" ht="15">
      <c r="A2328"/>
      <c r="B2328"/>
      <c r="C2328" s="137"/>
      <c r="D2328" s="30"/>
      <c r="E2328" s="30"/>
      <c r="F2328" s="10"/>
      <c r="G2328" s="10"/>
      <c r="H2328" s="15"/>
      <c r="I2328" s="15"/>
      <c r="J2328" s="15"/>
      <c r="K2328" s="15"/>
      <c r="L2328" s="15"/>
      <c r="M2328" s="15"/>
      <c r="N2328" s="15"/>
      <c r="O2328" s="15"/>
      <c r="P2328" s="15"/>
      <c r="Q2328" s="71"/>
      <c r="R2328" s="84"/>
      <c r="S2328" s="10"/>
      <c r="T2328" s="10"/>
      <c r="U2328" s="10"/>
      <c r="V2328" s="10"/>
      <c r="W2328" s="138"/>
      <c r="Y2328"/>
      <c r="Z2328"/>
      <c r="AA2328"/>
      <c r="AB2328"/>
      <c r="AC2328"/>
      <c r="AD2328"/>
      <c r="AE2328"/>
      <c r="AF2328"/>
      <c r="AG2328"/>
      <c r="AH2328"/>
      <c r="AI2328"/>
      <c r="AJ2328"/>
      <c r="AK2328"/>
      <c r="AL2328"/>
      <c r="AM2328"/>
      <c r="AN2328"/>
      <c r="AO2328"/>
    </row>
    <row r="2329" spans="1:41" ht="15">
      <c r="A2329"/>
      <c r="B2329"/>
      <c r="C2329" s="137"/>
      <c r="D2329" s="30"/>
      <c r="E2329" s="30"/>
      <c r="F2329" s="10"/>
      <c r="G2329" s="10"/>
      <c r="H2329" s="15"/>
      <c r="I2329" s="15"/>
      <c r="J2329" s="15"/>
      <c r="K2329" s="15"/>
      <c r="L2329" s="15"/>
      <c r="M2329" s="15"/>
      <c r="N2329" s="15"/>
      <c r="O2329" s="15"/>
      <c r="P2329" s="15"/>
      <c r="Q2329" s="71"/>
      <c r="R2329" s="84"/>
      <c r="S2329" s="10"/>
      <c r="T2329" s="10"/>
      <c r="U2329" s="10"/>
      <c r="V2329" s="10"/>
      <c r="W2329" s="138"/>
      <c r="Y2329"/>
      <c r="Z2329"/>
      <c r="AA2329"/>
      <c r="AB2329"/>
      <c r="AC2329"/>
      <c r="AD2329"/>
      <c r="AE2329"/>
      <c r="AF2329"/>
      <c r="AG2329"/>
      <c r="AH2329"/>
      <c r="AI2329"/>
      <c r="AJ2329"/>
      <c r="AK2329"/>
      <c r="AL2329"/>
      <c r="AM2329"/>
      <c r="AN2329"/>
      <c r="AO2329"/>
    </row>
    <row r="2330" spans="1:41" ht="15">
      <c r="A2330"/>
      <c r="B2330"/>
      <c r="C2330" s="137"/>
      <c r="D2330" s="30"/>
      <c r="E2330" s="30"/>
      <c r="F2330" s="10"/>
      <c r="G2330" s="10"/>
      <c r="H2330" s="15"/>
      <c r="I2330" s="15"/>
      <c r="J2330" s="15"/>
      <c r="K2330" s="15"/>
      <c r="L2330" s="15"/>
      <c r="M2330" s="15"/>
      <c r="N2330" s="15"/>
      <c r="O2330" s="15"/>
      <c r="P2330" s="15"/>
      <c r="Q2330" s="71"/>
      <c r="R2330" s="84"/>
      <c r="S2330" s="10"/>
      <c r="T2330" s="10"/>
      <c r="U2330" s="10"/>
      <c r="V2330" s="10"/>
      <c r="W2330" s="138"/>
      <c r="Y2330"/>
      <c r="Z2330"/>
      <c r="AA2330"/>
      <c r="AB2330"/>
      <c r="AC2330"/>
      <c r="AD2330"/>
      <c r="AE2330"/>
      <c r="AF2330"/>
      <c r="AG2330"/>
      <c r="AH2330"/>
      <c r="AI2330"/>
      <c r="AJ2330"/>
      <c r="AK2330"/>
      <c r="AL2330"/>
      <c r="AM2330"/>
      <c r="AN2330"/>
      <c r="AO2330"/>
    </row>
    <row r="2331" spans="1:41" ht="15">
      <c r="A2331"/>
      <c r="B2331"/>
      <c r="C2331" s="137"/>
      <c r="D2331" s="30"/>
      <c r="E2331" s="30"/>
      <c r="F2331" s="10"/>
      <c r="G2331" s="10"/>
      <c r="H2331" s="15"/>
      <c r="I2331" s="15"/>
      <c r="J2331" s="15"/>
      <c r="K2331" s="15"/>
      <c r="L2331" s="15"/>
      <c r="M2331" s="15"/>
      <c r="N2331" s="15"/>
      <c r="O2331" s="15"/>
      <c r="P2331" s="15"/>
      <c r="Q2331" s="71"/>
      <c r="R2331" s="84"/>
      <c r="S2331" s="10"/>
      <c r="T2331" s="10"/>
      <c r="U2331" s="10"/>
      <c r="V2331" s="10"/>
      <c r="W2331" s="138"/>
      <c r="Y2331"/>
      <c r="Z2331"/>
      <c r="AA2331"/>
      <c r="AB2331"/>
      <c r="AC2331"/>
      <c r="AD2331"/>
      <c r="AE2331"/>
      <c r="AF2331"/>
      <c r="AG2331"/>
      <c r="AH2331"/>
      <c r="AI2331"/>
      <c r="AJ2331"/>
      <c r="AK2331"/>
      <c r="AL2331"/>
      <c r="AM2331"/>
      <c r="AN2331"/>
      <c r="AO2331"/>
    </row>
    <row r="2332" spans="1:41" ht="15">
      <c r="A2332"/>
      <c r="B2332"/>
      <c r="C2332" s="137"/>
      <c r="D2332" s="30"/>
      <c r="E2332" s="30"/>
      <c r="F2332" s="10"/>
      <c r="G2332" s="10"/>
      <c r="H2332" s="15"/>
      <c r="I2332" s="15"/>
      <c r="J2332" s="15"/>
      <c r="K2332" s="15"/>
      <c r="L2332" s="15"/>
      <c r="M2332" s="15"/>
      <c r="N2332" s="15"/>
      <c r="O2332" s="15"/>
      <c r="P2332" s="15"/>
      <c r="Q2332" s="71"/>
      <c r="R2332" s="84"/>
      <c r="S2332" s="10"/>
      <c r="T2332" s="10"/>
      <c r="U2332" s="10"/>
      <c r="V2332" s="10"/>
      <c r="W2332" s="138"/>
      <c r="Y2332"/>
      <c r="Z2332"/>
      <c r="AA2332"/>
      <c r="AB2332"/>
      <c r="AC2332"/>
      <c r="AD2332"/>
      <c r="AE2332"/>
      <c r="AF2332"/>
      <c r="AG2332"/>
      <c r="AH2332"/>
      <c r="AI2332"/>
      <c r="AJ2332"/>
      <c r="AK2332"/>
      <c r="AL2332"/>
      <c r="AM2332"/>
      <c r="AN2332"/>
      <c r="AO2332"/>
    </row>
    <row r="2333" spans="1:41" ht="15">
      <c r="A2333"/>
      <c r="B2333"/>
      <c r="C2333" s="137"/>
      <c r="D2333" s="30"/>
      <c r="E2333" s="30"/>
      <c r="F2333" s="10"/>
      <c r="G2333" s="10"/>
      <c r="H2333" s="15"/>
      <c r="I2333" s="15"/>
      <c r="J2333" s="15"/>
      <c r="K2333" s="15"/>
      <c r="L2333" s="15"/>
      <c r="M2333" s="15"/>
      <c r="N2333" s="15"/>
      <c r="O2333" s="15"/>
      <c r="P2333" s="15"/>
      <c r="Q2333" s="71"/>
      <c r="R2333" s="84"/>
      <c r="S2333" s="10"/>
      <c r="T2333" s="10"/>
      <c r="U2333" s="10"/>
      <c r="V2333" s="10"/>
      <c r="W2333" s="138"/>
      <c r="Y2333"/>
      <c r="Z2333"/>
      <c r="AA2333"/>
      <c r="AB2333"/>
      <c r="AC2333"/>
      <c r="AD2333"/>
      <c r="AE2333"/>
      <c r="AF2333"/>
      <c r="AG2333"/>
      <c r="AH2333"/>
      <c r="AI2333"/>
      <c r="AJ2333"/>
      <c r="AK2333"/>
      <c r="AL2333"/>
      <c r="AM2333"/>
      <c r="AN2333"/>
      <c r="AO2333"/>
    </row>
    <row r="2334" spans="1:41" ht="15">
      <c r="A2334"/>
      <c r="B2334"/>
      <c r="C2334" s="137"/>
      <c r="D2334" s="30"/>
      <c r="E2334" s="30"/>
      <c r="F2334" s="10"/>
      <c r="G2334" s="10"/>
      <c r="H2334" s="15"/>
      <c r="I2334" s="15"/>
      <c r="J2334" s="15"/>
      <c r="K2334" s="15"/>
      <c r="L2334" s="15"/>
      <c r="M2334" s="15"/>
      <c r="N2334" s="15"/>
      <c r="O2334" s="15"/>
      <c r="P2334" s="15"/>
      <c r="Q2334" s="71"/>
      <c r="R2334" s="84"/>
      <c r="S2334" s="10"/>
      <c r="T2334" s="10"/>
      <c r="U2334" s="10"/>
      <c r="V2334" s="10"/>
      <c r="W2334" s="138"/>
      <c r="Y2334"/>
      <c r="Z2334"/>
      <c r="AA2334"/>
      <c r="AB2334"/>
      <c r="AC2334"/>
      <c r="AD2334"/>
      <c r="AE2334"/>
      <c r="AF2334"/>
      <c r="AG2334"/>
      <c r="AH2334"/>
      <c r="AI2334"/>
      <c r="AJ2334"/>
      <c r="AK2334"/>
      <c r="AL2334"/>
      <c r="AM2334"/>
      <c r="AN2334"/>
      <c r="AO2334"/>
    </row>
    <row r="2335" spans="1:41" ht="15">
      <c r="A2335"/>
      <c r="B2335"/>
      <c r="C2335" s="137"/>
      <c r="D2335" s="30"/>
      <c r="E2335" s="30"/>
      <c r="F2335" s="10"/>
      <c r="G2335" s="10"/>
      <c r="H2335" s="15"/>
      <c r="I2335" s="15"/>
      <c r="J2335" s="15"/>
      <c r="K2335" s="15"/>
      <c r="L2335" s="15"/>
      <c r="M2335" s="15"/>
      <c r="N2335" s="15"/>
      <c r="O2335" s="15"/>
      <c r="P2335" s="15"/>
      <c r="Q2335" s="71"/>
      <c r="R2335" s="84"/>
      <c r="S2335" s="10"/>
      <c r="T2335" s="10"/>
      <c r="U2335" s="10"/>
      <c r="V2335" s="10"/>
      <c r="W2335" s="138"/>
      <c r="Y2335"/>
      <c r="Z2335"/>
      <c r="AA2335"/>
      <c r="AB2335"/>
      <c r="AC2335"/>
      <c r="AD2335"/>
      <c r="AE2335"/>
      <c r="AF2335"/>
      <c r="AG2335"/>
      <c r="AH2335"/>
      <c r="AI2335"/>
      <c r="AJ2335"/>
      <c r="AK2335"/>
      <c r="AL2335"/>
      <c r="AM2335"/>
      <c r="AN2335"/>
      <c r="AO2335"/>
    </row>
    <row r="2336" spans="1:41" ht="15">
      <c r="A2336"/>
      <c r="B2336"/>
      <c r="C2336" s="137"/>
      <c r="D2336" s="30"/>
      <c r="E2336" s="30"/>
      <c r="F2336" s="10"/>
      <c r="G2336" s="10"/>
      <c r="H2336" s="15"/>
      <c r="I2336" s="15"/>
      <c r="J2336" s="15"/>
      <c r="K2336" s="15"/>
      <c r="L2336" s="15"/>
      <c r="M2336" s="15"/>
      <c r="N2336" s="15"/>
      <c r="O2336" s="15"/>
      <c r="P2336" s="15"/>
      <c r="Q2336" s="71"/>
      <c r="R2336" s="84"/>
      <c r="S2336" s="10"/>
      <c r="T2336" s="10"/>
      <c r="U2336" s="10"/>
      <c r="V2336" s="10"/>
      <c r="W2336" s="138"/>
      <c r="Y2336"/>
      <c r="Z2336"/>
      <c r="AA2336"/>
      <c r="AB2336"/>
      <c r="AC2336"/>
      <c r="AD2336"/>
      <c r="AE2336"/>
      <c r="AF2336"/>
      <c r="AG2336"/>
      <c r="AH2336"/>
      <c r="AI2336"/>
      <c r="AJ2336"/>
      <c r="AK2336"/>
      <c r="AL2336"/>
      <c r="AM2336"/>
      <c r="AN2336"/>
      <c r="AO2336"/>
    </row>
    <row r="2337" spans="1:41" ht="15">
      <c r="A2337"/>
      <c r="B2337"/>
      <c r="C2337" s="137"/>
      <c r="D2337" s="30"/>
      <c r="E2337" s="30"/>
      <c r="F2337" s="10"/>
      <c r="G2337" s="10"/>
      <c r="H2337" s="15"/>
      <c r="I2337" s="15"/>
      <c r="J2337" s="15"/>
      <c r="K2337" s="15"/>
      <c r="L2337" s="15"/>
      <c r="M2337" s="15"/>
      <c r="N2337" s="15"/>
      <c r="O2337" s="15"/>
      <c r="P2337" s="15"/>
      <c r="Q2337" s="71"/>
      <c r="R2337" s="84"/>
      <c r="S2337" s="10"/>
      <c r="T2337" s="10"/>
      <c r="U2337" s="10"/>
      <c r="V2337" s="10"/>
      <c r="W2337" s="138"/>
      <c r="Y2337"/>
      <c r="Z2337"/>
      <c r="AA2337"/>
      <c r="AB2337"/>
      <c r="AC2337"/>
      <c r="AD2337"/>
      <c r="AE2337"/>
      <c r="AF2337"/>
      <c r="AG2337"/>
      <c r="AH2337"/>
      <c r="AI2337"/>
      <c r="AJ2337"/>
      <c r="AK2337"/>
      <c r="AL2337"/>
      <c r="AM2337"/>
      <c r="AN2337"/>
      <c r="AO2337"/>
    </row>
    <row r="2338" spans="1:41" ht="15">
      <c r="A2338"/>
      <c r="B2338"/>
      <c r="C2338" s="137"/>
      <c r="D2338" s="30"/>
      <c r="E2338" s="30"/>
      <c r="F2338" s="10"/>
      <c r="G2338" s="10"/>
      <c r="H2338" s="15"/>
      <c r="I2338" s="15"/>
      <c r="J2338" s="15"/>
      <c r="K2338" s="15"/>
      <c r="L2338" s="15"/>
      <c r="M2338" s="15"/>
      <c r="N2338" s="15"/>
      <c r="O2338" s="15"/>
      <c r="P2338" s="15"/>
      <c r="Q2338" s="71"/>
      <c r="R2338" s="84"/>
      <c r="S2338" s="10"/>
      <c r="T2338" s="10"/>
      <c r="U2338" s="10"/>
      <c r="V2338" s="10"/>
      <c r="W2338" s="138"/>
      <c r="Y2338"/>
      <c r="Z2338"/>
      <c r="AA2338"/>
      <c r="AB2338"/>
      <c r="AC2338"/>
      <c r="AD2338"/>
      <c r="AE2338"/>
      <c r="AF2338"/>
      <c r="AG2338"/>
      <c r="AH2338"/>
      <c r="AI2338"/>
      <c r="AJ2338"/>
      <c r="AK2338"/>
      <c r="AL2338"/>
      <c r="AM2338"/>
      <c r="AN2338"/>
      <c r="AO2338"/>
    </row>
    <row r="2339" spans="1:41" ht="15">
      <c r="A2339"/>
      <c r="B2339"/>
      <c r="C2339" s="137"/>
      <c r="D2339" s="30"/>
      <c r="E2339" s="30"/>
      <c r="F2339" s="10"/>
      <c r="G2339" s="10"/>
      <c r="H2339" s="15"/>
      <c r="I2339" s="15"/>
      <c r="J2339" s="15"/>
      <c r="K2339" s="15"/>
      <c r="L2339" s="15"/>
      <c r="M2339" s="15"/>
      <c r="N2339" s="15"/>
      <c r="O2339" s="15"/>
      <c r="P2339" s="15"/>
      <c r="Q2339" s="71"/>
      <c r="R2339" s="84"/>
      <c r="S2339" s="10"/>
      <c r="T2339" s="10"/>
      <c r="U2339" s="10"/>
      <c r="V2339" s="10"/>
      <c r="W2339" s="138"/>
      <c r="Y2339"/>
      <c r="Z2339"/>
      <c r="AA2339"/>
      <c r="AB2339"/>
      <c r="AC2339"/>
      <c r="AD2339"/>
      <c r="AE2339"/>
      <c r="AF2339"/>
      <c r="AG2339"/>
      <c r="AH2339"/>
      <c r="AI2339"/>
      <c r="AJ2339"/>
      <c r="AK2339"/>
      <c r="AL2339"/>
      <c r="AM2339"/>
      <c r="AN2339"/>
      <c r="AO2339"/>
    </row>
    <row r="2340" spans="1:41" ht="15">
      <c r="A2340"/>
      <c r="B2340"/>
      <c r="C2340" s="137"/>
      <c r="D2340" s="30"/>
      <c r="E2340" s="30"/>
      <c r="F2340" s="10"/>
      <c r="G2340" s="10"/>
      <c r="H2340" s="15"/>
      <c r="I2340" s="15"/>
      <c r="J2340" s="15"/>
      <c r="K2340" s="15"/>
      <c r="L2340" s="15"/>
      <c r="M2340" s="15"/>
      <c r="N2340" s="15"/>
      <c r="O2340" s="15"/>
      <c r="P2340" s="15"/>
      <c r="Q2340" s="71"/>
      <c r="R2340" s="84"/>
      <c r="S2340" s="10"/>
      <c r="T2340" s="10"/>
      <c r="U2340" s="10"/>
      <c r="V2340" s="10"/>
      <c r="W2340" s="138"/>
      <c r="Y2340"/>
      <c r="Z2340"/>
      <c r="AA2340"/>
      <c r="AB2340"/>
      <c r="AC2340"/>
      <c r="AD2340"/>
      <c r="AE2340"/>
      <c r="AF2340"/>
      <c r="AG2340"/>
      <c r="AH2340"/>
      <c r="AI2340"/>
      <c r="AJ2340"/>
      <c r="AK2340"/>
      <c r="AL2340"/>
      <c r="AM2340"/>
      <c r="AN2340"/>
      <c r="AO2340"/>
    </row>
    <row r="2341" spans="1:41" ht="15">
      <c r="A2341"/>
      <c r="B2341"/>
      <c r="C2341" s="137"/>
      <c r="D2341" s="30"/>
      <c r="E2341" s="30"/>
      <c r="F2341" s="10"/>
      <c r="G2341" s="10"/>
      <c r="H2341" s="15"/>
      <c r="I2341" s="15"/>
      <c r="J2341" s="15"/>
      <c r="K2341" s="15"/>
      <c r="L2341" s="15"/>
      <c r="M2341" s="15"/>
      <c r="N2341" s="15"/>
      <c r="O2341" s="15"/>
      <c r="P2341" s="15"/>
      <c r="Q2341" s="71"/>
      <c r="R2341" s="84"/>
      <c r="S2341" s="10"/>
      <c r="T2341" s="10"/>
      <c r="U2341" s="10"/>
      <c r="V2341" s="10"/>
      <c r="W2341" s="138"/>
      <c r="Y2341"/>
      <c r="Z2341"/>
      <c r="AA2341"/>
      <c r="AB2341"/>
      <c r="AC2341"/>
      <c r="AD2341"/>
      <c r="AE2341"/>
      <c r="AF2341"/>
      <c r="AG2341"/>
      <c r="AH2341"/>
      <c r="AI2341"/>
      <c r="AJ2341"/>
      <c r="AK2341"/>
      <c r="AL2341"/>
      <c r="AM2341"/>
      <c r="AN2341"/>
      <c r="AO2341"/>
    </row>
    <row r="2342" spans="1:41" ht="15">
      <c r="A2342"/>
      <c r="B2342"/>
      <c r="C2342" s="137"/>
      <c r="D2342" s="30"/>
      <c r="E2342" s="30"/>
      <c r="F2342" s="10"/>
      <c r="G2342" s="10"/>
      <c r="H2342" s="15"/>
      <c r="I2342" s="15"/>
      <c r="J2342" s="15"/>
      <c r="K2342" s="15"/>
      <c r="L2342" s="15"/>
      <c r="M2342" s="15"/>
      <c r="N2342" s="15"/>
      <c r="O2342" s="15"/>
      <c r="P2342" s="15"/>
      <c r="Q2342" s="71"/>
      <c r="R2342" s="84"/>
      <c r="S2342" s="10"/>
      <c r="T2342" s="10"/>
      <c r="U2342" s="10"/>
      <c r="V2342" s="10"/>
      <c r="W2342" s="138"/>
      <c r="Y2342"/>
      <c r="Z2342"/>
      <c r="AA2342"/>
      <c r="AB2342"/>
      <c r="AC2342"/>
      <c r="AD2342"/>
      <c r="AE2342"/>
      <c r="AF2342"/>
      <c r="AG2342"/>
      <c r="AH2342"/>
      <c r="AI2342"/>
      <c r="AJ2342"/>
      <c r="AK2342"/>
      <c r="AL2342"/>
      <c r="AM2342"/>
      <c r="AN2342"/>
      <c r="AO2342"/>
    </row>
    <row r="2343" spans="1:41" ht="15">
      <c r="A2343"/>
      <c r="B2343"/>
      <c r="C2343" s="137"/>
      <c r="D2343" s="30"/>
      <c r="E2343" s="30"/>
      <c r="F2343" s="10"/>
      <c r="G2343" s="10"/>
      <c r="H2343" s="15"/>
      <c r="I2343" s="15"/>
      <c r="J2343" s="15"/>
      <c r="K2343" s="15"/>
      <c r="L2343" s="15"/>
      <c r="M2343" s="15"/>
      <c r="N2343" s="15"/>
      <c r="O2343" s="15"/>
      <c r="P2343" s="15"/>
      <c r="Q2343" s="71"/>
      <c r="R2343" s="84"/>
      <c r="S2343" s="10"/>
      <c r="T2343" s="10"/>
      <c r="U2343" s="10"/>
      <c r="V2343" s="10"/>
      <c r="W2343" s="138"/>
      <c r="Y2343"/>
      <c r="Z2343"/>
      <c r="AA2343"/>
      <c r="AB2343"/>
      <c r="AC2343"/>
      <c r="AD2343"/>
      <c r="AE2343"/>
      <c r="AF2343"/>
      <c r="AG2343"/>
      <c r="AH2343"/>
      <c r="AI2343"/>
      <c r="AJ2343"/>
      <c r="AK2343"/>
      <c r="AL2343"/>
      <c r="AM2343"/>
      <c r="AN2343"/>
      <c r="AO2343"/>
    </row>
    <row r="2344" spans="1:41" ht="15">
      <c r="A2344"/>
      <c r="B2344"/>
      <c r="C2344" s="137"/>
      <c r="D2344" s="30"/>
      <c r="E2344" s="30"/>
      <c r="F2344" s="10"/>
      <c r="G2344" s="10"/>
      <c r="H2344" s="15"/>
      <c r="I2344" s="15"/>
      <c r="J2344" s="15"/>
      <c r="K2344" s="15"/>
      <c r="L2344" s="15"/>
      <c r="M2344" s="15"/>
      <c r="N2344" s="15"/>
      <c r="O2344" s="15"/>
      <c r="P2344" s="15"/>
      <c r="Q2344" s="71"/>
      <c r="R2344" s="84"/>
      <c r="S2344" s="10"/>
      <c r="T2344" s="10"/>
      <c r="U2344" s="10"/>
      <c r="V2344" s="10"/>
      <c r="W2344" s="138"/>
      <c r="Y2344"/>
      <c r="Z2344"/>
      <c r="AA2344"/>
      <c r="AB2344"/>
      <c r="AC2344"/>
      <c r="AD2344"/>
      <c r="AE2344"/>
      <c r="AF2344"/>
      <c r="AG2344"/>
      <c r="AH2344"/>
      <c r="AI2344"/>
      <c r="AJ2344"/>
      <c r="AK2344"/>
      <c r="AL2344"/>
      <c r="AM2344"/>
      <c r="AN2344"/>
      <c r="AO2344"/>
    </row>
    <row r="2345" spans="1:41" ht="15">
      <c r="A2345"/>
      <c r="B2345"/>
      <c r="C2345" s="137"/>
      <c r="D2345" s="30"/>
      <c r="E2345" s="30"/>
      <c r="F2345" s="10"/>
      <c r="G2345" s="10"/>
      <c r="H2345" s="15"/>
      <c r="I2345" s="15"/>
      <c r="J2345" s="15"/>
      <c r="K2345" s="15"/>
      <c r="L2345" s="15"/>
      <c r="M2345" s="15"/>
      <c r="N2345" s="15"/>
      <c r="O2345" s="15"/>
      <c r="P2345" s="15"/>
      <c r="Q2345" s="71"/>
      <c r="R2345" s="84"/>
      <c r="S2345" s="10"/>
      <c r="T2345" s="10"/>
      <c r="U2345" s="10"/>
      <c r="V2345" s="10"/>
      <c r="W2345" s="138"/>
      <c r="Y2345"/>
      <c r="Z2345"/>
      <c r="AA2345"/>
      <c r="AB2345"/>
      <c r="AC2345"/>
      <c r="AD2345"/>
      <c r="AE2345"/>
      <c r="AF2345"/>
      <c r="AG2345"/>
      <c r="AH2345"/>
      <c r="AI2345"/>
      <c r="AJ2345"/>
      <c r="AK2345"/>
      <c r="AL2345"/>
      <c r="AM2345"/>
      <c r="AN2345"/>
      <c r="AO2345"/>
    </row>
    <row r="2346" spans="1:41" ht="15">
      <c r="A2346"/>
      <c r="B2346"/>
      <c r="C2346" s="137"/>
      <c r="D2346" s="30"/>
      <c r="E2346" s="30"/>
      <c r="F2346" s="10"/>
      <c r="G2346" s="10"/>
      <c r="H2346" s="15"/>
      <c r="I2346" s="15"/>
      <c r="J2346" s="15"/>
      <c r="K2346" s="15"/>
      <c r="L2346" s="15"/>
      <c r="M2346" s="15"/>
      <c r="N2346" s="15"/>
      <c r="O2346" s="15"/>
      <c r="P2346" s="15"/>
      <c r="Q2346" s="71"/>
      <c r="R2346" s="84"/>
      <c r="S2346" s="10"/>
      <c r="T2346" s="10"/>
      <c r="U2346" s="10"/>
      <c r="V2346" s="10"/>
      <c r="W2346" s="138"/>
      <c r="Y2346"/>
      <c r="Z2346"/>
      <c r="AA2346"/>
      <c r="AB2346"/>
      <c r="AC2346"/>
      <c r="AD2346"/>
      <c r="AE2346"/>
      <c r="AF2346"/>
      <c r="AG2346"/>
      <c r="AH2346"/>
      <c r="AI2346"/>
      <c r="AJ2346"/>
      <c r="AK2346"/>
      <c r="AL2346"/>
      <c r="AM2346"/>
      <c r="AN2346"/>
      <c r="AO2346"/>
    </row>
    <row r="2347" spans="1:41" ht="15">
      <c r="A2347"/>
      <c r="B2347"/>
      <c r="C2347" s="137"/>
      <c r="D2347" s="30"/>
      <c r="E2347" s="30"/>
      <c r="F2347" s="10"/>
      <c r="G2347" s="10"/>
      <c r="H2347" s="15"/>
      <c r="I2347" s="15"/>
      <c r="J2347" s="15"/>
      <c r="K2347" s="15"/>
      <c r="L2347" s="15"/>
      <c r="M2347" s="15"/>
      <c r="N2347" s="15"/>
      <c r="O2347" s="15"/>
      <c r="P2347" s="15"/>
      <c r="Q2347" s="71"/>
      <c r="R2347" s="84"/>
      <c r="S2347" s="10"/>
      <c r="T2347" s="10"/>
      <c r="U2347" s="10"/>
      <c r="V2347" s="10"/>
      <c r="W2347" s="138"/>
      <c r="Y2347"/>
      <c r="Z2347"/>
      <c r="AA2347"/>
      <c r="AB2347"/>
      <c r="AC2347"/>
      <c r="AD2347"/>
      <c r="AE2347"/>
      <c r="AF2347"/>
      <c r="AG2347"/>
      <c r="AH2347"/>
      <c r="AI2347"/>
      <c r="AJ2347"/>
      <c r="AK2347"/>
      <c r="AL2347"/>
      <c r="AM2347"/>
      <c r="AN2347"/>
      <c r="AO2347"/>
    </row>
    <row r="2348" spans="1:41" ht="15">
      <c r="A2348"/>
      <c r="B2348"/>
      <c r="C2348" s="137"/>
      <c r="D2348" s="30"/>
      <c r="E2348" s="30"/>
      <c r="F2348" s="10"/>
      <c r="G2348" s="10"/>
      <c r="H2348" s="15"/>
      <c r="I2348" s="15"/>
      <c r="J2348" s="15"/>
      <c r="K2348" s="15"/>
      <c r="L2348" s="15"/>
      <c r="M2348" s="15"/>
      <c r="N2348" s="15"/>
      <c r="O2348" s="15"/>
      <c r="P2348" s="15"/>
      <c r="Q2348" s="71"/>
      <c r="R2348" s="84"/>
      <c r="S2348" s="10"/>
      <c r="T2348" s="10"/>
      <c r="U2348" s="10"/>
      <c r="V2348" s="10"/>
      <c r="W2348" s="138"/>
      <c r="Y2348"/>
      <c r="Z2348"/>
      <c r="AA2348"/>
      <c r="AB2348"/>
      <c r="AC2348"/>
      <c r="AD2348"/>
      <c r="AE2348"/>
      <c r="AF2348"/>
      <c r="AG2348"/>
      <c r="AH2348"/>
      <c r="AI2348"/>
      <c r="AJ2348"/>
      <c r="AK2348"/>
      <c r="AL2348"/>
      <c r="AM2348"/>
      <c r="AN2348"/>
      <c r="AO2348"/>
    </row>
    <row r="2349" spans="1:41" ht="15">
      <c r="A2349"/>
      <c r="B2349"/>
      <c r="C2349" s="137"/>
      <c r="D2349" s="30"/>
      <c r="E2349" s="30"/>
      <c r="F2349" s="10"/>
      <c r="G2349" s="10"/>
      <c r="H2349" s="15"/>
      <c r="I2349" s="15"/>
      <c r="J2349" s="15"/>
      <c r="K2349" s="15"/>
      <c r="L2349" s="15"/>
      <c r="M2349" s="15"/>
      <c r="N2349" s="15"/>
      <c r="O2349" s="15"/>
      <c r="P2349" s="15"/>
      <c r="Q2349" s="71"/>
      <c r="R2349" s="84"/>
      <c r="S2349" s="10"/>
      <c r="T2349" s="10"/>
      <c r="U2349" s="10"/>
      <c r="V2349" s="10"/>
      <c r="W2349" s="138"/>
      <c r="Y2349"/>
      <c r="Z2349"/>
      <c r="AA2349"/>
      <c r="AB2349"/>
      <c r="AC2349"/>
      <c r="AD2349"/>
      <c r="AE2349"/>
      <c r="AF2349"/>
      <c r="AG2349"/>
      <c r="AH2349"/>
      <c r="AI2349"/>
      <c r="AJ2349"/>
      <c r="AK2349"/>
      <c r="AL2349"/>
      <c r="AM2349"/>
      <c r="AN2349"/>
      <c r="AO2349"/>
    </row>
    <row r="2350" spans="1:41" ht="15">
      <c r="A2350"/>
      <c r="B2350"/>
      <c r="C2350" s="137"/>
      <c r="D2350" s="30"/>
      <c r="E2350" s="30"/>
      <c r="F2350" s="10"/>
      <c r="G2350" s="10"/>
      <c r="H2350" s="15"/>
      <c r="I2350" s="15"/>
      <c r="J2350" s="15"/>
      <c r="K2350" s="15"/>
      <c r="L2350" s="15"/>
      <c r="M2350" s="15"/>
      <c r="N2350" s="15"/>
      <c r="O2350" s="15"/>
      <c r="P2350" s="15"/>
      <c r="Q2350" s="71"/>
      <c r="R2350" s="84"/>
      <c r="S2350" s="10"/>
      <c r="T2350" s="10"/>
      <c r="U2350" s="10"/>
      <c r="V2350" s="10"/>
      <c r="W2350" s="138"/>
      <c r="Y2350"/>
      <c r="Z2350"/>
      <c r="AA2350"/>
      <c r="AB2350"/>
      <c r="AC2350"/>
      <c r="AD2350"/>
      <c r="AE2350"/>
      <c r="AF2350"/>
      <c r="AG2350"/>
      <c r="AH2350"/>
      <c r="AI2350"/>
      <c r="AJ2350"/>
      <c r="AK2350"/>
      <c r="AL2350"/>
      <c r="AM2350"/>
      <c r="AN2350"/>
      <c r="AO2350"/>
    </row>
    <row r="2351" spans="1:41" ht="15">
      <c r="A2351"/>
      <c r="B2351"/>
      <c r="C2351" s="137"/>
      <c r="D2351" s="30"/>
      <c r="E2351" s="30"/>
      <c r="F2351" s="10"/>
      <c r="G2351" s="10"/>
      <c r="H2351" s="15"/>
      <c r="I2351" s="15"/>
      <c r="J2351" s="15"/>
      <c r="K2351" s="15"/>
      <c r="L2351" s="15"/>
      <c r="M2351" s="15"/>
      <c r="N2351" s="15"/>
      <c r="O2351" s="15"/>
      <c r="P2351" s="15"/>
      <c r="Q2351" s="71"/>
      <c r="R2351" s="84"/>
      <c r="S2351" s="10"/>
      <c r="T2351" s="10"/>
      <c r="U2351" s="10"/>
      <c r="V2351" s="10"/>
      <c r="W2351" s="138"/>
      <c r="Y2351"/>
      <c r="Z2351"/>
      <c r="AA2351"/>
      <c r="AB2351"/>
      <c r="AC2351"/>
      <c r="AD2351"/>
      <c r="AE2351"/>
      <c r="AF2351"/>
      <c r="AG2351"/>
      <c r="AH2351"/>
      <c r="AI2351"/>
      <c r="AJ2351"/>
      <c r="AK2351"/>
      <c r="AL2351"/>
      <c r="AM2351"/>
      <c r="AN2351"/>
      <c r="AO2351"/>
    </row>
    <row r="2352" spans="1:41" ht="15">
      <c r="A2352"/>
      <c r="B2352"/>
      <c r="C2352" s="137"/>
      <c r="D2352" s="30"/>
      <c r="E2352" s="30"/>
      <c r="F2352" s="10"/>
      <c r="G2352" s="10"/>
      <c r="H2352" s="15"/>
      <c r="I2352" s="15"/>
      <c r="J2352" s="15"/>
      <c r="K2352" s="15"/>
      <c r="L2352" s="15"/>
      <c r="M2352" s="15"/>
      <c r="N2352" s="15"/>
      <c r="O2352" s="15"/>
      <c r="P2352" s="15"/>
      <c r="Q2352" s="71"/>
      <c r="R2352" s="84"/>
      <c r="S2352" s="10"/>
      <c r="T2352" s="10"/>
      <c r="U2352" s="10"/>
      <c r="V2352" s="10"/>
      <c r="W2352" s="138"/>
      <c r="Y2352"/>
      <c r="Z2352"/>
      <c r="AA2352"/>
      <c r="AB2352"/>
      <c r="AC2352"/>
      <c r="AD2352"/>
      <c r="AE2352"/>
      <c r="AF2352"/>
      <c r="AG2352"/>
      <c r="AH2352"/>
      <c r="AI2352"/>
      <c r="AJ2352"/>
      <c r="AK2352"/>
      <c r="AL2352"/>
      <c r="AM2352"/>
      <c r="AN2352"/>
      <c r="AO2352"/>
    </row>
    <row r="2353" spans="1:41" ht="15">
      <c r="A2353"/>
      <c r="B2353"/>
      <c r="C2353" s="137"/>
      <c r="D2353" s="30"/>
      <c r="E2353" s="30"/>
      <c r="F2353" s="10"/>
      <c r="G2353" s="10"/>
      <c r="H2353" s="15"/>
      <c r="I2353" s="15"/>
      <c r="J2353" s="15"/>
      <c r="K2353" s="15"/>
      <c r="L2353" s="15"/>
      <c r="M2353" s="15"/>
      <c r="N2353" s="15"/>
      <c r="O2353" s="15"/>
      <c r="P2353" s="15"/>
      <c r="Q2353" s="71"/>
      <c r="R2353" s="84"/>
      <c r="S2353" s="10"/>
      <c r="T2353" s="10"/>
      <c r="U2353" s="10"/>
      <c r="V2353" s="10"/>
      <c r="W2353" s="138"/>
      <c r="Y2353"/>
      <c r="Z2353"/>
      <c r="AA2353"/>
      <c r="AB2353"/>
      <c r="AC2353"/>
      <c r="AD2353"/>
      <c r="AE2353"/>
      <c r="AF2353"/>
      <c r="AG2353"/>
      <c r="AH2353"/>
      <c r="AI2353"/>
      <c r="AJ2353"/>
      <c r="AK2353"/>
      <c r="AL2353"/>
      <c r="AM2353"/>
      <c r="AN2353"/>
      <c r="AO2353"/>
    </row>
    <row r="2354" spans="1:41" ht="15">
      <c r="A2354"/>
      <c r="B2354"/>
      <c r="C2354" s="137"/>
      <c r="D2354" s="30"/>
      <c r="E2354" s="30"/>
      <c r="F2354" s="10"/>
      <c r="G2354" s="10"/>
      <c r="H2354" s="15"/>
      <c r="I2354" s="15"/>
      <c r="J2354" s="15"/>
      <c r="K2354" s="15"/>
      <c r="L2354" s="15"/>
      <c r="M2354" s="15"/>
      <c r="N2354" s="15"/>
      <c r="O2354" s="15"/>
      <c r="P2354" s="15"/>
      <c r="Q2354" s="71"/>
      <c r="R2354" s="84"/>
      <c r="S2354" s="10"/>
      <c r="T2354" s="10"/>
      <c r="U2354" s="10"/>
      <c r="V2354" s="10"/>
      <c r="W2354" s="138"/>
      <c r="Y2354"/>
      <c r="Z2354"/>
      <c r="AA2354"/>
      <c r="AB2354"/>
      <c r="AC2354"/>
      <c r="AD2354"/>
      <c r="AE2354"/>
      <c r="AF2354"/>
      <c r="AG2354"/>
      <c r="AH2354"/>
      <c r="AI2354"/>
      <c r="AJ2354"/>
      <c r="AK2354"/>
      <c r="AL2354"/>
      <c r="AM2354"/>
      <c r="AN2354"/>
      <c r="AO2354"/>
    </row>
    <row r="2355" spans="1:41" ht="15">
      <c r="A2355"/>
      <c r="B2355"/>
      <c r="C2355" s="137"/>
      <c r="D2355" s="30"/>
      <c r="E2355" s="30"/>
      <c r="F2355" s="10"/>
      <c r="G2355" s="10"/>
      <c r="H2355" s="15"/>
      <c r="I2355" s="15"/>
      <c r="J2355" s="15"/>
      <c r="K2355" s="15"/>
      <c r="L2355" s="15"/>
      <c r="M2355" s="15"/>
      <c r="N2355" s="15"/>
      <c r="O2355" s="15"/>
      <c r="P2355" s="15"/>
      <c r="Q2355" s="71"/>
      <c r="R2355" s="84"/>
      <c r="S2355" s="10"/>
      <c r="T2355" s="10"/>
      <c r="U2355" s="10"/>
      <c r="V2355" s="10"/>
      <c r="W2355" s="138"/>
      <c r="Y2355"/>
      <c r="Z2355"/>
      <c r="AA2355"/>
      <c r="AB2355"/>
      <c r="AC2355"/>
      <c r="AD2355"/>
      <c r="AE2355"/>
      <c r="AF2355"/>
      <c r="AG2355"/>
      <c r="AH2355"/>
      <c r="AI2355"/>
      <c r="AJ2355"/>
      <c r="AK2355"/>
      <c r="AL2355"/>
      <c r="AM2355"/>
      <c r="AN2355"/>
      <c r="AO2355"/>
    </row>
    <row r="2356" spans="1:41" ht="15">
      <c r="A2356"/>
      <c r="B2356"/>
      <c r="C2356" s="137"/>
      <c r="D2356" s="30"/>
      <c r="E2356" s="30"/>
      <c r="F2356" s="10"/>
      <c r="G2356" s="10"/>
      <c r="H2356" s="15"/>
      <c r="I2356" s="15"/>
      <c r="J2356" s="15"/>
      <c r="K2356" s="15"/>
      <c r="L2356" s="15"/>
      <c r="M2356" s="15"/>
      <c r="N2356" s="15"/>
      <c r="O2356" s="15"/>
      <c r="P2356" s="15"/>
      <c r="Q2356" s="71"/>
      <c r="R2356" s="84"/>
      <c r="S2356" s="10"/>
      <c r="T2356" s="10"/>
      <c r="U2356" s="10"/>
      <c r="V2356" s="10"/>
      <c r="W2356" s="138"/>
      <c r="Y2356"/>
      <c r="Z2356"/>
      <c r="AA2356"/>
      <c r="AB2356"/>
      <c r="AC2356"/>
      <c r="AD2356"/>
      <c r="AE2356"/>
      <c r="AF2356"/>
      <c r="AG2356"/>
      <c r="AH2356"/>
      <c r="AI2356"/>
      <c r="AJ2356"/>
      <c r="AK2356"/>
      <c r="AL2356"/>
      <c r="AM2356"/>
      <c r="AN2356"/>
      <c r="AO2356"/>
    </row>
    <row r="2357" spans="1:41" ht="15">
      <c r="A2357"/>
      <c r="B2357"/>
      <c r="C2357" s="137"/>
      <c r="D2357" s="30"/>
      <c r="E2357" s="30"/>
      <c r="F2357" s="10"/>
      <c r="G2357" s="10"/>
      <c r="H2357" s="15"/>
      <c r="I2357" s="15"/>
      <c r="J2357" s="15"/>
      <c r="K2357" s="15"/>
      <c r="L2357" s="15"/>
      <c r="M2357" s="15"/>
      <c r="N2357" s="15"/>
      <c r="O2357" s="15"/>
      <c r="P2357" s="15"/>
      <c r="Q2357" s="71"/>
      <c r="R2357" s="84"/>
      <c r="S2357" s="10"/>
      <c r="T2357" s="10"/>
      <c r="U2357" s="10"/>
      <c r="V2357" s="10"/>
      <c r="W2357" s="138"/>
      <c r="Y2357"/>
      <c r="Z2357"/>
      <c r="AA2357"/>
      <c r="AB2357"/>
      <c r="AC2357"/>
      <c r="AD2357"/>
      <c r="AE2357"/>
      <c r="AF2357"/>
      <c r="AG2357"/>
      <c r="AH2357"/>
      <c r="AI2357"/>
      <c r="AJ2357"/>
      <c r="AK2357"/>
      <c r="AL2357"/>
      <c r="AM2357"/>
      <c r="AN2357"/>
      <c r="AO2357"/>
    </row>
    <row r="2358" spans="1:41" ht="15">
      <c r="A2358"/>
      <c r="B2358"/>
      <c r="C2358" s="137"/>
      <c r="D2358" s="30"/>
      <c r="E2358" s="30"/>
      <c r="F2358" s="10"/>
      <c r="G2358" s="10"/>
      <c r="H2358" s="15"/>
      <c r="I2358" s="15"/>
      <c r="J2358" s="15"/>
      <c r="K2358" s="15"/>
      <c r="L2358" s="15"/>
      <c r="M2358" s="15"/>
      <c r="N2358" s="15"/>
      <c r="O2358" s="15"/>
      <c r="P2358" s="15"/>
      <c r="Q2358" s="71"/>
      <c r="R2358" s="84"/>
      <c r="S2358" s="10"/>
      <c r="T2358" s="10"/>
      <c r="U2358" s="10"/>
      <c r="V2358" s="10"/>
      <c r="W2358" s="138"/>
      <c r="Y2358"/>
      <c r="Z2358"/>
      <c r="AA2358"/>
      <c r="AB2358"/>
      <c r="AC2358"/>
      <c r="AD2358"/>
      <c r="AE2358"/>
      <c r="AF2358"/>
      <c r="AG2358"/>
      <c r="AH2358"/>
      <c r="AI2358"/>
      <c r="AJ2358"/>
      <c r="AK2358"/>
      <c r="AL2358"/>
      <c r="AM2358"/>
      <c r="AN2358"/>
      <c r="AO2358"/>
    </row>
    <row r="2359" spans="1:41" ht="15">
      <c r="A2359"/>
      <c r="B2359"/>
      <c r="C2359" s="137"/>
      <c r="D2359" s="30"/>
      <c r="E2359" s="30"/>
      <c r="F2359" s="10"/>
      <c r="G2359" s="10"/>
      <c r="H2359" s="15"/>
      <c r="I2359" s="15"/>
      <c r="J2359" s="15"/>
      <c r="K2359" s="15"/>
      <c r="L2359" s="15"/>
      <c r="M2359" s="15"/>
      <c r="N2359" s="15"/>
      <c r="O2359" s="15"/>
      <c r="P2359" s="15"/>
      <c r="Q2359" s="71"/>
      <c r="R2359" s="84"/>
      <c r="S2359" s="10"/>
      <c r="T2359" s="10"/>
      <c r="U2359" s="10"/>
      <c r="V2359" s="10"/>
      <c r="W2359" s="138"/>
      <c r="Y2359"/>
      <c r="Z2359"/>
      <c r="AA2359"/>
      <c r="AB2359"/>
      <c r="AC2359"/>
      <c r="AD2359"/>
      <c r="AE2359"/>
      <c r="AF2359"/>
      <c r="AG2359"/>
      <c r="AH2359"/>
      <c r="AI2359"/>
      <c r="AJ2359"/>
      <c r="AK2359"/>
      <c r="AL2359"/>
      <c r="AM2359"/>
      <c r="AN2359"/>
      <c r="AO2359"/>
    </row>
    <row r="2360" spans="1:41" ht="15">
      <c r="A2360"/>
      <c r="B2360"/>
      <c r="C2360" s="137"/>
      <c r="D2360" s="30"/>
      <c r="E2360" s="30"/>
      <c r="F2360" s="10"/>
      <c r="G2360" s="10"/>
      <c r="H2360" s="15"/>
      <c r="I2360" s="15"/>
      <c r="J2360" s="15"/>
      <c r="K2360" s="15"/>
      <c r="L2360" s="15"/>
      <c r="M2360" s="15"/>
      <c r="N2360" s="15"/>
      <c r="O2360" s="15"/>
      <c r="P2360" s="15"/>
      <c r="Q2360" s="71"/>
      <c r="R2360" s="84"/>
      <c r="S2360" s="10"/>
      <c r="T2360" s="10"/>
      <c r="U2360" s="10"/>
      <c r="V2360" s="10"/>
      <c r="W2360" s="138"/>
      <c r="Y2360"/>
      <c r="Z2360"/>
      <c r="AA2360"/>
      <c r="AB2360"/>
      <c r="AC2360"/>
      <c r="AD2360"/>
      <c r="AE2360"/>
      <c r="AF2360"/>
      <c r="AG2360"/>
      <c r="AH2360"/>
      <c r="AI2360"/>
      <c r="AJ2360"/>
      <c r="AK2360"/>
      <c r="AL2360"/>
      <c r="AM2360"/>
      <c r="AN2360"/>
      <c r="AO2360"/>
    </row>
    <row r="2361" spans="1:41" ht="15">
      <c r="A2361"/>
      <c r="B2361"/>
      <c r="C2361" s="137"/>
      <c r="D2361" s="30"/>
      <c r="E2361" s="30"/>
      <c r="F2361" s="10"/>
      <c r="G2361" s="10"/>
      <c r="H2361" s="15"/>
      <c r="I2361" s="15"/>
      <c r="J2361" s="15"/>
      <c r="K2361" s="15"/>
      <c r="L2361" s="15"/>
      <c r="M2361" s="15"/>
      <c r="N2361" s="15"/>
      <c r="O2361" s="15"/>
      <c r="P2361" s="15"/>
      <c r="Q2361" s="71"/>
      <c r="R2361" s="84"/>
      <c r="S2361" s="10"/>
      <c r="T2361" s="10"/>
      <c r="U2361" s="10"/>
      <c r="V2361" s="10"/>
      <c r="W2361" s="138"/>
      <c r="Y2361"/>
      <c r="Z2361"/>
      <c r="AA2361"/>
      <c r="AB2361"/>
      <c r="AC2361"/>
      <c r="AD2361"/>
      <c r="AE2361"/>
      <c r="AF2361"/>
      <c r="AG2361"/>
      <c r="AH2361"/>
      <c r="AI2361"/>
      <c r="AJ2361"/>
      <c r="AK2361"/>
      <c r="AL2361"/>
      <c r="AM2361"/>
      <c r="AN2361"/>
      <c r="AO2361"/>
    </row>
    <row r="2362" spans="1:41" ht="15">
      <c r="A2362"/>
      <c r="B2362"/>
      <c r="C2362" s="137"/>
      <c r="D2362" s="30"/>
      <c r="E2362" s="30"/>
      <c r="F2362" s="10"/>
      <c r="G2362" s="10"/>
      <c r="H2362" s="15"/>
      <c r="I2362" s="15"/>
      <c r="J2362" s="15"/>
      <c r="K2362" s="15"/>
      <c r="L2362" s="15"/>
      <c r="M2362" s="15"/>
      <c r="N2362" s="15"/>
      <c r="O2362" s="15"/>
      <c r="P2362" s="15"/>
      <c r="Q2362" s="71"/>
      <c r="R2362" s="84"/>
      <c r="S2362" s="10"/>
      <c r="T2362" s="10"/>
      <c r="U2362" s="10"/>
      <c r="V2362" s="10"/>
      <c r="W2362" s="138"/>
      <c r="Y2362"/>
      <c r="Z2362"/>
      <c r="AA2362"/>
      <c r="AB2362"/>
      <c r="AC2362"/>
      <c r="AD2362"/>
      <c r="AE2362"/>
      <c r="AF2362"/>
      <c r="AG2362"/>
      <c r="AH2362"/>
      <c r="AI2362"/>
      <c r="AJ2362"/>
      <c r="AK2362"/>
      <c r="AL2362"/>
      <c r="AM2362"/>
      <c r="AN2362"/>
      <c r="AO2362"/>
    </row>
    <row r="2363" spans="1:41" ht="15">
      <c r="A2363"/>
      <c r="B2363"/>
      <c r="C2363" s="137"/>
      <c r="D2363" s="30"/>
      <c r="E2363" s="30"/>
      <c r="F2363" s="10"/>
      <c r="G2363" s="10"/>
      <c r="H2363" s="15"/>
      <c r="I2363" s="15"/>
      <c r="J2363" s="15"/>
      <c r="K2363" s="15"/>
      <c r="L2363" s="15"/>
      <c r="M2363" s="15"/>
      <c r="N2363" s="15"/>
      <c r="O2363" s="15"/>
      <c r="P2363" s="15"/>
      <c r="Q2363" s="71"/>
      <c r="R2363" s="84"/>
      <c r="S2363" s="10"/>
      <c r="T2363" s="10"/>
      <c r="U2363" s="10"/>
      <c r="V2363" s="10"/>
      <c r="W2363" s="138"/>
      <c r="Y2363"/>
      <c r="Z2363"/>
      <c r="AA2363"/>
      <c r="AB2363"/>
      <c r="AC2363"/>
      <c r="AD2363"/>
      <c r="AE2363"/>
      <c r="AF2363"/>
      <c r="AG2363"/>
      <c r="AH2363"/>
      <c r="AI2363"/>
      <c r="AJ2363"/>
      <c r="AK2363"/>
      <c r="AL2363"/>
      <c r="AM2363"/>
      <c r="AN2363"/>
      <c r="AO2363"/>
    </row>
    <row r="2364" spans="1:41" ht="15">
      <c r="A2364"/>
      <c r="B2364"/>
      <c r="C2364" s="137"/>
      <c r="D2364" s="30"/>
      <c r="E2364" s="30"/>
      <c r="F2364" s="10"/>
      <c r="G2364" s="10"/>
      <c r="H2364" s="15"/>
      <c r="I2364" s="15"/>
      <c r="J2364" s="15"/>
      <c r="K2364" s="15"/>
      <c r="L2364" s="15"/>
      <c r="M2364" s="15"/>
      <c r="N2364" s="15"/>
      <c r="O2364" s="15"/>
      <c r="P2364" s="15"/>
      <c r="Q2364" s="71"/>
      <c r="R2364" s="84"/>
      <c r="S2364" s="10"/>
      <c r="T2364" s="10"/>
      <c r="U2364" s="10"/>
      <c r="V2364" s="10"/>
      <c r="W2364" s="138"/>
      <c r="Y2364"/>
      <c r="Z2364"/>
      <c r="AA2364"/>
      <c r="AB2364"/>
      <c r="AC2364"/>
      <c r="AD2364"/>
      <c r="AE2364"/>
      <c r="AF2364"/>
      <c r="AG2364"/>
      <c r="AH2364"/>
      <c r="AI2364"/>
      <c r="AJ2364"/>
      <c r="AK2364"/>
      <c r="AL2364"/>
      <c r="AM2364"/>
      <c r="AN2364"/>
      <c r="AO2364"/>
    </row>
    <row r="2365" spans="1:41" ht="15">
      <c r="A2365"/>
      <c r="B2365"/>
      <c r="C2365" s="137"/>
      <c r="D2365" s="30"/>
      <c r="E2365" s="30"/>
      <c r="F2365" s="10"/>
      <c r="G2365" s="10"/>
      <c r="H2365" s="15"/>
      <c r="I2365" s="15"/>
      <c r="J2365" s="15"/>
      <c r="K2365" s="15"/>
      <c r="L2365" s="15"/>
      <c r="M2365" s="15"/>
      <c r="N2365" s="15"/>
      <c r="O2365" s="15"/>
      <c r="P2365" s="15"/>
      <c r="Q2365" s="71"/>
      <c r="R2365" s="84"/>
      <c r="S2365" s="10"/>
      <c r="T2365" s="10"/>
      <c r="U2365" s="10"/>
      <c r="V2365" s="10"/>
      <c r="W2365" s="138"/>
      <c r="Y2365"/>
      <c r="Z2365"/>
      <c r="AA2365"/>
      <c r="AB2365"/>
      <c r="AC2365"/>
      <c r="AD2365"/>
      <c r="AE2365"/>
      <c r="AF2365"/>
      <c r="AG2365"/>
      <c r="AH2365"/>
      <c r="AI2365"/>
      <c r="AJ2365"/>
      <c r="AK2365"/>
      <c r="AL2365"/>
      <c r="AM2365"/>
      <c r="AN2365"/>
      <c r="AO2365"/>
    </row>
    <row r="2366" spans="1:41" ht="15">
      <c r="A2366"/>
      <c r="B2366"/>
      <c r="C2366" s="137"/>
      <c r="D2366" s="30"/>
      <c r="E2366" s="30"/>
      <c r="F2366" s="10"/>
      <c r="G2366" s="10"/>
      <c r="H2366" s="15"/>
      <c r="I2366" s="15"/>
      <c r="J2366" s="15"/>
      <c r="K2366" s="15"/>
      <c r="L2366" s="15"/>
      <c r="M2366" s="15"/>
      <c r="N2366" s="15"/>
      <c r="O2366" s="15"/>
      <c r="P2366" s="15"/>
      <c r="Q2366" s="71"/>
      <c r="R2366" s="84"/>
      <c r="S2366" s="10"/>
      <c r="T2366" s="10"/>
      <c r="U2366" s="10"/>
      <c r="V2366" s="10"/>
      <c r="W2366" s="138"/>
      <c r="Y2366"/>
      <c r="Z2366"/>
      <c r="AA2366"/>
      <c r="AB2366"/>
      <c r="AC2366"/>
      <c r="AD2366"/>
      <c r="AE2366"/>
      <c r="AF2366"/>
      <c r="AG2366"/>
      <c r="AH2366"/>
      <c r="AI2366"/>
      <c r="AJ2366"/>
      <c r="AK2366"/>
      <c r="AL2366"/>
      <c r="AM2366"/>
      <c r="AN2366"/>
      <c r="AO2366"/>
    </row>
    <row r="2367" spans="1:41" ht="15">
      <c r="A2367"/>
      <c r="B2367"/>
      <c r="C2367" s="137"/>
      <c r="D2367" s="30"/>
      <c r="E2367" s="30"/>
      <c r="F2367" s="10"/>
      <c r="G2367" s="10"/>
      <c r="H2367" s="15"/>
      <c r="I2367" s="15"/>
      <c r="J2367" s="15"/>
      <c r="K2367" s="15"/>
      <c r="L2367" s="15"/>
      <c r="M2367" s="15"/>
      <c r="N2367" s="15"/>
      <c r="O2367" s="15"/>
      <c r="P2367" s="15"/>
      <c r="Q2367" s="71"/>
      <c r="R2367" s="84"/>
      <c r="S2367" s="10"/>
      <c r="T2367" s="10"/>
      <c r="U2367" s="10"/>
      <c r="V2367" s="10"/>
      <c r="W2367" s="138"/>
      <c r="Y2367"/>
      <c r="Z2367"/>
      <c r="AA2367"/>
      <c r="AB2367"/>
      <c r="AC2367"/>
      <c r="AD2367"/>
      <c r="AE2367"/>
      <c r="AF2367"/>
      <c r="AG2367"/>
      <c r="AH2367"/>
      <c r="AI2367"/>
      <c r="AJ2367"/>
      <c r="AK2367"/>
      <c r="AL2367"/>
      <c r="AM2367"/>
      <c r="AN2367"/>
      <c r="AO2367"/>
    </row>
    <row r="2368" spans="1:41" ht="15">
      <c r="A2368"/>
      <c r="B2368"/>
      <c r="C2368" s="137"/>
      <c r="D2368" s="30"/>
      <c r="E2368" s="30"/>
      <c r="F2368" s="10"/>
      <c r="G2368" s="10"/>
      <c r="H2368" s="15"/>
      <c r="I2368" s="15"/>
      <c r="J2368" s="15"/>
      <c r="K2368" s="15"/>
      <c r="L2368" s="15"/>
      <c r="M2368" s="15"/>
      <c r="N2368" s="15"/>
      <c r="O2368" s="15"/>
      <c r="P2368" s="15"/>
      <c r="Q2368" s="71"/>
      <c r="R2368" s="84"/>
      <c r="S2368" s="10"/>
      <c r="T2368" s="10"/>
      <c r="U2368" s="10"/>
      <c r="V2368" s="10"/>
      <c r="W2368" s="138"/>
      <c r="Y2368"/>
      <c r="Z2368"/>
      <c r="AA2368"/>
      <c r="AB2368"/>
      <c r="AC2368"/>
      <c r="AD2368"/>
      <c r="AE2368"/>
      <c r="AF2368"/>
      <c r="AG2368"/>
      <c r="AH2368"/>
      <c r="AI2368"/>
      <c r="AJ2368"/>
      <c r="AK2368"/>
      <c r="AL2368"/>
      <c r="AM2368"/>
      <c r="AN2368"/>
      <c r="AO2368"/>
    </row>
    <row r="2369" spans="1:41" ht="15">
      <c r="A2369"/>
      <c r="B2369"/>
      <c r="C2369" s="137"/>
      <c r="D2369" s="30"/>
      <c r="E2369" s="30"/>
      <c r="F2369" s="10"/>
      <c r="G2369" s="10"/>
      <c r="H2369" s="15"/>
      <c r="I2369" s="15"/>
      <c r="J2369" s="15"/>
      <c r="K2369" s="15"/>
      <c r="L2369" s="15"/>
      <c r="M2369" s="15"/>
      <c r="N2369" s="15"/>
      <c r="O2369" s="15"/>
      <c r="P2369" s="15"/>
      <c r="Q2369" s="71"/>
      <c r="R2369" s="84"/>
      <c r="S2369" s="10"/>
      <c r="T2369" s="10"/>
      <c r="U2369" s="10"/>
      <c r="V2369" s="10"/>
      <c r="W2369" s="138"/>
      <c r="Y2369"/>
      <c r="Z2369"/>
      <c r="AA2369"/>
      <c r="AB2369"/>
      <c r="AC2369"/>
      <c r="AD2369"/>
      <c r="AE2369"/>
      <c r="AF2369"/>
      <c r="AG2369"/>
      <c r="AH2369"/>
      <c r="AI2369"/>
      <c r="AJ2369"/>
      <c r="AK2369"/>
      <c r="AL2369"/>
      <c r="AM2369"/>
      <c r="AN2369"/>
      <c r="AO2369"/>
    </row>
    <row r="2370" spans="1:41" ht="15">
      <c r="A2370"/>
      <c r="B2370"/>
      <c r="C2370" s="137"/>
      <c r="D2370" s="30"/>
      <c r="E2370" s="30"/>
      <c r="F2370" s="10"/>
      <c r="G2370" s="10"/>
      <c r="H2370" s="15"/>
      <c r="I2370" s="15"/>
      <c r="J2370" s="15"/>
      <c r="K2370" s="15"/>
      <c r="L2370" s="15"/>
      <c r="M2370" s="15"/>
      <c r="N2370" s="15"/>
      <c r="O2370" s="15"/>
      <c r="P2370" s="15"/>
      <c r="Q2370" s="71"/>
      <c r="R2370" s="84"/>
      <c r="S2370" s="10"/>
      <c r="T2370" s="10"/>
      <c r="U2370" s="10"/>
      <c r="V2370" s="10"/>
      <c r="W2370" s="138"/>
      <c r="Y2370"/>
      <c r="Z2370"/>
      <c r="AA2370"/>
      <c r="AB2370"/>
      <c r="AC2370"/>
      <c r="AD2370"/>
      <c r="AE2370"/>
      <c r="AF2370"/>
      <c r="AG2370"/>
      <c r="AH2370"/>
      <c r="AI2370"/>
      <c r="AJ2370"/>
      <c r="AK2370"/>
      <c r="AL2370"/>
      <c r="AM2370"/>
      <c r="AN2370"/>
      <c r="AO2370"/>
    </row>
    <row r="2371" spans="1:41" ht="15">
      <c r="A2371"/>
      <c r="B2371"/>
      <c r="C2371" s="137"/>
      <c r="D2371" s="30"/>
      <c r="E2371" s="30"/>
      <c r="F2371" s="10"/>
      <c r="G2371" s="10"/>
      <c r="H2371" s="15"/>
      <c r="I2371" s="15"/>
      <c r="J2371" s="15"/>
      <c r="K2371" s="15"/>
      <c r="L2371" s="15"/>
      <c r="M2371" s="15"/>
      <c r="N2371" s="15"/>
      <c r="O2371" s="15"/>
      <c r="P2371" s="15"/>
      <c r="Q2371" s="71"/>
      <c r="R2371" s="84"/>
      <c r="S2371" s="10"/>
      <c r="T2371" s="10"/>
      <c r="U2371" s="10"/>
      <c r="V2371" s="10"/>
      <c r="W2371" s="138"/>
      <c r="Y2371"/>
      <c r="Z2371"/>
      <c r="AA2371"/>
      <c r="AB2371"/>
      <c r="AC2371"/>
      <c r="AD2371"/>
      <c r="AE2371"/>
      <c r="AF2371"/>
      <c r="AG2371"/>
      <c r="AH2371"/>
      <c r="AI2371"/>
      <c r="AJ2371"/>
      <c r="AK2371"/>
      <c r="AL2371"/>
      <c r="AM2371"/>
      <c r="AN2371"/>
      <c r="AO2371"/>
    </row>
    <row r="2372" spans="1:41" ht="15">
      <c r="A2372"/>
      <c r="B2372"/>
      <c r="C2372" s="137"/>
      <c r="D2372" s="30"/>
      <c r="E2372" s="30"/>
      <c r="F2372" s="10"/>
      <c r="G2372" s="10"/>
      <c r="H2372" s="15"/>
      <c r="I2372" s="15"/>
      <c r="J2372" s="15"/>
      <c r="K2372" s="15"/>
      <c r="L2372" s="15"/>
      <c r="M2372" s="15"/>
      <c r="N2372" s="15"/>
      <c r="O2372" s="15"/>
      <c r="P2372" s="15"/>
      <c r="Q2372" s="71"/>
      <c r="R2372" s="84"/>
      <c r="S2372" s="10"/>
      <c r="T2372" s="10"/>
      <c r="U2372" s="10"/>
      <c r="V2372" s="10"/>
      <c r="W2372" s="138"/>
      <c r="Y2372"/>
      <c r="Z2372"/>
      <c r="AA2372"/>
      <c r="AB2372"/>
      <c r="AC2372"/>
      <c r="AD2372"/>
      <c r="AE2372"/>
      <c r="AF2372"/>
      <c r="AG2372"/>
      <c r="AH2372"/>
      <c r="AI2372"/>
      <c r="AJ2372"/>
      <c r="AK2372"/>
      <c r="AL2372"/>
      <c r="AM2372"/>
      <c r="AN2372"/>
      <c r="AO2372"/>
    </row>
    <row r="2373" spans="1:41" ht="15">
      <c r="A2373"/>
      <c r="B2373"/>
      <c r="C2373" s="137"/>
      <c r="D2373" s="30"/>
      <c r="E2373" s="30"/>
      <c r="F2373" s="10"/>
      <c r="G2373" s="10"/>
      <c r="H2373" s="15"/>
      <c r="I2373" s="15"/>
      <c r="J2373" s="15"/>
      <c r="K2373" s="15"/>
      <c r="L2373" s="15"/>
      <c r="M2373" s="15"/>
      <c r="N2373" s="15"/>
      <c r="O2373" s="15"/>
      <c r="P2373" s="15"/>
      <c r="Q2373" s="71"/>
      <c r="R2373" s="84"/>
      <c r="S2373" s="10"/>
      <c r="T2373" s="10"/>
      <c r="U2373" s="10"/>
      <c r="V2373" s="10"/>
      <c r="W2373" s="138"/>
      <c r="Y2373"/>
      <c r="Z2373"/>
      <c r="AA2373"/>
      <c r="AB2373"/>
      <c r="AC2373"/>
      <c r="AD2373"/>
      <c r="AE2373"/>
      <c r="AF2373"/>
      <c r="AG2373"/>
      <c r="AH2373"/>
      <c r="AI2373"/>
      <c r="AJ2373"/>
      <c r="AK2373"/>
      <c r="AL2373"/>
      <c r="AM2373"/>
      <c r="AN2373"/>
      <c r="AO2373"/>
    </row>
    <row r="2374" spans="1:41" ht="15">
      <c r="A2374"/>
      <c r="B2374"/>
      <c r="C2374" s="137"/>
      <c r="D2374" s="30"/>
      <c r="E2374" s="30"/>
      <c r="F2374" s="10"/>
      <c r="G2374" s="10"/>
      <c r="H2374" s="15"/>
      <c r="I2374" s="15"/>
      <c r="J2374" s="15"/>
      <c r="K2374" s="15"/>
      <c r="L2374" s="15"/>
      <c r="M2374" s="15"/>
      <c r="N2374" s="15"/>
      <c r="O2374" s="15"/>
      <c r="P2374" s="15"/>
      <c r="Q2374" s="71"/>
      <c r="R2374" s="84"/>
      <c r="S2374" s="10"/>
      <c r="T2374" s="10"/>
      <c r="U2374" s="10"/>
      <c r="V2374" s="10"/>
      <c r="W2374" s="138"/>
      <c r="Y2374"/>
      <c r="Z2374"/>
      <c r="AA2374"/>
      <c r="AB2374"/>
      <c r="AC2374"/>
      <c r="AD2374"/>
      <c r="AE2374"/>
      <c r="AF2374"/>
      <c r="AG2374"/>
      <c r="AH2374"/>
      <c r="AI2374"/>
      <c r="AJ2374"/>
      <c r="AK2374"/>
      <c r="AL2374"/>
      <c r="AM2374"/>
      <c r="AN2374"/>
      <c r="AO2374"/>
    </row>
    <row r="2375" spans="1:41" ht="15">
      <c r="A2375"/>
      <c r="B2375"/>
      <c r="C2375" s="137"/>
      <c r="D2375" s="30"/>
      <c r="E2375" s="30"/>
      <c r="F2375" s="10"/>
      <c r="G2375" s="10"/>
      <c r="H2375" s="15"/>
      <c r="I2375" s="15"/>
      <c r="J2375" s="15"/>
      <c r="K2375" s="15"/>
      <c r="L2375" s="15"/>
      <c r="M2375" s="15"/>
      <c r="N2375" s="15"/>
      <c r="O2375" s="15"/>
      <c r="P2375" s="15"/>
      <c r="Q2375" s="71"/>
      <c r="R2375" s="84"/>
      <c r="S2375" s="10"/>
      <c r="T2375" s="10"/>
      <c r="U2375" s="10"/>
      <c r="V2375" s="10"/>
      <c r="W2375" s="138"/>
      <c r="Y2375"/>
      <c r="Z2375"/>
      <c r="AA2375"/>
      <c r="AB2375"/>
      <c r="AC2375"/>
      <c r="AD2375"/>
      <c r="AE2375"/>
      <c r="AF2375"/>
      <c r="AG2375"/>
      <c r="AH2375"/>
      <c r="AI2375"/>
      <c r="AJ2375"/>
      <c r="AK2375"/>
      <c r="AL2375"/>
      <c r="AM2375"/>
      <c r="AN2375"/>
      <c r="AO2375"/>
    </row>
    <row r="2376" spans="1:41" ht="15">
      <c r="A2376"/>
      <c r="B2376"/>
      <c r="C2376" s="137"/>
      <c r="D2376" s="30"/>
      <c r="E2376" s="30"/>
      <c r="F2376" s="10"/>
      <c r="G2376" s="10"/>
      <c r="H2376" s="15"/>
      <c r="I2376" s="15"/>
      <c r="J2376" s="15"/>
      <c r="K2376" s="15"/>
      <c r="L2376" s="15"/>
      <c r="M2376" s="15"/>
      <c r="N2376" s="15"/>
      <c r="O2376" s="15"/>
      <c r="P2376" s="15"/>
      <c r="Q2376" s="71"/>
      <c r="R2376" s="84"/>
      <c r="S2376" s="10"/>
      <c r="T2376" s="10"/>
      <c r="U2376" s="10"/>
      <c r="V2376" s="10"/>
      <c r="W2376" s="138"/>
      <c r="Y2376"/>
      <c r="Z2376"/>
      <c r="AA2376"/>
      <c r="AB2376"/>
      <c r="AC2376"/>
      <c r="AD2376"/>
      <c r="AE2376"/>
      <c r="AF2376"/>
      <c r="AG2376"/>
      <c r="AH2376"/>
      <c r="AI2376"/>
      <c r="AJ2376"/>
      <c r="AK2376"/>
      <c r="AL2376"/>
      <c r="AM2376"/>
      <c r="AN2376"/>
      <c r="AO2376"/>
    </row>
    <row r="2377" spans="1:41" ht="15">
      <c r="A2377"/>
      <c r="B2377"/>
      <c r="C2377" s="137"/>
      <c r="D2377" s="30"/>
      <c r="E2377" s="30"/>
      <c r="F2377" s="10"/>
      <c r="G2377" s="10"/>
      <c r="H2377" s="15"/>
      <c r="I2377" s="15"/>
      <c r="J2377" s="15"/>
      <c r="K2377" s="15"/>
      <c r="L2377" s="15"/>
      <c r="M2377" s="15"/>
      <c r="N2377" s="15"/>
      <c r="O2377" s="15"/>
      <c r="P2377" s="15"/>
      <c r="Q2377" s="71"/>
      <c r="R2377" s="84"/>
      <c r="S2377" s="10"/>
      <c r="T2377" s="10"/>
      <c r="U2377" s="10"/>
      <c r="V2377" s="10"/>
      <c r="W2377" s="138"/>
      <c r="Y2377"/>
      <c r="Z2377"/>
      <c r="AA2377"/>
      <c r="AB2377"/>
      <c r="AC2377"/>
      <c r="AD2377"/>
      <c r="AE2377"/>
      <c r="AF2377"/>
      <c r="AG2377"/>
      <c r="AH2377"/>
      <c r="AI2377"/>
      <c r="AJ2377"/>
      <c r="AK2377"/>
      <c r="AL2377"/>
      <c r="AM2377"/>
      <c r="AN2377"/>
      <c r="AO2377"/>
    </row>
    <row r="2378" spans="1:41" ht="15">
      <c r="A2378"/>
      <c r="B2378"/>
      <c r="C2378" s="137"/>
      <c r="D2378" s="30"/>
      <c r="E2378" s="30"/>
      <c r="F2378" s="10"/>
      <c r="G2378" s="10"/>
      <c r="H2378" s="15"/>
      <c r="I2378" s="15"/>
      <c r="J2378" s="15"/>
      <c r="K2378" s="15"/>
      <c r="L2378" s="15"/>
      <c r="M2378" s="15"/>
      <c r="N2378" s="15"/>
      <c r="O2378" s="15"/>
      <c r="P2378" s="15"/>
      <c r="Q2378" s="71"/>
      <c r="R2378" s="84"/>
      <c r="S2378" s="10"/>
      <c r="T2378" s="10"/>
      <c r="U2378" s="10"/>
      <c r="V2378" s="10"/>
      <c r="W2378" s="138"/>
      <c r="Y2378"/>
      <c r="Z2378"/>
      <c r="AA2378"/>
      <c r="AB2378"/>
      <c r="AC2378"/>
      <c r="AD2378"/>
      <c r="AE2378"/>
      <c r="AF2378"/>
      <c r="AG2378"/>
      <c r="AH2378"/>
      <c r="AI2378"/>
      <c r="AJ2378"/>
      <c r="AK2378"/>
      <c r="AL2378"/>
      <c r="AM2378"/>
      <c r="AN2378"/>
      <c r="AO2378"/>
    </row>
    <row r="2379" spans="1:41" ht="15">
      <c r="A2379"/>
      <c r="B2379"/>
      <c r="C2379" s="137"/>
      <c r="D2379" s="30"/>
      <c r="E2379" s="30"/>
      <c r="F2379" s="10"/>
      <c r="G2379" s="10"/>
      <c r="H2379" s="15"/>
      <c r="I2379" s="15"/>
      <c r="J2379" s="15"/>
      <c r="K2379" s="15"/>
      <c r="L2379" s="15"/>
      <c r="M2379" s="15"/>
      <c r="N2379" s="15"/>
      <c r="O2379" s="15"/>
      <c r="P2379" s="15"/>
      <c r="Q2379" s="71"/>
      <c r="R2379" s="84"/>
      <c r="S2379" s="10"/>
      <c r="T2379" s="10"/>
      <c r="U2379" s="10"/>
      <c r="V2379" s="10"/>
      <c r="W2379" s="138"/>
      <c r="Y2379"/>
      <c r="Z2379"/>
      <c r="AA2379"/>
      <c r="AB2379"/>
      <c r="AC2379"/>
      <c r="AD2379"/>
      <c r="AE2379"/>
      <c r="AF2379"/>
      <c r="AG2379"/>
      <c r="AH2379"/>
      <c r="AI2379"/>
      <c r="AJ2379"/>
      <c r="AK2379"/>
      <c r="AL2379"/>
      <c r="AM2379"/>
      <c r="AN2379"/>
      <c r="AO2379"/>
    </row>
    <row r="2380" spans="1:41" ht="15">
      <c r="A2380"/>
      <c r="B2380"/>
      <c r="C2380" s="137"/>
      <c r="D2380" s="30"/>
      <c r="E2380" s="30"/>
      <c r="F2380" s="10"/>
      <c r="G2380" s="10"/>
      <c r="H2380" s="15"/>
      <c r="I2380" s="15"/>
      <c r="J2380" s="15"/>
      <c r="K2380" s="15"/>
      <c r="L2380" s="15"/>
      <c r="M2380" s="15"/>
      <c r="N2380" s="15"/>
      <c r="O2380" s="15"/>
      <c r="P2380" s="15"/>
      <c r="Q2380" s="71"/>
      <c r="R2380" s="84"/>
      <c r="S2380" s="10"/>
      <c r="T2380" s="10"/>
      <c r="U2380" s="10"/>
      <c r="V2380" s="10"/>
      <c r="W2380" s="138"/>
      <c r="Y2380"/>
      <c r="Z2380"/>
      <c r="AA2380"/>
      <c r="AB2380"/>
      <c r="AC2380"/>
      <c r="AD2380"/>
      <c r="AE2380"/>
      <c r="AF2380"/>
      <c r="AG2380"/>
      <c r="AH2380"/>
      <c r="AI2380"/>
      <c r="AJ2380"/>
      <c r="AK2380"/>
      <c r="AL2380"/>
      <c r="AM2380"/>
      <c r="AN2380"/>
      <c r="AO2380"/>
    </row>
    <row r="2381" spans="1:41" ht="15">
      <c r="A2381"/>
      <c r="B2381"/>
      <c r="C2381" s="137"/>
      <c r="D2381" s="30"/>
      <c r="E2381" s="30"/>
      <c r="F2381" s="10"/>
      <c r="G2381" s="10"/>
      <c r="H2381" s="15"/>
      <c r="I2381" s="15"/>
      <c r="J2381" s="15"/>
      <c r="K2381" s="15"/>
      <c r="L2381" s="15"/>
      <c r="M2381" s="15"/>
      <c r="N2381" s="15"/>
      <c r="O2381" s="15"/>
      <c r="P2381" s="15"/>
      <c r="Q2381" s="71"/>
      <c r="R2381" s="84"/>
      <c r="S2381" s="10"/>
      <c r="T2381" s="10"/>
      <c r="U2381" s="10"/>
      <c r="V2381" s="10"/>
      <c r="W2381" s="138"/>
      <c r="Y2381"/>
      <c r="Z2381"/>
      <c r="AA2381"/>
      <c r="AB2381"/>
      <c r="AC2381"/>
      <c r="AD2381"/>
      <c r="AE2381"/>
      <c r="AF2381"/>
      <c r="AG2381"/>
      <c r="AH2381"/>
      <c r="AI2381"/>
      <c r="AJ2381"/>
      <c r="AK2381"/>
      <c r="AL2381"/>
      <c r="AM2381"/>
      <c r="AN2381"/>
      <c r="AO2381"/>
    </row>
    <row r="2382" spans="1:41" ht="15">
      <c r="A2382"/>
      <c r="B2382"/>
      <c r="C2382" s="137"/>
      <c r="D2382" s="30"/>
      <c r="E2382" s="30"/>
      <c r="F2382" s="10"/>
      <c r="G2382" s="10"/>
      <c r="H2382" s="15"/>
      <c r="I2382" s="15"/>
      <c r="J2382" s="15"/>
      <c r="K2382" s="15"/>
      <c r="L2382" s="15"/>
      <c r="M2382" s="15"/>
      <c r="N2382" s="15"/>
      <c r="O2382" s="15"/>
      <c r="P2382" s="15"/>
      <c r="Q2382" s="71"/>
      <c r="R2382" s="84"/>
      <c r="S2382" s="10"/>
      <c r="T2382" s="10"/>
      <c r="U2382" s="10"/>
      <c r="V2382" s="10"/>
      <c r="W2382" s="138"/>
      <c r="Y2382"/>
      <c r="Z2382"/>
      <c r="AA2382"/>
      <c r="AB2382"/>
      <c r="AC2382"/>
      <c r="AD2382"/>
      <c r="AE2382"/>
      <c r="AF2382"/>
      <c r="AG2382"/>
      <c r="AH2382"/>
      <c r="AI2382"/>
      <c r="AJ2382"/>
      <c r="AK2382"/>
      <c r="AL2382"/>
      <c r="AM2382"/>
      <c r="AN2382"/>
      <c r="AO2382"/>
    </row>
    <row r="2383" spans="1:41" ht="15">
      <c r="A2383"/>
      <c r="B2383"/>
      <c r="C2383" s="137"/>
      <c r="D2383" s="30"/>
      <c r="E2383" s="30"/>
      <c r="F2383" s="10"/>
      <c r="G2383" s="10"/>
      <c r="H2383" s="15"/>
      <c r="I2383" s="15"/>
      <c r="J2383" s="15"/>
      <c r="K2383" s="15"/>
      <c r="L2383" s="15"/>
      <c r="M2383" s="15"/>
      <c r="N2383" s="15"/>
      <c r="O2383" s="15"/>
      <c r="P2383" s="15"/>
      <c r="Q2383" s="71"/>
      <c r="R2383" s="84"/>
      <c r="S2383" s="10"/>
      <c r="T2383" s="10"/>
      <c r="U2383" s="10"/>
      <c r="V2383" s="10"/>
      <c r="W2383" s="138"/>
      <c r="Y2383"/>
      <c r="Z2383"/>
      <c r="AA2383"/>
      <c r="AB2383"/>
      <c r="AC2383"/>
      <c r="AD2383"/>
      <c r="AE2383"/>
      <c r="AF2383"/>
      <c r="AG2383"/>
      <c r="AH2383"/>
      <c r="AI2383"/>
      <c r="AJ2383"/>
      <c r="AK2383"/>
      <c r="AL2383"/>
      <c r="AM2383"/>
      <c r="AN2383"/>
      <c r="AO2383"/>
    </row>
    <row r="2384" spans="1:41" ht="15">
      <c r="A2384"/>
      <c r="B2384"/>
      <c r="C2384" s="137"/>
      <c r="D2384" s="30"/>
      <c r="E2384" s="30"/>
      <c r="F2384" s="10"/>
      <c r="G2384" s="10"/>
      <c r="H2384" s="15"/>
      <c r="I2384" s="15"/>
      <c r="J2384" s="15"/>
      <c r="K2384" s="15"/>
      <c r="L2384" s="15"/>
      <c r="M2384" s="15"/>
      <c r="N2384" s="15"/>
      <c r="O2384" s="15"/>
      <c r="P2384" s="15"/>
      <c r="Q2384" s="71"/>
      <c r="R2384" s="84"/>
      <c r="S2384" s="10"/>
      <c r="T2384" s="10"/>
      <c r="U2384" s="10"/>
      <c r="V2384" s="10"/>
      <c r="W2384" s="138"/>
      <c r="Y2384"/>
      <c r="Z2384"/>
      <c r="AA2384"/>
      <c r="AB2384"/>
      <c r="AC2384"/>
      <c r="AD2384"/>
      <c r="AE2384"/>
      <c r="AF2384"/>
      <c r="AG2384"/>
      <c r="AH2384"/>
      <c r="AI2384"/>
      <c r="AJ2384"/>
      <c r="AK2384"/>
      <c r="AL2384"/>
      <c r="AM2384"/>
      <c r="AN2384"/>
      <c r="AO2384"/>
    </row>
    <row r="2385" spans="1:41" ht="15">
      <c r="A2385"/>
      <c r="B2385"/>
      <c r="C2385" s="137"/>
      <c r="D2385" s="30"/>
      <c r="E2385" s="30"/>
      <c r="F2385" s="10"/>
      <c r="G2385" s="10"/>
      <c r="H2385" s="15"/>
      <c r="I2385" s="15"/>
      <c r="J2385" s="15"/>
      <c r="K2385" s="15"/>
      <c r="L2385" s="15"/>
      <c r="M2385" s="15"/>
      <c r="N2385" s="15"/>
      <c r="O2385" s="15"/>
      <c r="P2385" s="15"/>
      <c r="Q2385" s="71"/>
      <c r="R2385" s="84"/>
      <c r="S2385" s="10"/>
      <c r="T2385" s="10"/>
      <c r="U2385" s="10"/>
      <c r="V2385" s="10"/>
      <c r="W2385" s="138"/>
      <c r="Y2385"/>
      <c r="Z2385"/>
      <c r="AA2385"/>
      <c r="AB2385"/>
      <c r="AC2385"/>
      <c r="AD2385"/>
      <c r="AE2385"/>
      <c r="AF2385"/>
      <c r="AG2385"/>
      <c r="AH2385"/>
      <c r="AI2385"/>
      <c r="AJ2385"/>
      <c r="AK2385"/>
      <c r="AL2385"/>
      <c r="AM2385"/>
      <c r="AN2385"/>
      <c r="AO2385"/>
    </row>
    <row r="2386" spans="1:41" ht="15">
      <c r="A2386"/>
      <c r="B2386"/>
      <c r="C2386" s="137"/>
      <c r="D2386" s="30"/>
      <c r="E2386" s="30"/>
      <c r="F2386" s="10"/>
      <c r="G2386" s="10"/>
      <c r="H2386" s="15"/>
      <c r="I2386" s="15"/>
      <c r="J2386" s="15"/>
      <c r="K2386" s="15"/>
      <c r="L2386" s="15"/>
      <c r="M2386" s="15"/>
      <c r="N2386" s="15"/>
      <c r="O2386" s="15"/>
      <c r="P2386" s="15"/>
      <c r="Q2386" s="71"/>
      <c r="R2386" s="84"/>
      <c r="S2386" s="10"/>
      <c r="T2386" s="10"/>
      <c r="U2386" s="10"/>
      <c r="V2386" s="10"/>
      <c r="W2386" s="138"/>
      <c r="Y2386"/>
      <c r="Z2386"/>
      <c r="AA2386"/>
      <c r="AB2386"/>
      <c r="AC2386"/>
      <c r="AD2386"/>
      <c r="AE2386"/>
      <c r="AF2386"/>
      <c r="AG2386"/>
      <c r="AH2386"/>
      <c r="AI2386"/>
      <c r="AJ2386"/>
      <c r="AK2386"/>
      <c r="AL2386"/>
      <c r="AM2386"/>
      <c r="AN2386"/>
      <c r="AO2386"/>
    </row>
    <row r="2387" spans="1:41" ht="15">
      <c r="A2387"/>
      <c r="B2387"/>
      <c r="C2387" s="137"/>
      <c r="D2387" s="30"/>
      <c r="E2387" s="30"/>
      <c r="F2387" s="10"/>
      <c r="G2387" s="10"/>
      <c r="H2387" s="15"/>
      <c r="I2387" s="15"/>
      <c r="J2387" s="15"/>
      <c r="K2387" s="15"/>
      <c r="L2387" s="15"/>
      <c r="M2387" s="15"/>
      <c r="N2387" s="15"/>
      <c r="O2387" s="15"/>
      <c r="P2387" s="15"/>
      <c r="Q2387" s="71"/>
      <c r="R2387" s="84"/>
      <c r="S2387" s="10"/>
      <c r="T2387" s="10"/>
      <c r="U2387" s="10"/>
      <c r="V2387" s="10"/>
      <c r="W2387" s="138"/>
      <c r="Y2387"/>
      <c r="Z2387"/>
      <c r="AA2387"/>
      <c r="AB2387"/>
      <c r="AC2387"/>
      <c r="AD2387"/>
      <c r="AE2387"/>
      <c r="AF2387"/>
      <c r="AG2387"/>
      <c r="AH2387"/>
      <c r="AI2387"/>
      <c r="AJ2387"/>
      <c r="AK2387"/>
      <c r="AL2387"/>
      <c r="AM2387"/>
      <c r="AN2387"/>
      <c r="AO2387"/>
    </row>
    <row r="2388" spans="1:41" ht="15">
      <c r="A2388"/>
      <c r="B2388"/>
      <c r="C2388" s="137"/>
      <c r="D2388" s="30"/>
      <c r="E2388" s="30"/>
      <c r="F2388" s="10"/>
      <c r="G2388" s="10"/>
      <c r="H2388" s="15"/>
      <c r="I2388" s="15"/>
      <c r="J2388" s="15"/>
      <c r="K2388" s="15"/>
      <c r="L2388" s="15"/>
      <c r="M2388" s="15"/>
      <c r="N2388" s="15"/>
      <c r="O2388" s="15"/>
      <c r="P2388" s="15"/>
      <c r="Q2388" s="71"/>
      <c r="R2388" s="84"/>
      <c r="S2388" s="10"/>
      <c r="T2388" s="10"/>
      <c r="U2388" s="10"/>
      <c r="V2388" s="10"/>
      <c r="W2388" s="138"/>
      <c r="Y2388"/>
      <c r="Z2388"/>
      <c r="AA2388"/>
      <c r="AB2388"/>
      <c r="AC2388"/>
      <c r="AD2388"/>
      <c r="AE2388"/>
      <c r="AF2388"/>
      <c r="AG2388"/>
      <c r="AH2388"/>
      <c r="AI2388"/>
      <c r="AJ2388"/>
      <c r="AK2388"/>
      <c r="AL2388"/>
      <c r="AM2388"/>
      <c r="AN2388"/>
      <c r="AO2388"/>
    </row>
    <row r="2389" spans="1:41" ht="15">
      <c r="A2389"/>
      <c r="B2389"/>
      <c r="C2389" s="137"/>
      <c r="D2389" s="30"/>
      <c r="E2389" s="30"/>
      <c r="F2389" s="10"/>
      <c r="G2389" s="10"/>
      <c r="H2389" s="15"/>
      <c r="I2389" s="15"/>
      <c r="J2389" s="15"/>
      <c r="K2389" s="15"/>
      <c r="L2389" s="15"/>
      <c r="M2389" s="15"/>
      <c r="N2389" s="15"/>
      <c r="O2389" s="15"/>
      <c r="P2389" s="15"/>
      <c r="Q2389" s="71"/>
      <c r="R2389" s="84"/>
      <c r="S2389" s="10"/>
      <c r="T2389" s="10"/>
      <c r="U2389" s="10"/>
      <c r="V2389" s="10"/>
      <c r="W2389" s="138"/>
      <c r="Y2389"/>
      <c r="Z2389"/>
      <c r="AA2389"/>
      <c r="AB2389"/>
      <c r="AC2389"/>
      <c r="AD2389"/>
      <c r="AE2389"/>
      <c r="AF2389"/>
      <c r="AG2389"/>
      <c r="AH2389"/>
      <c r="AI2389"/>
      <c r="AJ2389"/>
      <c r="AK2389"/>
      <c r="AL2389"/>
      <c r="AM2389"/>
      <c r="AN2389"/>
      <c r="AO2389"/>
    </row>
    <row r="2390" spans="1:41" ht="15">
      <c r="A2390"/>
      <c r="B2390"/>
      <c r="C2390" s="137"/>
      <c r="D2390" s="30"/>
      <c r="E2390" s="30"/>
      <c r="F2390" s="10"/>
      <c r="G2390" s="10"/>
      <c r="H2390" s="15"/>
      <c r="I2390" s="15"/>
      <c r="J2390" s="15"/>
      <c r="K2390" s="15"/>
      <c r="L2390" s="15"/>
      <c r="M2390" s="15"/>
      <c r="N2390" s="15"/>
      <c r="O2390" s="15"/>
      <c r="P2390" s="15"/>
      <c r="Q2390" s="71"/>
      <c r="R2390" s="84"/>
      <c r="S2390" s="10"/>
      <c r="T2390" s="10"/>
      <c r="U2390" s="10"/>
      <c r="V2390" s="10"/>
      <c r="W2390" s="138"/>
      <c r="Y2390"/>
      <c r="Z2390"/>
      <c r="AA2390"/>
      <c r="AB2390"/>
      <c r="AC2390"/>
      <c r="AD2390"/>
      <c r="AE2390"/>
      <c r="AF2390"/>
      <c r="AG2390"/>
      <c r="AH2390"/>
      <c r="AI2390"/>
      <c r="AJ2390"/>
      <c r="AK2390"/>
      <c r="AL2390"/>
      <c r="AM2390"/>
      <c r="AN2390"/>
      <c r="AO2390"/>
    </row>
    <row r="2391" spans="1:41" ht="15">
      <c r="A2391"/>
      <c r="B2391"/>
      <c r="C2391" s="137"/>
      <c r="D2391" s="30"/>
      <c r="E2391" s="30"/>
      <c r="F2391" s="10"/>
      <c r="G2391" s="10"/>
      <c r="H2391" s="15"/>
      <c r="I2391" s="15"/>
      <c r="J2391" s="15"/>
      <c r="K2391" s="15"/>
      <c r="L2391" s="15"/>
      <c r="M2391" s="15"/>
      <c r="N2391" s="15"/>
      <c r="O2391" s="15"/>
      <c r="P2391" s="15"/>
      <c r="Q2391" s="71"/>
      <c r="R2391" s="84"/>
      <c r="S2391" s="10"/>
      <c r="T2391" s="10"/>
      <c r="U2391" s="10"/>
      <c r="V2391" s="10"/>
      <c r="W2391" s="138"/>
      <c r="Y2391"/>
      <c r="Z2391"/>
      <c r="AA2391"/>
      <c r="AB2391"/>
      <c r="AC2391"/>
      <c r="AD2391"/>
      <c r="AE2391"/>
      <c r="AF2391"/>
      <c r="AG2391"/>
      <c r="AH2391"/>
      <c r="AI2391"/>
      <c r="AJ2391"/>
      <c r="AK2391"/>
      <c r="AL2391"/>
      <c r="AM2391"/>
      <c r="AN2391"/>
      <c r="AO2391"/>
    </row>
    <row r="2392" spans="1:41" ht="15">
      <c r="A2392"/>
      <c r="B2392"/>
      <c r="C2392" s="137"/>
      <c r="D2392" s="30"/>
      <c r="E2392" s="30"/>
      <c r="F2392" s="10"/>
      <c r="G2392" s="10"/>
      <c r="H2392" s="15"/>
      <c r="I2392" s="15"/>
      <c r="J2392" s="15"/>
      <c r="K2392" s="15"/>
      <c r="L2392" s="15"/>
      <c r="M2392" s="15"/>
      <c r="N2392" s="15"/>
      <c r="O2392" s="15"/>
      <c r="P2392" s="15"/>
      <c r="Q2392" s="71"/>
      <c r="R2392" s="84"/>
      <c r="S2392" s="10"/>
      <c r="T2392" s="10"/>
      <c r="U2392" s="10"/>
      <c r="V2392" s="10"/>
      <c r="W2392" s="138"/>
      <c r="Y2392"/>
      <c r="Z2392"/>
      <c r="AA2392"/>
      <c r="AB2392"/>
      <c r="AC2392"/>
      <c r="AD2392"/>
      <c r="AE2392"/>
      <c r="AF2392"/>
      <c r="AG2392"/>
      <c r="AH2392"/>
      <c r="AI2392"/>
      <c r="AJ2392"/>
      <c r="AK2392"/>
      <c r="AL2392"/>
      <c r="AM2392"/>
      <c r="AN2392"/>
      <c r="AO2392"/>
    </row>
    <row r="2393" spans="1:41" ht="15">
      <c r="A2393"/>
      <c r="B2393"/>
      <c r="C2393" s="137"/>
      <c r="D2393" s="30"/>
      <c r="E2393" s="30"/>
      <c r="F2393" s="10"/>
      <c r="G2393" s="10"/>
      <c r="H2393" s="15"/>
      <c r="I2393" s="15"/>
      <c r="J2393" s="15"/>
      <c r="K2393" s="15"/>
      <c r="L2393" s="15"/>
      <c r="M2393" s="15"/>
      <c r="N2393" s="15"/>
      <c r="O2393" s="15"/>
      <c r="P2393" s="15"/>
      <c r="Q2393" s="71"/>
      <c r="R2393" s="84"/>
      <c r="S2393" s="10"/>
      <c r="T2393" s="10"/>
      <c r="U2393" s="10"/>
      <c r="V2393" s="10"/>
      <c r="W2393" s="138"/>
      <c r="Y2393"/>
      <c r="Z2393"/>
      <c r="AA2393"/>
      <c r="AB2393"/>
      <c r="AC2393"/>
      <c r="AD2393"/>
      <c r="AE2393"/>
      <c r="AF2393"/>
      <c r="AG2393"/>
      <c r="AH2393"/>
      <c r="AI2393"/>
      <c r="AJ2393"/>
      <c r="AK2393"/>
      <c r="AL2393"/>
      <c r="AM2393"/>
      <c r="AN2393"/>
      <c r="AO2393"/>
    </row>
    <row r="2394" spans="1:41" ht="15">
      <c r="A2394"/>
      <c r="B2394"/>
      <c r="C2394" s="137"/>
      <c r="D2394" s="30"/>
      <c r="E2394" s="30"/>
      <c r="F2394" s="10"/>
      <c r="G2394" s="10"/>
      <c r="H2394" s="15"/>
      <c r="I2394" s="15"/>
      <c r="J2394" s="15"/>
      <c r="K2394" s="15"/>
      <c r="L2394" s="15"/>
      <c r="M2394" s="15"/>
      <c r="N2394" s="15"/>
      <c r="O2394" s="15"/>
      <c r="P2394" s="15"/>
      <c r="Q2394" s="71"/>
      <c r="R2394" s="84"/>
      <c r="S2394" s="10"/>
      <c r="T2394" s="10"/>
      <c r="U2394" s="10"/>
      <c r="V2394" s="10"/>
      <c r="W2394" s="138"/>
      <c r="Y2394"/>
      <c r="Z2394"/>
      <c r="AA2394"/>
      <c r="AB2394"/>
      <c r="AC2394"/>
      <c r="AD2394"/>
      <c r="AE2394"/>
      <c r="AF2394"/>
      <c r="AG2394"/>
      <c r="AH2394"/>
      <c r="AI2394"/>
      <c r="AJ2394"/>
      <c r="AK2394"/>
      <c r="AL2394"/>
      <c r="AM2394"/>
      <c r="AN2394"/>
      <c r="AO2394"/>
    </row>
    <row r="2395" spans="1:41" ht="15">
      <c r="A2395"/>
      <c r="B2395"/>
      <c r="C2395" s="137"/>
      <c r="D2395" s="30"/>
      <c r="E2395" s="30"/>
      <c r="F2395" s="10"/>
      <c r="G2395" s="10"/>
      <c r="H2395" s="15"/>
      <c r="I2395" s="15"/>
      <c r="J2395" s="15"/>
      <c r="K2395" s="15"/>
      <c r="L2395" s="15"/>
      <c r="M2395" s="15"/>
      <c r="N2395" s="15"/>
      <c r="O2395" s="15"/>
      <c r="P2395" s="15"/>
      <c r="Q2395" s="71"/>
      <c r="R2395" s="84"/>
      <c r="S2395" s="10"/>
      <c r="T2395" s="10"/>
      <c r="U2395" s="10"/>
      <c r="V2395" s="10"/>
      <c r="W2395" s="138"/>
      <c r="Y2395"/>
      <c r="Z2395"/>
      <c r="AA2395"/>
      <c r="AB2395"/>
      <c r="AC2395"/>
      <c r="AD2395"/>
      <c r="AE2395"/>
      <c r="AF2395"/>
      <c r="AG2395"/>
      <c r="AH2395"/>
      <c r="AI2395"/>
      <c r="AJ2395"/>
      <c r="AK2395"/>
      <c r="AL2395"/>
      <c r="AM2395"/>
      <c r="AN2395"/>
      <c r="AO2395"/>
    </row>
    <row r="2396" spans="1:41" ht="15">
      <c r="A2396"/>
      <c r="B2396"/>
      <c r="C2396" s="137"/>
      <c r="D2396" s="30"/>
      <c r="E2396" s="30"/>
      <c r="F2396" s="10"/>
      <c r="G2396" s="10"/>
      <c r="H2396" s="15"/>
      <c r="I2396" s="15"/>
      <c r="J2396" s="15"/>
      <c r="K2396" s="15"/>
      <c r="L2396" s="15"/>
      <c r="M2396" s="15"/>
      <c r="N2396" s="15"/>
      <c r="O2396" s="15"/>
      <c r="P2396" s="15"/>
      <c r="Q2396" s="71"/>
      <c r="R2396" s="84"/>
      <c r="S2396" s="10"/>
      <c r="T2396" s="10"/>
      <c r="U2396" s="10"/>
      <c r="V2396" s="10"/>
      <c r="W2396" s="138"/>
      <c r="Y2396"/>
      <c r="Z2396"/>
      <c r="AA2396"/>
      <c r="AB2396"/>
      <c r="AC2396"/>
      <c r="AD2396"/>
      <c r="AE2396"/>
      <c r="AF2396"/>
      <c r="AG2396"/>
      <c r="AH2396"/>
      <c r="AI2396"/>
      <c r="AJ2396"/>
      <c r="AK2396"/>
      <c r="AL2396"/>
      <c r="AM2396"/>
      <c r="AN2396"/>
      <c r="AO2396"/>
    </row>
    <row r="2397" spans="1:41" ht="15">
      <c r="A2397"/>
      <c r="B2397"/>
      <c r="C2397" s="137"/>
      <c r="D2397" s="30"/>
      <c r="E2397" s="30"/>
      <c r="F2397" s="10"/>
      <c r="G2397" s="10"/>
      <c r="H2397" s="15"/>
      <c r="I2397" s="15"/>
      <c r="J2397" s="15"/>
      <c r="K2397" s="15"/>
      <c r="L2397" s="15"/>
      <c r="M2397" s="15"/>
      <c r="N2397" s="15"/>
      <c r="O2397" s="15"/>
      <c r="P2397" s="15"/>
      <c r="Q2397" s="71"/>
      <c r="R2397" s="84"/>
      <c r="S2397" s="10"/>
      <c r="T2397" s="10"/>
      <c r="U2397" s="10"/>
      <c r="V2397" s="10"/>
      <c r="W2397" s="138"/>
      <c r="Y2397"/>
      <c r="Z2397"/>
      <c r="AA2397"/>
      <c r="AB2397"/>
      <c r="AC2397"/>
      <c r="AD2397"/>
      <c r="AE2397"/>
      <c r="AF2397"/>
      <c r="AG2397"/>
      <c r="AH2397"/>
      <c r="AI2397"/>
      <c r="AJ2397"/>
      <c r="AK2397"/>
      <c r="AL2397"/>
      <c r="AM2397"/>
      <c r="AN2397"/>
      <c r="AO2397"/>
    </row>
    <row r="2398" spans="1:41" ht="15">
      <c r="A2398"/>
      <c r="B2398"/>
      <c r="C2398" s="137"/>
      <c r="D2398" s="30"/>
      <c r="E2398" s="30"/>
      <c r="F2398" s="10"/>
      <c r="G2398" s="10"/>
      <c r="H2398" s="15"/>
      <c r="I2398" s="15"/>
      <c r="J2398" s="15"/>
      <c r="K2398" s="15"/>
      <c r="L2398" s="15"/>
      <c r="M2398" s="15"/>
      <c r="N2398" s="15"/>
      <c r="O2398" s="15"/>
      <c r="P2398" s="15"/>
      <c r="Q2398" s="71"/>
      <c r="R2398" s="84"/>
      <c r="S2398" s="10"/>
      <c r="T2398" s="10"/>
      <c r="U2398" s="10"/>
      <c r="V2398" s="10"/>
      <c r="W2398" s="138"/>
      <c r="Y2398"/>
      <c r="Z2398"/>
      <c r="AA2398"/>
      <c r="AB2398"/>
      <c r="AC2398"/>
      <c r="AD2398"/>
      <c r="AE2398"/>
      <c r="AF2398"/>
      <c r="AG2398"/>
      <c r="AH2398"/>
      <c r="AI2398"/>
      <c r="AJ2398"/>
      <c r="AK2398"/>
      <c r="AL2398"/>
      <c r="AM2398"/>
      <c r="AN2398"/>
      <c r="AO2398"/>
    </row>
    <row r="2399" spans="1:41" ht="15">
      <c r="A2399"/>
      <c r="B2399"/>
      <c r="C2399" s="137"/>
      <c r="D2399" s="30"/>
      <c r="E2399" s="30"/>
      <c r="F2399" s="10"/>
      <c r="G2399" s="10"/>
      <c r="H2399" s="15"/>
      <c r="I2399" s="15"/>
      <c r="J2399" s="15"/>
      <c r="K2399" s="15"/>
      <c r="L2399" s="15"/>
      <c r="M2399" s="15"/>
      <c r="N2399" s="15"/>
      <c r="O2399" s="15"/>
      <c r="P2399" s="15"/>
      <c r="Q2399" s="71"/>
      <c r="R2399" s="84"/>
      <c r="S2399" s="10"/>
      <c r="T2399" s="10"/>
      <c r="U2399" s="10"/>
      <c r="V2399" s="10"/>
      <c r="W2399" s="138"/>
      <c r="Y2399"/>
      <c r="Z2399"/>
      <c r="AA2399"/>
      <c r="AB2399"/>
      <c r="AC2399"/>
      <c r="AD2399"/>
      <c r="AE2399"/>
      <c r="AF2399"/>
      <c r="AG2399"/>
      <c r="AH2399"/>
      <c r="AI2399"/>
      <c r="AJ2399"/>
      <c r="AK2399"/>
      <c r="AL2399"/>
      <c r="AM2399"/>
      <c r="AN2399"/>
      <c r="AO2399"/>
    </row>
    <row r="2400" spans="1:41" ht="15">
      <c r="A2400"/>
      <c r="B2400"/>
      <c r="C2400" s="137"/>
      <c r="D2400" s="30"/>
      <c r="E2400" s="30"/>
      <c r="F2400" s="10"/>
      <c r="G2400" s="10"/>
      <c r="H2400" s="15"/>
      <c r="I2400" s="15"/>
      <c r="J2400" s="15"/>
      <c r="K2400" s="15"/>
      <c r="L2400" s="15"/>
      <c r="M2400" s="15"/>
      <c r="N2400" s="15"/>
      <c r="O2400" s="15"/>
      <c r="P2400" s="15"/>
      <c r="Q2400" s="71"/>
      <c r="R2400" s="84"/>
      <c r="S2400" s="10"/>
      <c r="T2400" s="10"/>
      <c r="U2400" s="10"/>
      <c r="V2400" s="10"/>
      <c r="W2400" s="138"/>
      <c r="Y2400"/>
      <c r="Z2400"/>
      <c r="AA2400"/>
      <c r="AB2400"/>
      <c r="AC2400"/>
      <c r="AD2400"/>
      <c r="AE2400"/>
      <c r="AF2400"/>
      <c r="AG2400"/>
      <c r="AH2400"/>
      <c r="AI2400"/>
      <c r="AJ2400"/>
      <c r="AK2400"/>
      <c r="AL2400"/>
      <c r="AM2400"/>
      <c r="AN2400"/>
      <c r="AO2400"/>
    </row>
    <row r="2401" spans="1:41" ht="15">
      <c r="A2401"/>
      <c r="B2401"/>
      <c r="C2401" s="137"/>
      <c r="D2401" s="30"/>
      <c r="E2401" s="30"/>
      <c r="F2401" s="10"/>
      <c r="G2401" s="10"/>
      <c r="H2401" s="15"/>
      <c r="I2401" s="15"/>
      <c r="J2401" s="15"/>
      <c r="K2401" s="15"/>
      <c r="L2401" s="15"/>
      <c r="M2401" s="15"/>
      <c r="N2401" s="15"/>
      <c r="O2401" s="15"/>
      <c r="P2401" s="15"/>
      <c r="Q2401" s="71"/>
      <c r="R2401" s="84"/>
      <c r="S2401" s="10"/>
      <c r="T2401" s="10"/>
      <c r="U2401" s="10"/>
      <c r="V2401" s="10"/>
      <c r="W2401" s="138"/>
      <c r="Y2401"/>
      <c r="Z2401"/>
      <c r="AA2401"/>
      <c r="AB2401"/>
      <c r="AC2401"/>
      <c r="AD2401"/>
      <c r="AE2401"/>
      <c r="AF2401"/>
      <c r="AG2401"/>
      <c r="AH2401"/>
      <c r="AI2401"/>
      <c r="AJ2401"/>
      <c r="AK2401"/>
      <c r="AL2401"/>
      <c r="AM2401"/>
      <c r="AN2401"/>
      <c r="AO2401"/>
    </row>
    <row r="2402" spans="1:41" ht="15">
      <c r="A2402"/>
      <c r="B2402"/>
      <c r="C2402" s="137"/>
      <c r="D2402" s="30"/>
      <c r="E2402" s="30"/>
      <c r="F2402" s="10"/>
      <c r="G2402" s="10"/>
      <c r="H2402" s="15"/>
      <c r="I2402" s="15"/>
      <c r="J2402" s="15"/>
      <c r="K2402" s="15"/>
      <c r="L2402" s="15"/>
      <c r="M2402" s="15"/>
      <c r="N2402" s="15"/>
      <c r="O2402" s="15"/>
      <c r="P2402" s="15"/>
      <c r="Q2402" s="71"/>
      <c r="R2402" s="84"/>
      <c r="S2402" s="10"/>
      <c r="T2402" s="10"/>
      <c r="U2402" s="10"/>
      <c r="V2402" s="10"/>
      <c r="W2402" s="138"/>
      <c r="Y2402"/>
      <c r="Z2402"/>
      <c r="AA2402"/>
      <c r="AB2402"/>
      <c r="AC2402"/>
      <c r="AD2402"/>
      <c r="AE2402"/>
      <c r="AF2402"/>
      <c r="AG2402"/>
      <c r="AH2402"/>
      <c r="AI2402"/>
      <c r="AJ2402"/>
      <c r="AK2402"/>
      <c r="AL2402"/>
      <c r="AM2402"/>
      <c r="AN2402"/>
      <c r="AO2402"/>
    </row>
    <row r="2403" spans="1:41" ht="15">
      <c r="A2403"/>
      <c r="B2403"/>
      <c r="C2403" s="137"/>
      <c r="D2403" s="30"/>
      <c r="E2403" s="30"/>
      <c r="F2403" s="10"/>
      <c r="G2403" s="10"/>
      <c r="H2403" s="15"/>
      <c r="I2403" s="15"/>
      <c r="J2403" s="15"/>
      <c r="K2403" s="15"/>
      <c r="L2403" s="15"/>
      <c r="M2403" s="15"/>
      <c r="N2403" s="15"/>
      <c r="O2403" s="15"/>
      <c r="P2403" s="15"/>
      <c r="Q2403" s="71"/>
      <c r="R2403" s="84"/>
      <c r="S2403" s="10"/>
      <c r="T2403" s="10"/>
      <c r="U2403" s="10"/>
      <c r="V2403" s="10"/>
      <c r="W2403" s="138"/>
      <c r="Y2403"/>
      <c r="Z2403"/>
      <c r="AA2403"/>
      <c r="AB2403"/>
      <c r="AC2403"/>
      <c r="AD2403"/>
      <c r="AE2403"/>
      <c r="AF2403"/>
      <c r="AG2403"/>
      <c r="AH2403"/>
      <c r="AI2403"/>
      <c r="AJ2403"/>
      <c r="AK2403"/>
      <c r="AL2403"/>
      <c r="AM2403"/>
      <c r="AN2403"/>
      <c r="AO2403"/>
    </row>
    <row r="2404" spans="1:41" ht="15">
      <c r="A2404"/>
      <c r="B2404"/>
      <c r="C2404" s="137"/>
      <c r="D2404" s="30"/>
      <c r="E2404" s="30"/>
      <c r="F2404" s="10"/>
      <c r="G2404" s="10"/>
      <c r="H2404" s="15"/>
      <c r="I2404" s="15"/>
      <c r="J2404" s="15"/>
      <c r="K2404" s="15"/>
      <c r="L2404" s="15"/>
      <c r="M2404" s="15"/>
      <c r="N2404" s="15"/>
      <c r="O2404" s="15"/>
      <c r="P2404" s="15"/>
      <c r="Q2404" s="71"/>
      <c r="R2404" s="84"/>
      <c r="S2404" s="10"/>
      <c r="T2404" s="10"/>
      <c r="U2404" s="10"/>
      <c r="V2404" s="10"/>
      <c r="W2404" s="138"/>
      <c r="Y2404"/>
      <c r="Z2404"/>
      <c r="AA2404"/>
      <c r="AB2404"/>
      <c r="AC2404"/>
      <c r="AD2404"/>
      <c r="AE2404"/>
      <c r="AF2404"/>
      <c r="AG2404"/>
      <c r="AH2404"/>
      <c r="AI2404"/>
      <c r="AJ2404"/>
      <c r="AK2404"/>
      <c r="AL2404"/>
      <c r="AM2404"/>
      <c r="AN2404"/>
      <c r="AO2404"/>
    </row>
    <row r="2405" spans="1:41" ht="15">
      <c r="A2405"/>
      <c r="B2405"/>
      <c r="C2405" s="137"/>
      <c r="D2405" s="30"/>
      <c r="E2405" s="30"/>
      <c r="F2405" s="10"/>
      <c r="G2405" s="10"/>
      <c r="H2405" s="15"/>
      <c r="I2405" s="15"/>
      <c r="J2405" s="15"/>
      <c r="K2405" s="15"/>
      <c r="L2405" s="15"/>
      <c r="M2405" s="15"/>
      <c r="N2405" s="15"/>
      <c r="O2405" s="15"/>
      <c r="P2405" s="15"/>
      <c r="Q2405" s="71"/>
      <c r="R2405" s="84"/>
      <c r="S2405" s="10"/>
      <c r="T2405" s="10"/>
      <c r="U2405" s="10"/>
      <c r="V2405" s="10"/>
      <c r="W2405" s="138"/>
      <c r="Y2405"/>
      <c r="Z2405"/>
      <c r="AA2405"/>
      <c r="AB2405"/>
      <c r="AC2405"/>
      <c r="AD2405"/>
      <c r="AE2405"/>
      <c r="AF2405"/>
      <c r="AG2405"/>
      <c r="AH2405"/>
      <c r="AI2405"/>
      <c r="AJ2405"/>
      <c r="AK2405"/>
      <c r="AL2405"/>
      <c r="AM2405"/>
      <c r="AN2405"/>
      <c r="AO2405"/>
    </row>
    <row r="2406" spans="1:41" ht="15">
      <c r="A2406"/>
      <c r="B2406"/>
      <c r="C2406" s="137"/>
      <c r="D2406" s="30"/>
      <c r="E2406" s="30"/>
      <c r="F2406" s="10"/>
      <c r="G2406" s="10"/>
      <c r="H2406" s="15"/>
      <c r="I2406" s="15"/>
      <c r="J2406" s="15"/>
      <c r="K2406" s="15"/>
      <c r="L2406" s="15"/>
      <c r="M2406" s="15"/>
      <c r="N2406" s="15"/>
      <c r="O2406" s="15"/>
      <c r="P2406" s="15"/>
      <c r="Q2406" s="71"/>
      <c r="R2406" s="84"/>
      <c r="S2406" s="10"/>
      <c r="T2406" s="10"/>
      <c r="U2406" s="10"/>
      <c r="V2406" s="10"/>
      <c r="W2406" s="138"/>
      <c r="Y2406"/>
      <c r="Z2406"/>
      <c r="AA2406"/>
      <c r="AB2406"/>
      <c r="AC2406"/>
      <c r="AD2406"/>
      <c r="AE2406"/>
      <c r="AF2406"/>
      <c r="AG2406"/>
      <c r="AH2406"/>
      <c r="AI2406"/>
      <c r="AJ2406"/>
      <c r="AK2406"/>
      <c r="AL2406"/>
      <c r="AM2406"/>
      <c r="AN2406"/>
      <c r="AO2406"/>
    </row>
    <row r="2407" spans="1:41" ht="15">
      <c r="A2407"/>
      <c r="B2407"/>
      <c r="C2407" s="137"/>
      <c r="D2407" s="30"/>
      <c r="E2407" s="30"/>
      <c r="F2407" s="10"/>
      <c r="G2407" s="10"/>
      <c r="H2407" s="15"/>
      <c r="I2407" s="15"/>
      <c r="J2407" s="15"/>
      <c r="K2407" s="15"/>
      <c r="L2407" s="15"/>
      <c r="M2407" s="15"/>
      <c r="N2407" s="15"/>
      <c r="O2407" s="15"/>
      <c r="P2407" s="15"/>
      <c r="Q2407" s="71"/>
      <c r="R2407" s="84"/>
      <c r="S2407" s="10"/>
      <c r="T2407" s="10"/>
      <c r="U2407" s="10"/>
      <c r="V2407" s="10"/>
      <c r="W2407" s="138"/>
      <c r="Y2407"/>
      <c r="Z2407"/>
      <c r="AA2407"/>
      <c r="AB2407"/>
      <c r="AC2407"/>
      <c r="AD2407"/>
      <c r="AE2407"/>
      <c r="AF2407"/>
      <c r="AG2407"/>
      <c r="AH2407"/>
      <c r="AI2407"/>
      <c r="AJ2407"/>
      <c r="AK2407"/>
      <c r="AL2407"/>
      <c r="AM2407"/>
      <c r="AN2407"/>
      <c r="AO2407"/>
    </row>
    <row r="2408" spans="1:41" ht="15">
      <c r="A2408"/>
      <c r="B2408"/>
      <c r="C2408" s="137"/>
      <c r="D2408" s="30"/>
      <c r="E2408" s="30"/>
      <c r="F2408" s="10"/>
      <c r="G2408" s="10"/>
      <c r="H2408" s="15"/>
      <c r="I2408" s="15"/>
      <c r="J2408" s="15"/>
      <c r="K2408" s="15"/>
      <c r="L2408" s="15"/>
      <c r="M2408" s="15"/>
      <c r="N2408" s="15"/>
      <c r="O2408" s="15"/>
      <c r="P2408" s="15"/>
      <c r="Q2408" s="71"/>
      <c r="R2408" s="84"/>
      <c r="S2408" s="10"/>
      <c r="T2408" s="10"/>
      <c r="U2408" s="10"/>
      <c r="V2408" s="10"/>
      <c r="W2408" s="138"/>
      <c r="Y2408"/>
      <c r="Z2408"/>
      <c r="AA2408"/>
      <c r="AB2408"/>
      <c r="AC2408"/>
      <c r="AD2408"/>
      <c r="AE2408"/>
      <c r="AF2408"/>
      <c r="AG2408"/>
      <c r="AH2408"/>
      <c r="AI2408"/>
      <c r="AJ2408"/>
      <c r="AK2408"/>
      <c r="AL2408"/>
      <c r="AM2408"/>
      <c r="AN2408"/>
      <c r="AO2408"/>
    </row>
    <row r="2409" spans="1:41" ht="15">
      <c r="A2409"/>
      <c r="B2409"/>
      <c r="C2409" s="137"/>
      <c r="D2409" s="30"/>
      <c r="E2409" s="30"/>
      <c r="F2409" s="10"/>
      <c r="G2409" s="10"/>
      <c r="H2409" s="15"/>
      <c r="I2409" s="15"/>
      <c r="J2409" s="15"/>
      <c r="K2409" s="15"/>
      <c r="L2409" s="15"/>
      <c r="M2409" s="15"/>
      <c r="N2409" s="15"/>
      <c r="O2409" s="15"/>
      <c r="P2409" s="15"/>
      <c r="Q2409" s="71"/>
      <c r="R2409" s="84"/>
      <c r="S2409" s="10"/>
      <c r="T2409" s="10"/>
      <c r="U2409" s="10"/>
      <c r="V2409" s="10"/>
      <c r="W2409" s="138"/>
      <c r="Y2409"/>
      <c r="Z2409"/>
      <c r="AA2409"/>
      <c r="AB2409"/>
      <c r="AC2409"/>
      <c r="AD2409"/>
      <c r="AE2409"/>
      <c r="AF2409"/>
      <c r="AG2409"/>
      <c r="AH2409"/>
      <c r="AI2409"/>
      <c r="AJ2409"/>
      <c r="AK2409"/>
      <c r="AL2409"/>
      <c r="AM2409"/>
      <c r="AN2409"/>
      <c r="AO2409"/>
    </row>
    <row r="2410" spans="1:41" ht="15">
      <c r="A2410"/>
      <c r="B2410"/>
      <c r="C2410" s="137"/>
      <c r="D2410" s="30"/>
      <c r="E2410" s="30"/>
      <c r="F2410" s="10"/>
      <c r="G2410" s="10"/>
      <c r="H2410" s="15"/>
      <c r="I2410" s="15"/>
      <c r="J2410" s="15"/>
      <c r="K2410" s="15"/>
      <c r="L2410" s="15"/>
      <c r="M2410" s="15"/>
      <c r="N2410" s="15"/>
      <c r="O2410" s="15"/>
      <c r="P2410" s="15"/>
      <c r="Q2410" s="71"/>
      <c r="R2410" s="84"/>
      <c r="S2410" s="10"/>
      <c r="T2410" s="10"/>
      <c r="U2410" s="10"/>
      <c r="V2410" s="10"/>
      <c r="W2410" s="138"/>
      <c r="Y2410"/>
      <c r="Z2410"/>
      <c r="AA2410"/>
      <c r="AB2410"/>
      <c r="AC2410"/>
      <c r="AD2410"/>
      <c r="AE2410"/>
      <c r="AF2410"/>
      <c r="AG2410"/>
      <c r="AH2410"/>
      <c r="AI2410"/>
      <c r="AJ2410"/>
      <c r="AK2410"/>
      <c r="AL2410"/>
      <c r="AM2410"/>
      <c r="AN2410"/>
      <c r="AO2410"/>
    </row>
    <row r="2411" spans="1:41" ht="15">
      <c r="A2411"/>
      <c r="B2411"/>
      <c r="C2411" s="137"/>
      <c r="D2411" s="30"/>
      <c r="E2411" s="30"/>
      <c r="F2411" s="10"/>
      <c r="G2411" s="10"/>
      <c r="H2411" s="15"/>
      <c r="I2411" s="15"/>
      <c r="J2411" s="15"/>
      <c r="K2411" s="15"/>
      <c r="L2411" s="15"/>
      <c r="M2411" s="15"/>
      <c r="N2411" s="15"/>
      <c r="O2411" s="15"/>
      <c r="P2411" s="15"/>
      <c r="Q2411" s="71"/>
      <c r="R2411" s="84"/>
      <c r="S2411" s="10"/>
      <c r="T2411" s="10"/>
      <c r="U2411" s="10"/>
      <c r="V2411" s="10"/>
      <c r="W2411" s="138"/>
      <c r="Y2411"/>
      <c r="Z2411"/>
      <c r="AA2411"/>
      <c r="AB2411"/>
      <c r="AC2411"/>
      <c r="AD2411"/>
      <c r="AE2411"/>
      <c r="AF2411"/>
      <c r="AG2411"/>
      <c r="AH2411"/>
      <c r="AI2411"/>
      <c r="AJ2411"/>
      <c r="AK2411"/>
      <c r="AL2411"/>
      <c r="AM2411"/>
      <c r="AN2411"/>
      <c r="AO2411"/>
    </row>
    <row r="2412" spans="1:41" ht="15">
      <c r="A2412"/>
      <c r="B2412"/>
      <c r="C2412" s="137"/>
      <c r="D2412" s="30"/>
      <c r="E2412" s="30"/>
      <c r="F2412" s="10"/>
      <c r="G2412" s="10"/>
      <c r="H2412" s="15"/>
      <c r="I2412" s="15"/>
      <c r="J2412" s="15"/>
      <c r="K2412" s="15"/>
      <c r="L2412" s="15"/>
      <c r="M2412" s="15"/>
      <c r="N2412" s="15"/>
      <c r="O2412" s="15"/>
      <c r="P2412" s="15"/>
      <c r="Q2412" s="71"/>
      <c r="R2412" s="84"/>
      <c r="S2412" s="10"/>
      <c r="T2412" s="10"/>
      <c r="U2412" s="10"/>
      <c r="V2412" s="10"/>
      <c r="W2412" s="138"/>
      <c r="Y2412"/>
      <c r="Z2412"/>
      <c r="AA2412"/>
      <c r="AB2412"/>
      <c r="AC2412"/>
      <c r="AD2412"/>
      <c r="AE2412"/>
      <c r="AF2412"/>
      <c r="AG2412"/>
      <c r="AH2412"/>
      <c r="AI2412"/>
      <c r="AJ2412"/>
      <c r="AK2412"/>
      <c r="AL2412"/>
      <c r="AM2412"/>
      <c r="AN2412"/>
      <c r="AO2412"/>
    </row>
    <row r="2413" spans="1:41" ht="15">
      <c r="A2413"/>
      <c r="B2413"/>
      <c r="C2413" s="137"/>
      <c r="D2413" s="30"/>
      <c r="E2413" s="30"/>
      <c r="F2413" s="10"/>
      <c r="G2413" s="10"/>
      <c r="H2413" s="15"/>
      <c r="I2413" s="15"/>
      <c r="J2413" s="15"/>
      <c r="K2413" s="15"/>
      <c r="L2413" s="15"/>
      <c r="M2413" s="15"/>
      <c r="N2413" s="15"/>
      <c r="O2413" s="15"/>
      <c r="P2413" s="15"/>
      <c r="Q2413" s="71"/>
      <c r="R2413" s="84"/>
      <c r="S2413" s="10"/>
      <c r="T2413" s="10"/>
      <c r="U2413" s="10"/>
      <c r="V2413" s="10"/>
      <c r="W2413" s="138"/>
      <c r="Y2413"/>
      <c r="Z2413"/>
      <c r="AA2413"/>
      <c r="AB2413"/>
      <c r="AC2413"/>
      <c r="AD2413"/>
      <c r="AE2413"/>
      <c r="AF2413"/>
      <c r="AG2413"/>
      <c r="AH2413"/>
      <c r="AI2413"/>
      <c r="AJ2413"/>
      <c r="AK2413"/>
      <c r="AL2413"/>
      <c r="AM2413"/>
      <c r="AN2413"/>
      <c r="AO2413"/>
    </row>
    <row r="2414" spans="1:41" ht="15">
      <c r="A2414"/>
      <c r="B2414"/>
      <c r="C2414" s="137"/>
      <c r="D2414" s="30"/>
      <c r="E2414" s="30"/>
      <c r="F2414" s="10"/>
      <c r="G2414" s="10"/>
      <c r="H2414" s="15"/>
      <c r="I2414" s="15"/>
      <c r="J2414" s="15"/>
      <c r="K2414" s="15"/>
      <c r="L2414" s="15"/>
      <c r="M2414" s="15"/>
      <c r="N2414" s="15"/>
      <c r="O2414" s="15"/>
      <c r="P2414" s="15"/>
      <c r="Q2414" s="71"/>
      <c r="R2414" s="84"/>
      <c r="S2414" s="10"/>
      <c r="T2414" s="10"/>
      <c r="U2414" s="10"/>
      <c r="V2414" s="10"/>
      <c r="W2414" s="138"/>
      <c r="Y2414"/>
      <c r="Z2414"/>
      <c r="AA2414"/>
      <c r="AB2414"/>
      <c r="AC2414"/>
      <c r="AD2414"/>
      <c r="AE2414"/>
      <c r="AF2414"/>
      <c r="AG2414"/>
      <c r="AH2414"/>
      <c r="AI2414"/>
      <c r="AJ2414"/>
      <c r="AK2414"/>
      <c r="AL2414"/>
      <c r="AM2414"/>
      <c r="AN2414"/>
      <c r="AO2414"/>
    </row>
    <row r="2415" spans="1:41" ht="15">
      <c r="A2415"/>
      <c r="B2415"/>
      <c r="C2415" s="137"/>
      <c r="D2415" s="30"/>
      <c r="E2415" s="30"/>
      <c r="F2415" s="10"/>
      <c r="G2415" s="10"/>
      <c r="H2415" s="15"/>
      <c r="I2415" s="15"/>
      <c r="J2415" s="15"/>
      <c r="K2415" s="15"/>
      <c r="L2415" s="15"/>
      <c r="M2415" s="15"/>
      <c r="N2415" s="15"/>
      <c r="O2415" s="15"/>
      <c r="P2415" s="15"/>
      <c r="Q2415" s="71"/>
      <c r="R2415" s="84"/>
      <c r="S2415" s="10"/>
      <c r="T2415" s="10"/>
      <c r="U2415" s="10"/>
      <c r="V2415" s="10"/>
      <c r="W2415" s="138"/>
      <c r="Y2415"/>
      <c r="Z2415"/>
      <c r="AA2415"/>
      <c r="AB2415"/>
      <c r="AC2415"/>
      <c r="AD2415"/>
      <c r="AE2415"/>
      <c r="AF2415"/>
      <c r="AG2415"/>
      <c r="AH2415"/>
      <c r="AI2415"/>
      <c r="AJ2415"/>
      <c r="AK2415"/>
      <c r="AL2415"/>
      <c r="AM2415"/>
      <c r="AN2415"/>
      <c r="AO2415"/>
    </row>
    <row r="2416" spans="1:41" ht="15">
      <c r="A2416"/>
      <c r="B2416"/>
      <c r="C2416" s="137"/>
      <c r="D2416" s="30"/>
      <c r="E2416" s="30"/>
      <c r="F2416" s="10"/>
      <c r="G2416" s="10"/>
      <c r="H2416" s="15"/>
      <c r="I2416" s="15"/>
      <c r="J2416" s="15"/>
      <c r="K2416" s="15"/>
      <c r="L2416" s="15"/>
      <c r="M2416" s="15"/>
      <c r="N2416" s="15"/>
      <c r="O2416" s="15"/>
      <c r="P2416" s="15"/>
      <c r="Q2416" s="71"/>
      <c r="R2416" s="84"/>
      <c r="S2416" s="10"/>
      <c r="T2416" s="10"/>
      <c r="U2416" s="10"/>
      <c r="V2416" s="10"/>
      <c r="W2416" s="138"/>
      <c r="Y2416"/>
      <c r="Z2416"/>
      <c r="AA2416"/>
      <c r="AB2416"/>
      <c r="AC2416"/>
      <c r="AD2416"/>
      <c r="AE2416"/>
      <c r="AF2416"/>
      <c r="AG2416"/>
      <c r="AH2416"/>
      <c r="AI2416"/>
      <c r="AJ2416"/>
      <c r="AK2416"/>
      <c r="AL2416"/>
      <c r="AM2416"/>
      <c r="AN2416"/>
      <c r="AO2416"/>
    </row>
    <row r="2417" spans="1:41" ht="15">
      <c r="A2417"/>
      <c r="B2417"/>
      <c r="C2417" s="137"/>
      <c r="D2417" s="30"/>
      <c r="E2417" s="30"/>
      <c r="F2417" s="10"/>
      <c r="G2417" s="10"/>
      <c r="H2417" s="15"/>
      <c r="I2417" s="15"/>
      <c r="J2417" s="15"/>
      <c r="K2417" s="15"/>
      <c r="L2417" s="15"/>
      <c r="M2417" s="15"/>
      <c r="N2417" s="15"/>
      <c r="O2417" s="15"/>
      <c r="P2417" s="15"/>
      <c r="Q2417" s="71"/>
      <c r="R2417" s="84"/>
      <c r="S2417" s="10"/>
      <c r="T2417" s="10"/>
      <c r="U2417" s="10"/>
      <c r="V2417" s="10"/>
      <c r="W2417" s="138"/>
      <c r="Y2417"/>
      <c r="Z2417"/>
      <c r="AA2417"/>
      <c r="AB2417"/>
      <c r="AC2417"/>
      <c r="AD2417"/>
      <c r="AE2417"/>
      <c r="AF2417"/>
      <c r="AG2417"/>
      <c r="AH2417"/>
      <c r="AI2417"/>
      <c r="AJ2417"/>
      <c r="AK2417"/>
      <c r="AL2417"/>
      <c r="AM2417"/>
      <c r="AN2417"/>
      <c r="AO2417"/>
    </row>
    <row r="2418" spans="1:41" ht="15">
      <c r="A2418"/>
      <c r="B2418"/>
      <c r="C2418" s="137"/>
      <c r="D2418" s="30"/>
      <c r="E2418" s="30"/>
      <c r="F2418" s="10"/>
      <c r="G2418" s="10"/>
      <c r="H2418" s="15"/>
      <c r="I2418" s="15"/>
      <c r="J2418" s="15"/>
      <c r="K2418" s="15"/>
      <c r="L2418" s="15"/>
      <c r="M2418" s="15"/>
      <c r="N2418" s="15"/>
      <c r="O2418" s="15"/>
      <c r="P2418" s="15"/>
      <c r="Q2418" s="71"/>
      <c r="R2418" s="84"/>
      <c r="S2418" s="10"/>
      <c r="T2418" s="10"/>
      <c r="U2418" s="10"/>
      <c r="V2418" s="10"/>
      <c r="W2418" s="138"/>
      <c r="Y2418"/>
      <c r="Z2418"/>
      <c r="AA2418"/>
      <c r="AB2418"/>
      <c r="AC2418"/>
      <c r="AD2418"/>
      <c r="AE2418"/>
      <c r="AF2418"/>
      <c r="AG2418"/>
      <c r="AH2418"/>
      <c r="AI2418"/>
      <c r="AJ2418"/>
      <c r="AK2418"/>
      <c r="AL2418"/>
      <c r="AM2418"/>
      <c r="AN2418"/>
      <c r="AO2418"/>
    </row>
    <row r="2419" spans="1:41" ht="15">
      <c r="A2419"/>
      <c r="B2419"/>
      <c r="C2419" s="137"/>
      <c r="D2419" s="30"/>
      <c r="E2419" s="30"/>
      <c r="F2419" s="10"/>
      <c r="G2419" s="10"/>
      <c r="H2419" s="15"/>
      <c r="I2419" s="15"/>
      <c r="J2419" s="15"/>
      <c r="K2419" s="15"/>
      <c r="L2419" s="15"/>
      <c r="M2419" s="15"/>
      <c r="N2419" s="15"/>
      <c r="O2419" s="15"/>
      <c r="P2419" s="15"/>
      <c r="Q2419" s="71"/>
      <c r="R2419" s="84"/>
      <c r="S2419" s="10"/>
      <c r="T2419" s="10"/>
      <c r="U2419" s="10"/>
      <c r="V2419" s="10"/>
      <c r="W2419" s="138"/>
      <c r="Y2419"/>
      <c r="Z2419"/>
      <c r="AA2419"/>
      <c r="AB2419"/>
      <c r="AC2419"/>
      <c r="AD2419"/>
      <c r="AE2419"/>
      <c r="AF2419"/>
      <c r="AG2419"/>
      <c r="AH2419"/>
      <c r="AI2419"/>
      <c r="AJ2419"/>
      <c r="AK2419"/>
      <c r="AL2419"/>
      <c r="AM2419"/>
      <c r="AN2419"/>
      <c r="AO2419"/>
    </row>
    <row r="2420" spans="1:41" ht="15">
      <c r="A2420"/>
      <c r="B2420"/>
      <c r="C2420" s="137"/>
      <c r="D2420" s="30"/>
      <c r="E2420" s="30"/>
      <c r="F2420" s="10"/>
      <c r="G2420" s="10"/>
      <c r="H2420" s="15"/>
      <c r="I2420" s="15"/>
      <c r="J2420" s="15"/>
      <c r="K2420" s="15"/>
      <c r="L2420" s="15"/>
      <c r="M2420" s="15"/>
      <c r="N2420" s="15"/>
      <c r="O2420" s="15"/>
      <c r="P2420" s="15"/>
      <c r="Q2420" s="71"/>
      <c r="R2420" s="84"/>
      <c r="S2420" s="10"/>
      <c r="T2420" s="10"/>
      <c r="U2420" s="10"/>
      <c r="V2420" s="10"/>
      <c r="W2420" s="138"/>
      <c r="Y2420"/>
      <c r="Z2420"/>
      <c r="AA2420"/>
      <c r="AB2420"/>
      <c r="AC2420"/>
      <c r="AD2420"/>
      <c r="AE2420"/>
      <c r="AF2420"/>
      <c r="AG2420"/>
      <c r="AH2420"/>
      <c r="AI2420"/>
      <c r="AJ2420"/>
      <c r="AK2420"/>
      <c r="AL2420"/>
      <c r="AM2420"/>
      <c r="AN2420"/>
      <c r="AO2420"/>
    </row>
    <row r="2421" spans="1:41" ht="15">
      <c r="A2421"/>
      <c r="B2421"/>
      <c r="C2421" s="137"/>
      <c r="D2421" s="30"/>
      <c r="E2421" s="30"/>
      <c r="F2421" s="10"/>
      <c r="G2421" s="10"/>
      <c r="H2421" s="15"/>
      <c r="I2421" s="15"/>
      <c r="J2421" s="15"/>
      <c r="K2421" s="15"/>
      <c r="L2421" s="15"/>
      <c r="M2421" s="15"/>
      <c r="N2421" s="15"/>
      <c r="O2421" s="15"/>
      <c r="P2421" s="15"/>
      <c r="Q2421" s="71"/>
      <c r="R2421" s="84"/>
      <c r="S2421" s="10"/>
      <c r="T2421" s="10"/>
      <c r="U2421" s="10"/>
      <c r="V2421" s="10"/>
      <c r="W2421" s="138"/>
      <c r="Y2421"/>
      <c r="Z2421"/>
      <c r="AA2421"/>
      <c r="AB2421"/>
      <c r="AC2421"/>
      <c r="AD2421"/>
      <c r="AE2421"/>
      <c r="AF2421"/>
      <c r="AG2421"/>
      <c r="AH2421"/>
      <c r="AI2421"/>
      <c r="AJ2421"/>
      <c r="AK2421"/>
      <c r="AL2421"/>
      <c r="AM2421"/>
      <c r="AN2421"/>
      <c r="AO2421"/>
    </row>
    <row r="2422" spans="1:41" ht="15">
      <c r="A2422"/>
      <c r="B2422"/>
      <c r="C2422" s="137"/>
      <c r="D2422" s="30"/>
      <c r="E2422" s="30"/>
      <c r="F2422" s="10"/>
      <c r="G2422" s="10"/>
      <c r="H2422" s="15"/>
      <c r="I2422" s="15"/>
      <c r="J2422" s="15"/>
      <c r="K2422" s="15"/>
      <c r="L2422" s="15"/>
      <c r="M2422" s="15"/>
      <c r="N2422" s="15"/>
      <c r="O2422" s="15"/>
      <c r="P2422" s="15"/>
      <c r="Q2422" s="71"/>
      <c r="R2422" s="84"/>
      <c r="S2422" s="10"/>
      <c r="T2422" s="10"/>
      <c r="U2422" s="10"/>
      <c r="V2422" s="10"/>
      <c r="W2422" s="138"/>
      <c r="Y2422"/>
      <c r="Z2422"/>
      <c r="AA2422"/>
      <c r="AB2422"/>
      <c r="AC2422"/>
      <c r="AD2422"/>
      <c r="AE2422"/>
      <c r="AF2422"/>
      <c r="AG2422"/>
      <c r="AH2422"/>
      <c r="AI2422"/>
      <c r="AJ2422"/>
      <c r="AK2422"/>
      <c r="AL2422"/>
      <c r="AM2422"/>
      <c r="AN2422"/>
      <c r="AO2422"/>
    </row>
    <row r="2423" spans="1:41" ht="15">
      <c r="A2423"/>
      <c r="B2423"/>
      <c r="C2423" s="137"/>
      <c r="D2423" s="30"/>
      <c r="E2423" s="30"/>
      <c r="F2423" s="10"/>
      <c r="G2423" s="10"/>
      <c r="H2423" s="15"/>
      <c r="I2423" s="15"/>
      <c r="J2423" s="15"/>
      <c r="K2423" s="15"/>
      <c r="L2423" s="15"/>
      <c r="M2423" s="15"/>
      <c r="N2423" s="15"/>
      <c r="O2423" s="15"/>
      <c r="P2423" s="15"/>
      <c r="Q2423" s="71"/>
      <c r="R2423" s="84"/>
      <c r="S2423" s="10"/>
      <c r="T2423" s="10"/>
      <c r="U2423" s="10"/>
      <c r="V2423" s="10"/>
      <c r="W2423" s="138"/>
      <c r="Y2423"/>
      <c r="Z2423"/>
      <c r="AA2423"/>
      <c r="AB2423"/>
      <c r="AC2423"/>
      <c r="AD2423"/>
      <c r="AE2423"/>
      <c r="AF2423"/>
      <c r="AG2423"/>
      <c r="AH2423"/>
      <c r="AI2423"/>
      <c r="AJ2423"/>
      <c r="AK2423"/>
      <c r="AL2423"/>
      <c r="AM2423"/>
      <c r="AN2423"/>
      <c r="AO2423"/>
    </row>
    <row r="2424" spans="1:41" ht="15">
      <c r="A2424"/>
      <c r="B2424"/>
      <c r="C2424" s="137"/>
      <c r="D2424" s="30"/>
      <c r="E2424" s="30"/>
      <c r="F2424" s="10"/>
      <c r="G2424" s="10"/>
      <c r="H2424" s="15"/>
      <c r="I2424" s="15"/>
      <c r="J2424" s="15"/>
      <c r="K2424" s="15"/>
      <c r="L2424" s="15"/>
      <c r="M2424" s="15"/>
      <c r="N2424" s="15"/>
      <c r="O2424" s="15"/>
      <c r="P2424" s="15"/>
      <c r="Q2424" s="71"/>
      <c r="R2424" s="84"/>
      <c r="S2424" s="10"/>
      <c r="T2424" s="10"/>
      <c r="U2424" s="10"/>
      <c r="V2424" s="10"/>
      <c r="W2424" s="138"/>
      <c r="Y2424"/>
      <c r="Z2424"/>
      <c r="AA2424"/>
      <c r="AB2424"/>
      <c r="AC2424"/>
      <c r="AD2424"/>
      <c r="AE2424"/>
      <c r="AF2424"/>
      <c r="AG2424"/>
      <c r="AH2424"/>
      <c r="AI2424"/>
      <c r="AJ2424"/>
      <c r="AK2424"/>
      <c r="AL2424"/>
      <c r="AM2424"/>
      <c r="AN2424"/>
      <c r="AO2424"/>
    </row>
    <row r="2425" spans="1:41" ht="15">
      <c r="A2425"/>
      <c r="B2425"/>
      <c r="C2425" s="137"/>
      <c r="D2425" s="30"/>
      <c r="E2425" s="30"/>
      <c r="F2425" s="10"/>
      <c r="G2425" s="10"/>
      <c r="H2425" s="15"/>
      <c r="I2425" s="15"/>
      <c r="J2425" s="15"/>
      <c r="K2425" s="15"/>
      <c r="L2425" s="15"/>
      <c r="M2425" s="15"/>
      <c r="N2425" s="15"/>
      <c r="O2425" s="15"/>
      <c r="P2425" s="15"/>
      <c r="Q2425" s="71"/>
      <c r="R2425" s="84"/>
      <c r="S2425" s="10"/>
      <c r="T2425" s="10"/>
      <c r="U2425" s="10"/>
      <c r="V2425" s="10"/>
      <c r="W2425" s="138"/>
      <c r="Y2425"/>
      <c r="Z2425"/>
      <c r="AA2425"/>
      <c r="AB2425"/>
      <c r="AC2425"/>
      <c r="AD2425"/>
      <c r="AE2425"/>
      <c r="AF2425"/>
      <c r="AG2425"/>
      <c r="AH2425"/>
      <c r="AI2425"/>
      <c r="AJ2425"/>
      <c r="AK2425"/>
      <c r="AL2425"/>
      <c r="AM2425"/>
      <c r="AN2425"/>
      <c r="AO2425"/>
    </row>
    <row r="2426" spans="1:41" ht="15">
      <c r="A2426"/>
      <c r="B2426"/>
      <c r="C2426" s="137"/>
      <c r="D2426" s="30"/>
      <c r="E2426" s="30"/>
      <c r="F2426" s="10"/>
      <c r="G2426" s="10"/>
      <c r="H2426" s="15"/>
      <c r="I2426" s="15"/>
      <c r="J2426" s="15"/>
      <c r="K2426" s="15"/>
      <c r="L2426" s="15"/>
      <c r="M2426" s="15"/>
      <c r="N2426" s="15"/>
      <c r="O2426" s="15"/>
      <c r="P2426" s="15"/>
      <c r="Q2426" s="71"/>
      <c r="R2426" s="84"/>
      <c r="S2426" s="10"/>
      <c r="T2426" s="10"/>
      <c r="U2426" s="10"/>
      <c r="V2426" s="10"/>
      <c r="W2426" s="138"/>
      <c r="Y2426"/>
      <c r="Z2426"/>
      <c r="AA2426"/>
      <c r="AB2426"/>
      <c r="AC2426"/>
      <c r="AD2426"/>
      <c r="AE2426"/>
      <c r="AF2426"/>
      <c r="AG2426"/>
      <c r="AH2426"/>
      <c r="AI2426"/>
      <c r="AJ2426"/>
      <c r="AK2426"/>
      <c r="AL2426"/>
      <c r="AM2426"/>
      <c r="AN2426"/>
      <c r="AO2426"/>
    </row>
    <row r="2427" spans="1:41" ht="15">
      <c r="A2427"/>
      <c r="B2427"/>
      <c r="C2427" s="137"/>
      <c r="D2427" s="30"/>
      <c r="E2427" s="30"/>
      <c r="F2427" s="10"/>
      <c r="G2427" s="10"/>
      <c r="H2427" s="15"/>
      <c r="I2427" s="15"/>
      <c r="J2427" s="15"/>
      <c r="K2427" s="15"/>
      <c r="L2427" s="15"/>
      <c r="M2427" s="15"/>
      <c r="N2427" s="15"/>
      <c r="O2427" s="15"/>
      <c r="P2427" s="15"/>
      <c r="Q2427" s="71"/>
      <c r="R2427" s="84"/>
      <c r="S2427" s="10"/>
      <c r="T2427" s="10"/>
      <c r="U2427" s="10"/>
      <c r="V2427" s="10"/>
      <c r="W2427" s="138"/>
      <c r="Y2427"/>
      <c r="Z2427"/>
      <c r="AA2427"/>
      <c r="AB2427"/>
      <c r="AC2427"/>
      <c r="AD2427"/>
      <c r="AE2427"/>
      <c r="AF2427"/>
      <c r="AG2427"/>
      <c r="AH2427"/>
      <c r="AI2427"/>
      <c r="AJ2427"/>
      <c r="AK2427"/>
      <c r="AL2427"/>
      <c r="AM2427"/>
      <c r="AN2427"/>
      <c r="AO2427"/>
    </row>
    <row r="2428" spans="1:41" ht="15">
      <c r="A2428"/>
      <c r="B2428"/>
      <c r="C2428" s="137"/>
      <c r="D2428" s="30"/>
      <c r="E2428" s="30"/>
      <c r="F2428" s="10"/>
      <c r="G2428" s="10"/>
      <c r="H2428" s="15"/>
      <c r="I2428" s="15"/>
      <c r="J2428" s="15"/>
      <c r="K2428" s="15"/>
      <c r="L2428" s="15"/>
      <c r="M2428" s="15"/>
      <c r="N2428" s="15"/>
      <c r="O2428" s="15"/>
      <c r="P2428" s="15"/>
      <c r="Q2428" s="71"/>
      <c r="R2428" s="84"/>
      <c r="S2428" s="10"/>
      <c r="T2428" s="10"/>
      <c r="U2428" s="10"/>
      <c r="V2428" s="10"/>
      <c r="W2428" s="138"/>
      <c r="Y2428"/>
      <c r="Z2428"/>
      <c r="AA2428"/>
      <c r="AB2428"/>
      <c r="AC2428"/>
      <c r="AD2428"/>
      <c r="AE2428"/>
      <c r="AF2428"/>
      <c r="AG2428"/>
      <c r="AH2428"/>
      <c r="AI2428"/>
      <c r="AJ2428"/>
      <c r="AK2428"/>
      <c r="AL2428"/>
      <c r="AM2428"/>
      <c r="AN2428"/>
      <c r="AO2428"/>
    </row>
    <row r="2429" spans="1:41" ht="15">
      <c r="A2429"/>
      <c r="B2429"/>
      <c r="C2429" s="137"/>
      <c r="D2429" s="30"/>
      <c r="E2429" s="30"/>
      <c r="F2429" s="10"/>
      <c r="G2429" s="10"/>
      <c r="H2429" s="15"/>
      <c r="I2429" s="15"/>
      <c r="J2429" s="15"/>
      <c r="K2429" s="15"/>
      <c r="L2429" s="15"/>
      <c r="M2429" s="15"/>
      <c r="N2429" s="15"/>
      <c r="O2429" s="15"/>
      <c r="P2429" s="15"/>
      <c r="Q2429" s="71"/>
      <c r="R2429" s="84"/>
      <c r="S2429" s="10"/>
      <c r="T2429" s="10"/>
      <c r="U2429" s="10"/>
      <c r="V2429" s="10"/>
      <c r="W2429" s="138"/>
      <c r="Y2429"/>
      <c r="Z2429"/>
      <c r="AA2429"/>
      <c r="AB2429"/>
      <c r="AC2429"/>
      <c r="AD2429"/>
      <c r="AE2429"/>
      <c r="AF2429"/>
      <c r="AG2429"/>
      <c r="AH2429"/>
      <c r="AI2429"/>
      <c r="AJ2429"/>
      <c r="AK2429"/>
      <c r="AL2429"/>
      <c r="AM2429"/>
      <c r="AN2429"/>
      <c r="AO2429"/>
    </row>
    <row r="2430" spans="1:41" ht="15">
      <c r="A2430"/>
      <c r="B2430"/>
      <c r="C2430" s="137"/>
      <c r="D2430" s="30"/>
      <c r="E2430" s="30"/>
      <c r="F2430" s="10"/>
      <c r="G2430" s="10"/>
      <c r="H2430" s="15"/>
      <c r="I2430" s="15"/>
      <c r="J2430" s="15"/>
      <c r="K2430" s="15"/>
      <c r="L2430" s="15"/>
      <c r="M2430" s="15"/>
      <c r="N2430" s="15"/>
      <c r="O2430" s="15"/>
      <c r="P2430" s="15"/>
      <c r="Q2430" s="71"/>
      <c r="R2430" s="84"/>
      <c r="S2430" s="10"/>
      <c r="T2430" s="10"/>
      <c r="U2430" s="10"/>
      <c r="V2430" s="10"/>
      <c r="W2430" s="138"/>
      <c r="Y2430"/>
      <c r="Z2430"/>
      <c r="AA2430"/>
      <c r="AB2430"/>
      <c r="AC2430"/>
      <c r="AD2430"/>
      <c r="AE2430"/>
      <c r="AF2430"/>
      <c r="AG2430"/>
      <c r="AH2430"/>
      <c r="AI2430"/>
      <c r="AJ2430"/>
      <c r="AK2430"/>
      <c r="AL2430"/>
      <c r="AM2430"/>
      <c r="AN2430"/>
      <c r="AO2430"/>
    </row>
    <row r="2431" spans="1:41" ht="15">
      <c r="A2431"/>
      <c r="B2431"/>
      <c r="C2431" s="137"/>
      <c r="D2431" s="30"/>
      <c r="E2431" s="30"/>
      <c r="F2431" s="10"/>
      <c r="G2431" s="10"/>
      <c r="H2431" s="15"/>
      <c r="I2431" s="15"/>
      <c r="J2431" s="15"/>
      <c r="K2431" s="15"/>
      <c r="L2431" s="15"/>
      <c r="M2431" s="15"/>
      <c r="N2431" s="15"/>
      <c r="O2431" s="15"/>
      <c r="P2431" s="15"/>
      <c r="Q2431" s="71"/>
      <c r="R2431" s="84"/>
      <c r="S2431" s="10"/>
      <c r="T2431" s="10"/>
      <c r="U2431" s="10"/>
      <c r="V2431" s="10"/>
      <c r="W2431" s="138"/>
      <c r="Y2431"/>
      <c r="Z2431"/>
      <c r="AA2431"/>
      <c r="AB2431"/>
      <c r="AC2431"/>
      <c r="AD2431"/>
      <c r="AE2431"/>
      <c r="AF2431"/>
      <c r="AG2431"/>
      <c r="AH2431"/>
      <c r="AI2431"/>
      <c r="AJ2431"/>
      <c r="AK2431"/>
      <c r="AL2431"/>
      <c r="AM2431"/>
      <c r="AN2431"/>
      <c r="AO2431"/>
    </row>
    <row r="2432" spans="1:41" ht="15">
      <c r="A2432"/>
      <c r="B2432"/>
      <c r="C2432" s="137"/>
      <c r="D2432" s="30"/>
      <c r="E2432" s="30"/>
      <c r="F2432" s="10"/>
      <c r="G2432" s="10"/>
      <c r="H2432" s="15"/>
      <c r="I2432" s="15"/>
      <c r="J2432" s="15"/>
      <c r="K2432" s="15"/>
      <c r="L2432" s="15"/>
      <c r="M2432" s="15"/>
      <c r="N2432" s="15"/>
      <c r="O2432" s="15"/>
      <c r="P2432" s="15"/>
      <c r="Q2432" s="71"/>
      <c r="R2432" s="84"/>
      <c r="S2432" s="10"/>
      <c r="T2432" s="10"/>
      <c r="U2432" s="10"/>
      <c r="V2432" s="10"/>
      <c r="W2432" s="138"/>
      <c r="Y2432"/>
      <c r="Z2432"/>
      <c r="AA2432"/>
      <c r="AB2432"/>
      <c r="AC2432"/>
      <c r="AD2432"/>
      <c r="AE2432"/>
      <c r="AF2432"/>
      <c r="AG2432"/>
      <c r="AH2432"/>
      <c r="AI2432"/>
      <c r="AJ2432"/>
      <c r="AK2432"/>
      <c r="AL2432"/>
      <c r="AM2432"/>
      <c r="AN2432"/>
      <c r="AO2432"/>
    </row>
    <row r="2433" spans="1:41" ht="15">
      <c r="A2433"/>
      <c r="B2433"/>
      <c r="C2433" s="137"/>
      <c r="D2433" s="30"/>
      <c r="E2433" s="30"/>
      <c r="F2433" s="10"/>
      <c r="G2433" s="10"/>
      <c r="H2433" s="15"/>
      <c r="I2433" s="15"/>
      <c r="J2433" s="15"/>
      <c r="K2433" s="15"/>
      <c r="L2433" s="15"/>
      <c r="M2433" s="15"/>
      <c r="N2433" s="15"/>
      <c r="O2433" s="15"/>
      <c r="P2433" s="15"/>
      <c r="Q2433" s="71"/>
      <c r="R2433" s="84"/>
      <c r="S2433" s="10"/>
      <c r="T2433" s="10"/>
      <c r="U2433" s="10"/>
      <c r="V2433" s="10"/>
      <c r="W2433" s="138"/>
      <c r="Y2433"/>
      <c r="Z2433"/>
      <c r="AA2433"/>
      <c r="AB2433"/>
      <c r="AC2433"/>
      <c r="AD2433"/>
      <c r="AE2433"/>
      <c r="AF2433"/>
      <c r="AG2433"/>
      <c r="AH2433"/>
      <c r="AI2433"/>
      <c r="AJ2433"/>
      <c r="AK2433"/>
      <c r="AL2433"/>
      <c r="AM2433"/>
      <c r="AN2433"/>
      <c r="AO2433"/>
    </row>
    <row r="2434" spans="1:41" ht="15">
      <c r="A2434"/>
      <c r="B2434"/>
      <c r="C2434" s="137"/>
      <c r="D2434" s="30"/>
      <c r="E2434" s="30"/>
      <c r="F2434" s="10"/>
      <c r="G2434" s="10"/>
      <c r="H2434" s="15"/>
      <c r="I2434" s="15"/>
      <c r="J2434" s="15"/>
      <c r="K2434" s="15"/>
      <c r="L2434" s="15"/>
      <c r="M2434" s="15"/>
      <c r="N2434" s="15"/>
      <c r="O2434" s="15"/>
      <c r="P2434" s="15"/>
      <c r="Q2434" s="71"/>
      <c r="R2434" s="84"/>
      <c r="S2434" s="10"/>
      <c r="T2434" s="10"/>
      <c r="U2434" s="10"/>
      <c r="V2434" s="10"/>
      <c r="W2434" s="138"/>
      <c r="Y2434"/>
      <c r="Z2434"/>
      <c r="AA2434"/>
      <c r="AB2434"/>
      <c r="AC2434"/>
      <c r="AD2434"/>
      <c r="AE2434"/>
      <c r="AF2434"/>
      <c r="AG2434"/>
      <c r="AH2434"/>
      <c r="AI2434"/>
      <c r="AJ2434"/>
      <c r="AK2434"/>
      <c r="AL2434"/>
      <c r="AM2434"/>
      <c r="AN2434"/>
      <c r="AO2434"/>
    </row>
    <row r="2435" spans="1:41" ht="15">
      <c r="A2435"/>
      <c r="B2435"/>
      <c r="C2435" s="137"/>
      <c r="D2435" s="30"/>
      <c r="E2435" s="30"/>
      <c r="F2435" s="10"/>
      <c r="G2435" s="10"/>
      <c r="H2435" s="15"/>
      <c r="I2435" s="15"/>
      <c r="J2435" s="15"/>
      <c r="K2435" s="15"/>
      <c r="L2435" s="15"/>
      <c r="M2435" s="15"/>
      <c r="N2435" s="15"/>
      <c r="O2435" s="15"/>
      <c r="P2435" s="15"/>
      <c r="Q2435" s="71"/>
      <c r="R2435" s="84"/>
      <c r="S2435" s="10"/>
      <c r="T2435" s="10"/>
      <c r="U2435" s="10"/>
      <c r="V2435" s="10"/>
      <c r="W2435" s="138"/>
      <c r="Y2435"/>
      <c r="Z2435"/>
      <c r="AA2435"/>
      <c r="AB2435"/>
      <c r="AC2435"/>
      <c r="AD2435"/>
      <c r="AE2435"/>
      <c r="AF2435"/>
      <c r="AG2435"/>
      <c r="AH2435"/>
      <c r="AI2435"/>
      <c r="AJ2435"/>
      <c r="AK2435"/>
      <c r="AL2435"/>
      <c r="AM2435"/>
      <c r="AN2435"/>
      <c r="AO2435"/>
    </row>
    <row r="2436" spans="1:41" ht="15">
      <c r="A2436"/>
      <c r="B2436"/>
      <c r="C2436" s="137"/>
      <c r="D2436" s="30"/>
      <c r="E2436" s="30"/>
      <c r="F2436" s="10"/>
      <c r="G2436" s="10"/>
      <c r="H2436" s="15"/>
      <c r="I2436" s="15"/>
      <c r="J2436" s="15"/>
      <c r="K2436" s="15"/>
      <c r="L2436" s="15"/>
      <c r="M2436" s="15"/>
      <c r="N2436" s="15"/>
      <c r="O2436" s="15"/>
      <c r="P2436" s="15"/>
      <c r="Q2436" s="71"/>
      <c r="R2436" s="84"/>
      <c r="S2436" s="10"/>
      <c r="T2436" s="10"/>
      <c r="U2436" s="10"/>
      <c r="V2436" s="10"/>
      <c r="W2436" s="138"/>
      <c r="Y2436"/>
      <c r="Z2436"/>
      <c r="AA2436"/>
      <c r="AB2436"/>
      <c r="AC2436"/>
      <c r="AD2436"/>
      <c r="AE2436"/>
      <c r="AF2436"/>
      <c r="AG2436"/>
      <c r="AH2436"/>
      <c r="AI2436"/>
      <c r="AJ2436"/>
      <c r="AK2436"/>
      <c r="AL2436"/>
      <c r="AM2436"/>
      <c r="AN2436"/>
      <c r="AO2436"/>
    </row>
    <row r="2437" spans="1:41" ht="15">
      <c r="A2437"/>
      <c r="B2437"/>
      <c r="C2437" s="137"/>
      <c r="D2437" s="30"/>
      <c r="E2437" s="30"/>
      <c r="F2437" s="10"/>
      <c r="G2437" s="10"/>
      <c r="H2437" s="15"/>
      <c r="I2437" s="15"/>
      <c r="J2437" s="15"/>
      <c r="K2437" s="15"/>
      <c r="L2437" s="15"/>
      <c r="M2437" s="15"/>
      <c r="N2437" s="15"/>
      <c r="O2437" s="15"/>
      <c r="P2437" s="15"/>
      <c r="Q2437" s="71"/>
      <c r="R2437" s="84"/>
      <c r="S2437" s="10"/>
      <c r="T2437" s="10"/>
      <c r="U2437" s="10"/>
      <c r="V2437" s="10"/>
      <c r="W2437" s="138"/>
      <c r="Y2437"/>
      <c r="Z2437"/>
      <c r="AA2437"/>
      <c r="AB2437"/>
      <c r="AC2437"/>
      <c r="AD2437"/>
      <c r="AE2437"/>
      <c r="AF2437"/>
      <c r="AG2437"/>
      <c r="AH2437"/>
      <c r="AI2437"/>
      <c r="AJ2437"/>
      <c r="AK2437"/>
      <c r="AL2437"/>
      <c r="AM2437"/>
      <c r="AN2437"/>
      <c r="AO2437"/>
    </row>
    <row r="2438" spans="1:41" ht="15">
      <c r="A2438"/>
      <c r="B2438"/>
      <c r="C2438" s="137"/>
      <c r="D2438" s="30"/>
      <c r="E2438" s="30"/>
      <c r="F2438" s="10"/>
      <c r="G2438" s="10"/>
      <c r="H2438" s="15"/>
      <c r="I2438" s="15"/>
      <c r="J2438" s="15"/>
      <c r="K2438" s="15"/>
      <c r="L2438" s="15"/>
      <c r="M2438" s="15"/>
      <c r="N2438" s="15"/>
      <c r="O2438" s="15"/>
      <c r="P2438" s="15"/>
      <c r="Q2438" s="71"/>
      <c r="R2438" s="84"/>
      <c r="S2438" s="10"/>
      <c r="T2438" s="10"/>
      <c r="U2438" s="10"/>
      <c r="V2438" s="10"/>
      <c r="W2438" s="138"/>
      <c r="Y2438"/>
      <c r="Z2438"/>
      <c r="AA2438"/>
      <c r="AB2438"/>
      <c r="AC2438"/>
      <c r="AD2438"/>
      <c r="AE2438"/>
      <c r="AF2438"/>
      <c r="AG2438"/>
      <c r="AH2438"/>
      <c r="AI2438"/>
      <c r="AJ2438"/>
      <c r="AK2438"/>
      <c r="AL2438"/>
      <c r="AM2438"/>
      <c r="AN2438"/>
      <c r="AO2438"/>
    </row>
    <row r="2439" spans="1:41" ht="15">
      <c r="A2439"/>
      <c r="B2439"/>
      <c r="C2439" s="137"/>
      <c r="D2439" s="30"/>
      <c r="E2439" s="30"/>
      <c r="F2439" s="10"/>
      <c r="G2439" s="10"/>
      <c r="H2439" s="15"/>
      <c r="I2439" s="15"/>
      <c r="J2439" s="15"/>
      <c r="K2439" s="15"/>
      <c r="L2439" s="15"/>
      <c r="M2439" s="15"/>
      <c r="N2439" s="15"/>
      <c r="O2439" s="15"/>
      <c r="P2439" s="15"/>
      <c r="Q2439" s="71"/>
      <c r="R2439" s="84"/>
      <c r="S2439" s="10"/>
      <c r="T2439" s="10"/>
      <c r="U2439" s="10"/>
      <c r="V2439" s="10"/>
      <c r="W2439" s="138"/>
      <c r="Y2439"/>
      <c r="Z2439"/>
      <c r="AA2439"/>
      <c r="AB2439"/>
      <c r="AC2439"/>
      <c r="AD2439"/>
      <c r="AE2439"/>
      <c r="AF2439"/>
      <c r="AG2439"/>
      <c r="AH2439"/>
      <c r="AI2439"/>
      <c r="AJ2439"/>
      <c r="AK2439"/>
      <c r="AL2439"/>
      <c r="AM2439"/>
      <c r="AN2439"/>
      <c r="AO2439"/>
    </row>
    <row r="2440" spans="1:41" ht="15">
      <c r="A2440"/>
      <c r="B2440"/>
      <c r="C2440" s="137"/>
      <c r="D2440" s="30"/>
      <c r="E2440" s="30"/>
      <c r="F2440" s="10"/>
      <c r="G2440" s="10"/>
      <c r="H2440" s="15"/>
      <c r="I2440" s="15"/>
      <c r="J2440" s="15"/>
      <c r="K2440" s="15"/>
      <c r="L2440" s="15"/>
      <c r="M2440" s="15"/>
      <c r="N2440" s="15"/>
      <c r="O2440" s="15"/>
      <c r="P2440" s="15"/>
      <c r="Q2440" s="71"/>
      <c r="R2440" s="84"/>
      <c r="S2440" s="10"/>
      <c r="T2440" s="10"/>
      <c r="U2440" s="10"/>
      <c r="V2440" s="10"/>
      <c r="W2440" s="138"/>
      <c r="Y2440"/>
      <c r="Z2440"/>
      <c r="AA2440"/>
      <c r="AB2440"/>
      <c r="AC2440"/>
      <c r="AD2440"/>
      <c r="AE2440"/>
      <c r="AF2440"/>
      <c r="AG2440"/>
      <c r="AH2440"/>
      <c r="AI2440"/>
      <c r="AJ2440"/>
      <c r="AK2440"/>
      <c r="AL2440"/>
      <c r="AM2440"/>
      <c r="AN2440"/>
      <c r="AO2440"/>
    </row>
    <row r="2441" spans="1:41" ht="15">
      <c r="A2441"/>
      <c r="B2441"/>
      <c r="C2441" s="137"/>
      <c r="D2441" s="30"/>
      <c r="E2441" s="30"/>
      <c r="F2441" s="10"/>
      <c r="G2441" s="10"/>
      <c r="H2441" s="15"/>
      <c r="I2441" s="15"/>
      <c r="J2441" s="15"/>
      <c r="K2441" s="15"/>
      <c r="L2441" s="15"/>
      <c r="M2441" s="15"/>
      <c r="N2441" s="15"/>
      <c r="O2441" s="15"/>
      <c r="P2441" s="15"/>
      <c r="Q2441" s="71"/>
      <c r="R2441" s="84"/>
      <c r="S2441" s="10"/>
      <c r="T2441" s="10"/>
      <c r="U2441" s="10"/>
      <c r="V2441" s="10"/>
      <c r="W2441" s="138"/>
      <c r="Y2441"/>
      <c r="Z2441"/>
      <c r="AA2441"/>
      <c r="AB2441"/>
      <c r="AC2441"/>
      <c r="AD2441"/>
      <c r="AE2441"/>
      <c r="AF2441"/>
      <c r="AG2441"/>
      <c r="AH2441"/>
      <c r="AI2441"/>
      <c r="AJ2441"/>
      <c r="AK2441"/>
      <c r="AL2441"/>
      <c r="AM2441"/>
      <c r="AN2441"/>
      <c r="AO2441"/>
    </row>
    <row r="2442" spans="1:41" ht="15">
      <c r="A2442"/>
      <c r="B2442"/>
      <c r="C2442" s="137"/>
      <c r="D2442" s="30"/>
      <c r="E2442" s="30"/>
      <c r="F2442" s="10"/>
      <c r="G2442" s="10"/>
      <c r="H2442" s="15"/>
      <c r="I2442" s="15"/>
      <c r="J2442" s="15"/>
      <c r="K2442" s="15"/>
      <c r="L2442" s="15"/>
      <c r="M2442" s="15"/>
      <c r="N2442" s="15"/>
      <c r="O2442" s="15"/>
      <c r="P2442" s="15"/>
      <c r="Q2442" s="71"/>
      <c r="R2442" s="84"/>
      <c r="S2442" s="10"/>
      <c r="T2442" s="10"/>
      <c r="U2442" s="10"/>
      <c r="V2442" s="10"/>
      <c r="W2442" s="138"/>
      <c r="Y2442"/>
      <c r="Z2442"/>
      <c r="AA2442"/>
      <c r="AB2442"/>
      <c r="AC2442"/>
      <c r="AD2442"/>
      <c r="AE2442"/>
      <c r="AF2442"/>
      <c r="AG2442"/>
      <c r="AH2442"/>
      <c r="AI2442"/>
      <c r="AJ2442"/>
      <c r="AK2442"/>
      <c r="AL2442"/>
      <c r="AM2442"/>
      <c r="AN2442"/>
      <c r="AO2442"/>
    </row>
    <row r="2443" spans="1:41" ht="15">
      <c r="A2443"/>
      <c r="B2443"/>
      <c r="C2443" s="137"/>
      <c r="D2443" s="30"/>
      <c r="E2443" s="30"/>
      <c r="F2443" s="10"/>
      <c r="G2443" s="10"/>
      <c r="H2443" s="15"/>
      <c r="I2443" s="15"/>
      <c r="J2443" s="15"/>
      <c r="K2443" s="15"/>
      <c r="L2443" s="15"/>
      <c r="M2443" s="15"/>
      <c r="N2443" s="15"/>
      <c r="O2443" s="15"/>
      <c r="P2443" s="15"/>
      <c r="Q2443" s="71"/>
      <c r="R2443" s="84"/>
      <c r="S2443" s="10"/>
      <c r="T2443" s="10"/>
      <c r="U2443" s="10"/>
      <c r="V2443" s="10"/>
      <c r="W2443" s="138"/>
      <c r="Y2443"/>
      <c r="Z2443"/>
      <c r="AA2443"/>
      <c r="AB2443"/>
      <c r="AC2443"/>
      <c r="AD2443"/>
      <c r="AE2443"/>
      <c r="AF2443"/>
      <c r="AG2443"/>
      <c r="AH2443"/>
      <c r="AI2443"/>
      <c r="AJ2443"/>
      <c r="AK2443"/>
      <c r="AL2443"/>
      <c r="AM2443"/>
      <c r="AN2443"/>
      <c r="AO2443"/>
    </row>
    <row r="2444" spans="1:41" ht="15">
      <c r="A2444"/>
      <c r="B2444"/>
      <c r="C2444" s="137"/>
      <c r="D2444" s="30"/>
      <c r="E2444" s="30"/>
      <c r="F2444" s="10"/>
      <c r="G2444" s="10"/>
      <c r="H2444" s="15"/>
      <c r="I2444" s="15"/>
      <c r="J2444" s="15"/>
      <c r="K2444" s="15"/>
      <c r="L2444" s="15"/>
      <c r="M2444" s="15"/>
      <c r="N2444" s="15"/>
      <c r="O2444" s="15"/>
      <c r="P2444" s="15"/>
      <c r="Q2444" s="71"/>
      <c r="R2444" s="84"/>
      <c r="S2444" s="10"/>
      <c r="T2444" s="10"/>
      <c r="U2444" s="10"/>
      <c r="V2444" s="10"/>
      <c r="W2444" s="138"/>
      <c r="Y2444"/>
      <c r="Z2444"/>
      <c r="AA2444"/>
      <c r="AB2444"/>
      <c r="AC2444"/>
      <c r="AD2444"/>
      <c r="AE2444"/>
      <c r="AF2444"/>
      <c r="AG2444"/>
      <c r="AH2444"/>
      <c r="AI2444"/>
      <c r="AJ2444"/>
      <c r="AK2444"/>
      <c r="AL2444"/>
      <c r="AM2444"/>
      <c r="AN2444"/>
      <c r="AO2444"/>
    </row>
    <row r="2445" spans="1:41" ht="15">
      <c r="A2445"/>
      <c r="B2445"/>
      <c r="C2445" s="137"/>
      <c r="D2445" s="30"/>
      <c r="E2445" s="30"/>
      <c r="F2445" s="10"/>
      <c r="G2445" s="10"/>
      <c r="H2445" s="15"/>
      <c r="I2445" s="15"/>
      <c r="J2445" s="15"/>
      <c r="K2445" s="15"/>
      <c r="L2445" s="15"/>
      <c r="M2445" s="15"/>
      <c r="N2445" s="15"/>
      <c r="O2445" s="15"/>
      <c r="P2445" s="15"/>
      <c r="Q2445" s="71"/>
      <c r="R2445" s="84"/>
      <c r="S2445" s="10"/>
      <c r="T2445" s="10"/>
      <c r="U2445" s="10"/>
      <c r="V2445" s="10"/>
      <c r="W2445" s="138"/>
      <c r="Y2445"/>
      <c r="Z2445"/>
      <c r="AA2445"/>
      <c r="AB2445"/>
      <c r="AC2445"/>
      <c r="AD2445"/>
      <c r="AE2445"/>
      <c r="AF2445"/>
      <c r="AG2445"/>
      <c r="AH2445"/>
      <c r="AI2445"/>
      <c r="AJ2445"/>
      <c r="AK2445"/>
      <c r="AL2445"/>
      <c r="AM2445"/>
      <c r="AN2445"/>
      <c r="AO2445"/>
    </row>
    <row r="2446" spans="1:41" ht="15">
      <c r="A2446"/>
      <c r="B2446"/>
      <c r="C2446" s="137"/>
      <c r="D2446" s="30"/>
      <c r="E2446" s="30"/>
      <c r="F2446" s="10"/>
      <c r="G2446" s="10"/>
      <c r="H2446" s="15"/>
      <c r="I2446" s="15"/>
      <c r="J2446" s="15"/>
      <c r="K2446" s="15"/>
      <c r="L2446" s="15"/>
      <c r="M2446" s="15"/>
      <c r="N2446" s="15"/>
      <c r="O2446" s="15"/>
      <c r="P2446" s="15"/>
      <c r="Q2446" s="71"/>
      <c r="R2446" s="84"/>
      <c r="S2446" s="10"/>
      <c r="T2446" s="10"/>
      <c r="U2446" s="10"/>
      <c r="V2446" s="10"/>
      <c r="W2446" s="138"/>
      <c r="Y2446"/>
      <c r="Z2446"/>
      <c r="AA2446"/>
      <c r="AB2446"/>
      <c r="AC2446"/>
      <c r="AD2446"/>
      <c r="AE2446"/>
      <c r="AF2446"/>
      <c r="AG2446"/>
      <c r="AH2446"/>
      <c r="AI2446"/>
      <c r="AJ2446"/>
      <c r="AK2446"/>
      <c r="AL2446"/>
      <c r="AM2446"/>
      <c r="AN2446"/>
      <c r="AO2446"/>
    </row>
    <row r="2447" spans="1:41" ht="15">
      <c r="A2447"/>
      <c r="B2447"/>
      <c r="C2447" s="137"/>
      <c r="D2447" s="30"/>
      <c r="E2447" s="30"/>
      <c r="F2447" s="10"/>
      <c r="G2447" s="10"/>
      <c r="H2447" s="15"/>
      <c r="I2447" s="15"/>
      <c r="J2447" s="15"/>
      <c r="K2447" s="15"/>
      <c r="L2447" s="15"/>
      <c r="M2447" s="15"/>
      <c r="N2447" s="15"/>
      <c r="O2447" s="15"/>
      <c r="P2447" s="15"/>
      <c r="Q2447" s="71"/>
      <c r="R2447" s="84"/>
      <c r="S2447" s="10"/>
      <c r="T2447" s="10"/>
      <c r="U2447" s="10"/>
      <c r="V2447" s="10"/>
      <c r="W2447" s="138"/>
      <c r="Y2447"/>
      <c r="Z2447"/>
      <c r="AA2447"/>
      <c r="AB2447"/>
      <c r="AC2447"/>
      <c r="AD2447"/>
      <c r="AE2447"/>
      <c r="AF2447"/>
      <c r="AG2447"/>
      <c r="AH2447"/>
      <c r="AI2447"/>
      <c r="AJ2447"/>
      <c r="AK2447"/>
      <c r="AL2447"/>
      <c r="AM2447"/>
      <c r="AN2447"/>
      <c r="AO2447"/>
    </row>
    <row r="2448" spans="1:41" ht="15">
      <c r="A2448"/>
      <c r="B2448"/>
      <c r="C2448" s="137"/>
      <c r="D2448" s="30"/>
      <c r="E2448" s="30"/>
      <c r="F2448" s="10"/>
      <c r="G2448" s="10"/>
      <c r="H2448" s="15"/>
      <c r="I2448" s="15"/>
      <c r="J2448" s="15"/>
      <c r="K2448" s="15"/>
      <c r="L2448" s="15"/>
      <c r="M2448" s="15"/>
      <c r="N2448" s="15"/>
      <c r="O2448" s="15"/>
      <c r="P2448" s="15"/>
      <c r="Q2448" s="71"/>
      <c r="R2448" s="84"/>
      <c r="S2448" s="10"/>
      <c r="T2448" s="10"/>
      <c r="U2448" s="10"/>
      <c r="V2448" s="10"/>
      <c r="W2448" s="138"/>
      <c r="Y2448"/>
      <c r="Z2448"/>
      <c r="AA2448"/>
      <c r="AB2448"/>
      <c r="AC2448"/>
      <c r="AD2448"/>
      <c r="AE2448"/>
      <c r="AF2448"/>
      <c r="AG2448"/>
      <c r="AH2448"/>
      <c r="AI2448"/>
      <c r="AJ2448"/>
      <c r="AK2448"/>
      <c r="AL2448"/>
      <c r="AM2448"/>
      <c r="AN2448"/>
      <c r="AO2448"/>
    </row>
    <row r="2449" spans="1:41" ht="15">
      <c r="A2449"/>
      <c r="B2449"/>
      <c r="C2449" s="137"/>
      <c r="D2449" s="30"/>
      <c r="E2449" s="30"/>
      <c r="F2449" s="10"/>
      <c r="G2449" s="10"/>
      <c r="H2449" s="15"/>
      <c r="I2449" s="15"/>
      <c r="J2449" s="15"/>
      <c r="K2449" s="15"/>
      <c r="L2449" s="15"/>
      <c r="M2449" s="15"/>
      <c r="N2449" s="15"/>
      <c r="O2449" s="15"/>
      <c r="P2449" s="15"/>
      <c r="Q2449" s="71"/>
      <c r="R2449" s="84"/>
      <c r="S2449" s="10"/>
      <c r="T2449" s="10"/>
      <c r="U2449" s="10"/>
      <c r="V2449" s="10"/>
      <c r="W2449" s="138"/>
      <c r="Y2449"/>
      <c r="Z2449"/>
      <c r="AA2449"/>
      <c r="AB2449"/>
      <c r="AC2449"/>
      <c r="AD2449"/>
      <c r="AE2449"/>
      <c r="AF2449"/>
      <c r="AG2449"/>
      <c r="AH2449"/>
      <c r="AI2449"/>
      <c r="AJ2449"/>
      <c r="AK2449"/>
      <c r="AL2449"/>
      <c r="AM2449"/>
      <c r="AN2449"/>
      <c r="AO2449"/>
    </row>
    <row r="2450" spans="1:41" ht="15">
      <c r="A2450"/>
      <c r="B2450"/>
      <c r="C2450" s="137"/>
      <c r="D2450" s="30"/>
      <c r="E2450" s="30"/>
      <c r="F2450" s="10"/>
      <c r="G2450" s="10"/>
      <c r="H2450" s="15"/>
      <c r="I2450" s="15"/>
      <c r="J2450" s="15"/>
      <c r="K2450" s="15"/>
      <c r="L2450" s="15"/>
      <c r="M2450" s="15"/>
      <c r="N2450" s="15"/>
      <c r="O2450" s="15"/>
      <c r="P2450" s="15"/>
      <c r="Q2450" s="71"/>
      <c r="R2450" s="84"/>
      <c r="S2450" s="10"/>
      <c r="T2450" s="10"/>
      <c r="U2450" s="10"/>
      <c r="V2450" s="10"/>
      <c r="W2450" s="138"/>
      <c r="Y2450"/>
      <c r="Z2450"/>
      <c r="AA2450"/>
      <c r="AB2450"/>
      <c r="AC2450"/>
      <c r="AD2450"/>
      <c r="AE2450"/>
      <c r="AF2450"/>
      <c r="AG2450"/>
      <c r="AH2450"/>
      <c r="AI2450"/>
      <c r="AJ2450"/>
      <c r="AK2450"/>
      <c r="AL2450"/>
      <c r="AM2450"/>
      <c r="AN2450"/>
      <c r="AO2450"/>
    </row>
    <row r="2451" spans="1:41" ht="15">
      <c r="A2451"/>
      <c r="B2451"/>
      <c r="C2451" s="137"/>
      <c r="D2451" s="30"/>
      <c r="E2451" s="30"/>
      <c r="F2451" s="10"/>
      <c r="G2451" s="10"/>
      <c r="H2451" s="15"/>
      <c r="I2451" s="15"/>
      <c r="J2451" s="15"/>
      <c r="K2451" s="15"/>
      <c r="L2451" s="15"/>
      <c r="M2451" s="15"/>
      <c r="N2451" s="15"/>
      <c r="O2451" s="15"/>
      <c r="P2451" s="15"/>
      <c r="Q2451" s="71"/>
      <c r="R2451" s="84"/>
      <c r="S2451" s="10"/>
      <c r="T2451" s="10"/>
      <c r="U2451" s="10"/>
      <c r="V2451" s="10"/>
      <c r="W2451" s="138"/>
      <c r="Y2451"/>
      <c r="Z2451"/>
      <c r="AA2451"/>
      <c r="AB2451"/>
      <c r="AC2451"/>
      <c r="AD2451"/>
      <c r="AE2451"/>
      <c r="AF2451"/>
      <c r="AG2451"/>
      <c r="AH2451"/>
      <c r="AI2451"/>
      <c r="AJ2451"/>
      <c r="AK2451"/>
      <c r="AL2451"/>
      <c r="AM2451"/>
      <c r="AN2451"/>
      <c r="AO2451"/>
    </row>
    <row r="2452" spans="1:41" ht="15">
      <c r="A2452"/>
      <c r="B2452"/>
      <c r="C2452" s="137"/>
      <c r="D2452" s="30"/>
      <c r="E2452" s="30"/>
      <c r="F2452" s="10"/>
      <c r="G2452" s="10"/>
      <c r="H2452" s="15"/>
      <c r="I2452" s="15"/>
      <c r="J2452" s="15"/>
      <c r="K2452" s="15"/>
      <c r="L2452" s="15"/>
      <c r="M2452" s="15"/>
      <c r="N2452" s="15"/>
      <c r="O2452" s="15"/>
      <c r="P2452" s="15"/>
      <c r="Q2452" s="71"/>
      <c r="R2452" s="84"/>
      <c r="S2452" s="10"/>
      <c r="T2452" s="10"/>
      <c r="U2452" s="10"/>
      <c r="V2452" s="10"/>
      <c r="W2452" s="138"/>
      <c r="Y2452"/>
      <c r="Z2452"/>
      <c r="AA2452"/>
      <c r="AB2452"/>
      <c r="AC2452"/>
      <c r="AD2452"/>
      <c r="AE2452"/>
      <c r="AF2452"/>
      <c r="AG2452"/>
      <c r="AH2452"/>
      <c r="AI2452"/>
      <c r="AJ2452"/>
      <c r="AK2452"/>
      <c r="AL2452"/>
      <c r="AM2452"/>
      <c r="AN2452"/>
      <c r="AO2452"/>
    </row>
    <row r="2453" spans="1:41" ht="15">
      <c r="A2453"/>
      <c r="B2453"/>
      <c r="C2453" s="137"/>
      <c r="D2453" s="30"/>
      <c r="E2453" s="30"/>
      <c r="F2453" s="10"/>
      <c r="G2453" s="10"/>
      <c r="H2453" s="15"/>
      <c r="I2453" s="15"/>
      <c r="J2453" s="15"/>
      <c r="K2453" s="15"/>
      <c r="L2453" s="15"/>
      <c r="M2453" s="15"/>
      <c r="N2453" s="15"/>
      <c r="O2453" s="15"/>
      <c r="P2453" s="15"/>
      <c r="Q2453" s="71"/>
      <c r="R2453" s="84"/>
      <c r="S2453" s="10"/>
      <c r="T2453" s="10"/>
      <c r="U2453" s="10"/>
      <c r="V2453" s="10"/>
      <c r="W2453" s="138"/>
      <c r="Y2453"/>
      <c r="Z2453"/>
      <c r="AA2453"/>
      <c r="AB2453"/>
      <c r="AC2453"/>
      <c r="AD2453"/>
      <c r="AE2453"/>
      <c r="AF2453"/>
      <c r="AG2453"/>
      <c r="AH2453"/>
      <c r="AI2453"/>
      <c r="AJ2453"/>
      <c r="AK2453"/>
      <c r="AL2453"/>
      <c r="AM2453"/>
      <c r="AN2453"/>
      <c r="AO2453"/>
    </row>
    <row r="2454" spans="1:41" ht="15">
      <c r="A2454"/>
      <c r="B2454"/>
      <c r="C2454" s="137"/>
      <c r="D2454" s="30"/>
      <c r="E2454" s="30"/>
      <c r="F2454" s="10"/>
      <c r="G2454" s="10"/>
      <c r="H2454" s="15"/>
      <c r="I2454" s="15"/>
      <c r="J2454" s="15"/>
      <c r="K2454" s="15"/>
      <c r="L2454" s="15"/>
      <c r="M2454" s="15"/>
      <c r="N2454" s="15"/>
      <c r="O2454" s="15"/>
      <c r="P2454" s="15"/>
      <c r="Q2454" s="71"/>
      <c r="R2454" s="84"/>
      <c r="S2454" s="10"/>
      <c r="T2454" s="10"/>
      <c r="U2454" s="10"/>
      <c r="V2454" s="10"/>
      <c r="W2454" s="138"/>
      <c r="Y2454"/>
      <c r="Z2454"/>
      <c r="AA2454"/>
      <c r="AB2454"/>
      <c r="AC2454"/>
      <c r="AD2454"/>
      <c r="AE2454"/>
      <c r="AF2454"/>
      <c r="AG2454"/>
      <c r="AH2454"/>
      <c r="AI2454"/>
      <c r="AJ2454"/>
      <c r="AK2454"/>
      <c r="AL2454"/>
      <c r="AM2454"/>
      <c r="AN2454"/>
      <c r="AO2454"/>
    </row>
    <row r="2455" spans="1:41" ht="15">
      <c r="A2455"/>
      <c r="B2455"/>
      <c r="C2455" s="137"/>
      <c r="D2455" s="30"/>
      <c r="E2455" s="30"/>
      <c r="F2455" s="10"/>
      <c r="G2455" s="10"/>
      <c r="H2455" s="15"/>
      <c r="I2455" s="15"/>
      <c r="J2455" s="15"/>
      <c r="K2455" s="15"/>
      <c r="L2455" s="15"/>
      <c r="M2455" s="15"/>
      <c r="N2455" s="15"/>
      <c r="O2455" s="15"/>
      <c r="P2455" s="15"/>
      <c r="Q2455" s="71"/>
      <c r="R2455" s="84"/>
      <c r="S2455" s="10"/>
      <c r="T2455" s="10"/>
      <c r="U2455" s="10"/>
      <c r="V2455" s="10"/>
      <c r="W2455" s="138"/>
      <c r="Y2455"/>
      <c r="Z2455"/>
      <c r="AA2455"/>
      <c r="AB2455"/>
      <c r="AC2455"/>
      <c r="AD2455"/>
      <c r="AE2455"/>
      <c r="AF2455"/>
      <c r="AG2455"/>
      <c r="AH2455"/>
      <c r="AI2455"/>
      <c r="AJ2455"/>
      <c r="AK2455"/>
      <c r="AL2455"/>
      <c r="AM2455"/>
      <c r="AN2455"/>
      <c r="AO2455"/>
    </row>
    <row r="2456" spans="1:41" ht="15">
      <c r="A2456"/>
      <c r="B2456"/>
      <c r="C2456" s="137"/>
      <c r="D2456" s="30"/>
      <c r="E2456" s="30"/>
      <c r="F2456" s="10"/>
      <c r="G2456" s="10"/>
      <c r="H2456" s="15"/>
      <c r="I2456" s="15"/>
      <c r="J2456" s="15"/>
      <c r="K2456" s="15"/>
      <c r="L2456" s="15"/>
      <c r="M2456" s="15"/>
      <c r="N2456" s="15"/>
      <c r="O2456" s="15"/>
      <c r="P2456" s="15"/>
      <c r="Q2456" s="71"/>
      <c r="R2456" s="84"/>
      <c r="S2456" s="10"/>
      <c r="T2456" s="10"/>
      <c r="U2456" s="10"/>
      <c r="V2456" s="10"/>
      <c r="W2456" s="138"/>
      <c r="Y2456"/>
      <c r="Z2456"/>
      <c r="AA2456"/>
      <c r="AB2456"/>
      <c r="AC2456"/>
      <c r="AD2456"/>
      <c r="AE2456"/>
      <c r="AF2456"/>
      <c r="AG2456"/>
      <c r="AH2456"/>
      <c r="AI2456"/>
      <c r="AJ2456"/>
      <c r="AK2456"/>
      <c r="AL2456"/>
      <c r="AM2456"/>
      <c r="AN2456"/>
      <c r="AO2456"/>
    </row>
    <row r="2457" spans="1:41" ht="15">
      <c r="A2457"/>
      <c r="B2457"/>
      <c r="C2457" s="137"/>
      <c r="D2457" s="30"/>
      <c r="E2457" s="30"/>
      <c r="F2457" s="10"/>
      <c r="G2457" s="10"/>
      <c r="H2457" s="15"/>
      <c r="I2457" s="15"/>
      <c r="J2457" s="15"/>
      <c r="K2457" s="15"/>
      <c r="L2457" s="15"/>
      <c r="M2457" s="15"/>
      <c r="N2457" s="15"/>
      <c r="O2457" s="15"/>
      <c r="P2457" s="15"/>
      <c r="Q2457" s="71"/>
      <c r="R2457" s="84"/>
      <c r="S2457" s="10"/>
      <c r="T2457" s="10"/>
      <c r="U2457" s="10"/>
      <c r="V2457" s="10"/>
      <c r="W2457" s="138"/>
      <c r="Y2457"/>
      <c r="Z2457"/>
      <c r="AA2457"/>
      <c r="AB2457"/>
      <c r="AC2457"/>
      <c r="AD2457"/>
      <c r="AE2457"/>
      <c r="AF2457"/>
      <c r="AG2457"/>
      <c r="AH2457"/>
      <c r="AI2457"/>
      <c r="AJ2457"/>
      <c r="AK2457"/>
      <c r="AL2457"/>
      <c r="AM2457"/>
      <c r="AN2457"/>
      <c r="AO2457"/>
    </row>
    <row r="2458" spans="1:41" ht="15">
      <c r="A2458"/>
      <c r="B2458"/>
      <c r="C2458" s="137"/>
      <c r="D2458" s="30"/>
      <c r="E2458" s="30"/>
      <c r="F2458" s="10"/>
      <c r="G2458" s="10"/>
      <c r="H2458" s="15"/>
      <c r="I2458" s="15"/>
      <c r="J2458" s="15"/>
      <c r="K2458" s="15"/>
      <c r="L2458" s="15"/>
      <c r="M2458" s="15"/>
      <c r="N2458" s="15"/>
      <c r="O2458" s="15"/>
      <c r="P2458" s="15"/>
      <c r="Q2458" s="71"/>
      <c r="R2458" s="84"/>
      <c r="S2458" s="10"/>
      <c r="T2458" s="10"/>
      <c r="U2458" s="10"/>
      <c r="V2458" s="10"/>
      <c r="W2458" s="138"/>
      <c r="Y2458"/>
      <c r="Z2458"/>
      <c r="AA2458"/>
      <c r="AB2458"/>
      <c r="AC2458"/>
      <c r="AD2458"/>
      <c r="AE2458"/>
      <c r="AF2458"/>
      <c r="AG2458"/>
      <c r="AH2458"/>
      <c r="AI2458"/>
      <c r="AJ2458"/>
      <c r="AK2458"/>
      <c r="AL2458"/>
      <c r="AM2458"/>
      <c r="AN2458"/>
      <c r="AO2458"/>
    </row>
    <row r="2459" spans="1:41" ht="15">
      <c r="A2459"/>
      <c r="B2459"/>
      <c r="C2459" s="137"/>
      <c r="D2459" s="30"/>
      <c r="E2459" s="30"/>
      <c r="F2459" s="10"/>
      <c r="G2459" s="10"/>
      <c r="H2459" s="15"/>
      <c r="I2459" s="15"/>
      <c r="J2459" s="15"/>
      <c r="K2459" s="15"/>
      <c r="L2459" s="15"/>
      <c r="M2459" s="15"/>
      <c r="N2459" s="15"/>
      <c r="O2459" s="15"/>
      <c r="P2459" s="15"/>
      <c r="Q2459" s="71"/>
      <c r="R2459" s="84"/>
      <c r="S2459" s="10"/>
      <c r="T2459" s="10"/>
      <c r="U2459" s="10"/>
      <c r="V2459" s="10"/>
      <c r="W2459" s="138"/>
      <c r="Y2459"/>
      <c r="Z2459"/>
      <c r="AA2459"/>
      <c r="AB2459"/>
      <c r="AC2459"/>
      <c r="AD2459"/>
      <c r="AE2459"/>
      <c r="AF2459"/>
      <c r="AG2459"/>
      <c r="AH2459"/>
      <c r="AI2459"/>
      <c r="AJ2459"/>
      <c r="AK2459"/>
      <c r="AL2459"/>
      <c r="AM2459"/>
      <c r="AN2459"/>
      <c r="AO2459"/>
    </row>
    <row r="2460" spans="1:41" ht="15">
      <c r="A2460"/>
      <c r="B2460"/>
      <c r="C2460" s="137"/>
      <c r="D2460" s="30"/>
      <c r="E2460" s="30"/>
      <c r="F2460" s="10"/>
      <c r="G2460" s="10"/>
      <c r="H2460" s="15"/>
      <c r="I2460" s="15"/>
      <c r="J2460" s="15"/>
      <c r="K2460" s="15"/>
      <c r="L2460" s="15"/>
      <c r="M2460" s="15"/>
      <c r="N2460" s="15"/>
      <c r="O2460" s="15"/>
      <c r="P2460" s="15"/>
      <c r="Q2460" s="71"/>
      <c r="R2460" s="84"/>
      <c r="S2460" s="10"/>
      <c r="T2460" s="10"/>
      <c r="U2460" s="10"/>
      <c r="V2460" s="10"/>
      <c r="W2460" s="138"/>
      <c r="Y2460"/>
      <c r="Z2460"/>
      <c r="AA2460"/>
      <c r="AB2460"/>
      <c r="AC2460"/>
      <c r="AD2460"/>
      <c r="AE2460"/>
      <c r="AF2460"/>
      <c r="AG2460"/>
      <c r="AH2460"/>
      <c r="AI2460"/>
      <c r="AJ2460"/>
      <c r="AK2460"/>
      <c r="AL2460"/>
      <c r="AM2460"/>
      <c r="AN2460"/>
      <c r="AO2460"/>
    </row>
    <row r="2461" spans="1:41" ht="15">
      <c r="A2461"/>
      <c r="B2461"/>
      <c r="C2461" s="137"/>
      <c r="D2461" s="30"/>
      <c r="E2461" s="30"/>
      <c r="F2461" s="10"/>
      <c r="G2461" s="10"/>
      <c r="H2461" s="15"/>
      <c r="I2461" s="15"/>
      <c r="J2461" s="15"/>
      <c r="K2461" s="15"/>
      <c r="L2461" s="15"/>
      <c r="M2461" s="15"/>
      <c r="N2461" s="15"/>
      <c r="O2461" s="15"/>
      <c r="P2461" s="15"/>
      <c r="Q2461" s="71"/>
      <c r="R2461" s="84"/>
      <c r="S2461" s="10"/>
      <c r="T2461" s="10"/>
      <c r="U2461" s="10"/>
      <c r="V2461" s="10"/>
      <c r="W2461" s="138"/>
      <c r="Y2461"/>
      <c r="Z2461"/>
      <c r="AA2461"/>
      <c r="AB2461"/>
      <c r="AC2461"/>
      <c r="AD2461"/>
      <c r="AE2461"/>
      <c r="AF2461"/>
      <c r="AG2461"/>
      <c r="AH2461"/>
      <c r="AI2461"/>
      <c r="AJ2461"/>
      <c r="AK2461"/>
      <c r="AL2461"/>
      <c r="AM2461"/>
      <c r="AN2461"/>
      <c r="AO2461"/>
    </row>
    <row r="2462" spans="1:41" ht="15">
      <c r="A2462"/>
      <c r="B2462"/>
      <c r="C2462" s="137"/>
      <c r="D2462" s="30"/>
      <c r="E2462" s="30"/>
      <c r="F2462" s="10"/>
      <c r="G2462" s="10"/>
      <c r="H2462" s="15"/>
      <c r="I2462" s="15"/>
      <c r="J2462" s="15"/>
      <c r="K2462" s="15"/>
      <c r="L2462" s="15"/>
      <c r="M2462" s="15"/>
      <c r="N2462" s="15"/>
      <c r="O2462" s="15"/>
      <c r="P2462" s="15"/>
      <c r="Q2462" s="71"/>
      <c r="R2462" s="84"/>
      <c r="S2462" s="10"/>
      <c r="T2462" s="10"/>
      <c r="U2462" s="10"/>
      <c r="V2462" s="10"/>
      <c r="W2462" s="138"/>
      <c r="Y2462"/>
      <c r="Z2462"/>
      <c r="AA2462"/>
      <c r="AB2462"/>
      <c r="AC2462"/>
      <c r="AD2462"/>
      <c r="AE2462"/>
      <c r="AF2462"/>
      <c r="AG2462"/>
      <c r="AH2462"/>
      <c r="AI2462"/>
      <c r="AJ2462"/>
      <c r="AK2462"/>
      <c r="AL2462"/>
      <c r="AM2462"/>
      <c r="AN2462"/>
      <c r="AO2462"/>
    </row>
    <row r="2463" spans="1:41" ht="15">
      <c r="A2463"/>
      <c r="B2463"/>
      <c r="C2463" s="137"/>
      <c r="D2463" s="30"/>
      <c r="E2463" s="30"/>
      <c r="F2463" s="10"/>
      <c r="G2463" s="10"/>
      <c r="H2463" s="15"/>
      <c r="I2463" s="15"/>
      <c r="J2463" s="15"/>
      <c r="K2463" s="15"/>
      <c r="L2463" s="15"/>
      <c r="M2463" s="15"/>
      <c r="N2463" s="15"/>
      <c r="O2463" s="15"/>
      <c r="P2463" s="15"/>
      <c r="Q2463" s="71"/>
      <c r="R2463" s="84"/>
      <c r="S2463" s="10"/>
      <c r="T2463" s="10"/>
      <c r="U2463" s="10"/>
      <c r="V2463" s="10"/>
      <c r="W2463" s="138"/>
      <c r="Y2463"/>
      <c r="Z2463"/>
      <c r="AA2463"/>
      <c r="AB2463"/>
      <c r="AC2463"/>
      <c r="AD2463"/>
      <c r="AE2463"/>
      <c r="AF2463"/>
      <c r="AG2463"/>
      <c r="AH2463"/>
      <c r="AI2463"/>
      <c r="AJ2463"/>
      <c r="AK2463"/>
      <c r="AL2463"/>
      <c r="AM2463"/>
      <c r="AN2463"/>
      <c r="AO2463"/>
    </row>
    <row r="2464" spans="1:41" ht="15">
      <c r="A2464"/>
      <c r="B2464"/>
      <c r="C2464" s="137"/>
      <c r="D2464" s="30"/>
      <c r="E2464" s="30"/>
      <c r="F2464" s="10"/>
      <c r="G2464" s="10"/>
      <c r="H2464" s="15"/>
      <c r="I2464" s="15"/>
      <c r="J2464" s="15"/>
      <c r="K2464" s="15"/>
      <c r="L2464" s="15"/>
      <c r="M2464" s="15"/>
      <c r="N2464" s="15"/>
      <c r="O2464" s="15"/>
      <c r="P2464" s="15"/>
      <c r="Q2464" s="71"/>
      <c r="R2464" s="84"/>
      <c r="S2464" s="10"/>
      <c r="T2464" s="10"/>
      <c r="U2464" s="10"/>
      <c r="V2464" s="10"/>
      <c r="W2464" s="138"/>
      <c r="Y2464"/>
      <c r="Z2464"/>
      <c r="AA2464"/>
      <c r="AB2464"/>
      <c r="AC2464"/>
      <c r="AD2464"/>
      <c r="AE2464"/>
      <c r="AF2464"/>
      <c r="AG2464"/>
      <c r="AH2464"/>
      <c r="AI2464"/>
      <c r="AJ2464"/>
      <c r="AK2464"/>
      <c r="AL2464"/>
      <c r="AM2464"/>
      <c r="AN2464"/>
      <c r="AO2464"/>
    </row>
    <row r="2465" spans="1:41" ht="15">
      <c r="A2465"/>
      <c r="B2465"/>
      <c r="C2465" s="137"/>
      <c r="D2465" s="30"/>
      <c r="E2465" s="30"/>
      <c r="F2465" s="10"/>
      <c r="G2465" s="10"/>
      <c r="H2465" s="15"/>
      <c r="I2465" s="15"/>
      <c r="J2465" s="15"/>
      <c r="K2465" s="15"/>
      <c r="L2465" s="15"/>
      <c r="M2465" s="15"/>
      <c r="N2465" s="15"/>
      <c r="O2465" s="15"/>
      <c r="P2465" s="15"/>
      <c r="Q2465" s="71"/>
      <c r="R2465" s="84"/>
      <c r="S2465" s="10"/>
      <c r="T2465" s="10"/>
      <c r="U2465" s="10"/>
      <c r="V2465" s="10"/>
      <c r="W2465" s="138"/>
      <c r="Y2465"/>
      <c r="Z2465"/>
      <c r="AA2465"/>
      <c r="AB2465"/>
      <c r="AC2465"/>
      <c r="AD2465"/>
      <c r="AE2465"/>
      <c r="AF2465"/>
      <c r="AG2465"/>
      <c r="AH2465"/>
      <c r="AI2465"/>
      <c r="AJ2465"/>
      <c r="AK2465"/>
      <c r="AL2465"/>
      <c r="AM2465"/>
      <c r="AN2465"/>
      <c r="AO2465"/>
    </row>
    <row r="2466" spans="1:41" ht="15">
      <c r="A2466"/>
      <c r="B2466"/>
      <c r="C2466" s="137"/>
      <c r="D2466" s="30"/>
      <c r="E2466" s="30"/>
      <c r="F2466" s="10"/>
      <c r="G2466" s="10"/>
      <c r="H2466" s="15"/>
      <c r="I2466" s="15"/>
      <c r="J2466" s="15"/>
      <c r="K2466" s="15"/>
      <c r="L2466" s="15"/>
      <c r="M2466" s="15"/>
      <c r="N2466" s="15"/>
      <c r="O2466" s="15"/>
      <c r="P2466" s="15"/>
      <c r="Q2466" s="71"/>
      <c r="R2466" s="84"/>
      <c r="S2466" s="10"/>
      <c r="T2466" s="10"/>
      <c r="U2466" s="10"/>
      <c r="V2466" s="10"/>
      <c r="W2466" s="138"/>
      <c r="Y2466"/>
      <c r="Z2466"/>
      <c r="AA2466"/>
      <c r="AB2466"/>
      <c r="AC2466"/>
      <c r="AD2466"/>
      <c r="AE2466"/>
      <c r="AF2466"/>
      <c r="AG2466"/>
      <c r="AH2466"/>
      <c r="AI2466"/>
      <c r="AJ2466"/>
      <c r="AK2466"/>
      <c r="AL2466"/>
      <c r="AM2466"/>
      <c r="AN2466"/>
      <c r="AO2466"/>
    </row>
    <row r="2467" spans="1:41" ht="15">
      <c r="A2467"/>
      <c r="B2467"/>
      <c r="C2467" s="137"/>
      <c r="D2467" s="30"/>
      <c r="E2467" s="30"/>
      <c r="F2467" s="10"/>
      <c r="G2467" s="10"/>
      <c r="H2467" s="15"/>
      <c r="I2467" s="15"/>
      <c r="J2467" s="15"/>
      <c r="K2467" s="15"/>
      <c r="L2467" s="15"/>
      <c r="M2467" s="15"/>
      <c r="N2467" s="15"/>
      <c r="O2467" s="15"/>
      <c r="P2467" s="15"/>
      <c r="Q2467" s="71"/>
      <c r="R2467" s="84"/>
      <c r="S2467" s="10"/>
      <c r="T2467" s="10"/>
      <c r="U2467" s="10"/>
      <c r="V2467" s="10"/>
      <c r="W2467" s="138"/>
      <c r="Y2467"/>
      <c r="Z2467"/>
      <c r="AA2467"/>
      <c r="AB2467"/>
      <c r="AC2467"/>
      <c r="AD2467"/>
      <c r="AE2467"/>
      <c r="AF2467"/>
      <c r="AG2467"/>
      <c r="AH2467"/>
      <c r="AI2467"/>
      <c r="AJ2467"/>
      <c r="AK2467"/>
      <c r="AL2467"/>
      <c r="AM2467"/>
      <c r="AN2467"/>
      <c r="AO2467"/>
    </row>
    <row r="2468" spans="1:41" ht="15">
      <c r="A2468"/>
      <c r="B2468"/>
      <c r="C2468" s="137"/>
      <c r="D2468" s="30"/>
      <c r="E2468" s="30"/>
      <c r="F2468" s="10"/>
      <c r="G2468" s="10"/>
      <c r="H2468" s="15"/>
      <c r="I2468" s="15"/>
      <c r="J2468" s="15"/>
      <c r="K2468" s="15"/>
      <c r="L2468" s="15"/>
      <c r="M2468" s="15"/>
      <c r="N2468" s="15"/>
      <c r="O2468" s="15"/>
      <c r="P2468" s="15"/>
      <c r="Q2468" s="71"/>
      <c r="R2468" s="84"/>
      <c r="S2468" s="10"/>
      <c r="T2468" s="10"/>
      <c r="U2468" s="10"/>
      <c r="V2468" s="10"/>
      <c r="W2468" s="138"/>
      <c r="Y2468"/>
      <c r="Z2468"/>
      <c r="AA2468"/>
      <c r="AB2468"/>
      <c r="AC2468"/>
      <c r="AD2468"/>
      <c r="AE2468"/>
      <c r="AF2468"/>
      <c r="AG2468"/>
      <c r="AH2468"/>
      <c r="AI2468"/>
      <c r="AJ2468"/>
      <c r="AK2468"/>
      <c r="AL2468"/>
      <c r="AM2468"/>
      <c r="AN2468"/>
      <c r="AO2468"/>
    </row>
    <row r="2469" spans="1:41" ht="15">
      <c r="A2469"/>
      <c r="B2469"/>
      <c r="C2469" s="137"/>
      <c r="D2469" s="30"/>
      <c r="E2469" s="30"/>
      <c r="F2469" s="10"/>
      <c r="G2469" s="10"/>
      <c r="H2469" s="15"/>
      <c r="I2469" s="15"/>
      <c r="J2469" s="15"/>
      <c r="K2469" s="15"/>
      <c r="L2469" s="15"/>
      <c r="M2469" s="15"/>
      <c r="N2469" s="15"/>
      <c r="O2469" s="15"/>
      <c r="P2469" s="15"/>
      <c r="Q2469" s="71"/>
      <c r="R2469" s="84"/>
      <c r="S2469" s="10"/>
      <c r="T2469" s="10"/>
      <c r="U2469" s="10"/>
      <c r="V2469" s="10"/>
      <c r="W2469" s="138"/>
      <c r="Y2469"/>
      <c r="Z2469"/>
      <c r="AA2469"/>
      <c r="AB2469"/>
      <c r="AC2469"/>
      <c r="AD2469"/>
      <c r="AE2469"/>
      <c r="AF2469"/>
      <c r="AG2469"/>
      <c r="AH2469"/>
      <c r="AI2469"/>
      <c r="AJ2469"/>
      <c r="AK2469"/>
      <c r="AL2469"/>
      <c r="AM2469"/>
      <c r="AN2469"/>
      <c r="AO2469"/>
    </row>
    <row r="2470" spans="1:41" ht="15">
      <c r="A2470"/>
      <c r="B2470"/>
      <c r="C2470" s="137"/>
      <c r="D2470" s="30"/>
      <c r="E2470" s="30"/>
      <c r="F2470" s="10"/>
      <c r="G2470" s="10"/>
      <c r="H2470" s="15"/>
      <c r="I2470" s="15"/>
      <c r="J2470" s="15"/>
      <c r="K2470" s="15"/>
      <c r="L2470" s="15"/>
      <c r="M2470" s="15"/>
      <c r="N2470" s="15"/>
      <c r="O2470" s="15"/>
      <c r="P2470" s="15"/>
      <c r="Q2470" s="71"/>
      <c r="R2470" s="84"/>
      <c r="S2470" s="10"/>
      <c r="T2470" s="10"/>
      <c r="U2470" s="10"/>
      <c r="V2470" s="10"/>
      <c r="W2470" s="138"/>
      <c r="Y2470"/>
      <c r="Z2470"/>
      <c r="AA2470"/>
      <c r="AB2470"/>
      <c r="AC2470"/>
      <c r="AD2470"/>
      <c r="AE2470"/>
      <c r="AF2470"/>
      <c r="AG2470"/>
      <c r="AH2470"/>
      <c r="AI2470"/>
      <c r="AJ2470"/>
      <c r="AK2470"/>
      <c r="AL2470"/>
      <c r="AM2470"/>
      <c r="AN2470"/>
      <c r="AO2470"/>
    </row>
    <row r="2471" spans="1:41" ht="15">
      <c r="A2471"/>
      <c r="B2471"/>
      <c r="C2471" s="137"/>
      <c r="D2471" s="30"/>
      <c r="E2471" s="30"/>
      <c r="F2471" s="10"/>
      <c r="G2471" s="10"/>
      <c r="H2471" s="15"/>
      <c r="I2471" s="15"/>
      <c r="J2471" s="15"/>
      <c r="K2471" s="15"/>
      <c r="L2471" s="15"/>
      <c r="M2471" s="15"/>
      <c r="N2471" s="15"/>
      <c r="O2471" s="15"/>
      <c r="P2471" s="15"/>
      <c r="Q2471" s="71"/>
      <c r="R2471" s="84"/>
      <c r="S2471" s="10"/>
      <c r="T2471" s="10"/>
      <c r="U2471" s="10"/>
      <c r="V2471" s="10"/>
      <c r="W2471" s="138"/>
      <c r="Y2471"/>
      <c r="Z2471"/>
      <c r="AA2471"/>
      <c r="AB2471"/>
      <c r="AC2471"/>
      <c r="AD2471"/>
      <c r="AE2471"/>
      <c r="AF2471"/>
      <c r="AG2471"/>
      <c r="AH2471"/>
      <c r="AI2471"/>
      <c r="AJ2471"/>
      <c r="AK2471"/>
      <c r="AL2471"/>
      <c r="AM2471"/>
      <c r="AN2471"/>
      <c r="AO2471"/>
    </row>
    <row r="2472" spans="1:41" ht="15">
      <c r="A2472"/>
      <c r="B2472"/>
      <c r="C2472" s="137"/>
      <c r="D2472" s="30"/>
      <c r="E2472" s="30"/>
      <c r="F2472" s="10"/>
      <c r="G2472" s="10"/>
      <c r="H2472" s="15"/>
      <c r="I2472" s="15"/>
      <c r="J2472" s="15"/>
      <c r="K2472" s="15"/>
      <c r="L2472" s="15"/>
      <c r="M2472" s="15"/>
      <c r="N2472" s="15"/>
      <c r="O2472" s="15"/>
      <c r="P2472" s="15"/>
      <c r="Q2472" s="71"/>
      <c r="R2472" s="84"/>
      <c r="S2472" s="10"/>
      <c r="T2472" s="10"/>
      <c r="U2472" s="10"/>
      <c r="V2472" s="10"/>
      <c r="W2472" s="138"/>
      <c r="Y2472"/>
      <c r="Z2472"/>
      <c r="AA2472"/>
      <c r="AB2472"/>
      <c r="AC2472"/>
      <c r="AD2472"/>
      <c r="AE2472"/>
      <c r="AF2472"/>
      <c r="AG2472"/>
      <c r="AH2472"/>
      <c r="AI2472"/>
      <c r="AJ2472"/>
      <c r="AK2472"/>
      <c r="AL2472"/>
      <c r="AM2472"/>
      <c r="AN2472"/>
      <c r="AO2472"/>
    </row>
    <row r="2473" spans="1:41" ht="15">
      <c r="A2473"/>
      <c r="B2473"/>
      <c r="C2473" s="137"/>
      <c r="D2473" s="30"/>
      <c r="E2473" s="30"/>
      <c r="F2473" s="10"/>
      <c r="G2473" s="10"/>
      <c r="H2473" s="15"/>
      <c r="I2473" s="15"/>
      <c r="J2473" s="15"/>
      <c r="K2473" s="15"/>
      <c r="L2473" s="15"/>
      <c r="M2473" s="15"/>
      <c r="N2473" s="15"/>
      <c r="O2473" s="15"/>
      <c r="P2473" s="15"/>
      <c r="Q2473" s="71"/>
      <c r="R2473" s="84"/>
      <c r="S2473" s="10"/>
      <c r="T2473" s="10"/>
      <c r="U2473" s="10"/>
      <c r="V2473" s="10"/>
      <c r="W2473" s="138"/>
      <c r="Y2473"/>
      <c r="Z2473"/>
      <c r="AA2473"/>
      <c r="AB2473"/>
      <c r="AC2473"/>
      <c r="AD2473"/>
      <c r="AE2473"/>
      <c r="AF2473"/>
      <c r="AG2473"/>
      <c r="AH2473"/>
      <c r="AI2473"/>
      <c r="AJ2473"/>
      <c r="AK2473"/>
      <c r="AL2473"/>
      <c r="AM2473"/>
      <c r="AN2473"/>
      <c r="AO2473"/>
    </row>
    <row r="2474" spans="1:41" ht="15">
      <c r="A2474"/>
      <c r="B2474"/>
      <c r="C2474" s="137"/>
      <c r="D2474" s="30"/>
      <c r="E2474" s="30"/>
      <c r="F2474" s="10"/>
      <c r="G2474" s="10"/>
      <c r="H2474" s="15"/>
      <c r="I2474" s="15"/>
      <c r="J2474" s="15"/>
      <c r="K2474" s="15"/>
      <c r="L2474" s="15"/>
      <c r="M2474" s="15"/>
      <c r="N2474" s="15"/>
      <c r="O2474" s="15"/>
      <c r="P2474" s="15"/>
      <c r="Q2474" s="71"/>
      <c r="R2474" s="84"/>
      <c r="S2474" s="10"/>
      <c r="T2474" s="10"/>
      <c r="U2474" s="10"/>
      <c r="V2474" s="10"/>
      <c r="W2474" s="138"/>
      <c r="Y2474"/>
      <c r="Z2474"/>
      <c r="AA2474"/>
      <c r="AB2474"/>
      <c r="AC2474"/>
      <c r="AD2474"/>
      <c r="AE2474"/>
      <c r="AF2474"/>
      <c r="AG2474"/>
      <c r="AH2474"/>
      <c r="AI2474"/>
      <c r="AJ2474"/>
      <c r="AK2474"/>
      <c r="AL2474"/>
      <c r="AM2474"/>
      <c r="AN2474"/>
      <c r="AO2474"/>
    </row>
    <row r="2475" spans="1:41" ht="15">
      <c r="A2475"/>
      <c r="B2475"/>
      <c r="C2475" s="137"/>
      <c r="D2475" s="30"/>
      <c r="E2475" s="30"/>
      <c r="F2475" s="10"/>
      <c r="G2475" s="10"/>
      <c r="H2475" s="15"/>
      <c r="I2475" s="15"/>
      <c r="J2475" s="15"/>
      <c r="K2475" s="15"/>
      <c r="L2475" s="15"/>
      <c r="M2475" s="15"/>
      <c r="N2475" s="15"/>
      <c r="O2475" s="15"/>
      <c r="P2475" s="15"/>
      <c r="Q2475" s="71"/>
      <c r="R2475" s="84"/>
      <c r="S2475" s="10"/>
      <c r="T2475" s="10"/>
      <c r="U2475" s="10"/>
      <c r="V2475" s="10"/>
      <c r="W2475" s="138"/>
      <c r="Y2475"/>
      <c r="Z2475"/>
      <c r="AA2475"/>
      <c r="AB2475"/>
      <c r="AC2475"/>
      <c r="AD2475"/>
      <c r="AE2475"/>
      <c r="AF2475"/>
      <c r="AG2475"/>
      <c r="AH2475"/>
      <c r="AI2475"/>
      <c r="AJ2475"/>
      <c r="AK2475"/>
      <c r="AL2475"/>
      <c r="AM2475"/>
      <c r="AN2475"/>
      <c r="AO2475"/>
    </row>
    <row r="2476" spans="1:41" ht="15">
      <c r="A2476"/>
      <c r="B2476"/>
      <c r="C2476" s="137"/>
      <c r="D2476" s="30"/>
      <c r="E2476" s="30"/>
      <c r="F2476" s="10"/>
      <c r="G2476" s="10"/>
      <c r="H2476" s="15"/>
      <c r="I2476" s="15"/>
      <c r="J2476" s="15"/>
      <c r="K2476" s="15"/>
      <c r="L2476" s="15"/>
      <c r="M2476" s="15"/>
      <c r="N2476" s="15"/>
      <c r="O2476" s="15"/>
      <c r="P2476" s="15"/>
      <c r="Q2476" s="71"/>
      <c r="R2476" s="84"/>
      <c r="S2476" s="10"/>
      <c r="T2476" s="10"/>
      <c r="U2476" s="10"/>
      <c r="V2476" s="10"/>
      <c r="W2476" s="138"/>
      <c r="Y2476"/>
      <c r="Z2476"/>
      <c r="AA2476"/>
      <c r="AB2476"/>
      <c r="AC2476"/>
      <c r="AD2476"/>
      <c r="AE2476"/>
      <c r="AF2476"/>
      <c r="AG2476"/>
      <c r="AH2476"/>
      <c r="AI2476"/>
      <c r="AJ2476"/>
      <c r="AK2476"/>
      <c r="AL2476"/>
      <c r="AM2476"/>
      <c r="AN2476"/>
      <c r="AO2476"/>
    </row>
    <row r="2477" spans="1:41" ht="15">
      <c r="A2477"/>
      <c r="B2477"/>
      <c r="C2477" s="137"/>
      <c r="D2477" s="30"/>
      <c r="E2477" s="30"/>
      <c r="F2477" s="10"/>
      <c r="G2477" s="10"/>
      <c r="H2477" s="15"/>
      <c r="I2477" s="15"/>
      <c r="J2477" s="15"/>
      <c r="K2477" s="15"/>
      <c r="L2477" s="15"/>
      <c r="M2477" s="15"/>
      <c r="N2477" s="15"/>
      <c r="O2477" s="15"/>
      <c r="P2477" s="15"/>
      <c r="Q2477" s="71"/>
      <c r="R2477" s="84"/>
      <c r="S2477" s="10"/>
      <c r="T2477" s="10"/>
      <c r="U2477" s="10"/>
      <c r="V2477" s="10"/>
      <c r="W2477" s="138"/>
      <c r="Y2477"/>
      <c r="Z2477"/>
      <c r="AA2477"/>
      <c r="AB2477"/>
      <c r="AC2477"/>
      <c r="AD2477"/>
      <c r="AE2477"/>
      <c r="AF2477"/>
      <c r="AG2477"/>
      <c r="AH2477"/>
      <c r="AI2477"/>
      <c r="AJ2477"/>
      <c r="AK2477"/>
      <c r="AL2477"/>
      <c r="AM2477"/>
      <c r="AN2477"/>
      <c r="AO2477"/>
    </row>
    <row r="2478" spans="1:41" ht="15">
      <c r="A2478"/>
      <c r="B2478"/>
      <c r="C2478" s="137"/>
      <c r="D2478" s="30"/>
      <c r="E2478" s="30"/>
      <c r="F2478" s="10"/>
      <c r="G2478" s="10"/>
      <c r="H2478" s="15"/>
      <c r="I2478" s="15"/>
      <c r="J2478" s="15"/>
      <c r="K2478" s="15"/>
      <c r="L2478" s="15"/>
      <c r="M2478" s="15"/>
      <c r="N2478" s="15"/>
      <c r="O2478" s="15"/>
      <c r="P2478" s="15"/>
      <c r="Q2478" s="71"/>
      <c r="R2478" s="84"/>
      <c r="S2478" s="10"/>
      <c r="T2478" s="10"/>
      <c r="U2478" s="10"/>
      <c r="V2478" s="10"/>
      <c r="W2478" s="138"/>
      <c r="Y2478"/>
      <c r="Z2478"/>
      <c r="AA2478"/>
      <c r="AB2478"/>
      <c r="AC2478"/>
      <c r="AD2478"/>
      <c r="AE2478"/>
      <c r="AF2478"/>
      <c r="AG2478"/>
      <c r="AH2478"/>
      <c r="AI2478"/>
      <c r="AJ2478"/>
      <c r="AK2478"/>
      <c r="AL2478"/>
      <c r="AM2478"/>
      <c r="AN2478"/>
      <c r="AO2478"/>
    </row>
    <row r="2479" spans="1:41" ht="15">
      <c r="A2479"/>
      <c r="B2479"/>
      <c r="C2479" s="137"/>
      <c r="D2479" s="30"/>
      <c r="E2479" s="30"/>
      <c r="F2479" s="10"/>
      <c r="G2479" s="10"/>
      <c r="H2479" s="15"/>
      <c r="I2479" s="15"/>
      <c r="J2479" s="15"/>
      <c r="K2479" s="15"/>
      <c r="L2479" s="15"/>
      <c r="M2479" s="15"/>
      <c r="N2479" s="15"/>
      <c r="O2479" s="15"/>
      <c r="P2479" s="15"/>
      <c r="Q2479" s="71"/>
      <c r="R2479" s="84"/>
      <c r="S2479" s="10"/>
      <c r="T2479" s="10"/>
      <c r="U2479" s="10"/>
      <c r="V2479" s="10"/>
      <c r="W2479" s="138"/>
      <c r="Y2479"/>
      <c r="Z2479"/>
      <c r="AA2479"/>
      <c r="AB2479"/>
      <c r="AC2479"/>
      <c r="AD2479"/>
      <c r="AE2479"/>
      <c r="AF2479"/>
      <c r="AG2479"/>
      <c r="AH2479"/>
      <c r="AI2479"/>
      <c r="AJ2479"/>
      <c r="AK2479"/>
      <c r="AL2479"/>
      <c r="AM2479"/>
      <c r="AN2479"/>
      <c r="AO2479"/>
    </row>
    <row r="2480" spans="1:41" ht="15">
      <c r="A2480"/>
      <c r="B2480"/>
      <c r="C2480" s="137"/>
      <c r="D2480" s="30"/>
      <c r="E2480" s="30"/>
      <c r="F2480" s="10"/>
      <c r="G2480" s="10"/>
      <c r="H2480" s="15"/>
      <c r="I2480" s="15"/>
      <c r="J2480" s="15"/>
      <c r="K2480" s="15"/>
      <c r="L2480" s="15"/>
      <c r="M2480" s="15"/>
      <c r="N2480" s="15"/>
      <c r="O2480" s="15"/>
      <c r="P2480" s="15"/>
      <c r="Q2480" s="71"/>
      <c r="R2480" s="84"/>
      <c r="S2480" s="10"/>
      <c r="T2480" s="10"/>
      <c r="U2480" s="10"/>
      <c r="V2480" s="10"/>
      <c r="W2480" s="138"/>
      <c r="Y2480"/>
      <c r="Z2480"/>
      <c r="AA2480"/>
      <c r="AB2480"/>
      <c r="AC2480"/>
      <c r="AD2480"/>
      <c r="AE2480"/>
      <c r="AF2480"/>
      <c r="AG2480"/>
      <c r="AH2480"/>
      <c r="AI2480"/>
      <c r="AJ2480"/>
      <c r="AK2480"/>
      <c r="AL2480"/>
      <c r="AM2480"/>
      <c r="AN2480"/>
      <c r="AO2480"/>
    </row>
    <row r="2481" spans="1:41" ht="15">
      <c r="A2481"/>
      <c r="B2481"/>
      <c r="C2481" s="137"/>
      <c r="D2481" s="30"/>
      <c r="E2481" s="30"/>
      <c r="F2481" s="10"/>
      <c r="G2481" s="10"/>
      <c r="H2481" s="15"/>
      <c r="I2481" s="15"/>
      <c r="J2481" s="15"/>
      <c r="K2481" s="15"/>
      <c r="L2481" s="15"/>
      <c r="M2481" s="15"/>
      <c r="N2481" s="15"/>
      <c r="O2481" s="15"/>
      <c r="P2481" s="15"/>
      <c r="Q2481" s="71"/>
      <c r="R2481" s="84"/>
      <c r="S2481" s="10"/>
      <c r="T2481" s="10"/>
      <c r="U2481" s="10"/>
      <c r="V2481" s="10"/>
      <c r="W2481" s="138"/>
      <c r="Y2481"/>
      <c r="Z2481"/>
      <c r="AA2481"/>
      <c r="AB2481"/>
      <c r="AC2481"/>
      <c r="AD2481"/>
      <c r="AE2481"/>
      <c r="AF2481"/>
      <c r="AG2481"/>
      <c r="AH2481"/>
      <c r="AI2481"/>
      <c r="AJ2481"/>
      <c r="AK2481"/>
      <c r="AL2481"/>
      <c r="AM2481"/>
      <c r="AN2481"/>
      <c r="AO2481"/>
    </row>
    <row r="2482" spans="1:41" ht="15">
      <c r="A2482"/>
      <c r="B2482"/>
      <c r="C2482" s="137"/>
      <c r="D2482" s="30"/>
      <c r="E2482" s="30"/>
      <c r="F2482" s="10"/>
      <c r="G2482" s="10"/>
      <c r="H2482" s="15"/>
      <c r="I2482" s="15"/>
      <c r="J2482" s="15"/>
      <c r="K2482" s="15"/>
      <c r="L2482" s="15"/>
      <c r="M2482" s="15"/>
      <c r="N2482" s="15"/>
      <c r="O2482" s="15"/>
      <c r="P2482" s="15"/>
      <c r="Q2482" s="71"/>
      <c r="R2482" s="84"/>
      <c r="S2482" s="10"/>
      <c r="T2482" s="10"/>
      <c r="U2482" s="10"/>
      <c r="V2482" s="10"/>
      <c r="W2482" s="138"/>
      <c r="Y2482"/>
      <c r="Z2482"/>
      <c r="AA2482"/>
      <c r="AB2482"/>
      <c r="AC2482"/>
      <c r="AD2482"/>
      <c r="AE2482"/>
      <c r="AF2482"/>
      <c r="AG2482"/>
      <c r="AH2482"/>
      <c r="AI2482"/>
      <c r="AJ2482"/>
      <c r="AK2482"/>
      <c r="AL2482"/>
      <c r="AM2482"/>
      <c r="AN2482"/>
      <c r="AO2482"/>
    </row>
    <row r="2483" spans="1:41" ht="15">
      <c r="A2483"/>
      <c r="B2483"/>
      <c r="C2483" s="137"/>
      <c r="D2483" s="30"/>
      <c r="E2483" s="30"/>
      <c r="F2483" s="10"/>
      <c r="G2483" s="10"/>
      <c r="H2483" s="15"/>
      <c r="I2483" s="15"/>
      <c r="J2483" s="15"/>
      <c r="K2483" s="15"/>
      <c r="L2483" s="15"/>
      <c r="M2483" s="15"/>
      <c r="N2483" s="15"/>
      <c r="O2483" s="15"/>
      <c r="P2483" s="15"/>
      <c r="Q2483" s="71"/>
      <c r="R2483" s="84"/>
      <c r="S2483" s="10"/>
      <c r="T2483" s="10"/>
      <c r="U2483" s="10"/>
      <c r="V2483" s="10"/>
      <c r="W2483" s="138"/>
      <c r="Y2483"/>
      <c r="Z2483"/>
      <c r="AA2483"/>
      <c r="AB2483"/>
      <c r="AC2483"/>
      <c r="AD2483"/>
      <c r="AE2483"/>
      <c r="AF2483"/>
      <c r="AG2483"/>
      <c r="AH2483"/>
      <c r="AI2483"/>
      <c r="AJ2483"/>
      <c r="AK2483"/>
      <c r="AL2483"/>
      <c r="AM2483"/>
      <c r="AN2483"/>
      <c r="AO2483"/>
    </row>
    <row r="2484" spans="1:41" ht="15">
      <c r="A2484"/>
      <c r="B2484"/>
      <c r="C2484" s="137"/>
      <c r="D2484" s="30"/>
      <c r="E2484" s="30"/>
      <c r="F2484" s="10"/>
      <c r="G2484" s="10"/>
      <c r="H2484" s="15"/>
      <c r="I2484" s="15"/>
      <c r="J2484" s="15"/>
      <c r="K2484" s="15"/>
      <c r="L2484" s="15"/>
      <c r="M2484" s="15"/>
      <c r="N2484" s="15"/>
      <c r="O2484" s="15"/>
      <c r="P2484" s="15"/>
      <c r="Q2484" s="71"/>
      <c r="R2484" s="84"/>
      <c r="S2484" s="10"/>
      <c r="T2484" s="10"/>
      <c r="U2484" s="10"/>
      <c r="V2484" s="10"/>
      <c r="W2484" s="138"/>
      <c r="Y2484"/>
      <c r="Z2484"/>
      <c r="AA2484"/>
      <c r="AB2484"/>
      <c r="AC2484"/>
      <c r="AD2484"/>
      <c r="AE2484"/>
      <c r="AF2484"/>
      <c r="AG2484"/>
      <c r="AH2484"/>
      <c r="AI2484"/>
      <c r="AJ2484"/>
      <c r="AK2484"/>
      <c r="AL2484"/>
      <c r="AM2484"/>
      <c r="AN2484"/>
      <c r="AO2484"/>
    </row>
    <row r="2485" spans="1:41" ht="15">
      <c r="A2485"/>
      <c r="B2485"/>
      <c r="C2485" s="137"/>
      <c r="D2485" s="30"/>
      <c r="E2485" s="30"/>
      <c r="F2485" s="10"/>
      <c r="G2485" s="10"/>
      <c r="H2485" s="15"/>
      <c r="I2485" s="15"/>
      <c r="J2485" s="15"/>
      <c r="K2485" s="15"/>
      <c r="L2485" s="15"/>
      <c r="M2485" s="15"/>
      <c r="N2485" s="15"/>
      <c r="O2485" s="15"/>
      <c r="P2485" s="15"/>
      <c r="Q2485" s="71"/>
      <c r="R2485" s="84"/>
      <c r="S2485" s="10"/>
      <c r="T2485" s="10"/>
      <c r="U2485" s="10"/>
      <c r="V2485" s="10"/>
      <c r="W2485" s="138"/>
      <c r="Y2485"/>
      <c r="Z2485"/>
      <c r="AA2485"/>
      <c r="AB2485"/>
      <c r="AC2485"/>
      <c r="AD2485"/>
      <c r="AE2485"/>
      <c r="AF2485"/>
      <c r="AG2485"/>
      <c r="AH2485"/>
      <c r="AI2485"/>
      <c r="AJ2485"/>
      <c r="AK2485"/>
      <c r="AL2485"/>
      <c r="AM2485"/>
      <c r="AN2485"/>
      <c r="AO2485"/>
    </row>
    <row r="2486" spans="1:41" ht="15">
      <c r="A2486"/>
      <c r="B2486"/>
      <c r="C2486" s="137"/>
      <c r="D2486" s="30"/>
      <c r="E2486" s="30"/>
      <c r="F2486" s="10"/>
      <c r="G2486" s="10"/>
      <c r="H2486" s="15"/>
      <c r="I2486" s="15"/>
      <c r="J2486" s="15"/>
      <c r="K2486" s="15"/>
      <c r="L2486" s="15"/>
      <c r="M2486" s="15"/>
      <c r="N2486" s="15"/>
      <c r="O2486" s="15"/>
      <c r="P2486" s="15"/>
      <c r="Q2486" s="71"/>
      <c r="R2486" s="84"/>
      <c r="S2486" s="10"/>
      <c r="T2486" s="10"/>
      <c r="U2486" s="10"/>
      <c r="V2486" s="10"/>
      <c r="W2486" s="138"/>
      <c r="Y2486"/>
      <c r="Z2486"/>
      <c r="AA2486"/>
      <c r="AB2486"/>
      <c r="AC2486"/>
      <c r="AD2486"/>
      <c r="AE2486"/>
      <c r="AF2486"/>
      <c r="AG2486"/>
      <c r="AH2486"/>
      <c r="AI2486"/>
      <c r="AJ2486"/>
      <c r="AK2486"/>
      <c r="AL2486"/>
      <c r="AM2486"/>
      <c r="AN2486"/>
      <c r="AO2486"/>
    </row>
    <row r="2487" spans="1:41" ht="15">
      <c r="A2487"/>
      <c r="B2487"/>
      <c r="C2487" s="137"/>
      <c r="D2487" s="30"/>
      <c r="E2487" s="30"/>
      <c r="F2487" s="10"/>
      <c r="G2487" s="10"/>
      <c r="H2487" s="15"/>
      <c r="I2487" s="15"/>
      <c r="J2487" s="15"/>
      <c r="K2487" s="15"/>
      <c r="L2487" s="15"/>
      <c r="M2487" s="15"/>
      <c r="N2487" s="15"/>
      <c r="O2487" s="15"/>
      <c r="P2487" s="15"/>
      <c r="Q2487" s="71"/>
      <c r="R2487" s="84"/>
      <c r="S2487" s="10"/>
      <c r="T2487" s="10"/>
      <c r="U2487" s="10"/>
      <c r="V2487" s="10"/>
      <c r="W2487" s="138"/>
      <c r="Y2487"/>
      <c r="Z2487"/>
      <c r="AA2487"/>
      <c r="AB2487"/>
      <c r="AC2487"/>
      <c r="AD2487"/>
      <c r="AE2487"/>
      <c r="AF2487"/>
      <c r="AG2487"/>
      <c r="AH2487"/>
      <c r="AI2487"/>
      <c r="AJ2487"/>
      <c r="AK2487"/>
      <c r="AL2487"/>
      <c r="AM2487"/>
      <c r="AN2487"/>
      <c r="AO2487"/>
    </row>
    <row r="2488" spans="1:41" ht="15">
      <c r="A2488"/>
      <c r="B2488"/>
      <c r="C2488" s="137"/>
      <c r="D2488" s="30"/>
      <c r="E2488" s="30"/>
      <c r="F2488" s="10"/>
      <c r="G2488" s="10"/>
      <c r="H2488" s="15"/>
      <c r="I2488" s="15"/>
      <c r="J2488" s="15"/>
      <c r="K2488" s="15"/>
      <c r="L2488" s="15"/>
      <c r="M2488" s="15"/>
      <c r="N2488" s="15"/>
      <c r="O2488" s="15"/>
      <c r="P2488" s="15"/>
      <c r="Q2488" s="71"/>
      <c r="R2488" s="84"/>
      <c r="S2488" s="10"/>
      <c r="T2488" s="10"/>
      <c r="U2488" s="10"/>
      <c r="V2488" s="10"/>
      <c r="W2488" s="138"/>
      <c r="Y2488"/>
      <c r="Z2488"/>
      <c r="AA2488"/>
      <c r="AB2488"/>
      <c r="AC2488"/>
      <c r="AD2488"/>
      <c r="AE2488"/>
      <c r="AF2488"/>
      <c r="AG2488"/>
      <c r="AH2488"/>
      <c r="AI2488"/>
      <c r="AJ2488"/>
      <c r="AK2488"/>
      <c r="AL2488"/>
      <c r="AM2488"/>
      <c r="AN2488"/>
      <c r="AO2488"/>
    </row>
    <row r="2489" spans="1:41" ht="15">
      <c r="A2489"/>
      <c r="B2489"/>
      <c r="C2489" s="137"/>
      <c r="D2489" s="30"/>
      <c r="E2489" s="30"/>
      <c r="F2489" s="10"/>
      <c r="G2489" s="10"/>
      <c r="H2489" s="15"/>
      <c r="I2489" s="15"/>
      <c r="J2489" s="15"/>
      <c r="K2489" s="15"/>
      <c r="L2489" s="15"/>
      <c r="M2489" s="15"/>
      <c r="N2489" s="15"/>
      <c r="O2489" s="15"/>
      <c r="P2489" s="15"/>
      <c r="Q2489" s="71"/>
      <c r="R2489" s="84"/>
      <c r="S2489" s="10"/>
      <c r="T2489" s="10"/>
      <c r="U2489" s="10"/>
      <c r="V2489" s="10"/>
      <c r="W2489" s="138"/>
      <c r="Y2489"/>
      <c r="Z2489"/>
      <c r="AA2489"/>
      <c r="AB2489"/>
      <c r="AC2489"/>
      <c r="AD2489"/>
      <c r="AE2489"/>
      <c r="AF2489"/>
      <c r="AG2489"/>
      <c r="AH2489"/>
      <c r="AI2489"/>
      <c r="AJ2489"/>
      <c r="AK2489"/>
      <c r="AL2489"/>
      <c r="AM2489"/>
      <c r="AN2489"/>
      <c r="AO2489"/>
    </row>
    <row r="2490" spans="1:41" ht="15">
      <c r="A2490"/>
      <c r="B2490"/>
      <c r="C2490" s="137"/>
      <c r="D2490" s="30"/>
      <c r="E2490" s="30"/>
      <c r="F2490" s="10"/>
      <c r="G2490" s="10"/>
      <c r="H2490" s="15"/>
      <c r="I2490" s="15"/>
      <c r="J2490" s="15"/>
      <c r="K2490" s="15"/>
      <c r="L2490" s="15"/>
      <c r="M2490" s="15"/>
      <c r="N2490" s="15"/>
      <c r="O2490" s="15"/>
      <c r="P2490" s="15"/>
      <c r="Q2490" s="71"/>
      <c r="R2490" s="84"/>
      <c r="S2490" s="10"/>
      <c r="T2490" s="10"/>
      <c r="U2490" s="10"/>
      <c r="V2490" s="10"/>
      <c r="W2490" s="138"/>
      <c r="Y2490"/>
      <c r="Z2490"/>
      <c r="AA2490"/>
      <c r="AB2490"/>
      <c r="AC2490"/>
      <c r="AD2490"/>
      <c r="AE2490"/>
      <c r="AF2490"/>
      <c r="AG2490"/>
      <c r="AH2490"/>
      <c r="AI2490"/>
      <c r="AJ2490"/>
      <c r="AK2490"/>
      <c r="AL2490"/>
      <c r="AM2490"/>
      <c r="AN2490"/>
      <c r="AO2490"/>
    </row>
    <row r="2491" spans="1:41" ht="15">
      <c r="A2491"/>
      <c r="B2491"/>
      <c r="C2491" s="137"/>
      <c r="D2491" s="30"/>
      <c r="E2491" s="30"/>
      <c r="F2491" s="10"/>
      <c r="G2491" s="10"/>
      <c r="H2491" s="15"/>
      <c r="I2491" s="15"/>
      <c r="J2491" s="15"/>
      <c r="K2491" s="15"/>
      <c r="L2491" s="15"/>
      <c r="M2491" s="15"/>
      <c r="N2491" s="15"/>
      <c r="O2491" s="15"/>
      <c r="P2491" s="15"/>
      <c r="Q2491" s="71"/>
      <c r="R2491" s="84"/>
      <c r="S2491" s="10"/>
      <c r="T2491" s="10"/>
      <c r="U2491" s="10"/>
      <c r="V2491" s="10"/>
      <c r="W2491" s="138"/>
      <c r="Y2491"/>
      <c r="Z2491"/>
      <c r="AA2491"/>
      <c r="AB2491"/>
      <c r="AC2491"/>
      <c r="AD2491"/>
      <c r="AE2491"/>
      <c r="AF2491"/>
      <c r="AG2491"/>
      <c r="AH2491"/>
      <c r="AI2491"/>
      <c r="AJ2491"/>
      <c r="AK2491"/>
      <c r="AL2491"/>
      <c r="AM2491"/>
      <c r="AN2491"/>
      <c r="AO2491"/>
    </row>
    <row r="2492" spans="1:41" ht="15">
      <c r="A2492"/>
      <c r="B2492"/>
      <c r="C2492" s="137"/>
      <c r="D2492" s="30"/>
      <c r="E2492" s="30"/>
      <c r="F2492" s="10"/>
      <c r="G2492" s="10"/>
      <c r="H2492" s="15"/>
      <c r="I2492" s="15"/>
      <c r="J2492" s="15"/>
      <c r="K2492" s="15"/>
      <c r="L2492" s="15"/>
      <c r="M2492" s="15"/>
      <c r="N2492" s="15"/>
      <c r="O2492" s="15"/>
      <c r="P2492" s="15"/>
      <c r="Q2492" s="71"/>
      <c r="R2492" s="84"/>
      <c r="S2492" s="10"/>
      <c r="T2492" s="10"/>
      <c r="U2492" s="10"/>
      <c r="V2492" s="10"/>
      <c r="W2492" s="138"/>
      <c r="Y2492"/>
      <c r="Z2492"/>
      <c r="AA2492"/>
      <c r="AB2492"/>
      <c r="AC2492"/>
      <c r="AD2492"/>
      <c r="AE2492"/>
      <c r="AF2492"/>
      <c r="AG2492"/>
      <c r="AH2492"/>
      <c r="AI2492"/>
      <c r="AJ2492"/>
      <c r="AK2492"/>
      <c r="AL2492"/>
      <c r="AM2492"/>
      <c r="AN2492"/>
      <c r="AO2492"/>
    </row>
    <row r="2493" spans="1:41" ht="15">
      <c r="A2493"/>
      <c r="B2493"/>
      <c r="C2493" s="137"/>
      <c r="D2493" s="30"/>
      <c r="E2493" s="30"/>
      <c r="F2493" s="10"/>
      <c r="G2493" s="10"/>
      <c r="H2493" s="15"/>
      <c r="I2493" s="15"/>
      <c r="J2493" s="15"/>
      <c r="K2493" s="15"/>
      <c r="L2493" s="15"/>
      <c r="M2493" s="15"/>
      <c r="N2493" s="15"/>
      <c r="O2493" s="15"/>
      <c r="P2493" s="15"/>
      <c r="Q2493" s="71"/>
      <c r="R2493" s="84"/>
      <c r="S2493" s="10"/>
      <c r="T2493" s="10"/>
      <c r="U2493" s="10"/>
      <c r="V2493" s="10"/>
      <c r="W2493" s="138"/>
      <c r="Y2493"/>
      <c r="Z2493"/>
      <c r="AA2493"/>
      <c r="AB2493"/>
      <c r="AC2493"/>
      <c r="AD2493"/>
      <c r="AE2493"/>
      <c r="AF2493"/>
      <c r="AG2493"/>
      <c r="AH2493"/>
      <c r="AI2493"/>
      <c r="AJ2493"/>
      <c r="AK2493"/>
      <c r="AL2493"/>
      <c r="AM2493"/>
      <c r="AN2493"/>
      <c r="AO2493"/>
    </row>
    <row r="2494" spans="1:41" ht="15">
      <c r="A2494"/>
      <c r="B2494"/>
      <c r="C2494" s="137"/>
      <c r="D2494" s="30"/>
      <c r="E2494" s="30"/>
      <c r="F2494" s="10"/>
      <c r="G2494" s="10"/>
      <c r="H2494" s="15"/>
      <c r="I2494" s="15"/>
      <c r="J2494" s="15"/>
      <c r="K2494" s="15"/>
      <c r="L2494" s="15"/>
      <c r="M2494" s="15"/>
      <c r="N2494" s="15"/>
      <c r="O2494" s="15"/>
      <c r="P2494" s="15"/>
      <c r="Q2494" s="71"/>
      <c r="R2494" s="84"/>
      <c r="S2494" s="10"/>
      <c r="T2494" s="10"/>
      <c r="U2494" s="10"/>
      <c r="V2494" s="10"/>
      <c r="W2494" s="138"/>
      <c r="Y2494"/>
      <c r="Z2494"/>
      <c r="AA2494"/>
      <c r="AB2494"/>
      <c r="AC2494"/>
      <c r="AD2494"/>
      <c r="AE2494"/>
      <c r="AF2494"/>
      <c r="AG2494"/>
      <c r="AH2494"/>
      <c r="AI2494"/>
      <c r="AJ2494"/>
      <c r="AK2494"/>
      <c r="AL2494"/>
      <c r="AM2494"/>
      <c r="AN2494"/>
      <c r="AO2494"/>
    </row>
    <row r="2495" spans="1:41" ht="15">
      <c r="A2495"/>
      <c r="B2495"/>
      <c r="C2495" s="137"/>
      <c r="D2495" s="30"/>
      <c r="E2495" s="30"/>
      <c r="F2495" s="10"/>
      <c r="G2495" s="10"/>
      <c r="H2495" s="15"/>
      <c r="I2495" s="15"/>
      <c r="J2495" s="15"/>
      <c r="K2495" s="15"/>
      <c r="L2495" s="15"/>
      <c r="M2495" s="15"/>
      <c r="N2495" s="15"/>
      <c r="O2495" s="15"/>
      <c r="P2495" s="15"/>
      <c r="Q2495" s="71"/>
      <c r="R2495" s="84"/>
      <c r="S2495" s="10"/>
      <c r="T2495" s="10"/>
      <c r="U2495" s="10"/>
      <c r="V2495" s="10"/>
      <c r="W2495" s="138"/>
      <c r="Y2495"/>
      <c r="Z2495"/>
      <c r="AA2495"/>
      <c r="AB2495"/>
      <c r="AC2495"/>
      <c r="AD2495"/>
      <c r="AE2495"/>
      <c r="AF2495"/>
      <c r="AG2495"/>
      <c r="AH2495"/>
      <c r="AI2495"/>
      <c r="AJ2495"/>
      <c r="AK2495"/>
      <c r="AL2495"/>
      <c r="AM2495"/>
      <c r="AN2495"/>
      <c r="AO2495"/>
    </row>
    <row r="2496" spans="1:41" ht="15">
      <c r="A2496"/>
      <c r="B2496"/>
      <c r="C2496" s="137"/>
      <c r="D2496" s="30"/>
      <c r="E2496" s="30"/>
      <c r="F2496" s="10"/>
      <c r="G2496" s="10"/>
      <c r="H2496" s="15"/>
      <c r="I2496" s="15"/>
      <c r="J2496" s="15"/>
      <c r="K2496" s="15"/>
      <c r="L2496" s="15"/>
      <c r="M2496" s="15"/>
      <c r="N2496" s="15"/>
      <c r="O2496" s="15"/>
      <c r="P2496" s="15"/>
      <c r="Q2496" s="71"/>
      <c r="R2496" s="84"/>
      <c r="S2496" s="10"/>
      <c r="T2496" s="10"/>
      <c r="U2496" s="10"/>
      <c r="V2496" s="10"/>
      <c r="W2496" s="138"/>
      <c r="Y2496"/>
      <c r="Z2496"/>
      <c r="AA2496"/>
      <c r="AB2496"/>
      <c r="AC2496"/>
      <c r="AD2496"/>
      <c r="AE2496"/>
      <c r="AF2496"/>
      <c r="AG2496"/>
      <c r="AH2496"/>
      <c r="AI2496"/>
      <c r="AJ2496"/>
      <c r="AK2496"/>
      <c r="AL2496"/>
      <c r="AM2496"/>
      <c r="AN2496"/>
      <c r="AO2496"/>
    </row>
    <row r="2497" spans="1:41" ht="15">
      <c r="A2497"/>
      <c r="B2497"/>
      <c r="C2497" s="137"/>
      <c r="D2497" s="30"/>
      <c r="E2497" s="30"/>
      <c r="F2497" s="10"/>
      <c r="G2497" s="10"/>
      <c r="H2497" s="15"/>
      <c r="I2497" s="15"/>
      <c r="J2497" s="15"/>
      <c r="K2497" s="15"/>
      <c r="L2497" s="15"/>
      <c r="M2497" s="15"/>
      <c r="N2497" s="15"/>
      <c r="O2497" s="15"/>
      <c r="P2497" s="15"/>
      <c r="Q2497" s="71"/>
      <c r="R2497" s="84"/>
      <c r="S2497" s="10"/>
      <c r="T2497" s="10"/>
      <c r="U2497" s="10"/>
      <c r="V2497" s="10"/>
      <c r="W2497" s="138"/>
      <c r="Y2497"/>
      <c r="Z2497"/>
      <c r="AA2497"/>
      <c r="AB2497"/>
      <c r="AC2497"/>
      <c r="AD2497"/>
      <c r="AE2497"/>
      <c r="AF2497"/>
      <c r="AG2497"/>
      <c r="AH2497"/>
      <c r="AI2497"/>
      <c r="AJ2497"/>
      <c r="AK2497"/>
      <c r="AL2497"/>
      <c r="AM2497"/>
      <c r="AN2497"/>
      <c r="AO2497"/>
    </row>
    <row r="2498" spans="1:41" ht="15">
      <c r="A2498"/>
      <c r="B2498"/>
      <c r="C2498" s="137"/>
      <c r="D2498" s="30"/>
      <c r="E2498" s="30"/>
      <c r="F2498" s="10"/>
      <c r="G2498" s="10"/>
      <c r="H2498" s="15"/>
      <c r="I2498" s="15"/>
      <c r="J2498" s="15"/>
      <c r="K2498" s="15"/>
      <c r="L2498" s="15"/>
      <c r="M2498" s="15"/>
      <c r="N2498" s="15"/>
      <c r="O2498" s="15"/>
      <c r="P2498" s="15"/>
      <c r="Q2498" s="71"/>
      <c r="R2498" s="84"/>
      <c r="S2498" s="10"/>
      <c r="T2498" s="10"/>
      <c r="U2498" s="10"/>
      <c r="V2498" s="10"/>
      <c r="W2498" s="138"/>
      <c r="Y2498"/>
      <c r="Z2498"/>
      <c r="AA2498"/>
      <c r="AB2498"/>
      <c r="AC2498"/>
      <c r="AD2498"/>
      <c r="AE2498"/>
      <c r="AF2498"/>
      <c r="AG2498"/>
      <c r="AH2498"/>
      <c r="AI2498"/>
      <c r="AJ2498"/>
      <c r="AK2498"/>
      <c r="AL2498"/>
      <c r="AM2498"/>
      <c r="AN2498"/>
      <c r="AO2498"/>
    </row>
    <row r="2499" spans="1:41" ht="15">
      <c r="A2499"/>
      <c r="B2499"/>
      <c r="C2499" s="137"/>
      <c r="D2499" s="30"/>
      <c r="E2499" s="30"/>
      <c r="F2499" s="10"/>
      <c r="G2499" s="10"/>
      <c r="H2499" s="15"/>
      <c r="I2499" s="15"/>
      <c r="J2499" s="15"/>
      <c r="K2499" s="15"/>
      <c r="L2499" s="15"/>
      <c r="M2499" s="15"/>
      <c r="N2499" s="15"/>
      <c r="O2499" s="15"/>
      <c r="P2499" s="15"/>
      <c r="Q2499" s="71"/>
      <c r="R2499" s="84"/>
      <c r="S2499" s="10"/>
      <c r="T2499" s="10"/>
      <c r="U2499" s="10"/>
      <c r="V2499" s="10"/>
      <c r="W2499" s="138"/>
      <c r="Y2499"/>
      <c r="Z2499"/>
      <c r="AA2499"/>
      <c r="AB2499"/>
      <c r="AC2499"/>
      <c r="AD2499"/>
      <c r="AE2499"/>
      <c r="AF2499"/>
      <c r="AG2499"/>
      <c r="AH2499"/>
      <c r="AI2499"/>
      <c r="AJ2499"/>
      <c r="AK2499"/>
      <c r="AL2499"/>
      <c r="AM2499"/>
      <c r="AN2499"/>
      <c r="AO2499"/>
    </row>
    <row r="2500" spans="1:41" ht="15">
      <c r="A2500"/>
      <c r="B2500"/>
      <c r="C2500" s="137"/>
      <c r="D2500" s="30"/>
      <c r="E2500" s="30"/>
      <c r="F2500" s="10"/>
      <c r="G2500" s="10"/>
      <c r="H2500" s="15"/>
      <c r="I2500" s="15"/>
      <c r="J2500" s="15"/>
      <c r="K2500" s="15"/>
      <c r="L2500" s="15"/>
      <c r="M2500" s="15"/>
      <c r="N2500" s="15"/>
      <c r="O2500" s="15"/>
      <c r="P2500" s="15"/>
      <c r="Q2500" s="71"/>
      <c r="R2500" s="84"/>
      <c r="S2500" s="10"/>
      <c r="T2500" s="10"/>
      <c r="U2500" s="10"/>
      <c r="V2500" s="10"/>
      <c r="W2500" s="138"/>
      <c r="Y2500"/>
      <c r="Z2500"/>
      <c r="AA2500"/>
      <c r="AB2500"/>
      <c r="AC2500"/>
      <c r="AD2500"/>
      <c r="AE2500"/>
      <c r="AF2500"/>
      <c r="AG2500"/>
      <c r="AH2500"/>
      <c r="AI2500"/>
      <c r="AJ2500"/>
      <c r="AK2500"/>
      <c r="AL2500"/>
      <c r="AM2500"/>
      <c r="AN2500"/>
      <c r="AO2500"/>
    </row>
    <row r="2501" spans="1:41" ht="15">
      <c r="A2501"/>
      <c r="B2501"/>
      <c r="C2501" s="137"/>
      <c r="D2501" s="30"/>
      <c r="E2501" s="30"/>
      <c r="F2501" s="10"/>
      <c r="G2501" s="10"/>
      <c r="H2501" s="15"/>
      <c r="I2501" s="15"/>
      <c r="J2501" s="15"/>
      <c r="K2501" s="15"/>
      <c r="L2501" s="15"/>
      <c r="M2501" s="15"/>
      <c r="N2501" s="15"/>
      <c r="O2501" s="15"/>
      <c r="P2501" s="15"/>
      <c r="Q2501" s="71"/>
      <c r="R2501" s="84"/>
      <c r="S2501" s="10"/>
      <c r="T2501" s="10"/>
      <c r="U2501" s="10"/>
      <c r="V2501" s="10"/>
      <c r="W2501" s="138"/>
      <c r="Y2501"/>
      <c r="Z2501"/>
      <c r="AA2501"/>
      <c r="AB2501"/>
      <c r="AC2501"/>
      <c r="AD2501"/>
      <c r="AE2501"/>
      <c r="AF2501"/>
      <c r="AG2501"/>
      <c r="AH2501"/>
      <c r="AI2501"/>
      <c r="AJ2501"/>
      <c r="AK2501"/>
      <c r="AL2501"/>
      <c r="AM2501"/>
      <c r="AN2501"/>
      <c r="AO2501"/>
    </row>
    <row r="2502" spans="1:41" ht="15">
      <c r="A2502"/>
      <c r="B2502"/>
      <c r="C2502" s="137"/>
      <c r="D2502" s="30"/>
      <c r="E2502" s="30"/>
      <c r="F2502" s="10"/>
      <c r="G2502" s="10"/>
      <c r="H2502" s="15"/>
      <c r="I2502" s="15"/>
      <c r="J2502" s="15"/>
      <c r="K2502" s="15"/>
      <c r="L2502" s="15"/>
      <c r="M2502" s="15"/>
      <c r="N2502" s="15"/>
      <c r="O2502" s="15"/>
      <c r="P2502" s="15"/>
      <c r="Q2502" s="71"/>
      <c r="R2502" s="84"/>
      <c r="S2502" s="10"/>
      <c r="T2502" s="10"/>
      <c r="U2502" s="10"/>
      <c r="V2502" s="10"/>
      <c r="W2502" s="138"/>
      <c r="Y2502"/>
      <c r="Z2502"/>
      <c r="AA2502"/>
      <c r="AB2502"/>
      <c r="AC2502"/>
      <c r="AD2502"/>
      <c r="AE2502"/>
      <c r="AF2502"/>
      <c r="AG2502"/>
      <c r="AH2502"/>
      <c r="AI2502"/>
      <c r="AJ2502"/>
      <c r="AK2502"/>
      <c r="AL2502"/>
      <c r="AM2502"/>
      <c r="AN2502"/>
      <c r="AO2502"/>
    </row>
    <row r="2503" spans="1:41" ht="15">
      <c r="A2503"/>
      <c r="B2503"/>
      <c r="C2503" s="137"/>
      <c r="D2503" s="30"/>
      <c r="E2503" s="30"/>
      <c r="F2503" s="10"/>
      <c r="G2503" s="10"/>
      <c r="H2503" s="15"/>
      <c r="I2503" s="15"/>
      <c r="J2503" s="15"/>
      <c r="K2503" s="15"/>
      <c r="L2503" s="15"/>
      <c r="M2503" s="15"/>
      <c r="N2503" s="15"/>
      <c r="O2503" s="15"/>
      <c r="P2503" s="15"/>
      <c r="Q2503" s="71"/>
      <c r="R2503" s="84"/>
      <c r="S2503" s="10"/>
      <c r="T2503" s="10"/>
      <c r="U2503" s="10"/>
      <c r="V2503" s="10"/>
      <c r="W2503" s="138"/>
      <c r="Y2503"/>
      <c r="Z2503"/>
      <c r="AA2503"/>
      <c r="AB2503"/>
      <c r="AC2503"/>
      <c r="AD2503"/>
      <c r="AE2503"/>
      <c r="AF2503"/>
      <c r="AG2503"/>
      <c r="AH2503"/>
      <c r="AI2503"/>
      <c r="AJ2503"/>
      <c r="AK2503"/>
      <c r="AL2503"/>
      <c r="AM2503"/>
      <c r="AN2503"/>
      <c r="AO2503"/>
    </row>
    <row r="2504" spans="1:41" ht="15">
      <c r="A2504"/>
      <c r="B2504"/>
      <c r="C2504" s="137"/>
      <c r="D2504" s="30"/>
      <c r="E2504" s="30"/>
      <c r="F2504" s="10"/>
      <c r="G2504" s="10"/>
      <c r="H2504" s="15"/>
      <c r="I2504" s="15"/>
      <c r="J2504" s="15"/>
      <c r="K2504" s="15"/>
      <c r="L2504" s="15"/>
      <c r="M2504" s="15"/>
      <c r="N2504" s="15"/>
      <c r="O2504" s="15"/>
      <c r="P2504" s="15"/>
      <c r="Q2504" s="71"/>
      <c r="R2504" s="84"/>
      <c r="S2504" s="10"/>
      <c r="T2504" s="10"/>
      <c r="U2504" s="10"/>
      <c r="V2504" s="10"/>
      <c r="W2504" s="138"/>
      <c r="Y2504"/>
      <c r="Z2504"/>
      <c r="AA2504"/>
      <c r="AB2504"/>
      <c r="AC2504"/>
      <c r="AD2504"/>
      <c r="AE2504"/>
      <c r="AF2504"/>
      <c r="AG2504"/>
      <c r="AH2504"/>
      <c r="AI2504"/>
      <c r="AJ2504"/>
      <c r="AK2504"/>
      <c r="AL2504"/>
      <c r="AM2504"/>
      <c r="AN2504"/>
      <c r="AO2504"/>
    </row>
    <row r="2505" spans="1:41" ht="15">
      <c r="A2505"/>
      <c r="B2505"/>
      <c r="C2505" s="137"/>
      <c r="D2505" s="30"/>
      <c r="E2505" s="30"/>
      <c r="F2505" s="10"/>
      <c r="G2505" s="10"/>
      <c r="H2505" s="15"/>
      <c r="I2505" s="15"/>
      <c r="J2505" s="15"/>
      <c r="K2505" s="15"/>
      <c r="L2505" s="15"/>
      <c r="M2505" s="15"/>
      <c r="N2505" s="15"/>
      <c r="O2505" s="15"/>
      <c r="P2505" s="15"/>
      <c r="Q2505" s="71"/>
      <c r="R2505" s="84"/>
      <c r="S2505" s="10"/>
      <c r="T2505" s="10"/>
      <c r="U2505" s="10"/>
      <c r="V2505" s="10"/>
      <c r="W2505" s="138"/>
      <c r="Y2505"/>
      <c r="Z2505"/>
      <c r="AA2505"/>
      <c r="AB2505"/>
      <c r="AC2505"/>
      <c r="AD2505"/>
      <c r="AE2505"/>
      <c r="AF2505"/>
      <c r="AG2505"/>
      <c r="AH2505"/>
      <c r="AI2505"/>
      <c r="AJ2505"/>
      <c r="AK2505"/>
      <c r="AL2505"/>
      <c r="AM2505"/>
      <c r="AN2505"/>
      <c r="AO2505"/>
    </row>
    <row r="2506" spans="1:41" ht="15">
      <c r="A2506"/>
      <c r="B2506"/>
      <c r="C2506" s="137"/>
      <c r="D2506" s="30"/>
      <c r="E2506" s="30"/>
      <c r="F2506" s="10"/>
      <c r="G2506" s="10"/>
      <c r="H2506" s="15"/>
      <c r="I2506" s="15"/>
      <c r="J2506" s="15"/>
      <c r="K2506" s="15"/>
      <c r="L2506" s="15"/>
      <c r="M2506" s="15"/>
      <c r="N2506" s="15"/>
      <c r="O2506" s="15"/>
      <c r="P2506" s="15"/>
      <c r="Q2506" s="71"/>
      <c r="R2506" s="84"/>
      <c r="S2506" s="10"/>
      <c r="T2506" s="10"/>
      <c r="U2506" s="10"/>
      <c r="V2506" s="10"/>
      <c r="W2506" s="138"/>
      <c r="Y2506"/>
      <c r="Z2506"/>
      <c r="AA2506"/>
      <c r="AB2506"/>
      <c r="AC2506"/>
      <c r="AD2506"/>
      <c r="AE2506"/>
      <c r="AF2506"/>
      <c r="AG2506"/>
      <c r="AH2506"/>
      <c r="AI2506"/>
      <c r="AJ2506"/>
      <c r="AK2506"/>
      <c r="AL2506"/>
      <c r="AM2506"/>
      <c r="AN2506"/>
      <c r="AO2506"/>
    </row>
    <row r="2507" spans="1:41" ht="15">
      <c r="A2507"/>
      <c r="B2507"/>
      <c r="C2507" s="137"/>
      <c r="D2507" s="30"/>
      <c r="E2507" s="30"/>
      <c r="F2507" s="10"/>
      <c r="G2507" s="10"/>
      <c r="H2507" s="15"/>
      <c r="I2507" s="15"/>
      <c r="J2507" s="15"/>
      <c r="K2507" s="15"/>
      <c r="L2507" s="15"/>
      <c r="M2507" s="15"/>
      <c r="N2507" s="15"/>
      <c r="O2507" s="15"/>
      <c r="P2507" s="15"/>
      <c r="Q2507" s="71"/>
      <c r="R2507" s="84"/>
      <c r="S2507" s="10"/>
      <c r="T2507" s="10"/>
      <c r="U2507" s="10"/>
      <c r="V2507" s="10"/>
      <c r="W2507" s="138"/>
      <c r="Y2507"/>
      <c r="Z2507"/>
      <c r="AA2507"/>
      <c r="AB2507"/>
      <c r="AC2507"/>
      <c r="AD2507"/>
      <c r="AE2507"/>
      <c r="AF2507"/>
      <c r="AG2507"/>
      <c r="AH2507"/>
      <c r="AI2507"/>
      <c r="AJ2507"/>
      <c r="AK2507"/>
      <c r="AL2507"/>
      <c r="AM2507"/>
      <c r="AN2507"/>
      <c r="AO2507"/>
    </row>
    <row r="2508" spans="1:41" ht="15">
      <c r="A2508"/>
      <c r="B2508"/>
      <c r="C2508" s="137"/>
      <c r="D2508" s="30"/>
      <c r="E2508" s="30"/>
      <c r="F2508" s="10"/>
      <c r="G2508" s="10"/>
      <c r="H2508" s="15"/>
      <c r="I2508" s="15"/>
      <c r="J2508" s="15"/>
      <c r="K2508" s="15"/>
      <c r="L2508" s="15"/>
      <c r="M2508" s="15"/>
      <c r="N2508" s="15"/>
      <c r="O2508" s="15"/>
      <c r="P2508" s="15"/>
      <c r="Q2508" s="71"/>
      <c r="R2508" s="84"/>
      <c r="S2508" s="10"/>
      <c r="T2508" s="10"/>
      <c r="U2508" s="10"/>
      <c r="V2508" s="10"/>
      <c r="W2508" s="138"/>
      <c r="Y2508"/>
      <c r="Z2508"/>
      <c r="AA2508"/>
      <c r="AB2508"/>
      <c r="AC2508"/>
      <c r="AD2508"/>
      <c r="AE2508"/>
      <c r="AF2508"/>
      <c r="AG2508"/>
      <c r="AH2508"/>
      <c r="AI2508"/>
      <c r="AJ2508"/>
      <c r="AK2508"/>
      <c r="AL2508"/>
      <c r="AM2508"/>
      <c r="AN2508"/>
      <c r="AO2508"/>
    </row>
    <row r="2509" spans="1:41" ht="15">
      <c r="A2509"/>
      <c r="B2509"/>
      <c r="C2509" s="137"/>
      <c r="D2509" s="30"/>
      <c r="E2509" s="30"/>
      <c r="F2509" s="10"/>
      <c r="G2509" s="10"/>
      <c r="H2509" s="15"/>
      <c r="I2509" s="15"/>
      <c r="J2509" s="15"/>
      <c r="K2509" s="15"/>
      <c r="L2509" s="15"/>
      <c r="M2509" s="15"/>
      <c r="N2509" s="15"/>
      <c r="O2509" s="15"/>
      <c r="P2509" s="15"/>
      <c r="Q2509" s="71"/>
      <c r="R2509" s="84"/>
      <c r="S2509" s="10"/>
      <c r="T2509" s="10"/>
      <c r="U2509" s="10"/>
      <c r="V2509" s="10"/>
      <c r="W2509" s="138"/>
      <c r="Y2509"/>
      <c r="Z2509"/>
      <c r="AA2509"/>
      <c r="AB2509"/>
      <c r="AC2509"/>
      <c r="AD2509"/>
      <c r="AE2509"/>
      <c r="AF2509"/>
      <c r="AG2509"/>
      <c r="AH2509"/>
      <c r="AI2509"/>
      <c r="AJ2509"/>
      <c r="AK2509"/>
      <c r="AL2509"/>
      <c r="AM2509"/>
      <c r="AN2509"/>
      <c r="AO2509"/>
    </row>
    <row r="2510" spans="1:41" ht="15">
      <c r="A2510"/>
      <c r="B2510"/>
      <c r="C2510" s="137"/>
      <c r="D2510" s="30"/>
      <c r="E2510" s="30"/>
      <c r="F2510" s="10"/>
      <c r="G2510" s="10"/>
      <c r="H2510" s="15"/>
      <c r="I2510" s="15"/>
      <c r="J2510" s="15"/>
      <c r="K2510" s="15"/>
      <c r="L2510" s="15"/>
      <c r="M2510" s="15"/>
      <c r="N2510" s="15"/>
      <c r="O2510" s="15"/>
      <c r="P2510" s="15"/>
      <c r="Q2510" s="71"/>
      <c r="R2510" s="84"/>
      <c r="S2510" s="10"/>
      <c r="T2510" s="10"/>
      <c r="U2510" s="10"/>
      <c r="V2510" s="10"/>
      <c r="W2510" s="138"/>
      <c r="Y2510"/>
      <c r="Z2510"/>
      <c r="AA2510"/>
      <c r="AB2510"/>
      <c r="AC2510"/>
      <c r="AD2510"/>
      <c r="AE2510"/>
      <c r="AF2510"/>
      <c r="AG2510"/>
      <c r="AH2510"/>
      <c r="AI2510"/>
      <c r="AJ2510"/>
      <c r="AK2510"/>
      <c r="AL2510"/>
      <c r="AM2510"/>
      <c r="AN2510"/>
      <c r="AO2510"/>
    </row>
    <row r="2511" spans="1:41" ht="15">
      <c r="A2511"/>
      <c r="B2511"/>
      <c r="C2511" s="137"/>
      <c r="D2511" s="30"/>
      <c r="E2511" s="30"/>
      <c r="F2511" s="10"/>
      <c r="G2511" s="10"/>
      <c r="H2511" s="15"/>
      <c r="I2511" s="15"/>
      <c r="J2511" s="15"/>
      <c r="K2511" s="15"/>
      <c r="L2511" s="15"/>
      <c r="M2511" s="15"/>
      <c r="N2511" s="15"/>
      <c r="O2511" s="15"/>
      <c r="P2511" s="15"/>
      <c r="Q2511" s="71"/>
      <c r="R2511" s="84"/>
      <c r="S2511" s="10"/>
      <c r="T2511" s="10"/>
      <c r="U2511" s="10"/>
      <c r="V2511" s="10"/>
      <c r="W2511" s="138"/>
      <c r="Y2511"/>
      <c r="Z2511"/>
      <c r="AA2511"/>
      <c r="AB2511"/>
      <c r="AC2511"/>
      <c r="AD2511"/>
      <c r="AE2511"/>
      <c r="AF2511"/>
      <c r="AG2511"/>
      <c r="AH2511"/>
      <c r="AI2511"/>
      <c r="AJ2511"/>
      <c r="AK2511"/>
      <c r="AL2511"/>
      <c r="AM2511"/>
      <c r="AN2511"/>
      <c r="AO2511"/>
    </row>
    <row r="2512" spans="1:41" ht="15">
      <c r="A2512"/>
      <c r="B2512"/>
      <c r="C2512" s="137"/>
      <c r="D2512" s="30"/>
      <c r="E2512" s="30"/>
      <c r="F2512" s="10"/>
      <c r="G2512" s="10"/>
      <c r="H2512" s="15"/>
      <c r="I2512" s="15"/>
      <c r="J2512" s="15"/>
      <c r="K2512" s="15"/>
      <c r="L2512" s="15"/>
      <c r="M2512" s="15"/>
      <c r="N2512" s="15"/>
      <c r="O2512" s="15"/>
      <c r="P2512" s="15"/>
      <c r="Q2512" s="71"/>
      <c r="R2512" s="84"/>
      <c r="S2512" s="10"/>
      <c r="T2512" s="10"/>
      <c r="U2512" s="10"/>
      <c r="V2512" s="10"/>
      <c r="W2512" s="138"/>
      <c r="Y2512"/>
      <c r="Z2512"/>
      <c r="AA2512"/>
      <c r="AB2512"/>
      <c r="AC2512"/>
      <c r="AD2512"/>
      <c r="AE2512"/>
      <c r="AF2512"/>
      <c r="AG2512"/>
      <c r="AH2512"/>
      <c r="AI2512"/>
      <c r="AJ2512"/>
      <c r="AK2512"/>
      <c r="AL2512"/>
      <c r="AM2512"/>
      <c r="AN2512"/>
      <c r="AO2512"/>
    </row>
    <row r="2513" spans="1:41" ht="15">
      <c r="A2513"/>
      <c r="B2513"/>
      <c r="C2513" s="137"/>
      <c r="D2513" s="30"/>
      <c r="E2513" s="30"/>
      <c r="F2513" s="10"/>
      <c r="G2513" s="10"/>
      <c r="H2513" s="15"/>
      <c r="I2513" s="15"/>
      <c r="J2513" s="15"/>
      <c r="K2513" s="15"/>
      <c r="L2513" s="15"/>
      <c r="M2513" s="15"/>
      <c r="N2513" s="15"/>
      <c r="O2513" s="15"/>
      <c r="P2513" s="15"/>
      <c r="Q2513" s="71"/>
      <c r="R2513" s="84"/>
      <c r="S2513" s="10"/>
      <c r="T2513" s="10"/>
      <c r="U2513" s="10"/>
      <c r="V2513" s="10"/>
      <c r="W2513" s="138"/>
      <c r="Y2513"/>
      <c r="Z2513"/>
      <c r="AA2513"/>
      <c r="AB2513"/>
      <c r="AC2513"/>
      <c r="AD2513"/>
      <c r="AE2513"/>
      <c r="AF2513"/>
      <c r="AG2513"/>
      <c r="AH2513"/>
      <c r="AI2513"/>
      <c r="AJ2513"/>
      <c r="AK2513"/>
      <c r="AL2513"/>
      <c r="AM2513"/>
      <c r="AN2513"/>
      <c r="AO2513"/>
    </row>
    <row r="2514" spans="1:41" ht="15">
      <c r="A2514"/>
      <c r="B2514"/>
      <c r="C2514" s="137"/>
      <c r="D2514" s="30"/>
      <c r="E2514" s="30"/>
      <c r="F2514" s="10"/>
      <c r="G2514" s="10"/>
      <c r="H2514" s="15"/>
      <c r="I2514" s="15"/>
      <c r="J2514" s="15"/>
      <c r="K2514" s="15"/>
      <c r="L2514" s="15"/>
      <c r="M2514" s="15"/>
      <c r="N2514" s="15"/>
      <c r="O2514" s="15"/>
      <c r="P2514" s="15"/>
      <c r="Q2514" s="71"/>
      <c r="R2514" s="84"/>
      <c r="S2514" s="10"/>
      <c r="T2514" s="10"/>
      <c r="U2514" s="10"/>
      <c r="V2514" s="10"/>
      <c r="W2514" s="138"/>
      <c r="Y2514"/>
      <c r="Z2514"/>
      <c r="AA2514"/>
      <c r="AB2514"/>
      <c r="AC2514"/>
      <c r="AD2514"/>
      <c r="AE2514"/>
      <c r="AF2514"/>
      <c r="AG2514"/>
      <c r="AH2514"/>
      <c r="AI2514"/>
      <c r="AJ2514"/>
      <c r="AK2514"/>
      <c r="AL2514"/>
      <c r="AM2514"/>
      <c r="AN2514"/>
      <c r="AO2514"/>
    </row>
    <row r="2515" spans="1:41" ht="15">
      <c r="A2515"/>
      <c r="B2515"/>
      <c r="C2515" s="137"/>
      <c r="D2515" s="30"/>
      <c r="E2515" s="30"/>
      <c r="F2515" s="10"/>
      <c r="G2515" s="10"/>
      <c r="H2515" s="15"/>
      <c r="I2515" s="15"/>
      <c r="J2515" s="15"/>
      <c r="K2515" s="15"/>
      <c r="L2515" s="15"/>
      <c r="M2515" s="15"/>
      <c r="N2515" s="15"/>
      <c r="O2515" s="15"/>
      <c r="P2515" s="15"/>
      <c r="Q2515" s="71"/>
      <c r="R2515" s="84"/>
      <c r="S2515" s="10"/>
      <c r="T2515" s="10"/>
      <c r="U2515" s="10"/>
      <c r="V2515" s="10"/>
      <c r="W2515" s="138"/>
      <c r="Y2515"/>
      <c r="Z2515"/>
      <c r="AA2515"/>
      <c r="AB2515"/>
      <c r="AC2515"/>
      <c r="AD2515"/>
      <c r="AE2515"/>
      <c r="AF2515"/>
      <c r="AG2515"/>
      <c r="AH2515"/>
      <c r="AI2515"/>
      <c r="AJ2515"/>
      <c r="AK2515"/>
      <c r="AL2515"/>
      <c r="AM2515"/>
      <c r="AN2515"/>
      <c r="AO2515"/>
    </row>
    <row r="2516" spans="1:41" ht="15">
      <c r="A2516"/>
      <c r="B2516"/>
      <c r="C2516" s="137"/>
      <c r="D2516" s="30"/>
      <c r="E2516" s="30"/>
      <c r="F2516" s="10"/>
      <c r="G2516" s="10"/>
      <c r="H2516" s="15"/>
      <c r="I2516" s="15"/>
      <c r="J2516" s="15"/>
      <c r="K2516" s="15"/>
      <c r="L2516" s="15"/>
      <c r="M2516" s="15"/>
      <c r="N2516" s="15"/>
      <c r="O2516" s="15"/>
      <c r="P2516" s="15"/>
      <c r="Q2516" s="71"/>
      <c r="R2516" s="84"/>
      <c r="S2516" s="10"/>
      <c r="T2516" s="10"/>
      <c r="U2516" s="10"/>
      <c r="V2516" s="10"/>
      <c r="W2516" s="138"/>
      <c r="Y2516"/>
      <c r="Z2516"/>
      <c r="AA2516"/>
      <c r="AB2516"/>
      <c r="AC2516"/>
      <c r="AD2516"/>
      <c r="AE2516"/>
      <c r="AF2516"/>
      <c r="AG2516"/>
      <c r="AH2516"/>
      <c r="AI2516"/>
      <c r="AJ2516"/>
      <c r="AK2516"/>
      <c r="AL2516"/>
      <c r="AM2516"/>
      <c r="AN2516"/>
      <c r="AO2516"/>
    </row>
    <row r="2517" spans="1:41" ht="15">
      <c r="A2517"/>
      <c r="B2517"/>
      <c r="C2517" s="137"/>
      <c r="D2517" s="30"/>
      <c r="E2517" s="30"/>
      <c r="F2517" s="10"/>
      <c r="G2517" s="10"/>
      <c r="H2517" s="15"/>
      <c r="I2517" s="15"/>
      <c r="J2517" s="15"/>
      <c r="K2517" s="15"/>
      <c r="L2517" s="15"/>
      <c r="M2517" s="15"/>
      <c r="N2517" s="15"/>
      <c r="O2517" s="15"/>
      <c r="P2517" s="15"/>
      <c r="Q2517" s="71"/>
      <c r="R2517" s="84"/>
      <c r="S2517" s="10"/>
      <c r="T2517" s="10"/>
      <c r="U2517" s="10"/>
      <c r="V2517" s="10"/>
      <c r="W2517" s="138"/>
      <c r="Y2517"/>
      <c r="Z2517"/>
      <c r="AA2517"/>
      <c r="AB2517"/>
      <c r="AC2517"/>
      <c r="AD2517"/>
      <c r="AE2517"/>
      <c r="AF2517"/>
      <c r="AG2517"/>
      <c r="AH2517"/>
      <c r="AI2517"/>
      <c r="AJ2517"/>
      <c r="AK2517"/>
      <c r="AL2517"/>
      <c r="AM2517"/>
      <c r="AN2517"/>
      <c r="AO2517"/>
    </row>
    <row r="2518" spans="1:41" ht="15">
      <c r="A2518"/>
      <c r="B2518"/>
      <c r="C2518" s="137"/>
      <c r="D2518" s="30"/>
      <c r="E2518" s="30"/>
      <c r="F2518" s="10"/>
      <c r="G2518" s="10"/>
      <c r="H2518" s="15"/>
      <c r="I2518" s="15"/>
      <c r="J2518" s="15"/>
      <c r="K2518" s="15"/>
      <c r="L2518" s="15"/>
      <c r="M2518" s="15"/>
      <c r="N2518" s="15"/>
      <c r="O2518" s="15"/>
      <c r="P2518" s="15"/>
      <c r="Q2518" s="71"/>
      <c r="R2518" s="84"/>
      <c r="S2518" s="10"/>
      <c r="T2518" s="10"/>
      <c r="U2518" s="10"/>
      <c r="V2518" s="10"/>
      <c r="W2518" s="138"/>
      <c r="Y2518"/>
      <c r="Z2518"/>
      <c r="AA2518"/>
      <c r="AB2518"/>
      <c r="AC2518"/>
      <c r="AD2518"/>
      <c r="AE2518"/>
      <c r="AF2518"/>
      <c r="AG2518"/>
      <c r="AH2518"/>
      <c r="AI2518"/>
      <c r="AJ2518"/>
      <c r="AK2518"/>
      <c r="AL2518"/>
      <c r="AM2518"/>
      <c r="AN2518"/>
      <c r="AO2518"/>
    </row>
    <row r="2519" spans="1:41" ht="15">
      <c r="A2519"/>
      <c r="B2519"/>
      <c r="C2519" s="137"/>
      <c r="D2519" s="30"/>
      <c r="E2519" s="30"/>
      <c r="F2519" s="10"/>
      <c r="G2519" s="10"/>
      <c r="H2519" s="15"/>
      <c r="I2519" s="15"/>
      <c r="J2519" s="15"/>
      <c r="K2519" s="15"/>
      <c r="L2519" s="15"/>
      <c r="M2519" s="15"/>
      <c r="N2519" s="15"/>
      <c r="O2519" s="15"/>
      <c r="P2519" s="15"/>
      <c r="Q2519" s="71"/>
      <c r="R2519" s="84"/>
      <c r="S2519" s="10"/>
      <c r="T2519" s="10"/>
      <c r="U2519" s="10"/>
      <c r="V2519" s="10"/>
      <c r="W2519" s="138"/>
      <c r="Y2519"/>
      <c r="Z2519"/>
      <c r="AA2519"/>
      <c r="AB2519"/>
      <c r="AC2519"/>
      <c r="AD2519"/>
      <c r="AE2519"/>
      <c r="AF2519"/>
      <c r="AG2519"/>
      <c r="AH2519"/>
      <c r="AI2519"/>
      <c r="AJ2519"/>
      <c r="AK2519"/>
      <c r="AL2519"/>
      <c r="AM2519"/>
      <c r="AN2519"/>
      <c r="AO2519"/>
    </row>
    <row r="2520" spans="1:41" ht="15">
      <c r="A2520"/>
      <c r="B2520"/>
      <c r="C2520" s="137"/>
      <c r="D2520" s="30"/>
      <c r="E2520" s="30"/>
      <c r="F2520" s="10"/>
      <c r="G2520" s="10"/>
      <c r="H2520" s="15"/>
      <c r="I2520" s="15"/>
      <c r="J2520" s="15"/>
      <c r="K2520" s="15"/>
      <c r="L2520" s="15"/>
      <c r="M2520" s="15"/>
      <c r="N2520" s="15"/>
      <c r="O2520" s="15"/>
      <c r="P2520" s="15"/>
      <c r="Q2520" s="71"/>
      <c r="R2520" s="84"/>
      <c r="S2520" s="10"/>
      <c r="T2520" s="10"/>
      <c r="U2520" s="10"/>
      <c r="V2520" s="10"/>
      <c r="W2520" s="138"/>
      <c r="Y2520"/>
      <c r="Z2520"/>
      <c r="AA2520"/>
      <c r="AB2520"/>
      <c r="AC2520"/>
      <c r="AD2520"/>
      <c r="AE2520"/>
      <c r="AF2520"/>
      <c r="AG2520"/>
      <c r="AH2520"/>
      <c r="AI2520"/>
      <c r="AJ2520"/>
      <c r="AK2520"/>
      <c r="AL2520"/>
      <c r="AM2520"/>
      <c r="AN2520"/>
      <c r="AO2520"/>
    </row>
    <row r="2521" spans="1:41" ht="15">
      <c r="A2521"/>
      <c r="B2521"/>
      <c r="C2521" s="137"/>
      <c r="D2521" s="30"/>
      <c r="E2521" s="30"/>
      <c r="F2521" s="10"/>
      <c r="G2521" s="10"/>
      <c r="H2521" s="15"/>
      <c r="I2521" s="15"/>
      <c r="J2521" s="15"/>
      <c r="K2521" s="15"/>
      <c r="L2521" s="15"/>
      <c r="M2521" s="15"/>
      <c r="N2521" s="15"/>
      <c r="O2521" s="15"/>
      <c r="P2521" s="15"/>
      <c r="Q2521" s="71"/>
      <c r="R2521" s="84"/>
      <c r="S2521" s="10"/>
      <c r="T2521" s="10"/>
      <c r="U2521" s="10"/>
      <c r="V2521" s="10"/>
      <c r="W2521" s="138"/>
      <c r="Y2521"/>
      <c r="Z2521"/>
      <c r="AA2521"/>
      <c r="AB2521"/>
      <c r="AC2521"/>
      <c r="AD2521"/>
      <c r="AE2521"/>
      <c r="AF2521"/>
      <c r="AG2521"/>
      <c r="AH2521"/>
      <c r="AI2521"/>
      <c r="AJ2521"/>
      <c r="AK2521"/>
      <c r="AL2521"/>
      <c r="AM2521"/>
      <c r="AN2521"/>
      <c r="AO2521"/>
    </row>
    <row r="2522" spans="1:41" ht="15">
      <c r="A2522"/>
      <c r="B2522"/>
      <c r="C2522" s="137"/>
      <c r="D2522" s="30"/>
      <c r="E2522" s="30"/>
      <c r="F2522" s="10"/>
      <c r="G2522" s="10"/>
      <c r="H2522" s="15"/>
      <c r="I2522" s="15"/>
      <c r="J2522" s="15"/>
      <c r="K2522" s="15"/>
      <c r="L2522" s="15"/>
      <c r="M2522" s="15"/>
      <c r="N2522" s="15"/>
      <c r="O2522" s="15"/>
      <c r="P2522" s="15"/>
      <c r="Q2522" s="71"/>
      <c r="R2522" s="84"/>
      <c r="S2522" s="10"/>
      <c r="T2522" s="10"/>
      <c r="U2522" s="10"/>
      <c r="V2522" s="10"/>
      <c r="W2522" s="138"/>
      <c r="Y2522"/>
      <c r="Z2522"/>
      <c r="AA2522"/>
      <c r="AB2522"/>
      <c r="AC2522"/>
      <c r="AD2522"/>
      <c r="AE2522"/>
      <c r="AF2522"/>
      <c r="AG2522"/>
      <c r="AH2522"/>
      <c r="AI2522"/>
      <c r="AJ2522"/>
      <c r="AK2522"/>
      <c r="AL2522"/>
      <c r="AM2522"/>
      <c r="AN2522"/>
      <c r="AO2522"/>
    </row>
    <row r="2523" spans="1:41" ht="15">
      <c r="A2523"/>
      <c r="B2523"/>
      <c r="C2523" s="137"/>
      <c r="D2523" s="30"/>
      <c r="E2523" s="30"/>
      <c r="F2523" s="10"/>
      <c r="G2523" s="10"/>
      <c r="H2523" s="15"/>
      <c r="I2523" s="15"/>
      <c r="J2523" s="15"/>
      <c r="K2523" s="15"/>
      <c r="L2523" s="15"/>
      <c r="M2523" s="15"/>
      <c r="N2523" s="15"/>
      <c r="O2523" s="15"/>
      <c r="P2523" s="15"/>
      <c r="Q2523" s="71"/>
      <c r="R2523" s="84"/>
      <c r="S2523" s="10"/>
      <c r="T2523" s="10"/>
      <c r="U2523" s="10"/>
      <c r="V2523" s="10"/>
      <c r="W2523" s="138"/>
      <c r="Y2523"/>
      <c r="Z2523"/>
      <c r="AA2523"/>
      <c r="AB2523"/>
      <c r="AC2523"/>
      <c r="AD2523"/>
      <c r="AE2523"/>
      <c r="AF2523"/>
      <c r="AG2523"/>
      <c r="AH2523"/>
      <c r="AI2523"/>
      <c r="AJ2523"/>
      <c r="AK2523"/>
      <c r="AL2523"/>
      <c r="AM2523"/>
      <c r="AN2523"/>
      <c r="AO2523"/>
    </row>
    <row r="2524" spans="1:41" ht="15">
      <c r="A2524"/>
      <c r="B2524"/>
      <c r="C2524" s="137"/>
      <c r="D2524" s="30"/>
      <c r="E2524" s="30"/>
      <c r="F2524" s="10"/>
      <c r="G2524" s="10"/>
      <c r="H2524" s="15"/>
      <c r="I2524" s="15"/>
      <c r="J2524" s="15"/>
      <c r="K2524" s="15"/>
      <c r="L2524" s="15"/>
      <c r="M2524" s="15"/>
      <c r="N2524" s="15"/>
      <c r="O2524" s="15"/>
      <c r="P2524" s="15"/>
      <c r="Q2524" s="71"/>
      <c r="R2524" s="84"/>
      <c r="S2524" s="10"/>
      <c r="T2524" s="10"/>
      <c r="U2524" s="10"/>
      <c r="V2524" s="10"/>
      <c r="W2524" s="138"/>
      <c r="Y2524"/>
      <c r="Z2524"/>
      <c r="AA2524"/>
      <c r="AB2524"/>
      <c r="AC2524"/>
      <c r="AD2524"/>
      <c r="AE2524"/>
      <c r="AF2524"/>
      <c r="AG2524"/>
      <c r="AH2524"/>
      <c r="AI2524"/>
      <c r="AJ2524"/>
      <c r="AK2524"/>
      <c r="AL2524"/>
      <c r="AM2524"/>
      <c r="AN2524"/>
      <c r="AO2524"/>
    </row>
    <row r="2525" spans="1:41" ht="15">
      <c r="A2525"/>
      <c r="B2525"/>
      <c r="C2525" s="137"/>
      <c r="D2525" s="30"/>
      <c r="E2525" s="30"/>
      <c r="F2525" s="10"/>
      <c r="G2525" s="10"/>
      <c r="H2525" s="15"/>
      <c r="I2525" s="15"/>
      <c r="J2525" s="15"/>
      <c r="K2525" s="15"/>
      <c r="L2525" s="15"/>
      <c r="M2525" s="15"/>
      <c r="N2525" s="15"/>
      <c r="O2525" s="15"/>
      <c r="P2525" s="15"/>
      <c r="Q2525" s="71"/>
      <c r="R2525" s="84"/>
      <c r="S2525" s="10"/>
      <c r="T2525" s="10"/>
      <c r="U2525" s="10"/>
      <c r="V2525" s="10"/>
      <c r="W2525" s="138"/>
      <c r="Y2525"/>
      <c r="Z2525"/>
      <c r="AA2525"/>
      <c r="AB2525"/>
      <c r="AC2525"/>
      <c r="AD2525"/>
      <c r="AE2525"/>
      <c r="AF2525"/>
      <c r="AG2525"/>
      <c r="AH2525"/>
      <c r="AI2525"/>
      <c r="AJ2525"/>
      <c r="AK2525"/>
      <c r="AL2525"/>
      <c r="AM2525"/>
      <c r="AN2525"/>
      <c r="AO2525"/>
    </row>
    <row r="2526" spans="1:41" ht="15">
      <c r="A2526"/>
      <c r="B2526"/>
      <c r="C2526" s="137"/>
      <c r="D2526" s="30"/>
      <c r="E2526" s="30"/>
      <c r="F2526" s="10"/>
      <c r="G2526" s="10"/>
      <c r="H2526" s="15"/>
      <c r="I2526" s="15"/>
      <c r="J2526" s="15"/>
      <c r="K2526" s="15"/>
      <c r="L2526" s="15"/>
      <c r="M2526" s="15"/>
      <c r="N2526" s="15"/>
      <c r="O2526" s="15"/>
      <c r="P2526" s="15"/>
      <c r="Q2526" s="71"/>
      <c r="R2526" s="84"/>
      <c r="S2526" s="10"/>
      <c r="T2526" s="10"/>
      <c r="U2526" s="10"/>
      <c r="V2526" s="10"/>
      <c r="W2526" s="138"/>
      <c r="Y2526"/>
      <c r="Z2526"/>
      <c r="AA2526"/>
      <c r="AB2526"/>
      <c r="AC2526"/>
      <c r="AD2526"/>
      <c r="AE2526"/>
      <c r="AF2526"/>
      <c r="AG2526"/>
      <c r="AH2526"/>
      <c r="AI2526"/>
      <c r="AJ2526"/>
      <c r="AK2526"/>
      <c r="AL2526"/>
      <c r="AM2526"/>
      <c r="AN2526"/>
      <c r="AO2526"/>
    </row>
    <row r="2527" spans="1:41" ht="15">
      <c r="A2527"/>
      <c r="B2527"/>
      <c r="C2527" s="137"/>
      <c r="D2527" s="30"/>
      <c r="E2527" s="30"/>
      <c r="F2527" s="10"/>
      <c r="G2527" s="10"/>
      <c r="H2527" s="15"/>
      <c r="I2527" s="15"/>
      <c r="J2527" s="15"/>
      <c r="K2527" s="15"/>
      <c r="L2527" s="15"/>
      <c r="M2527" s="15"/>
      <c r="N2527" s="15"/>
      <c r="O2527" s="15"/>
      <c r="P2527" s="15"/>
      <c r="Q2527" s="71"/>
      <c r="R2527" s="84"/>
      <c r="S2527" s="10"/>
      <c r="T2527" s="10"/>
      <c r="U2527" s="10"/>
      <c r="V2527" s="10"/>
      <c r="W2527" s="138"/>
      <c r="Y2527"/>
      <c r="Z2527"/>
      <c r="AA2527"/>
      <c r="AB2527"/>
      <c r="AC2527"/>
      <c r="AD2527"/>
      <c r="AE2527"/>
      <c r="AF2527"/>
      <c r="AG2527"/>
      <c r="AH2527"/>
      <c r="AI2527"/>
      <c r="AJ2527"/>
      <c r="AK2527"/>
      <c r="AL2527"/>
      <c r="AM2527"/>
      <c r="AN2527"/>
      <c r="AO2527"/>
    </row>
    <row r="2528" spans="1:41" ht="15">
      <c r="A2528"/>
      <c r="B2528"/>
      <c r="C2528" s="137"/>
      <c r="D2528" s="30"/>
      <c r="E2528" s="30"/>
      <c r="F2528" s="10"/>
      <c r="G2528" s="10"/>
      <c r="H2528" s="15"/>
      <c r="I2528" s="15"/>
      <c r="J2528" s="15"/>
      <c r="K2528" s="15"/>
      <c r="L2528" s="15"/>
      <c r="M2528" s="15"/>
      <c r="N2528" s="15"/>
      <c r="O2528" s="15"/>
      <c r="P2528" s="15"/>
      <c r="Q2528" s="71"/>
      <c r="R2528" s="84"/>
      <c r="S2528" s="10"/>
      <c r="T2528" s="10"/>
      <c r="U2528" s="10"/>
      <c r="V2528" s="10"/>
      <c r="W2528" s="138"/>
      <c r="Y2528"/>
      <c r="Z2528"/>
      <c r="AA2528"/>
      <c r="AB2528"/>
      <c r="AC2528"/>
      <c r="AD2528"/>
      <c r="AE2528"/>
      <c r="AF2528"/>
      <c r="AG2528"/>
      <c r="AH2528"/>
      <c r="AI2528"/>
      <c r="AJ2528"/>
      <c r="AK2528"/>
      <c r="AL2528"/>
      <c r="AM2528"/>
      <c r="AN2528"/>
      <c r="AO2528"/>
    </row>
    <row r="2529" spans="1:41" ht="15">
      <c r="A2529"/>
      <c r="B2529"/>
      <c r="C2529" s="137"/>
      <c r="D2529" s="30"/>
      <c r="E2529" s="30"/>
      <c r="F2529" s="10"/>
      <c r="G2529" s="10"/>
      <c r="H2529" s="15"/>
      <c r="I2529" s="15"/>
      <c r="J2529" s="15"/>
      <c r="K2529" s="15"/>
      <c r="L2529" s="15"/>
      <c r="M2529" s="15"/>
      <c r="N2529" s="15"/>
      <c r="O2529" s="15"/>
      <c r="P2529" s="15"/>
      <c r="Q2529" s="71"/>
      <c r="R2529" s="84"/>
      <c r="S2529" s="10"/>
      <c r="T2529" s="10"/>
      <c r="U2529" s="10"/>
      <c r="V2529" s="10"/>
      <c r="W2529" s="138"/>
      <c r="Y2529"/>
      <c r="Z2529"/>
      <c r="AA2529"/>
      <c r="AB2529"/>
      <c r="AC2529"/>
      <c r="AD2529"/>
      <c r="AE2529"/>
      <c r="AF2529"/>
      <c r="AG2529"/>
      <c r="AH2529"/>
      <c r="AI2529"/>
      <c r="AJ2529"/>
      <c r="AK2529"/>
      <c r="AL2529"/>
      <c r="AM2529"/>
      <c r="AN2529"/>
      <c r="AO2529"/>
    </row>
    <row r="2530" spans="1:41" ht="15">
      <c r="A2530"/>
      <c r="B2530"/>
      <c r="C2530" s="137"/>
      <c r="D2530" s="30"/>
      <c r="E2530" s="30"/>
      <c r="F2530" s="10"/>
      <c r="G2530" s="10"/>
      <c r="H2530" s="15"/>
      <c r="I2530" s="15"/>
      <c r="J2530" s="15"/>
      <c r="K2530" s="15"/>
      <c r="L2530" s="15"/>
      <c r="M2530" s="15"/>
      <c r="N2530" s="15"/>
      <c r="O2530" s="15"/>
      <c r="P2530" s="15"/>
      <c r="Q2530" s="71"/>
      <c r="R2530" s="84"/>
      <c r="S2530" s="10"/>
      <c r="T2530" s="10"/>
      <c r="U2530" s="10"/>
      <c r="V2530" s="10"/>
      <c r="W2530" s="138"/>
      <c r="Y2530"/>
      <c r="Z2530"/>
      <c r="AA2530"/>
      <c r="AB2530"/>
      <c r="AC2530"/>
      <c r="AD2530"/>
      <c r="AE2530"/>
      <c r="AF2530"/>
      <c r="AG2530"/>
      <c r="AH2530"/>
      <c r="AI2530"/>
      <c r="AJ2530"/>
      <c r="AK2530"/>
      <c r="AL2530"/>
      <c r="AM2530"/>
      <c r="AN2530"/>
      <c r="AO2530"/>
    </row>
    <row r="2531" spans="1:41" ht="15">
      <c r="A2531"/>
      <c r="B2531"/>
      <c r="C2531" s="137"/>
      <c r="D2531" s="30"/>
      <c r="E2531" s="30"/>
      <c r="F2531" s="10"/>
      <c r="G2531" s="10"/>
      <c r="H2531" s="15"/>
      <c r="I2531" s="15"/>
      <c r="J2531" s="15"/>
      <c r="K2531" s="15"/>
      <c r="L2531" s="15"/>
      <c r="M2531" s="15"/>
      <c r="N2531" s="15"/>
      <c r="O2531" s="15"/>
      <c r="P2531" s="15"/>
      <c r="Q2531" s="71"/>
      <c r="R2531" s="84"/>
      <c r="S2531" s="10"/>
      <c r="T2531" s="10"/>
      <c r="U2531" s="10"/>
      <c r="V2531" s="10"/>
      <c r="W2531" s="138"/>
      <c r="Y2531"/>
      <c r="Z2531"/>
      <c r="AA2531"/>
      <c r="AB2531"/>
      <c r="AC2531"/>
      <c r="AD2531"/>
      <c r="AE2531"/>
      <c r="AF2531"/>
      <c r="AG2531"/>
      <c r="AH2531"/>
      <c r="AI2531"/>
      <c r="AJ2531"/>
      <c r="AK2531"/>
      <c r="AL2531"/>
      <c r="AM2531"/>
      <c r="AN2531"/>
      <c r="AO2531"/>
    </row>
    <row r="2532" spans="1:41" ht="15">
      <c r="A2532"/>
      <c r="B2532"/>
      <c r="C2532" s="137"/>
      <c r="D2532" s="30"/>
      <c r="E2532" s="30"/>
      <c r="F2532" s="10"/>
      <c r="G2532" s="10"/>
      <c r="H2532" s="15"/>
      <c r="I2532" s="15"/>
      <c r="J2532" s="15"/>
      <c r="K2532" s="15"/>
      <c r="L2532" s="15"/>
      <c r="M2532" s="15"/>
      <c r="N2532" s="15"/>
      <c r="O2532" s="15"/>
      <c r="P2532" s="15"/>
      <c r="Q2532" s="71"/>
      <c r="R2532" s="84"/>
      <c r="S2532" s="10"/>
      <c r="T2532" s="10"/>
      <c r="U2532" s="10"/>
      <c r="V2532" s="10"/>
      <c r="W2532" s="138"/>
      <c r="Y2532"/>
      <c r="Z2532"/>
      <c r="AA2532"/>
      <c r="AB2532"/>
      <c r="AC2532"/>
      <c r="AD2532"/>
      <c r="AE2532"/>
      <c r="AF2532"/>
      <c r="AG2532"/>
      <c r="AH2532"/>
      <c r="AI2532"/>
      <c r="AJ2532"/>
      <c r="AK2532"/>
      <c r="AL2532"/>
      <c r="AM2532"/>
      <c r="AN2532"/>
      <c r="AO2532"/>
    </row>
    <row r="2533" spans="1:41" ht="15">
      <c r="A2533"/>
      <c r="B2533"/>
      <c r="C2533" s="137"/>
      <c r="D2533" s="30"/>
      <c r="E2533" s="30"/>
      <c r="F2533" s="10"/>
      <c r="G2533" s="10"/>
      <c r="H2533" s="15"/>
      <c r="I2533" s="15"/>
      <c r="J2533" s="15"/>
      <c r="K2533" s="15"/>
      <c r="L2533" s="15"/>
      <c r="M2533" s="15"/>
      <c r="N2533" s="15"/>
      <c r="O2533" s="15"/>
      <c r="P2533" s="15"/>
      <c r="Q2533" s="71"/>
      <c r="R2533" s="84"/>
      <c r="S2533" s="10"/>
      <c r="T2533" s="10"/>
      <c r="U2533" s="10"/>
      <c r="V2533" s="10"/>
      <c r="W2533" s="138"/>
      <c r="Y2533"/>
      <c r="Z2533"/>
      <c r="AA2533"/>
      <c r="AB2533"/>
      <c r="AC2533"/>
      <c r="AD2533"/>
      <c r="AE2533"/>
      <c r="AF2533"/>
      <c r="AG2533"/>
      <c r="AH2533"/>
      <c r="AI2533"/>
      <c r="AJ2533"/>
      <c r="AK2533"/>
      <c r="AL2533"/>
      <c r="AM2533"/>
      <c r="AN2533"/>
      <c r="AO2533"/>
    </row>
    <row r="2534" spans="1:41" ht="15">
      <c r="A2534"/>
      <c r="B2534"/>
      <c r="C2534" s="137"/>
      <c r="D2534" s="30"/>
      <c r="E2534" s="30"/>
      <c r="F2534" s="10"/>
      <c r="G2534" s="10"/>
      <c r="H2534" s="15"/>
      <c r="I2534" s="15"/>
      <c r="J2534" s="15"/>
      <c r="K2534" s="15"/>
      <c r="L2534" s="15"/>
      <c r="M2534" s="15"/>
      <c r="N2534" s="15"/>
      <c r="O2534" s="15"/>
      <c r="P2534" s="15"/>
      <c r="Q2534" s="71"/>
      <c r="R2534" s="84"/>
      <c r="S2534" s="10"/>
      <c r="T2534" s="10"/>
      <c r="U2534" s="10"/>
      <c r="V2534" s="10"/>
      <c r="W2534" s="138"/>
      <c r="Y2534"/>
      <c r="Z2534"/>
      <c r="AA2534"/>
      <c r="AB2534"/>
      <c r="AC2534"/>
      <c r="AD2534"/>
      <c r="AE2534"/>
      <c r="AF2534"/>
      <c r="AG2534"/>
      <c r="AH2534"/>
      <c r="AI2534"/>
      <c r="AJ2534"/>
      <c r="AK2534"/>
      <c r="AL2534"/>
      <c r="AM2534"/>
      <c r="AN2534"/>
      <c r="AO2534"/>
    </row>
    <row r="2535" spans="1:41" ht="15">
      <c r="A2535"/>
      <c r="B2535"/>
      <c r="C2535" s="137"/>
      <c r="D2535" s="30"/>
      <c r="E2535" s="30"/>
      <c r="F2535" s="10"/>
      <c r="G2535" s="10"/>
      <c r="H2535" s="15"/>
      <c r="I2535" s="15"/>
      <c r="J2535" s="15"/>
      <c r="K2535" s="15"/>
      <c r="L2535" s="15"/>
      <c r="M2535" s="15"/>
      <c r="N2535" s="15"/>
      <c r="O2535" s="15"/>
      <c r="P2535" s="15"/>
      <c r="Q2535" s="71"/>
      <c r="R2535" s="84"/>
      <c r="S2535" s="10"/>
      <c r="T2535" s="10"/>
      <c r="U2535" s="10"/>
      <c r="V2535" s="10"/>
      <c r="W2535" s="138"/>
      <c r="Y2535"/>
      <c r="Z2535"/>
      <c r="AA2535"/>
      <c r="AB2535"/>
      <c r="AC2535"/>
      <c r="AD2535"/>
      <c r="AE2535"/>
      <c r="AF2535"/>
      <c r="AG2535"/>
      <c r="AH2535"/>
      <c r="AI2535"/>
      <c r="AJ2535"/>
      <c r="AK2535"/>
      <c r="AL2535"/>
      <c r="AM2535"/>
      <c r="AN2535"/>
      <c r="AO2535"/>
    </row>
    <row r="2536" spans="1:41" ht="15">
      <c r="A2536"/>
      <c r="B2536"/>
      <c r="C2536" s="137"/>
      <c r="D2536" s="30"/>
      <c r="E2536" s="30"/>
      <c r="F2536" s="10"/>
      <c r="G2536" s="10"/>
      <c r="H2536" s="15"/>
      <c r="I2536" s="15"/>
      <c r="J2536" s="15"/>
      <c r="K2536" s="15"/>
      <c r="L2536" s="15"/>
      <c r="M2536" s="15"/>
      <c r="N2536" s="15"/>
      <c r="O2536" s="15"/>
      <c r="P2536" s="15"/>
      <c r="Q2536" s="71"/>
      <c r="R2536" s="84"/>
      <c r="S2536" s="10"/>
      <c r="T2536" s="10"/>
      <c r="U2536" s="10"/>
      <c r="V2536" s="10"/>
      <c r="W2536" s="138"/>
      <c r="Y2536"/>
      <c r="Z2536"/>
      <c r="AA2536"/>
      <c r="AB2536"/>
      <c r="AC2536"/>
      <c r="AD2536"/>
      <c r="AE2536"/>
      <c r="AF2536"/>
      <c r="AG2536"/>
      <c r="AH2536"/>
      <c r="AI2536"/>
      <c r="AJ2536"/>
      <c r="AK2536"/>
      <c r="AL2536"/>
      <c r="AM2536"/>
      <c r="AN2536"/>
      <c r="AO2536"/>
    </row>
    <row r="2537" spans="1:41" ht="15">
      <c r="A2537"/>
      <c r="B2537"/>
      <c r="C2537" s="137"/>
      <c r="D2537" s="30"/>
      <c r="E2537" s="30"/>
      <c r="F2537" s="10"/>
      <c r="G2537" s="10"/>
      <c r="H2537" s="15"/>
      <c r="I2537" s="15"/>
      <c r="J2537" s="15"/>
      <c r="K2537" s="15"/>
      <c r="L2537" s="15"/>
      <c r="M2537" s="15"/>
      <c r="N2537" s="15"/>
      <c r="O2537" s="15"/>
      <c r="P2537" s="15"/>
      <c r="Q2537" s="71"/>
      <c r="R2537" s="84"/>
      <c r="S2537" s="10"/>
      <c r="T2537" s="10"/>
      <c r="U2537" s="10"/>
      <c r="V2537" s="10"/>
      <c r="W2537" s="138"/>
      <c r="Y2537"/>
      <c r="Z2537"/>
      <c r="AA2537"/>
      <c r="AB2537"/>
      <c r="AC2537"/>
      <c r="AD2537"/>
      <c r="AE2537"/>
      <c r="AF2537"/>
      <c r="AG2537"/>
      <c r="AH2537"/>
      <c r="AI2537"/>
      <c r="AJ2537"/>
      <c r="AK2537"/>
      <c r="AL2537"/>
      <c r="AM2537"/>
      <c r="AN2537"/>
      <c r="AO2537"/>
    </row>
    <row r="2538" spans="1:41" ht="15">
      <c r="A2538"/>
      <c r="B2538"/>
      <c r="C2538" s="137"/>
      <c r="D2538" s="30"/>
      <c r="E2538" s="30"/>
      <c r="F2538" s="10"/>
      <c r="G2538" s="10"/>
      <c r="H2538" s="15"/>
      <c r="I2538" s="15"/>
      <c r="J2538" s="15"/>
      <c r="K2538" s="15"/>
      <c r="L2538" s="15"/>
      <c r="M2538" s="15"/>
      <c r="N2538" s="15"/>
      <c r="O2538" s="15"/>
      <c r="P2538" s="15"/>
      <c r="Q2538" s="71"/>
      <c r="R2538" s="84"/>
      <c r="S2538" s="10"/>
      <c r="T2538" s="10"/>
      <c r="U2538" s="10"/>
      <c r="V2538" s="10"/>
      <c r="W2538" s="138"/>
      <c r="Y2538"/>
      <c r="Z2538"/>
      <c r="AA2538"/>
      <c r="AB2538"/>
      <c r="AC2538"/>
      <c r="AD2538"/>
      <c r="AE2538"/>
      <c r="AF2538"/>
      <c r="AG2538"/>
      <c r="AH2538"/>
      <c r="AI2538"/>
      <c r="AJ2538"/>
      <c r="AK2538"/>
      <c r="AL2538"/>
      <c r="AM2538"/>
      <c r="AN2538"/>
      <c r="AO2538"/>
    </row>
    <row r="2539" spans="1:41" ht="15">
      <c r="A2539"/>
      <c r="B2539"/>
      <c r="C2539" s="137"/>
      <c r="D2539" s="30"/>
      <c r="E2539" s="30"/>
      <c r="F2539" s="10"/>
      <c r="G2539" s="10"/>
      <c r="H2539" s="15"/>
      <c r="I2539" s="15"/>
      <c r="J2539" s="15"/>
      <c r="K2539" s="15"/>
      <c r="L2539" s="15"/>
      <c r="M2539" s="15"/>
      <c r="N2539" s="15"/>
      <c r="O2539" s="15"/>
      <c r="P2539" s="15"/>
      <c r="Q2539" s="71"/>
      <c r="R2539" s="84"/>
      <c r="S2539" s="10"/>
      <c r="T2539" s="10"/>
      <c r="U2539" s="10"/>
      <c r="V2539" s="10"/>
      <c r="W2539" s="138"/>
      <c r="Y2539"/>
      <c r="Z2539"/>
      <c r="AA2539"/>
      <c r="AB2539"/>
      <c r="AC2539"/>
      <c r="AD2539"/>
      <c r="AE2539"/>
      <c r="AF2539"/>
      <c r="AG2539"/>
      <c r="AH2539"/>
      <c r="AI2539"/>
      <c r="AJ2539"/>
      <c r="AK2539"/>
      <c r="AL2539"/>
      <c r="AM2539"/>
      <c r="AN2539"/>
      <c r="AO2539"/>
    </row>
    <row r="2540" spans="1:41" ht="15">
      <c r="A2540"/>
      <c r="B2540"/>
      <c r="C2540" s="137"/>
      <c r="D2540" s="30"/>
      <c r="E2540" s="30"/>
      <c r="F2540" s="10"/>
      <c r="G2540" s="10"/>
      <c r="H2540" s="15"/>
      <c r="I2540" s="15"/>
      <c r="J2540" s="15"/>
      <c r="K2540" s="15"/>
      <c r="L2540" s="15"/>
      <c r="M2540" s="15"/>
      <c r="N2540" s="15"/>
      <c r="O2540" s="15"/>
      <c r="P2540" s="15"/>
      <c r="Q2540" s="71"/>
      <c r="R2540" s="84"/>
      <c r="S2540" s="10"/>
      <c r="T2540" s="10"/>
      <c r="U2540" s="10"/>
      <c r="V2540" s="10"/>
      <c r="W2540" s="138"/>
      <c r="Y2540"/>
      <c r="Z2540"/>
      <c r="AA2540"/>
      <c r="AB2540"/>
      <c r="AC2540"/>
      <c r="AD2540"/>
      <c r="AE2540"/>
      <c r="AF2540"/>
      <c r="AG2540"/>
      <c r="AH2540"/>
      <c r="AI2540"/>
      <c r="AJ2540"/>
      <c r="AK2540"/>
      <c r="AL2540"/>
      <c r="AM2540"/>
      <c r="AN2540"/>
      <c r="AO2540"/>
    </row>
    <row r="2541" spans="1:41" ht="15">
      <c r="A2541"/>
      <c r="B2541"/>
      <c r="C2541" s="137"/>
      <c r="D2541" s="30"/>
      <c r="E2541" s="30"/>
      <c r="F2541" s="10"/>
      <c r="G2541" s="10"/>
      <c r="H2541" s="15"/>
      <c r="I2541" s="15"/>
      <c r="J2541" s="15"/>
      <c r="K2541" s="15"/>
      <c r="L2541" s="15"/>
      <c r="M2541" s="15"/>
      <c r="N2541" s="15"/>
      <c r="O2541" s="15"/>
      <c r="P2541" s="15"/>
      <c r="Q2541" s="71"/>
      <c r="R2541" s="84"/>
      <c r="S2541" s="10"/>
      <c r="T2541" s="10"/>
      <c r="U2541" s="10"/>
      <c r="V2541" s="10"/>
      <c r="W2541" s="138"/>
      <c r="Y2541"/>
      <c r="Z2541"/>
      <c r="AA2541"/>
      <c r="AB2541"/>
      <c r="AC2541"/>
      <c r="AD2541"/>
      <c r="AE2541"/>
      <c r="AF2541"/>
      <c r="AG2541"/>
      <c r="AH2541"/>
      <c r="AI2541"/>
      <c r="AJ2541"/>
      <c r="AK2541"/>
      <c r="AL2541"/>
      <c r="AM2541"/>
      <c r="AN2541"/>
      <c r="AO2541"/>
    </row>
    <row r="2542" spans="1:41" ht="15">
      <c r="A2542"/>
      <c r="B2542"/>
      <c r="C2542" s="137"/>
      <c r="D2542" s="30"/>
      <c r="E2542" s="30"/>
      <c r="F2542" s="10"/>
      <c r="G2542" s="10"/>
      <c r="H2542" s="15"/>
      <c r="I2542" s="15"/>
      <c r="J2542" s="15"/>
      <c r="K2542" s="15"/>
      <c r="L2542" s="15"/>
      <c r="M2542" s="15"/>
      <c r="N2542" s="15"/>
      <c r="O2542" s="15"/>
      <c r="P2542" s="15"/>
      <c r="Q2542" s="71"/>
      <c r="R2542" s="84"/>
      <c r="S2542" s="10"/>
      <c r="T2542" s="10"/>
      <c r="U2542" s="10"/>
      <c r="V2542" s="10"/>
      <c r="W2542" s="138"/>
      <c r="Y2542"/>
      <c r="Z2542"/>
      <c r="AA2542"/>
      <c r="AB2542"/>
      <c r="AC2542"/>
      <c r="AD2542"/>
      <c r="AE2542"/>
      <c r="AF2542"/>
      <c r="AG2542"/>
      <c r="AH2542"/>
      <c r="AI2542"/>
      <c r="AJ2542"/>
      <c r="AK2542"/>
      <c r="AL2542"/>
      <c r="AM2542"/>
      <c r="AN2542"/>
      <c r="AO2542"/>
    </row>
    <row r="2543" spans="1:41" ht="15">
      <c r="A2543"/>
      <c r="B2543"/>
      <c r="C2543" s="137"/>
      <c r="D2543" s="30"/>
      <c r="E2543" s="30"/>
      <c r="F2543" s="10"/>
      <c r="G2543" s="10"/>
      <c r="H2543" s="15"/>
      <c r="I2543" s="15"/>
      <c r="J2543" s="15"/>
      <c r="K2543" s="15"/>
      <c r="L2543" s="15"/>
      <c r="M2543" s="15"/>
      <c r="N2543" s="15"/>
      <c r="O2543" s="15"/>
      <c r="P2543" s="15"/>
      <c r="Q2543" s="71"/>
      <c r="R2543" s="84"/>
      <c r="S2543" s="10"/>
      <c r="T2543" s="10"/>
      <c r="U2543" s="10"/>
      <c r="V2543" s="10"/>
      <c r="W2543" s="138"/>
      <c r="Y2543"/>
      <c r="Z2543"/>
      <c r="AA2543"/>
      <c r="AB2543"/>
      <c r="AC2543"/>
      <c r="AD2543"/>
      <c r="AE2543"/>
      <c r="AF2543"/>
      <c r="AG2543"/>
      <c r="AH2543"/>
      <c r="AI2543"/>
      <c r="AJ2543"/>
      <c r="AK2543"/>
      <c r="AL2543"/>
      <c r="AM2543"/>
      <c r="AN2543"/>
      <c r="AO2543"/>
    </row>
    <row r="2544" spans="1:41" ht="15">
      <c r="A2544"/>
      <c r="B2544"/>
      <c r="C2544" s="137"/>
      <c r="D2544" s="30"/>
      <c r="E2544" s="30"/>
      <c r="F2544" s="10"/>
      <c r="G2544" s="10"/>
      <c r="H2544" s="15"/>
      <c r="I2544" s="15"/>
      <c r="J2544" s="15"/>
      <c r="K2544" s="15"/>
      <c r="L2544" s="15"/>
      <c r="M2544" s="15"/>
      <c r="N2544" s="15"/>
      <c r="O2544" s="15"/>
      <c r="P2544" s="15"/>
      <c r="Q2544" s="71"/>
      <c r="R2544" s="84"/>
      <c r="S2544" s="10"/>
      <c r="T2544" s="10"/>
      <c r="U2544" s="10"/>
      <c r="V2544" s="10"/>
      <c r="W2544" s="138"/>
      <c r="Y2544"/>
      <c r="Z2544"/>
      <c r="AA2544"/>
      <c r="AB2544"/>
      <c r="AC2544"/>
      <c r="AD2544"/>
      <c r="AE2544"/>
      <c r="AF2544"/>
      <c r="AG2544"/>
      <c r="AH2544"/>
      <c r="AI2544"/>
      <c r="AJ2544"/>
      <c r="AK2544"/>
      <c r="AL2544"/>
      <c r="AM2544"/>
      <c r="AN2544"/>
      <c r="AO2544"/>
    </row>
    <row r="2545" spans="1:41" ht="15">
      <c r="A2545"/>
      <c r="B2545"/>
      <c r="C2545" s="137"/>
      <c r="D2545" s="30"/>
      <c r="E2545" s="30"/>
      <c r="F2545" s="10"/>
      <c r="G2545" s="10"/>
      <c r="H2545" s="15"/>
      <c r="I2545" s="15"/>
      <c r="J2545" s="15"/>
      <c r="K2545" s="15"/>
      <c r="L2545" s="15"/>
      <c r="M2545" s="15"/>
      <c r="N2545" s="15"/>
      <c r="O2545" s="15"/>
      <c r="P2545" s="15"/>
      <c r="Q2545" s="71"/>
      <c r="R2545" s="84"/>
      <c r="S2545" s="10"/>
      <c r="T2545" s="10"/>
      <c r="U2545" s="10"/>
      <c r="V2545" s="10"/>
      <c r="W2545" s="138"/>
      <c r="Y2545"/>
      <c r="Z2545"/>
      <c r="AA2545"/>
      <c r="AB2545"/>
      <c r="AC2545"/>
      <c r="AD2545"/>
      <c r="AE2545"/>
      <c r="AF2545"/>
      <c r="AG2545"/>
      <c r="AH2545"/>
      <c r="AI2545"/>
      <c r="AJ2545"/>
      <c r="AK2545"/>
      <c r="AL2545"/>
      <c r="AM2545"/>
      <c r="AN2545"/>
      <c r="AO2545"/>
    </row>
    <row r="2546" spans="1:41" ht="15">
      <c r="A2546"/>
      <c r="B2546"/>
      <c r="C2546" s="137"/>
      <c r="D2546" s="30"/>
      <c r="E2546" s="30"/>
      <c r="F2546" s="10"/>
      <c r="G2546" s="10"/>
      <c r="H2546" s="15"/>
      <c r="I2546" s="15"/>
      <c r="J2546" s="15"/>
      <c r="K2546" s="15"/>
      <c r="L2546" s="15"/>
      <c r="M2546" s="15"/>
      <c r="N2546" s="15"/>
      <c r="O2546" s="15"/>
      <c r="P2546" s="15"/>
      <c r="Q2546" s="71"/>
      <c r="R2546" s="84"/>
      <c r="S2546" s="10"/>
      <c r="T2546" s="10"/>
      <c r="U2546" s="10"/>
      <c r="V2546" s="10"/>
      <c r="W2546" s="138"/>
      <c r="Y2546"/>
      <c r="Z2546"/>
      <c r="AA2546"/>
      <c r="AB2546"/>
      <c r="AC2546"/>
      <c r="AD2546"/>
      <c r="AE2546"/>
      <c r="AF2546"/>
      <c r="AG2546"/>
      <c r="AH2546"/>
      <c r="AI2546"/>
      <c r="AJ2546"/>
      <c r="AK2546"/>
      <c r="AL2546"/>
      <c r="AM2546"/>
      <c r="AN2546"/>
      <c r="AO2546"/>
    </row>
    <row r="2547" spans="1:41" ht="15">
      <c r="A2547"/>
      <c r="B2547"/>
      <c r="C2547" s="137"/>
      <c r="D2547" s="30"/>
      <c r="E2547" s="30"/>
      <c r="F2547" s="10"/>
      <c r="G2547" s="10"/>
      <c r="H2547" s="15"/>
      <c r="I2547" s="15"/>
      <c r="J2547" s="15"/>
      <c r="K2547" s="15"/>
      <c r="L2547" s="15"/>
      <c r="M2547" s="15"/>
      <c r="N2547" s="15"/>
      <c r="O2547" s="15"/>
      <c r="P2547" s="15"/>
      <c r="Q2547" s="71"/>
      <c r="R2547" s="84"/>
      <c r="S2547" s="10"/>
      <c r="T2547" s="10"/>
      <c r="U2547" s="10"/>
      <c r="V2547" s="10"/>
      <c r="W2547" s="138"/>
      <c r="Y2547"/>
      <c r="Z2547"/>
      <c r="AA2547"/>
      <c r="AB2547"/>
      <c r="AC2547"/>
      <c r="AD2547"/>
      <c r="AE2547"/>
      <c r="AF2547"/>
      <c r="AG2547"/>
      <c r="AH2547"/>
      <c r="AI2547"/>
      <c r="AJ2547"/>
      <c r="AK2547"/>
      <c r="AL2547"/>
      <c r="AM2547"/>
      <c r="AN2547"/>
      <c r="AO2547"/>
    </row>
    <row r="2548" spans="1:41" ht="15">
      <c r="A2548"/>
      <c r="B2548"/>
      <c r="C2548" s="137"/>
      <c r="D2548" s="30"/>
      <c r="E2548" s="30"/>
      <c r="F2548" s="10"/>
      <c r="G2548" s="10"/>
      <c r="H2548" s="15"/>
      <c r="I2548" s="15"/>
      <c r="J2548" s="15"/>
      <c r="K2548" s="15"/>
      <c r="L2548" s="15"/>
      <c r="M2548" s="15"/>
      <c r="N2548" s="15"/>
      <c r="O2548" s="15"/>
      <c r="P2548" s="15"/>
      <c r="Q2548" s="71"/>
      <c r="R2548" s="84"/>
      <c r="S2548" s="10"/>
      <c r="T2548" s="10"/>
      <c r="U2548" s="10"/>
      <c r="V2548" s="10"/>
      <c r="W2548" s="138"/>
      <c r="Y2548"/>
      <c r="Z2548"/>
      <c r="AA2548"/>
      <c r="AB2548"/>
      <c r="AC2548"/>
      <c r="AD2548"/>
      <c r="AE2548"/>
      <c r="AF2548"/>
      <c r="AG2548"/>
      <c r="AH2548"/>
      <c r="AI2548"/>
      <c r="AJ2548"/>
      <c r="AK2548"/>
      <c r="AL2548"/>
      <c r="AM2548"/>
      <c r="AN2548"/>
      <c r="AO2548"/>
    </row>
    <row r="2549" spans="1:41" ht="15">
      <c r="A2549"/>
      <c r="B2549"/>
      <c r="C2549" s="137"/>
      <c r="D2549" s="30"/>
      <c r="E2549" s="30"/>
      <c r="F2549" s="10"/>
      <c r="G2549" s="10"/>
      <c r="H2549" s="15"/>
      <c r="I2549" s="15"/>
      <c r="J2549" s="15"/>
      <c r="K2549" s="15"/>
      <c r="L2549" s="15"/>
      <c r="M2549" s="15"/>
      <c r="N2549" s="15"/>
      <c r="O2549" s="15"/>
      <c r="P2549" s="15"/>
      <c r="Q2549" s="71"/>
      <c r="R2549" s="84"/>
      <c r="S2549" s="10"/>
      <c r="T2549" s="10"/>
      <c r="U2549" s="10"/>
      <c r="V2549" s="10"/>
      <c r="W2549" s="138"/>
      <c r="Y2549"/>
      <c r="Z2549"/>
      <c r="AA2549"/>
      <c r="AB2549"/>
      <c r="AC2549"/>
      <c r="AD2549"/>
      <c r="AE2549"/>
      <c r="AF2549"/>
      <c r="AG2549"/>
      <c r="AH2549"/>
      <c r="AI2549"/>
      <c r="AJ2549"/>
      <c r="AK2549"/>
      <c r="AL2549"/>
      <c r="AM2549"/>
      <c r="AN2549"/>
      <c r="AO2549"/>
    </row>
    <row r="2550" spans="1:41" ht="15">
      <c r="A2550"/>
      <c r="B2550"/>
      <c r="C2550" s="137"/>
      <c r="D2550" s="30"/>
      <c r="E2550" s="30"/>
      <c r="F2550" s="10"/>
      <c r="G2550" s="10"/>
      <c r="H2550" s="15"/>
      <c r="I2550" s="15"/>
      <c r="J2550" s="15"/>
      <c r="K2550" s="15"/>
      <c r="L2550" s="15"/>
      <c r="M2550" s="15"/>
      <c r="N2550" s="15"/>
      <c r="O2550" s="15"/>
      <c r="P2550" s="15"/>
      <c r="Q2550" s="71"/>
      <c r="R2550" s="84"/>
      <c r="S2550" s="10"/>
      <c r="T2550" s="10"/>
      <c r="U2550" s="10"/>
      <c r="V2550" s="10"/>
      <c r="W2550" s="138"/>
      <c r="Y2550"/>
      <c r="Z2550"/>
      <c r="AA2550"/>
      <c r="AB2550"/>
      <c r="AC2550"/>
      <c r="AD2550"/>
      <c r="AE2550"/>
      <c r="AF2550"/>
      <c r="AG2550"/>
      <c r="AH2550"/>
      <c r="AI2550"/>
      <c r="AJ2550"/>
      <c r="AK2550"/>
      <c r="AL2550"/>
      <c r="AM2550"/>
      <c r="AN2550"/>
      <c r="AO2550"/>
    </row>
    <row r="2551" spans="1:41" ht="15">
      <c r="A2551"/>
      <c r="B2551"/>
      <c r="C2551" s="137"/>
      <c r="D2551" s="30"/>
      <c r="E2551" s="30"/>
      <c r="F2551" s="10"/>
      <c r="G2551" s="10"/>
      <c r="H2551" s="15"/>
      <c r="I2551" s="15"/>
      <c r="J2551" s="15"/>
      <c r="K2551" s="15"/>
      <c r="L2551" s="15"/>
      <c r="M2551" s="15"/>
      <c r="N2551" s="15"/>
      <c r="O2551" s="15"/>
      <c r="P2551" s="15"/>
      <c r="Q2551" s="71"/>
      <c r="R2551" s="84"/>
      <c r="S2551" s="10"/>
      <c r="T2551" s="10"/>
      <c r="U2551" s="10"/>
      <c r="V2551" s="10"/>
      <c r="W2551" s="138"/>
      <c r="Y2551"/>
      <c r="Z2551"/>
      <c r="AA2551"/>
      <c r="AB2551"/>
      <c r="AC2551"/>
      <c r="AD2551"/>
      <c r="AE2551"/>
      <c r="AF2551"/>
      <c r="AG2551"/>
      <c r="AH2551"/>
      <c r="AI2551"/>
      <c r="AJ2551"/>
      <c r="AK2551"/>
      <c r="AL2551"/>
      <c r="AM2551"/>
      <c r="AN2551"/>
      <c r="AO2551"/>
    </row>
    <row r="2552" spans="1:41" ht="15">
      <c r="A2552"/>
      <c r="B2552"/>
      <c r="C2552" s="137"/>
      <c r="D2552" s="30"/>
      <c r="E2552" s="30"/>
      <c r="F2552" s="10"/>
      <c r="G2552" s="10"/>
      <c r="H2552" s="15"/>
      <c r="I2552" s="15"/>
      <c r="J2552" s="15"/>
      <c r="K2552" s="15"/>
      <c r="L2552" s="15"/>
      <c r="M2552" s="15"/>
      <c r="N2552" s="15"/>
      <c r="O2552" s="15"/>
      <c r="P2552" s="15"/>
      <c r="Q2552" s="71"/>
      <c r="R2552" s="84"/>
      <c r="S2552" s="10"/>
      <c r="T2552" s="10"/>
      <c r="U2552" s="10"/>
      <c r="V2552" s="10"/>
      <c r="W2552" s="138"/>
      <c r="Y2552"/>
      <c r="Z2552"/>
      <c r="AA2552"/>
      <c r="AB2552"/>
      <c r="AC2552"/>
      <c r="AD2552"/>
      <c r="AE2552"/>
      <c r="AF2552"/>
      <c r="AG2552"/>
      <c r="AH2552"/>
      <c r="AI2552"/>
      <c r="AJ2552"/>
      <c r="AK2552"/>
      <c r="AL2552"/>
      <c r="AM2552"/>
      <c r="AN2552"/>
      <c r="AO2552"/>
    </row>
    <row r="2553" spans="1:41" ht="15">
      <c r="A2553"/>
      <c r="B2553"/>
      <c r="C2553" s="137"/>
      <c r="D2553" s="30"/>
      <c r="E2553" s="30"/>
      <c r="F2553" s="10"/>
      <c r="G2553" s="10"/>
      <c r="H2553" s="15"/>
      <c r="I2553" s="15"/>
      <c r="J2553" s="15"/>
      <c r="K2553" s="15"/>
      <c r="L2553" s="15"/>
      <c r="M2553" s="15"/>
      <c r="N2553" s="15"/>
      <c r="O2553" s="15"/>
      <c r="P2553" s="15"/>
      <c r="Q2553" s="71"/>
      <c r="R2553" s="84"/>
      <c r="S2553" s="10"/>
      <c r="T2553" s="10"/>
      <c r="U2553" s="10"/>
      <c r="V2553" s="10"/>
      <c r="W2553" s="138"/>
      <c r="Y2553"/>
      <c r="Z2553"/>
      <c r="AA2553"/>
      <c r="AB2553"/>
      <c r="AC2553"/>
      <c r="AD2553"/>
      <c r="AE2553"/>
      <c r="AF2553"/>
      <c r="AG2553"/>
      <c r="AH2553"/>
      <c r="AI2553"/>
      <c r="AJ2553"/>
      <c r="AK2553"/>
      <c r="AL2553"/>
      <c r="AM2553"/>
      <c r="AN2553"/>
      <c r="AO2553"/>
    </row>
    <row r="2554" spans="1:41" ht="15">
      <c r="A2554"/>
      <c r="B2554"/>
      <c r="C2554" s="137"/>
      <c r="D2554" s="30"/>
      <c r="E2554" s="30"/>
      <c r="F2554" s="10"/>
      <c r="G2554" s="10"/>
      <c r="H2554" s="15"/>
      <c r="I2554" s="15"/>
      <c r="J2554" s="15"/>
      <c r="K2554" s="15"/>
      <c r="L2554" s="15"/>
      <c r="M2554" s="15"/>
      <c r="N2554" s="15"/>
      <c r="O2554" s="15"/>
      <c r="P2554" s="15"/>
      <c r="Q2554" s="71"/>
      <c r="R2554" s="84"/>
      <c r="S2554" s="10"/>
      <c r="T2554" s="10"/>
      <c r="U2554" s="10"/>
      <c r="V2554" s="10"/>
      <c r="W2554" s="138"/>
      <c r="Y2554"/>
      <c r="Z2554"/>
      <c r="AA2554"/>
      <c r="AB2554"/>
      <c r="AC2554"/>
      <c r="AD2554"/>
      <c r="AE2554"/>
      <c r="AF2554"/>
      <c r="AG2554"/>
      <c r="AH2554"/>
      <c r="AI2554"/>
      <c r="AJ2554"/>
      <c r="AK2554"/>
      <c r="AL2554"/>
      <c r="AM2554"/>
      <c r="AN2554"/>
      <c r="AO2554"/>
    </row>
    <row r="2555" spans="1:41" ht="15">
      <c r="A2555"/>
      <c r="B2555"/>
      <c r="C2555" s="137"/>
      <c r="D2555" s="30"/>
      <c r="E2555" s="30"/>
      <c r="F2555" s="10"/>
      <c r="G2555" s="10"/>
      <c r="H2555" s="15"/>
      <c r="I2555" s="15"/>
      <c r="J2555" s="15"/>
      <c r="K2555" s="15"/>
      <c r="L2555" s="15"/>
      <c r="M2555" s="15"/>
      <c r="N2555" s="15"/>
      <c r="O2555" s="15"/>
      <c r="P2555" s="15"/>
      <c r="Q2555" s="71"/>
      <c r="R2555" s="84"/>
      <c r="S2555" s="10"/>
      <c r="T2555" s="10"/>
      <c r="U2555" s="10"/>
      <c r="V2555" s="10"/>
      <c r="W2555" s="138"/>
      <c r="Y2555"/>
      <c r="Z2555"/>
      <c r="AA2555"/>
      <c r="AB2555"/>
      <c r="AC2555"/>
      <c r="AD2555"/>
      <c r="AE2555"/>
      <c r="AF2555"/>
      <c r="AG2555"/>
      <c r="AH2555"/>
      <c r="AI2555"/>
      <c r="AJ2555"/>
      <c r="AK2555"/>
      <c r="AL2555"/>
      <c r="AM2555"/>
      <c r="AN2555"/>
      <c r="AO2555"/>
    </row>
    <row r="2556" spans="1:41" ht="15">
      <c r="A2556"/>
      <c r="B2556"/>
      <c r="C2556" s="137"/>
      <c r="D2556" s="30"/>
      <c r="E2556" s="30"/>
      <c r="F2556" s="10"/>
      <c r="G2556" s="10"/>
      <c r="H2556" s="15"/>
      <c r="I2556" s="15"/>
      <c r="J2556" s="15"/>
      <c r="K2556" s="15"/>
      <c r="L2556" s="15"/>
      <c r="M2556" s="15"/>
      <c r="N2556" s="15"/>
      <c r="O2556" s="15"/>
      <c r="P2556" s="15"/>
      <c r="Q2556" s="71"/>
      <c r="R2556" s="84"/>
      <c r="S2556" s="10"/>
      <c r="T2556" s="10"/>
      <c r="U2556" s="10"/>
      <c r="V2556" s="10"/>
      <c r="W2556" s="138"/>
      <c r="Y2556"/>
      <c r="Z2556"/>
      <c r="AA2556"/>
      <c r="AB2556"/>
      <c r="AC2556"/>
      <c r="AD2556"/>
      <c r="AE2556"/>
      <c r="AF2556"/>
      <c r="AG2556"/>
      <c r="AH2556"/>
      <c r="AI2556"/>
      <c r="AJ2556"/>
      <c r="AK2556"/>
      <c r="AL2556"/>
      <c r="AM2556"/>
      <c r="AN2556"/>
      <c r="AO2556"/>
    </row>
    <row r="2557" spans="1:41" ht="15">
      <c r="A2557"/>
      <c r="B2557"/>
      <c r="C2557" s="137"/>
      <c r="D2557" s="30"/>
      <c r="E2557" s="30"/>
      <c r="F2557" s="10"/>
      <c r="G2557" s="10"/>
      <c r="H2557" s="15"/>
      <c r="I2557" s="15"/>
      <c r="J2557" s="15"/>
      <c r="K2557" s="15"/>
      <c r="L2557" s="15"/>
      <c r="M2557" s="15"/>
      <c r="N2557" s="15"/>
      <c r="O2557" s="15"/>
      <c r="P2557" s="15"/>
      <c r="Q2557" s="71"/>
      <c r="R2557" s="84"/>
      <c r="S2557" s="10"/>
      <c r="T2557" s="10"/>
      <c r="U2557" s="10"/>
      <c r="V2557" s="10"/>
      <c r="W2557" s="138"/>
      <c r="Y2557"/>
      <c r="Z2557"/>
      <c r="AA2557"/>
      <c r="AB2557"/>
      <c r="AC2557"/>
      <c r="AD2557"/>
      <c r="AE2557"/>
      <c r="AF2557"/>
      <c r="AG2557"/>
      <c r="AH2557"/>
      <c r="AI2557"/>
      <c r="AJ2557"/>
      <c r="AK2557"/>
      <c r="AL2557"/>
      <c r="AM2557"/>
      <c r="AN2557"/>
      <c r="AO2557"/>
    </row>
    <row r="2558" spans="1:41" ht="15">
      <c r="A2558"/>
      <c r="B2558"/>
      <c r="C2558" s="137"/>
      <c r="D2558" s="30"/>
      <c r="E2558" s="30"/>
      <c r="F2558" s="10"/>
      <c r="G2558" s="10"/>
      <c r="H2558" s="15"/>
      <c r="I2558" s="15"/>
      <c r="J2558" s="15"/>
      <c r="K2558" s="15"/>
      <c r="L2558" s="15"/>
      <c r="M2558" s="15"/>
      <c r="N2558" s="15"/>
      <c r="O2558" s="15"/>
      <c r="P2558" s="15"/>
      <c r="Q2558" s="71"/>
      <c r="R2558" s="84"/>
      <c r="S2558" s="10"/>
      <c r="T2558" s="10"/>
      <c r="U2558" s="10"/>
      <c r="V2558" s="10"/>
      <c r="W2558" s="138"/>
      <c r="Y2558"/>
      <c r="Z2558"/>
      <c r="AA2558"/>
      <c r="AB2558"/>
      <c r="AC2558"/>
      <c r="AD2558"/>
      <c r="AE2558"/>
      <c r="AF2558"/>
      <c r="AG2558"/>
      <c r="AH2558"/>
      <c r="AI2558"/>
      <c r="AJ2558"/>
      <c r="AK2558"/>
      <c r="AL2558"/>
      <c r="AM2558"/>
      <c r="AN2558"/>
      <c r="AO2558"/>
    </row>
    <row r="2559" spans="1:41" ht="15">
      <c r="A2559"/>
      <c r="B2559"/>
      <c r="C2559" s="137"/>
      <c r="D2559" s="30"/>
      <c r="E2559" s="30"/>
      <c r="F2559" s="10"/>
      <c r="G2559" s="10"/>
      <c r="H2559" s="15"/>
      <c r="I2559" s="15"/>
      <c r="J2559" s="15"/>
      <c r="K2559" s="15"/>
      <c r="L2559" s="15"/>
      <c r="M2559" s="15"/>
      <c r="N2559" s="15"/>
      <c r="O2559" s="15"/>
      <c r="P2559" s="15"/>
      <c r="Q2559" s="71"/>
      <c r="R2559" s="84"/>
      <c r="S2559" s="10"/>
      <c r="T2559" s="10"/>
      <c r="U2559" s="10"/>
      <c r="V2559" s="10"/>
      <c r="W2559" s="138"/>
      <c r="Y2559"/>
      <c r="Z2559"/>
      <c r="AA2559"/>
      <c r="AB2559"/>
      <c r="AC2559"/>
      <c r="AD2559"/>
      <c r="AE2559"/>
      <c r="AF2559"/>
      <c r="AG2559"/>
      <c r="AH2559"/>
      <c r="AI2559"/>
      <c r="AJ2559"/>
      <c r="AK2559"/>
      <c r="AL2559"/>
      <c r="AM2559"/>
      <c r="AN2559"/>
      <c r="AO2559"/>
    </row>
    <row r="2560" spans="1:41" ht="15">
      <c r="A2560"/>
      <c r="B2560"/>
      <c r="C2560" s="137"/>
      <c r="D2560" s="30"/>
      <c r="E2560" s="30"/>
      <c r="F2560" s="10"/>
      <c r="G2560" s="10"/>
      <c r="H2560" s="15"/>
      <c r="I2560" s="15"/>
      <c r="J2560" s="15"/>
      <c r="K2560" s="15"/>
      <c r="L2560" s="15"/>
      <c r="M2560" s="15"/>
      <c r="N2560" s="15"/>
      <c r="O2560" s="15"/>
      <c r="P2560" s="15"/>
      <c r="Q2560" s="71"/>
      <c r="R2560" s="84"/>
      <c r="S2560" s="10"/>
      <c r="T2560" s="10"/>
      <c r="U2560" s="10"/>
      <c r="V2560" s="10"/>
      <c r="W2560" s="138"/>
      <c r="Y2560"/>
      <c r="Z2560"/>
      <c r="AA2560"/>
      <c r="AB2560"/>
      <c r="AC2560"/>
      <c r="AD2560"/>
      <c r="AE2560"/>
      <c r="AF2560"/>
      <c r="AG2560"/>
      <c r="AH2560"/>
      <c r="AI2560"/>
      <c r="AJ2560"/>
      <c r="AK2560"/>
      <c r="AL2560"/>
      <c r="AM2560"/>
      <c r="AN2560"/>
      <c r="AO2560"/>
    </row>
    <row r="2561" spans="1:41" ht="15">
      <c r="A2561"/>
      <c r="B2561"/>
      <c r="C2561" s="137"/>
      <c r="D2561" s="30"/>
      <c r="E2561" s="30"/>
      <c r="F2561" s="10"/>
      <c r="G2561" s="10"/>
      <c r="H2561" s="15"/>
      <c r="I2561" s="15"/>
      <c r="J2561" s="15"/>
      <c r="K2561" s="15"/>
      <c r="L2561" s="15"/>
      <c r="M2561" s="15"/>
      <c r="N2561" s="15"/>
      <c r="O2561" s="15"/>
      <c r="P2561" s="15"/>
      <c r="Q2561" s="71"/>
      <c r="R2561" s="84"/>
      <c r="S2561" s="10"/>
      <c r="T2561" s="10"/>
      <c r="U2561" s="10"/>
      <c r="V2561" s="10"/>
      <c r="W2561" s="138"/>
      <c r="Y2561"/>
      <c r="Z2561"/>
      <c r="AA2561"/>
      <c r="AB2561"/>
      <c r="AC2561"/>
      <c r="AD2561"/>
      <c r="AE2561"/>
      <c r="AF2561"/>
      <c r="AG2561"/>
      <c r="AH2561"/>
      <c r="AI2561"/>
      <c r="AJ2561"/>
      <c r="AK2561"/>
      <c r="AL2561"/>
      <c r="AM2561"/>
      <c r="AN2561"/>
      <c r="AO2561"/>
    </row>
    <row r="2562" spans="1:41" ht="15">
      <c r="A2562"/>
      <c r="B2562"/>
      <c r="C2562" s="137"/>
      <c r="D2562" s="30"/>
      <c r="E2562" s="30"/>
      <c r="F2562" s="10"/>
      <c r="G2562" s="10"/>
      <c r="H2562" s="15"/>
      <c r="I2562" s="15"/>
      <c r="J2562" s="15"/>
      <c r="K2562" s="15"/>
      <c r="L2562" s="15"/>
      <c r="M2562" s="15"/>
      <c r="N2562" s="15"/>
      <c r="O2562" s="15"/>
      <c r="P2562" s="15"/>
      <c r="Q2562" s="71"/>
      <c r="R2562" s="84"/>
      <c r="S2562" s="10"/>
      <c r="T2562" s="10"/>
      <c r="U2562" s="10"/>
      <c r="V2562" s="10"/>
      <c r="W2562" s="138"/>
      <c r="Y2562"/>
      <c r="Z2562"/>
      <c r="AA2562"/>
      <c r="AB2562"/>
      <c r="AC2562"/>
      <c r="AD2562"/>
      <c r="AE2562"/>
      <c r="AF2562"/>
      <c r="AG2562"/>
      <c r="AH2562"/>
      <c r="AI2562"/>
      <c r="AJ2562"/>
      <c r="AK2562"/>
      <c r="AL2562"/>
      <c r="AM2562"/>
      <c r="AN2562"/>
      <c r="AO2562"/>
    </row>
    <row r="2563" spans="1:41" ht="15">
      <c r="A2563"/>
      <c r="B2563"/>
      <c r="C2563" s="137"/>
      <c r="D2563" s="30"/>
      <c r="E2563" s="30"/>
      <c r="F2563" s="10"/>
      <c r="G2563" s="10"/>
      <c r="H2563" s="15"/>
      <c r="I2563" s="15"/>
      <c r="J2563" s="15"/>
      <c r="K2563" s="15"/>
      <c r="L2563" s="15"/>
      <c r="M2563" s="15"/>
      <c r="N2563" s="15"/>
      <c r="O2563" s="15"/>
      <c r="P2563" s="15"/>
      <c r="Q2563" s="71"/>
      <c r="R2563" s="84"/>
      <c r="S2563" s="10"/>
      <c r="T2563" s="10"/>
      <c r="U2563" s="10"/>
      <c r="V2563" s="10"/>
      <c r="W2563" s="138"/>
      <c r="Y2563"/>
      <c r="Z2563"/>
      <c r="AA2563"/>
      <c r="AB2563"/>
      <c r="AC2563"/>
      <c r="AD2563"/>
      <c r="AE2563"/>
      <c r="AF2563"/>
      <c r="AG2563"/>
      <c r="AH2563"/>
      <c r="AI2563"/>
      <c r="AJ2563"/>
      <c r="AK2563"/>
      <c r="AL2563"/>
      <c r="AM2563"/>
      <c r="AN2563"/>
      <c r="AO2563"/>
    </row>
    <row r="2564" spans="1:41" ht="15">
      <c r="A2564"/>
      <c r="B2564"/>
      <c r="C2564" s="137"/>
      <c r="D2564" s="30"/>
      <c r="E2564" s="30"/>
      <c r="F2564" s="10"/>
      <c r="G2564" s="10"/>
      <c r="H2564" s="15"/>
      <c r="I2564" s="15"/>
      <c r="J2564" s="15"/>
      <c r="K2564" s="15"/>
      <c r="L2564" s="15"/>
      <c r="M2564" s="15"/>
      <c r="N2564" s="15"/>
      <c r="O2564" s="15"/>
      <c r="P2564" s="15"/>
      <c r="Q2564" s="71"/>
      <c r="R2564" s="84"/>
      <c r="S2564" s="10"/>
      <c r="T2564" s="10"/>
      <c r="U2564" s="10"/>
      <c r="V2564" s="10"/>
      <c r="W2564" s="138"/>
      <c r="Y2564"/>
      <c r="Z2564"/>
      <c r="AA2564"/>
      <c r="AB2564"/>
      <c r="AC2564"/>
      <c r="AD2564"/>
      <c r="AE2564"/>
      <c r="AF2564"/>
      <c r="AG2564"/>
      <c r="AH2564"/>
      <c r="AI2564"/>
      <c r="AJ2564"/>
      <c r="AK2564"/>
      <c r="AL2564"/>
      <c r="AM2564"/>
      <c r="AN2564"/>
      <c r="AO2564"/>
    </row>
    <row r="2565" spans="1:41" ht="15">
      <c r="A2565"/>
      <c r="B2565"/>
      <c r="C2565" s="137"/>
      <c r="D2565" s="30"/>
      <c r="E2565" s="30"/>
      <c r="F2565" s="10"/>
      <c r="G2565" s="10"/>
      <c r="H2565" s="15"/>
      <c r="I2565" s="15"/>
      <c r="J2565" s="15"/>
      <c r="K2565" s="15"/>
      <c r="L2565" s="15"/>
      <c r="M2565" s="15"/>
      <c r="N2565" s="15"/>
      <c r="O2565" s="15"/>
      <c r="P2565" s="15"/>
      <c r="Q2565" s="71"/>
      <c r="R2565" s="84"/>
      <c r="S2565" s="10"/>
      <c r="T2565" s="10"/>
      <c r="U2565" s="10"/>
      <c r="V2565" s="10"/>
      <c r="W2565" s="138"/>
      <c r="Y2565"/>
      <c r="Z2565"/>
      <c r="AA2565"/>
      <c r="AB2565"/>
      <c r="AC2565"/>
      <c r="AD2565"/>
      <c r="AE2565"/>
      <c r="AF2565"/>
      <c r="AG2565"/>
      <c r="AH2565"/>
      <c r="AI2565"/>
      <c r="AJ2565"/>
      <c r="AK2565"/>
      <c r="AL2565"/>
      <c r="AM2565"/>
      <c r="AN2565"/>
      <c r="AO2565"/>
    </row>
    <row r="2566" spans="1:41" ht="15">
      <c r="A2566"/>
      <c r="B2566"/>
      <c r="C2566" s="137"/>
      <c r="D2566" s="30"/>
      <c r="E2566" s="30"/>
      <c r="F2566" s="10"/>
      <c r="G2566" s="10"/>
      <c r="H2566" s="15"/>
      <c r="I2566" s="15"/>
      <c r="J2566" s="15"/>
      <c r="K2566" s="15"/>
      <c r="L2566" s="15"/>
      <c r="M2566" s="15"/>
      <c r="N2566" s="15"/>
      <c r="O2566" s="15"/>
      <c r="P2566" s="15"/>
      <c r="Q2566" s="71"/>
      <c r="R2566" s="84"/>
      <c r="S2566" s="10"/>
      <c r="T2566" s="10"/>
      <c r="U2566" s="10"/>
      <c r="V2566" s="10"/>
      <c r="W2566" s="138"/>
      <c r="Y2566"/>
      <c r="Z2566"/>
      <c r="AA2566"/>
      <c r="AB2566"/>
      <c r="AC2566"/>
      <c r="AD2566"/>
      <c r="AE2566"/>
      <c r="AF2566"/>
      <c r="AG2566"/>
      <c r="AH2566"/>
      <c r="AI2566"/>
      <c r="AJ2566"/>
      <c r="AK2566"/>
      <c r="AL2566"/>
      <c r="AM2566"/>
      <c r="AN2566"/>
      <c r="AO2566"/>
    </row>
    <row r="2567" spans="1:41" ht="15">
      <c r="A2567"/>
      <c r="B2567"/>
      <c r="C2567" s="137"/>
      <c r="D2567" s="30"/>
      <c r="E2567" s="30"/>
      <c r="F2567" s="10"/>
      <c r="G2567" s="10"/>
      <c r="H2567" s="15"/>
      <c r="I2567" s="15"/>
      <c r="J2567" s="15"/>
      <c r="K2567" s="15"/>
      <c r="L2567" s="15"/>
      <c r="M2567" s="15"/>
      <c r="N2567" s="15"/>
      <c r="O2567" s="15"/>
      <c r="P2567" s="15"/>
      <c r="Q2567" s="71"/>
      <c r="R2567" s="84"/>
      <c r="S2567" s="10"/>
      <c r="T2567" s="10"/>
      <c r="U2567" s="10"/>
      <c r="V2567" s="10"/>
      <c r="W2567" s="138"/>
      <c r="Y2567"/>
      <c r="Z2567"/>
      <c r="AA2567"/>
      <c r="AB2567"/>
      <c r="AC2567"/>
      <c r="AD2567"/>
      <c r="AE2567"/>
      <c r="AF2567"/>
      <c r="AG2567"/>
      <c r="AH2567"/>
      <c r="AI2567"/>
      <c r="AJ2567"/>
      <c r="AK2567"/>
      <c r="AL2567"/>
      <c r="AM2567"/>
      <c r="AN2567"/>
      <c r="AO2567"/>
    </row>
    <row r="2568" spans="1:41" ht="15">
      <c r="A2568"/>
      <c r="B2568"/>
      <c r="C2568" s="137"/>
      <c r="D2568" s="30"/>
      <c r="E2568" s="30"/>
      <c r="F2568" s="10"/>
      <c r="G2568" s="10"/>
      <c r="H2568" s="15"/>
      <c r="I2568" s="15"/>
      <c r="J2568" s="15"/>
      <c r="K2568" s="15"/>
      <c r="L2568" s="15"/>
      <c r="M2568" s="15"/>
      <c r="N2568" s="15"/>
      <c r="O2568" s="15"/>
      <c r="P2568" s="15"/>
      <c r="Q2568" s="71"/>
      <c r="R2568" s="84"/>
      <c r="S2568" s="10"/>
      <c r="T2568" s="10"/>
      <c r="U2568" s="10"/>
      <c r="V2568" s="10"/>
      <c r="W2568" s="138"/>
      <c r="Y2568"/>
      <c r="Z2568"/>
      <c r="AA2568"/>
      <c r="AB2568"/>
      <c r="AC2568"/>
      <c r="AD2568"/>
      <c r="AE2568"/>
      <c r="AF2568"/>
      <c r="AG2568"/>
      <c r="AH2568"/>
      <c r="AI2568"/>
      <c r="AJ2568"/>
      <c r="AK2568"/>
      <c r="AL2568"/>
      <c r="AM2568"/>
      <c r="AN2568"/>
      <c r="AO2568"/>
    </row>
    <row r="2569" spans="1:41" ht="15">
      <c r="A2569"/>
      <c r="B2569"/>
      <c r="C2569" s="137"/>
      <c r="D2569" s="30"/>
      <c r="E2569" s="30"/>
      <c r="F2569" s="10"/>
      <c r="G2569" s="10"/>
      <c r="H2569" s="15"/>
      <c r="I2569" s="15"/>
      <c r="J2569" s="15"/>
      <c r="K2569" s="15"/>
      <c r="L2569" s="15"/>
      <c r="M2569" s="15"/>
      <c r="N2569" s="15"/>
      <c r="O2569" s="15"/>
      <c r="P2569" s="15"/>
      <c r="Q2569" s="71"/>
      <c r="R2569" s="84"/>
      <c r="S2569" s="10"/>
      <c r="T2569" s="10"/>
      <c r="U2569" s="10"/>
      <c r="V2569" s="10"/>
      <c r="W2569" s="138"/>
      <c r="Y2569"/>
      <c r="Z2569"/>
      <c r="AA2569"/>
      <c r="AB2569"/>
      <c r="AC2569"/>
      <c r="AD2569"/>
      <c r="AE2569"/>
      <c r="AF2569"/>
      <c r="AG2569"/>
      <c r="AH2569"/>
      <c r="AI2569"/>
      <c r="AJ2569"/>
      <c r="AK2569"/>
      <c r="AL2569"/>
      <c r="AM2569"/>
      <c r="AN2569"/>
      <c r="AO2569"/>
    </row>
    <row r="2570" spans="1:41" ht="15">
      <c r="A2570"/>
      <c r="B2570"/>
      <c r="C2570" s="137"/>
      <c r="D2570" s="30"/>
      <c r="E2570" s="30"/>
      <c r="F2570" s="10"/>
      <c r="G2570" s="10"/>
      <c r="H2570" s="15"/>
      <c r="I2570" s="15"/>
      <c r="J2570" s="15"/>
      <c r="K2570" s="15"/>
      <c r="L2570" s="15"/>
      <c r="M2570" s="15"/>
      <c r="N2570" s="15"/>
      <c r="O2570" s="15"/>
      <c r="P2570" s="15"/>
      <c r="Q2570" s="71"/>
      <c r="R2570" s="84"/>
      <c r="S2570" s="10"/>
      <c r="T2570" s="10"/>
      <c r="U2570" s="10"/>
      <c r="V2570" s="10"/>
      <c r="W2570" s="138"/>
      <c r="Y2570"/>
      <c r="Z2570"/>
      <c r="AA2570"/>
      <c r="AB2570"/>
      <c r="AC2570"/>
      <c r="AD2570"/>
      <c r="AE2570"/>
      <c r="AF2570"/>
      <c r="AG2570"/>
      <c r="AH2570"/>
      <c r="AI2570"/>
      <c r="AJ2570"/>
      <c r="AK2570"/>
      <c r="AL2570"/>
      <c r="AM2570"/>
      <c r="AN2570"/>
      <c r="AO2570"/>
    </row>
    <row r="2571" spans="1:41" ht="15">
      <c r="A2571"/>
      <c r="B2571"/>
      <c r="C2571" s="137"/>
      <c r="D2571" s="30"/>
      <c r="E2571" s="30"/>
      <c r="F2571" s="10"/>
      <c r="G2571" s="10"/>
      <c r="H2571" s="15"/>
      <c r="I2571" s="15"/>
      <c r="J2571" s="15"/>
      <c r="K2571" s="15"/>
      <c r="L2571" s="15"/>
      <c r="M2571" s="15"/>
      <c r="N2571" s="15"/>
      <c r="O2571" s="15"/>
      <c r="P2571" s="15"/>
      <c r="Q2571" s="71"/>
      <c r="R2571" s="84"/>
      <c r="S2571" s="10"/>
      <c r="T2571" s="10"/>
      <c r="U2571" s="10"/>
      <c r="V2571" s="10"/>
      <c r="W2571" s="138"/>
      <c r="Y2571"/>
      <c r="Z2571"/>
      <c r="AA2571"/>
      <c r="AB2571"/>
      <c r="AC2571"/>
      <c r="AD2571"/>
      <c r="AE2571"/>
      <c r="AF2571"/>
      <c r="AG2571"/>
      <c r="AH2571"/>
      <c r="AI2571"/>
      <c r="AJ2571"/>
      <c r="AK2571"/>
      <c r="AL2571"/>
      <c r="AM2571"/>
      <c r="AN2571"/>
      <c r="AO2571"/>
    </row>
    <row r="2572" spans="1:41" ht="15">
      <c r="A2572"/>
      <c r="B2572"/>
      <c r="C2572" s="137"/>
      <c r="D2572" s="30"/>
      <c r="E2572" s="30"/>
      <c r="F2572" s="10"/>
      <c r="G2572" s="10"/>
      <c r="H2572" s="15"/>
      <c r="I2572" s="15"/>
      <c r="J2572" s="15"/>
      <c r="K2572" s="15"/>
      <c r="L2572" s="15"/>
      <c r="M2572" s="15"/>
      <c r="N2572" s="15"/>
      <c r="O2572" s="15"/>
      <c r="P2572" s="15"/>
      <c r="Q2572" s="71"/>
      <c r="R2572" s="84"/>
      <c r="S2572" s="10"/>
      <c r="T2572" s="10"/>
      <c r="U2572" s="10"/>
      <c r="V2572" s="10"/>
      <c r="W2572" s="138"/>
      <c r="Y2572"/>
      <c r="Z2572"/>
      <c r="AA2572"/>
      <c r="AB2572"/>
      <c r="AC2572"/>
      <c r="AD2572"/>
      <c r="AE2572"/>
      <c r="AF2572"/>
      <c r="AG2572"/>
      <c r="AH2572"/>
      <c r="AI2572"/>
      <c r="AJ2572"/>
      <c r="AK2572"/>
      <c r="AL2572"/>
      <c r="AM2572"/>
      <c r="AN2572"/>
      <c r="AO2572"/>
    </row>
    <row r="2573" spans="1:41" ht="15">
      <c r="A2573"/>
      <c r="B2573"/>
      <c r="C2573" s="137"/>
      <c r="D2573" s="30"/>
      <c r="E2573" s="30"/>
      <c r="F2573" s="10"/>
      <c r="G2573" s="10"/>
      <c r="H2573" s="15"/>
      <c r="I2573" s="15"/>
      <c r="J2573" s="15"/>
      <c r="K2573" s="15"/>
      <c r="L2573" s="15"/>
      <c r="M2573" s="15"/>
      <c r="N2573" s="15"/>
      <c r="O2573" s="15"/>
      <c r="P2573" s="15"/>
      <c r="Q2573" s="71"/>
      <c r="R2573" s="84"/>
      <c r="S2573" s="10"/>
      <c r="T2573" s="10"/>
      <c r="U2573" s="10"/>
      <c r="V2573" s="10"/>
      <c r="W2573" s="138"/>
      <c r="Y2573"/>
      <c r="Z2573"/>
      <c r="AA2573"/>
      <c r="AB2573"/>
      <c r="AC2573"/>
      <c r="AD2573"/>
      <c r="AE2573"/>
      <c r="AF2573"/>
      <c r="AG2573"/>
      <c r="AH2573"/>
      <c r="AI2573"/>
      <c r="AJ2573"/>
      <c r="AK2573"/>
      <c r="AL2573"/>
      <c r="AM2573"/>
      <c r="AN2573"/>
      <c r="AO2573"/>
    </row>
    <row r="2574" spans="1:41" ht="15">
      <c r="A2574"/>
      <c r="B2574"/>
      <c r="C2574" s="137"/>
      <c r="D2574" s="30"/>
      <c r="E2574" s="30"/>
      <c r="F2574" s="10"/>
      <c r="G2574" s="10"/>
      <c r="H2574" s="15"/>
      <c r="I2574" s="15"/>
      <c r="J2574" s="15"/>
      <c r="K2574" s="15"/>
      <c r="L2574" s="15"/>
      <c r="M2574" s="15"/>
      <c r="N2574" s="15"/>
      <c r="O2574" s="15"/>
      <c r="P2574" s="15"/>
      <c r="Q2574" s="71"/>
      <c r="R2574" s="84"/>
      <c r="S2574" s="10"/>
      <c r="T2574" s="10"/>
      <c r="U2574" s="10"/>
      <c r="V2574" s="10"/>
      <c r="W2574" s="138"/>
      <c r="Y2574"/>
      <c r="Z2574"/>
      <c r="AA2574"/>
      <c r="AB2574"/>
      <c r="AC2574"/>
      <c r="AD2574"/>
      <c r="AE2574"/>
      <c r="AF2574"/>
      <c r="AG2574"/>
      <c r="AH2574"/>
      <c r="AI2574"/>
      <c r="AJ2574"/>
      <c r="AK2574"/>
      <c r="AL2574"/>
      <c r="AM2574"/>
      <c r="AN2574"/>
      <c r="AO2574"/>
    </row>
    <row r="2575" spans="1:41" ht="15">
      <c r="A2575"/>
      <c r="B2575"/>
      <c r="C2575" s="137"/>
      <c r="D2575" s="30"/>
      <c r="E2575" s="30"/>
      <c r="F2575" s="10"/>
      <c r="G2575" s="10"/>
      <c r="H2575" s="15"/>
      <c r="I2575" s="15"/>
      <c r="J2575" s="15"/>
      <c r="K2575" s="15"/>
      <c r="L2575" s="15"/>
      <c r="M2575" s="15"/>
      <c r="N2575" s="15"/>
      <c r="O2575" s="15"/>
      <c r="P2575" s="15"/>
      <c r="Q2575" s="71"/>
      <c r="R2575" s="84"/>
      <c r="S2575" s="10"/>
      <c r="T2575" s="10"/>
      <c r="U2575" s="10"/>
      <c r="V2575" s="10"/>
      <c r="W2575" s="138"/>
      <c r="Y2575"/>
      <c r="Z2575"/>
      <c r="AA2575"/>
      <c r="AB2575"/>
      <c r="AC2575"/>
      <c r="AD2575"/>
      <c r="AE2575"/>
      <c r="AF2575"/>
      <c r="AG2575"/>
      <c r="AH2575"/>
      <c r="AI2575"/>
      <c r="AJ2575"/>
      <c r="AK2575"/>
      <c r="AL2575"/>
      <c r="AM2575"/>
      <c r="AN2575"/>
      <c r="AO2575"/>
    </row>
    <row r="2576" spans="1:41" ht="15">
      <c r="A2576"/>
      <c r="B2576"/>
      <c r="C2576" s="137"/>
      <c r="D2576" s="30"/>
      <c r="E2576" s="30"/>
      <c r="F2576" s="10"/>
      <c r="G2576" s="10"/>
      <c r="H2576" s="15"/>
      <c r="I2576" s="15"/>
      <c r="J2576" s="15"/>
      <c r="K2576" s="15"/>
      <c r="L2576" s="15"/>
      <c r="M2576" s="15"/>
      <c r="N2576" s="15"/>
      <c r="O2576" s="15"/>
      <c r="P2576" s="15"/>
      <c r="Q2576" s="71"/>
      <c r="R2576" s="84"/>
      <c r="S2576" s="10"/>
      <c r="T2576" s="10"/>
      <c r="U2576" s="10"/>
      <c r="V2576" s="10"/>
      <c r="W2576" s="138"/>
      <c r="Y2576"/>
      <c r="Z2576"/>
      <c r="AA2576"/>
      <c r="AB2576"/>
      <c r="AC2576"/>
      <c r="AD2576"/>
      <c r="AE2576"/>
      <c r="AF2576"/>
      <c r="AG2576"/>
      <c r="AH2576"/>
      <c r="AI2576"/>
      <c r="AJ2576"/>
      <c r="AK2576"/>
      <c r="AL2576"/>
      <c r="AM2576"/>
      <c r="AN2576"/>
      <c r="AO2576"/>
    </row>
    <row r="2577" spans="1:41" ht="15">
      <c r="A2577"/>
      <c r="B2577"/>
      <c r="C2577" s="137"/>
      <c r="D2577" s="30"/>
      <c r="E2577" s="30"/>
      <c r="F2577" s="10"/>
      <c r="G2577" s="10"/>
      <c r="H2577" s="15"/>
      <c r="I2577" s="15"/>
      <c r="J2577" s="15"/>
      <c r="K2577" s="15"/>
      <c r="L2577" s="15"/>
      <c r="M2577" s="15"/>
      <c r="N2577" s="15"/>
      <c r="O2577" s="15"/>
      <c r="P2577" s="15"/>
      <c r="Q2577" s="71"/>
      <c r="R2577" s="84"/>
      <c r="S2577" s="10"/>
      <c r="T2577" s="10"/>
      <c r="U2577" s="10"/>
      <c r="V2577" s="10"/>
      <c r="W2577" s="138"/>
      <c r="Y2577"/>
      <c r="Z2577"/>
      <c r="AA2577"/>
      <c r="AB2577"/>
      <c r="AC2577"/>
      <c r="AD2577"/>
      <c r="AE2577"/>
      <c r="AF2577"/>
      <c r="AG2577"/>
      <c r="AH2577"/>
      <c r="AI2577"/>
      <c r="AJ2577"/>
      <c r="AK2577"/>
      <c r="AL2577"/>
      <c r="AM2577"/>
      <c r="AN2577"/>
      <c r="AO2577"/>
    </row>
    <row r="2578" spans="1:41" ht="15">
      <c r="A2578"/>
      <c r="B2578"/>
      <c r="C2578" s="137"/>
      <c r="D2578" s="30"/>
      <c r="E2578" s="30"/>
      <c r="F2578" s="10"/>
      <c r="G2578" s="10"/>
      <c r="H2578" s="15"/>
      <c r="I2578" s="15"/>
      <c r="J2578" s="15"/>
      <c r="K2578" s="15"/>
      <c r="L2578" s="15"/>
      <c r="M2578" s="15"/>
      <c r="N2578" s="15"/>
      <c r="O2578" s="15"/>
      <c r="P2578" s="15"/>
      <c r="Q2578" s="71"/>
      <c r="R2578" s="84"/>
      <c r="S2578" s="10"/>
      <c r="T2578" s="10"/>
      <c r="U2578" s="10"/>
      <c r="V2578" s="10"/>
      <c r="W2578" s="138"/>
      <c r="Y2578"/>
      <c r="Z2578"/>
      <c r="AA2578"/>
      <c r="AB2578"/>
      <c r="AC2578"/>
      <c r="AD2578"/>
      <c r="AE2578"/>
      <c r="AF2578"/>
      <c r="AG2578"/>
      <c r="AH2578"/>
      <c r="AI2578"/>
      <c r="AJ2578"/>
      <c r="AK2578"/>
      <c r="AL2578"/>
      <c r="AM2578"/>
      <c r="AN2578"/>
      <c r="AO2578"/>
    </row>
    <row r="2579" spans="1:41" ht="15">
      <c r="A2579"/>
      <c r="B2579"/>
      <c r="C2579" s="137"/>
      <c r="D2579" s="30"/>
      <c r="E2579" s="30"/>
      <c r="F2579" s="10"/>
      <c r="G2579" s="10"/>
      <c r="H2579" s="15"/>
      <c r="I2579" s="15"/>
      <c r="J2579" s="15"/>
      <c r="K2579" s="15"/>
      <c r="L2579" s="15"/>
      <c r="M2579" s="15"/>
      <c r="N2579" s="15"/>
      <c r="O2579" s="15"/>
      <c r="P2579" s="15"/>
      <c r="Q2579" s="71"/>
      <c r="R2579" s="84"/>
      <c r="S2579" s="10"/>
      <c r="T2579" s="10"/>
      <c r="U2579" s="10"/>
      <c r="V2579" s="10"/>
      <c r="W2579" s="138"/>
      <c r="Y2579"/>
      <c r="Z2579"/>
      <c r="AA2579"/>
      <c r="AB2579"/>
      <c r="AC2579"/>
      <c r="AD2579"/>
      <c r="AE2579"/>
      <c r="AF2579"/>
      <c r="AG2579"/>
      <c r="AH2579"/>
      <c r="AI2579"/>
      <c r="AJ2579"/>
      <c r="AK2579"/>
      <c r="AL2579"/>
      <c r="AM2579"/>
      <c r="AN2579"/>
      <c r="AO2579"/>
    </row>
    <row r="2580" spans="1:41" ht="15">
      <c r="A2580"/>
      <c r="B2580"/>
      <c r="C2580" s="137"/>
      <c r="D2580" s="30"/>
      <c r="E2580" s="30"/>
      <c r="F2580" s="10"/>
      <c r="G2580" s="10"/>
      <c r="H2580" s="15"/>
      <c r="I2580" s="15"/>
      <c r="J2580" s="15"/>
      <c r="K2580" s="15"/>
      <c r="L2580" s="15"/>
      <c r="M2580" s="15"/>
      <c r="N2580" s="15"/>
      <c r="O2580" s="15"/>
      <c r="P2580" s="15"/>
      <c r="Q2580" s="71"/>
      <c r="R2580" s="84"/>
      <c r="S2580" s="10"/>
      <c r="T2580" s="10"/>
      <c r="U2580" s="10"/>
      <c r="V2580" s="10"/>
      <c r="W2580" s="138"/>
      <c r="Y2580"/>
      <c r="Z2580"/>
      <c r="AA2580"/>
      <c r="AB2580"/>
      <c r="AC2580"/>
      <c r="AD2580"/>
      <c r="AE2580"/>
      <c r="AF2580"/>
      <c r="AG2580"/>
      <c r="AH2580"/>
      <c r="AI2580"/>
      <c r="AJ2580"/>
      <c r="AK2580"/>
      <c r="AL2580"/>
      <c r="AM2580"/>
      <c r="AN2580"/>
      <c r="AO2580"/>
    </row>
    <row r="2581" spans="1:41" ht="15">
      <c r="A2581"/>
      <c r="B2581"/>
      <c r="C2581" s="137"/>
      <c r="D2581" s="30"/>
      <c r="E2581" s="30"/>
      <c r="F2581" s="10"/>
      <c r="G2581" s="10"/>
      <c r="H2581" s="15"/>
      <c r="I2581" s="15"/>
      <c r="J2581" s="15"/>
      <c r="K2581" s="15"/>
      <c r="L2581" s="15"/>
      <c r="M2581" s="15"/>
      <c r="N2581" s="15"/>
      <c r="O2581" s="15"/>
      <c r="P2581" s="15"/>
      <c r="Q2581" s="71"/>
      <c r="R2581" s="84"/>
      <c r="S2581" s="10"/>
      <c r="T2581" s="10"/>
      <c r="U2581" s="10"/>
      <c r="V2581" s="10"/>
      <c r="W2581" s="138"/>
      <c r="Y2581"/>
      <c r="Z2581"/>
      <c r="AA2581"/>
      <c r="AB2581"/>
      <c r="AC2581"/>
      <c r="AD2581"/>
      <c r="AE2581"/>
      <c r="AF2581"/>
      <c r="AG2581"/>
      <c r="AH2581"/>
      <c r="AI2581"/>
      <c r="AJ2581"/>
      <c r="AK2581"/>
      <c r="AL2581"/>
      <c r="AM2581"/>
      <c r="AN2581"/>
      <c r="AO2581"/>
    </row>
    <row r="2582" spans="1:41" ht="15">
      <c r="A2582"/>
      <c r="B2582"/>
      <c r="C2582" s="137"/>
      <c r="D2582" s="30"/>
      <c r="E2582" s="30"/>
      <c r="F2582" s="10"/>
      <c r="G2582" s="10"/>
      <c r="H2582" s="15"/>
      <c r="I2582" s="15"/>
      <c r="J2582" s="15"/>
      <c r="K2582" s="15"/>
      <c r="L2582" s="15"/>
      <c r="M2582" s="15"/>
      <c r="N2582" s="15"/>
      <c r="O2582" s="15"/>
      <c r="P2582" s="15"/>
      <c r="Q2582" s="71"/>
      <c r="R2582" s="84"/>
      <c r="S2582" s="10"/>
      <c r="T2582" s="10"/>
      <c r="U2582" s="10"/>
      <c r="V2582" s="10"/>
      <c r="W2582" s="138"/>
      <c r="Y2582"/>
      <c r="Z2582"/>
      <c r="AA2582"/>
      <c r="AB2582"/>
      <c r="AC2582"/>
      <c r="AD2582"/>
      <c r="AE2582"/>
      <c r="AF2582"/>
      <c r="AG2582"/>
      <c r="AH2582"/>
      <c r="AI2582"/>
      <c r="AJ2582"/>
      <c r="AK2582"/>
      <c r="AL2582"/>
      <c r="AM2582"/>
      <c r="AN2582"/>
      <c r="AO2582"/>
    </row>
    <row r="2583" spans="1:41" ht="15">
      <c r="A2583"/>
      <c r="B2583"/>
      <c r="C2583" s="137"/>
      <c r="D2583" s="30"/>
      <c r="E2583" s="30"/>
      <c r="F2583" s="10"/>
      <c r="G2583" s="10"/>
      <c r="H2583" s="15"/>
      <c r="I2583" s="15"/>
      <c r="J2583" s="15"/>
      <c r="K2583" s="15"/>
      <c r="L2583" s="15"/>
      <c r="M2583" s="15"/>
      <c r="N2583" s="15"/>
      <c r="O2583" s="15"/>
      <c r="P2583" s="15"/>
      <c r="Q2583" s="71"/>
      <c r="R2583" s="84"/>
      <c r="S2583" s="10"/>
      <c r="T2583" s="10"/>
      <c r="U2583" s="10"/>
      <c r="V2583" s="10"/>
      <c r="W2583" s="138"/>
      <c r="Y2583"/>
      <c r="Z2583"/>
      <c r="AA2583"/>
      <c r="AB2583"/>
      <c r="AC2583"/>
      <c r="AD2583"/>
      <c r="AE2583"/>
      <c r="AF2583"/>
      <c r="AG2583"/>
      <c r="AH2583"/>
      <c r="AI2583"/>
      <c r="AJ2583"/>
      <c r="AK2583"/>
      <c r="AL2583"/>
      <c r="AM2583"/>
      <c r="AN2583"/>
      <c r="AO2583"/>
    </row>
    <row r="2584" spans="1:41" ht="15">
      <c r="A2584"/>
      <c r="B2584"/>
      <c r="C2584" s="137"/>
      <c r="D2584" s="30"/>
      <c r="E2584" s="30"/>
      <c r="F2584" s="10"/>
      <c r="G2584" s="10"/>
      <c r="H2584" s="15"/>
      <c r="I2584" s="15"/>
      <c r="J2584" s="15"/>
      <c r="K2584" s="15"/>
      <c r="L2584" s="15"/>
      <c r="M2584" s="15"/>
      <c r="N2584" s="15"/>
      <c r="O2584" s="15"/>
      <c r="P2584" s="15"/>
      <c r="Q2584" s="71"/>
      <c r="R2584" s="84"/>
      <c r="S2584" s="10"/>
      <c r="T2584" s="10"/>
      <c r="U2584" s="10"/>
      <c r="V2584" s="10"/>
      <c r="W2584" s="138"/>
      <c r="Y2584"/>
      <c r="Z2584"/>
      <c r="AA2584"/>
      <c r="AB2584"/>
      <c r="AC2584"/>
      <c r="AD2584"/>
      <c r="AE2584"/>
      <c r="AF2584"/>
      <c r="AG2584"/>
      <c r="AH2584"/>
      <c r="AI2584"/>
      <c r="AJ2584"/>
      <c r="AK2584"/>
      <c r="AL2584"/>
      <c r="AM2584"/>
      <c r="AN2584"/>
      <c r="AO2584"/>
    </row>
    <row r="2585" spans="1:41" ht="15">
      <c r="A2585"/>
      <c r="B2585"/>
      <c r="C2585" s="137"/>
      <c r="D2585" s="30"/>
      <c r="E2585" s="30"/>
      <c r="F2585" s="10"/>
      <c r="G2585" s="10"/>
      <c r="H2585" s="15"/>
      <c r="I2585" s="15"/>
      <c r="J2585" s="15"/>
      <c r="K2585" s="15"/>
      <c r="L2585" s="15"/>
      <c r="M2585" s="15"/>
      <c r="N2585" s="15"/>
      <c r="O2585" s="15"/>
      <c r="P2585" s="15"/>
      <c r="Q2585" s="71"/>
      <c r="R2585" s="84"/>
      <c r="S2585" s="10"/>
      <c r="T2585" s="10"/>
      <c r="U2585" s="10"/>
      <c r="V2585" s="10"/>
      <c r="W2585" s="138"/>
      <c r="Y2585"/>
      <c r="Z2585"/>
      <c r="AA2585"/>
      <c r="AB2585"/>
      <c r="AC2585"/>
      <c r="AD2585"/>
      <c r="AE2585"/>
      <c r="AF2585"/>
      <c r="AG2585"/>
      <c r="AH2585"/>
      <c r="AI2585"/>
      <c r="AJ2585"/>
      <c r="AK2585"/>
      <c r="AL2585"/>
      <c r="AM2585"/>
      <c r="AN2585"/>
      <c r="AO2585"/>
    </row>
    <row r="2586" spans="1:41" ht="15">
      <c r="A2586"/>
      <c r="B2586"/>
      <c r="C2586" s="137"/>
      <c r="D2586" s="30"/>
      <c r="E2586" s="30"/>
      <c r="F2586" s="10"/>
      <c r="G2586" s="10"/>
      <c r="H2586" s="15"/>
      <c r="I2586" s="15"/>
      <c r="J2586" s="15"/>
      <c r="K2586" s="15"/>
      <c r="L2586" s="15"/>
      <c r="M2586" s="15"/>
      <c r="N2586" s="15"/>
      <c r="O2586" s="15"/>
      <c r="P2586" s="15"/>
      <c r="Q2586" s="71"/>
      <c r="R2586" s="84"/>
      <c r="S2586" s="10"/>
      <c r="T2586" s="10"/>
      <c r="U2586" s="10"/>
      <c r="V2586" s="10"/>
      <c r="W2586" s="138"/>
      <c r="Y2586"/>
      <c r="Z2586"/>
      <c r="AA2586"/>
      <c r="AB2586"/>
      <c r="AC2586"/>
      <c r="AD2586"/>
      <c r="AE2586"/>
      <c r="AF2586"/>
      <c r="AG2586"/>
      <c r="AH2586"/>
      <c r="AI2586"/>
      <c r="AJ2586"/>
      <c r="AK2586"/>
      <c r="AL2586"/>
      <c r="AM2586"/>
      <c r="AN2586"/>
      <c r="AO2586"/>
    </row>
    <row r="2587" spans="1:41" ht="15">
      <c r="A2587"/>
      <c r="B2587"/>
      <c r="C2587" s="137"/>
      <c r="D2587" s="30"/>
      <c r="E2587" s="30"/>
      <c r="F2587" s="10"/>
      <c r="G2587" s="10"/>
      <c r="H2587" s="15"/>
      <c r="I2587" s="15"/>
      <c r="J2587" s="15"/>
      <c r="K2587" s="15"/>
      <c r="L2587" s="15"/>
      <c r="M2587" s="15"/>
      <c r="N2587" s="15"/>
      <c r="O2587" s="15"/>
      <c r="P2587" s="15"/>
      <c r="Q2587" s="71"/>
      <c r="R2587" s="84"/>
      <c r="S2587" s="10"/>
      <c r="T2587" s="10"/>
      <c r="U2587" s="10"/>
      <c r="V2587" s="10"/>
      <c r="W2587" s="138"/>
      <c r="Y2587"/>
      <c r="Z2587"/>
      <c r="AA2587"/>
      <c r="AB2587"/>
      <c r="AC2587"/>
      <c r="AD2587"/>
      <c r="AE2587"/>
      <c r="AF2587"/>
      <c r="AG2587"/>
      <c r="AH2587"/>
      <c r="AI2587"/>
      <c r="AJ2587"/>
      <c r="AK2587"/>
      <c r="AL2587"/>
      <c r="AM2587"/>
      <c r="AN2587"/>
      <c r="AO2587"/>
    </row>
    <row r="2588" spans="1:41" ht="15">
      <c r="A2588"/>
      <c r="B2588"/>
      <c r="C2588" s="137"/>
      <c r="D2588" s="30"/>
      <c r="E2588" s="30"/>
      <c r="F2588" s="10"/>
      <c r="G2588" s="10"/>
      <c r="H2588" s="15"/>
      <c r="I2588" s="15"/>
      <c r="J2588" s="15"/>
      <c r="K2588" s="15"/>
      <c r="L2588" s="15"/>
      <c r="M2588" s="15"/>
      <c r="N2588" s="15"/>
      <c r="O2588" s="15"/>
      <c r="P2588" s="15"/>
      <c r="Q2588" s="71"/>
      <c r="R2588" s="84"/>
      <c r="S2588" s="10"/>
      <c r="T2588" s="10"/>
      <c r="U2588" s="10"/>
      <c r="V2588" s="10"/>
      <c r="W2588" s="138"/>
      <c r="Y2588"/>
      <c r="Z2588"/>
      <c r="AA2588"/>
      <c r="AB2588"/>
      <c r="AC2588"/>
      <c r="AD2588"/>
      <c r="AE2588"/>
      <c r="AF2588"/>
      <c r="AG2588"/>
      <c r="AH2588"/>
      <c r="AI2588"/>
      <c r="AJ2588"/>
      <c r="AK2588"/>
      <c r="AL2588"/>
      <c r="AM2588"/>
      <c r="AN2588"/>
      <c r="AO2588"/>
    </row>
    <row r="2589" spans="1:41" ht="15">
      <c r="A2589"/>
      <c r="B2589"/>
      <c r="C2589" s="137"/>
      <c r="D2589" s="30"/>
      <c r="E2589" s="30"/>
      <c r="F2589" s="10"/>
      <c r="G2589" s="10"/>
      <c r="H2589" s="15"/>
      <c r="I2589" s="15"/>
      <c r="J2589" s="15"/>
      <c r="K2589" s="15"/>
      <c r="L2589" s="15"/>
      <c r="M2589" s="15"/>
      <c r="N2589" s="15"/>
      <c r="O2589" s="15"/>
      <c r="P2589" s="15"/>
      <c r="Q2589" s="71"/>
      <c r="R2589" s="84"/>
      <c r="S2589" s="10"/>
      <c r="T2589" s="10"/>
      <c r="U2589" s="10"/>
      <c r="V2589" s="10"/>
      <c r="W2589" s="138"/>
      <c r="Y2589"/>
      <c r="Z2589"/>
      <c r="AA2589"/>
      <c r="AB2589"/>
      <c r="AC2589"/>
      <c r="AD2589"/>
      <c r="AE2589"/>
      <c r="AF2589"/>
      <c r="AG2589"/>
      <c r="AH2589"/>
      <c r="AI2589"/>
      <c r="AJ2589"/>
      <c r="AK2589"/>
      <c r="AL2589"/>
      <c r="AM2589"/>
      <c r="AN2589"/>
      <c r="AO2589"/>
    </row>
    <row r="2590" spans="1:41" ht="15">
      <c r="A2590"/>
      <c r="B2590"/>
      <c r="C2590" s="137"/>
      <c r="D2590" s="30"/>
      <c r="E2590" s="30"/>
      <c r="F2590" s="10"/>
      <c r="G2590" s="10"/>
      <c r="H2590" s="15"/>
      <c r="I2590" s="15"/>
      <c r="J2590" s="15"/>
      <c r="K2590" s="15"/>
      <c r="L2590" s="15"/>
      <c r="M2590" s="15"/>
      <c r="N2590" s="15"/>
      <c r="O2590" s="15"/>
      <c r="P2590" s="15"/>
      <c r="Q2590" s="71"/>
      <c r="R2590" s="84"/>
      <c r="S2590" s="10"/>
      <c r="T2590" s="10"/>
      <c r="U2590" s="10"/>
      <c r="V2590" s="10"/>
      <c r="W2590" s="138"/>
      <c r="Y2590"/>
      <c r="Z2590"/>
      <c r="AA2590"/>
      <c r="AB2590"/>
      <c r="AC2590"/>
      <c r="AD2590"/>
      <c r="AE2590"/>
      <c r="AF2590"/>
      <c r="AG2590"/>
      <c r="AH2590"/>
      <c r="AI2590"/>
      <c r="AJ2590"/>
      <c r="AK2590"/>
      <c r="AL2590"/>
      <c r="AM2590"/>
      <c r="AN2590"/>
      <c r="AO2590"/>
    </row>
    <row r="2591" spans="1:41" ht="15">
      <c r="A2591"/>
      <c r="B2591"/>
      <c r="C2591" s="137"/>
      <c r="D2591" s="30"/>
      <c r="E2591" s="30"/>
      <c r="F2591" s="10"/>
      <c r="G2591" s="10"/>
      <c r="H2591" s="15"/>
      <c r="I2591" s="15"/>
      <c r="J2591" s="15"/>
      <c r="K2591" s="15"/>
      <c r="L2591" s="15"/>
      <c r="M2591" s="15"/>
      <c r="N2591" s="15"/>
      <c r="O2591" s="15"/>
      <c r="P2591" s="15"/>
      <c r="Q2591" s="71"/>
      <c r="R2591" s="84"/>
      <c r="S2591" s="10"/>
      <c r="T2591" s="10"/>
      <c r="U2591" s="10"/>
      <c r="V2591" s="10"/>
      <c r="W2591" s="138"/>
      <c r="Y2591"/>
      <c r="Z2591"/>
      <c r="AA2591"/>
      <c r="AB2591"/>
      <c r="AC2591"/>
      <c r="AD2591"/>
      <c r="AE2591"/>
      <c r="AF2591"/>
      <c r="AG2591"/>
      <c r="AH2591"/>
      <c r="AI2591"/>
      <c r="AJ2591"/>
      <c r="AK2591"/>
      <c r="AL2591"/>
      <c r="AM2591"/>
      <c r="AN2591"/>
      <c r="AO2591"/>
    </row>
    <row r="2592" spans="1:41" ht="15">
      <c r="A2592"/>
      <c r="B2592"/>
      <c r="C2592" s="137"/>
      <c r="D2592" s="30"/>
      <c r="E2592" s="30"/>
      <c r="F2592" s="10"/>
      <c r="G2592" s="10"/>
      <c r="H2592" s="15"/>
      <c r="I2592" s="15"/>
      <c r="J2592" s="15"/>
      <c r="K2592" s="15"/>
      <c r="L2592" s="15"/>
      <c r="M2592" s="15"/>
      <c r="N2592" s="15"/>
      <c r="O2592" s="15"/>
      <c r="P2592" s="15"/>
      <c r="Q2592" s="71"/>
      <c r="R2592" s="84"/>
      <c r="S2592" s="10"/>
      <c r="T2592" s="10"/>
      <c r="U2592" s="10"/>
      <c r="V2592" s="10"/>
      <c r="W2592" s="138"/>
      <c r="Y2592"/>
      <c r="Z2592"/>
      <c r="AA2592"/>
      <c r="AB2592"/>
      <c r="AC2592"/>
      <c r="AD2592"/>
      <c r="AE2592"/>
      <c r="AF2592"/>
      <c r="AG2592"/>
      <c r="AH2592"/>
      <c r="AI2592"/>
      <c r="AJ2592"/>
      <c r="AK2592"/>
      <c r="AL2592"/>
      <c r="AM2592"/>
      <c r="AN2592"/>
      <c r="AO2592"/>
    </row>
    <row r="2593" spans="1:41" ht="15">
      <c r="A2593"/>
      <c r="B2593"/>
      <c r="C2593" s="137"/>
      <c r="D2593" s="30"/>
      <c r="E2593" s="30"/>
      <c r="F2593" s="10"/>
      <c r="G2593" s="10"/>
      <c r="H2593" s="15"/>
      <c r="I2593" s="15"/>
      <c r="J2593" s="15"/>
      <c r="K2593" s="15"/>
      <c r="L2593" s="15"/>
      <c r="M2593" s="15"/>
      <c r="N2593" s="15"/>
      <c r="O2593" s="15"/>
      <c r="P2593" s="15"/>
      <c r="Q2593" s="71"/>
      <c r="R2593" s="84"/>
      <c r="S2593" s="10"/>
      <c r="T2593" s="10"/>
      <c r="U2593" s="10"/>
      <c r="V2593" s="10"/>
      <c r="W2593" s="138"/>
      <c r="Y2593"/>
      <c r="Z2593"/>
      <c r="AA2593"/>
      <c r="AB2593"/>
      <c r="AC2593"/>
      <c r="AD2593"/>
      <c r="AE2593"/>
      <c r="AF2593"/>
      <c r="AG2593"/>
      <c r="AH2593"/>
      <c r="AI2593"/>
      <c r="AJ2593"/>
      <c r="AK2593"/>
      <c r="AL2593"/>
      <c r="AM2593"/>
      <c r="AN2593"/>
      <c r="AO2593"/>
    </row>
    <row r="2594" spans="1:41" ht="15">
      <c r="A2594"/>
      <c r="B2594"/>
      <c r="C2594" s="137"/>
      <c r="D2594" s="30"/>
      <c r="E2594" s="30"/>
      <c r="F2594" s="10"/>
      <c r="G2594" s="10"/>
      <c r="H2594" s="15"/>
      <c r="I2594" s="15"/>
      <c r="J2594" s="15"/>
      <c r="K2594" s="15"/>
      <c r="L2594" s="15"/>
      <c r="M2594" s="15"/>
      <c r="N2594" s="15"/>
      <c r="O2594" s="15"/>
      <c r="P2594" s="15"/>
      <c r="Q2594" s="71"/>
      <c r="R2594" s="84"/>
      <c r="S2594" s="10"/>
      <c r="T2594" s="10"/>
      <c r="U2594" s="10"/>
      <c r="V2594" s="10"/>
      <c r="W2594" s="138"/>
      <c r="Y2594"/>
      <c r="Z2594"/>
      <c r="AA2594"/>
      <c r="AB2594"/>
      <c r="AC2594"/>
      <c r="AD2594"/>
      <c r="AE2594"/>
      <c r="AF2594"/>
      <c r="AG2594"/>
      <c r="AH2594"/>
      <c r="AI2594"/>
      <c r="AJ2594"/>
      <c r="AK2594"/>
      <c r="AL2594"/>
      <c r="AM2594"/>
      <c r="AN2594"/>
      <c r="AO2594"/>
    </row>
    <row r="2595" spans="1:41" ht="15">
      <c r="A2595"/>
      <c r="B2595"/>
      <c r="C2595" s="137"/>
      <c r="D2595" s="30"/>
      <c r="E2595" s="30"/>
      <c r="F2595" s="10"/>
      <c r="G2595" s="10"/>
      <c r="H2595" s="15"/>
      <c r="I2595" s="15"/>
      <c r="J2595" s="15"/>
      <c r="K2595" s="15"/>
      <c r="L2595" s="15"/>
      <c r="M2595" s="15"/>
      <c r="N2595" s="15"/>
      <c r="O2595" s="15"/>
      <c r="P2595" s="15"/>
      <c r="Q2595" s="71"/>
      <c r="R2595" s="84"/>
      <c r="S2595" s="10"/>
      <c r="T2595" s="10"/>
      <c r="U2595" s="10"/>
      <c r="V2595" s="10"/>
      <c r="W2595" s="138"/>
      <c r="Y2595"/>
      <c r="Z2595"/>
      <c r="AA2595"/>
      <c r="AB2595"/>
      <c r="AC2595"/>
      <c r="AD2595"/>
      <c r="AE2595"/>
      <c r="AF2595"/>
      <c r="AG2595"/>
      <c r="AH2595"/>
      <c r="AI2595"/>
      <c r="AJ2595"/>
      <c r="AK2595"/>
      <c r="AL2595"/>
      <c r="AM2595"/>
      <c r="AN2595"/>
      <c r="AO2595"/>
    </row>
    <row r="2596" spans="1:41" ht="15">
      <c r="A2596"/>
      <c r="B2596"/>
      <c r="C2596" s="137"/>
      <c r="D2596" s="30"/>
      <c r="E2596" s="30"/>
      <c r="F2596" s="10"/>
      <c r="G2596" s="10"/>
      <c r="H2596" s="15"/>
      <c r="I2596" s="15"/>
      <c r="J2596" s="15"/>
      <c r="K2596" s="15"/>
      <c r="L2596" s="15"/>
      <c r="M2596" s="15"/>
      <c r="N2596" s="15"/>
      <c r="O2596" s="15"/>
      <c r="P2596" s="15"/>
      <c r="Q2596" s="71"/>
      <c r="R2596" s="84"/>
      <c r="S2596" s="10"/>
      <c r="T2596" s="10"/>
      <c r="U2596" s="10"/>
      <c r="V2596" s="10"/>
      <c r="W2596" s="138"/>
      <c r="Y2596"/>
      <c r="Z2596"/>
      <c r="AA2596"/>
      <c r="AB2596"/>
      <c r="AC2596"/>
      <c r="AD2596"/>
      <c r="AE2596"/>
      <c r="AF2596"/>
      <c r="AG2596"/>
      <c r="AH2596"/>
      <c r="AI2596"/>
      <c r="AJ2596"/>
      <c r="AK2596"/>
      <c r="AL2596"/>
      <c r="AM2596"/>
      <c r="AN2596"/>
      <c r="AO2596"/>
    </row>
    <row r="2597" spans="1:41" ht="15">
      <c r="A2597"/>
      <c r="B2597"/>
      <c r="C2597" s="137"/>
      <c r="D2597" s="30"/>
      <c r="E2597" s="30"/>
      <c r="F2597" s="10"/>
      <c r="G2597" s="10"/>
      <c r="H2597" s="15"/>
      <c r="I2597" s="15"/>
      <c r="J2597" s="15"/>
      <c r="K2597" s="15"/>
      <c r="L2597" s="15"/>
      <c r="M2597" s="15"/>
      <c r="N2597" s="15"/>
      <c r="O2597" s="15"/>
      <c r="P2597" s="15"/>
      <c r="Q2597" s="71"/>
      <c r="R2597" s="84"/>
      <c r="S2597" s="10"/>
      <c r="T2597" s="10"/>
      <c r="U2597" s="10"/>
      <c r="V2597" s="10"/>
      <c r="W2597" s="138"/>
      <c r="Y2597"/>
      <c r="Z2597"/>
      <c r="AA2597"/>
      <c r="AB2597"/>
      <c r="AC2597"/>
      <c r="AD2597"/>
      <c r="AE2597"/>
      <c r="AF2597"/>
      <c r="AG2597"/>
      <c r="AH2597"/>
      <c r="AI2597"/>
      <c r="AJ2597"/>
      <c r="AK2597"/>
      <c r="AL2597"/>
      <c r="AM2597"/>
      <c r="AN2597"/>
      <c r="AO2597"/>
    </row>
    <row r="2598" spans="1:41" ht="15">
      <c r="A2598"/>
      <c r="B2598"/>
      <c r="C2598" s="137"/>
      <c r="D2598" s="30"/>
      <c r="E2598" s="30"/>
      <c r="F2598" s="10"/>
      <c r="G2598" s="10"/>
      <c r="H2598" s="15"/>
      <c r="I2598" s="15"/>
      <c r="J2598" s="15"/>
      <c r="K2598" s="15"/>
      <c r="L2598" s="15"/>
      <c r="M2598" s="15"/>
      <c r="N2598" s="15"/>
      <c r="O2598" s="15"/>
      <c r="P2598" s="15"/>
      <c r="Q2598" s="71"/>
      <c r="R2598" s="84"/>
      <c r="S2598" s="10"/>
      <c r="T2598" s="10"/>
      <c r="U2598" s="10"/>
      <c r="V2598" s="10"/>
      <c r="W2598" s="138"/>
      <c r="Y2598"/>
      <c r="Z2598"/>
      <c r="AA2598"/>
      <c r="AB2598"/>
      <c r="AC2598"/>
      <c r="AD2598"/>
      <c r="AE2598"/>
      <c r="AF2598"/>
      <c r="AG2598"/>
      <c r="AH2598"/>
      <c r="AI2598"/>
      <c r="AJ2598"/>
      <c r="AK2598"/>
      <c r="AL2598"/>
      <c r="AM2598"/>
      <c r="AN2598"/>
      <c r="AO2598"/>
    </row>
    <row r="2599" spans="1:41" ht="15">
      <c r="A2599"/>
      <c r="B2599"/>
      <c r="C2599" s="137"/>
      <c r="D2599" s="30"/>
      <c r="E2599" s="30"/>
      <c r="F2599" s="10"/>
      <c r="G2599" s="10"/>
      <c r="H2599" s="15"/>
      <c r="I2599" s="15"/>
      <c r="J2599" s="15"/>
      <c r="K2599" s="15"/>
      <c r="L2599" s="15"/>
      <c r="M2599" s="15"/>
      <c r="N2599" s="15"/>
      <c r="O2599" s="15"/>
      <c r="P2599" s="15"/>
      <c r="Q2599" s="71"/>
      <c r="R2599" s="84"/>
      <c r="S2599" s="10"/>
      <c r="T2599" s="10"/>
      <c r="U2599" s="10"/>
      <c r="V2599" s="10"/>
      <c r="W2599" s="138"/>
      <c r="Y2599"/>
      <c r="Z2599"/>
      <c r="AA2599"/>
      <c r="AB2599"/>
      <c r="AC2599"/>
      <c r="AD2599"/>
      <c r="AE2599"/>
      <c r="AF2599"/>
      <c r="AG2599"/>
      <c r="AH2599"/>
      <c r="AI2599"/>
      <c r="AJ2599"/>
      <c r="AK2599"/>
      <c r="AL2599"/>
      <c r="AM2599"/>
      <c r="AN2599"/>
      <c r="AO2599"/>
    </row>
    <row r="2600" spans="1:41" ht="15">
      <c r="A2600"/>
      <c r="B2600"/>
      <c r="C2600" s="137"/>
      <c r="D2600" s="30"/>
      <c r="E2600" s="30"/>
      <c r="F2600" s="10"/>
      <c r="G2600" s="10"/>
      <c r="H2600" s="15"/>
      <c r="I2600" s="15"/>
      <c r="J2600" s="15"/>
      <c r="K2600" s="15"/>
      <c r="L2600" s="15"/>
      <c r="M2600" s="15"/>
      <c r="N2600" s="15"/>
      <c r="O2600" s="15"/>
      <c r="P2600" s="15"/>
      <c r="Q2600" s="71"/>
      <c r="R2600" s="84"/>
      <c r="S2600" s="10"/>
      <c r="T2600" s="10"/>
      <c r="U2600" s="10"/>
      <c r="V2600" s="10"/>
      <c r="W2600" s="138"/>
      <c r="Y2600"/>
      <c r="Z2600"/>
      <c r="AA2600"/>
      <c r="AB2600"/>
      <c r="AC2600"/>
      <c r="AD2600"/>
      <c r="AE2600"/>
      <c r="AF2600"/>
      <c r="AG2600"/>
      <c r="AH2600"/>
      <c r="AI2600"/>
      <c r="AJ2600"/>
      <c r="AK2600"/>
      <c r="AL2600"/>
      <c r="AM2600"/>
      <c r="AN2600"/>
      <c r="AO2600"/>
    </row>
    <row r="2601" spans="1:41" ht="15">
      <c r="A2601"/>
      <c r="B2601"/>
      <c r="C2601" s="137"/>
      <c r="D2601" s="30"/>
      <c r="E2601" s="30"/>
      <c r="F2601" s="10"/>
      <c r="G2601" s="10"/>
      <c r="H2601" s="15"/>
      <c r="I2601" s="15"/>
      <c r="J2601" s="15"/>
      <c r="K2601" s="15"/>
      <c r="L2601" s="15"/>
      <c r="M2601" s="15"/>
      <c r="N2601" s="15"/>
      <c r="O2601" s="15"/>
      <c r="P2601" s="15"/>
      <c r="Q2601" s="71"/>
      <c r="R2601" s="84"/>
      <c r="S2601" s="10"/>
      <c r="T2601" s="10"/>
      <c r="U2601" s="10"/>
      <c r="V2601" s="10"/>
      <c r="W2601" s="138"/>
      <c r="Y2601"/>
      <c r="Z2601"/>
      <c r="AA2601"/>
      <c r="AB2601"/>
      <c r="AC2601"/>
      <c r="AD2601"/>
      <c r="AE2601"/>
      <c r="AF2601"/>
      <c r="AG2601"/>
      <c r="AH2601"/>
      <c r="AI2601"/>
      <c r="AJ2601"/>
      <c r="AK2601"/>
      <c r="AL2601"/>
      <c r="AM2601"/>
      <c r="AN2601"/>
      <c r="AO2601"/>
    </row>
    <row r="2602" spans="1:41" ht="15">
      <c r="A2602"/>
      <c r="B2602"/>
      <c r="C2602" s="137"/>
      <c r="D2602" s="30"/>
      <c r="E2602" s="30"/>
      <c r="F2602" s="10"/>
      <c r="G2602" s="10"/>
      <c r="H2602" s="15"/>
      <c r="I2602" s="15"/>
      <c r="J2602" s="15"/>
      <c r="K2602" s="15"/>
      <c r="L2602" s="15"/>
      <c r="M2602" s="15"/>
      <c r="N2602" s="15"/>
      <c r="O2602" s="15"/>
      <c r="P2602" s="15"/>
      <c r="Q2602" s="71"/>
      <c r="R2602" s="84"/>
      <c r="S2602" s="10"/>
      <c r="T2602" s="10"/>
      <c r="U2602" s="10"/>
      <c r="V2602" s="10"/>
      <c r="W2602" s="138"/>
      <c r="Y2602"/>
      <c r="Z2602"/>
      <c r="AA2602"/>
      <c r="AB2602"/>
      <c r="AC2602"/>
      <c r="AD2602"/>
      <c r="AE2602"/>
      <c r="AF2602"/>
      <c r="AG2602"/>
      <c r="AH2602"/>
      <c r="AI2602"/>
      <c r="AJ2602"/>
      <c r="AK2602"/>
      <c r="AL2602"/>
      <c r="AM2602"/>
      <c r="AN2602"/>
      <c r="AO2602"/>
    </row>
    <row r="2603" spans="1:41" ht="15">
      <c r="A2603"/>
      <c r="B2603"/>
      <c r="C2603" s="137"/>
      <c r="D2603" s="30"/>
      <c r="E2603" s="30"/>
      <c r="F2603" s="10"/>
      <c r="G2603" s="10"/>
      <c r="H2603" s="15"/>
      <c r="I2603" s="15"/>
      <c r="J2603" s="15"/>
      <c r="K2603" s="15"/>
      <c r="L2603" s="15"/>
      <c r="M2603" s="15"/>
      <c r="N2603" s="15"/>
      <c r="O2603" s="15"/>
      <c r="P2603" s="15"/>
      <c r="Q2603" s="71"/>
      <c r="R2603" s="84"/>
      <c r="S2603" s="10"/>
      <c r="T2603" s="10"/>
      <c r="U2603" s="10"/>
      <c r="V2603" s="10"/>
      <c r="W2603" s="138"/>
      <c r="Y2603"/>
      <c r="Z2603"/>
      <c r="AA2603"/>
      <c r="AB2603"/>
      <c r="AC2603"/>
      <c r="AD2603"/>
      <c r="AE2603"/>
      <c r="AF2603"/>
      <c r="AG2603"/>
      <c r="AH2603"/>
      <c r="AI2603"/>
      <c r="AJ2603"/>
      <c r="AK2603"/>
      <c r="AL2603"/>
      <c r="AM2603"/>
      <c r="AN2603"/>
      <c r="AO2603"/>
    </row>
    <row r="2604" spans="1:41" ht="15">
      <c r="A2604"/>
      <c r="B2604"/>
      <c r="C2604" s="137"/>
      <c r="D2604" s="30"/>
      <c r="E2604" s="30"/>
      <c r="F2604" s="10"/>
      <c r="G2604" s="10"/>
      <c r="H2604" s="15"/>
      <c r="I2604" s="15"/>
      <c r="J2604" s="15"/>
      <c r="K2604" s="15"/>
      <c r="L2604" s="15"/>
      <c r="M2604" s="15"/>
      <c r="N2604" s="15"/>
      <c r="O2604" s="15"/>
      <c r="P2604" s="15"/>
      <c r="Q2604" s="71"/>
      <c r="R2604" s="84"/>
      <c r="S2604" s="10"/>
      <c r="T2604" s="10"/>
      <c r="U2604" s="10"/>
      <c r="V2604" s="10"/>
      <c r="W2604" s="138"/>
      <c r="Y2604"/>
      <c r="Z2604"/>
      <c r="AA2604"/>
      <c r="AB2604"/>
      <c r="AC2604"/>
      <c r="AD2604"/>
      <c r="AE2604"/>
      <c r="AF2604"/>
      <c r="AG2604"/>
      <c r="AH2604"/>
      <c r="AI2604"/>
      <c r="AJ2604"/>
      <c r="AK2604"/>
      <c r="AL2604"/>
      <c r="AM2604"/>
      <c r="AN2604"/>
      <c r="AO2604"/>
    </row>
    <row r="2605" spans="1:41" ht="15">
      <c r="A2605"/>
      <c r="B2605"/>
      <c r="C2605" s="137"/>
      <c r="D2605" s="30"/>
      <c r="E2605" s="30"/>
      <c r="F2605" s="10"/>
      <c r="G2605" s="10"/>
      <c r="H2605" s="15"/>
      <c r="I2605" s="15"/>
      <c r="J2605" s="15"/>
      <c r="K2605" s="15"/>
      <c r="L2605" s="15"/>
      <c r="M2605" s="15"/>
      <c r="N2605" s="15"/>
      <c r="O2605" s="15"/>
      <c r="P2605" s="15"/>
      <c r="Q2605" s="71"/>
      <c r="R2605" s="84"/>
      <c r="S2605" s="10"/>
      <c r="T2605" s="10"/>
      <c r="U2605" s="10"/>
      <c r="V2605" s="10"/>
      <c r="W2605" s="138"/>
      <c r="Y2605"/>
      <c r="Z2605"/>
      <c r="AA2605"/>
      <c r="AB2605"/>
      <c r="AC2605"/>
      <c r="AD2605"/>
      <c r="AE2605"/>
      <c r="AF2605"/>
      <c r="AG2605"/>
      <c r="AH2605"/>
      <c r="AI2605"/>
      <c r="AJ2605"/>
      <c r="AK2605"/>
      <c r="AL2605"/>
      <c r="AM2605"/>
      <c r="AN2605"/>
      <c r="AO2605"/>
    </row>
    <row r="2606" spans="1:41" ht="15">
      <c r="A2606"/>
      <c r="B2606"/>
      <c r="C2606" s="137"/>
      <c r="D2606" s="30"/>
      <c r="E2606" s="30"/>
      <c r="F2606" s="10"/>
      <c r="G2606" s="10"/>
      <c r="H2606" s="15"/>
      <c r="I2606" s="15"/>
      <c r="J2606" s="15"/>
      <c r="K2606" s="15"/>
      <c r="L2606" s="15"/>
      <c r="M2606" s="15"/>
      <c r="N2606" s="15"/>
      <c r="O2606" s="15"/>
      <c r="P2606" s="15"/>
      <c r="Q2606" s="71"/>
      <c r="R2606" s="84"/>
      <c r="S2606" s="10"/>
      <c r="T2606" s="10"/>
      <c r="U2606" s="10"/>
      <c r="V2606" s="10"/>
      <c r="W2606" s="138"/>
      <c r="Y2606"/>
      <c r="Z2606"/>
      <c r="AA2606"/>
      <c r="AB2606"/>
      <c r="AC2606"/>
      <c r="AD2606"/>
      <c r="AE2606"/>
      <c r="AF2606"/>
      <c r="AG2606"/>
      <c r="AH2606"/>
      <c r="AI2606"/>
      <c r="AJ2606"/>
      <c r="AK2606"/>
      <c r="AL2606"/>
      <c r="AM2606"/>
      <c r="AN2606"/>
      <c r="AO2606"/>
    </row>
    <row r="2607" spans="1:41" ht="15">
      <c r="A2607"/>
      <c r="B2607"/>
      <c r="C2607" s="137"/>
      <c r="D2607" s="30"/>
      <c r="E2607" s="30"/>
      <c r="F2607" s="10"/>
      <c r="G2607" s="10"/>
      <c r="H2607" s="15"/>
      <c r="I2607" s="15"/>
      <c r="J2607" s="15"/>
      <c r="K2607" s="15"/>
      <c r="L2607" s="15"/>
      <c r="M2607" s="15"/>
      <c r="N2607" s="15"/>
      <c r="O2607" s="15"/>
      <c r="P2607" s="15"/>
      <c r="Q2607" s="71"/>
      <c r="R2607" s="84"/>
      <c r="S2607" s="10"/>
      <c r="T2607" s="10"/>
      <c r="U2607" s="10"/>
      <c r="V2607" s="10"/>
      <c r="W2607" s="138"/>
      <c r="Y2607"/>
      <c r="Z2607"/>
      <c r="AA2607"/>
      <c r="AB2607"/>
      <c r="AC2607"/>
      <c r="AD2607"/>
      <c r="AE2607"/>
      <c r="AF2607"/>
      <c r="AG2607"/>
      <c r="AH2607"/>
      <c r="AI2607"/>
      <c r="AJ2607"/>
      <c r="AK2607"/>
      <c r="AL2607"/>
      <c r="AM2607"/>
      <c r="AN2607"/>
      <c r="AO2607"/>
    </row>
    <row r="2608" spans="1:41" ht="15">
      <c r="A2608"/>
      <c r="B2608"/>
      <c r="C2608" s="137"/>
      <c r="D2608" s="30"/>
      <c r="E2608" s="30"/>
      <c r="F2608" s="10"/>
      <c r="G2608" s="10"/>
      <c r="H2608" s="15"/>
      <c r="I2608" s="15"/>
      <c r="J2608" s="15"/>
      <c r="K2608" s="15"/>
      <c r="L2608" s="15"/>
      <c r="M2608" s="15"/>
      <c r="N2608" s="15"/>
      <c r="O2608" s="15"/>
      <c r="P2608" s="15"/>
      <c r="Q2608" s="71"/>
      <c r="R2608" s="84"/>
      <c r="S2608" s="10"/>
      <c r="T2608" s="10"/>
      <c r="U2608" s="10"/>
      <c r="V2608" s="10"/>
      <c r="W2608" s="138"/>
      <c r="Y2608"/>
      <c r="Z2608"/>
      <c r="AA2608"/>
      <c r="AB2608"/>
      <c r="AC2608"/>
      <c r="AD2608"/>
      <c r="AE2608"/>
      <c r="AF2608"/>
      <c r="AG2608"/>
      <c r="AH2608"/>
      <c r="AI2608"/>
      <c r="AJ2608"/>
      <c r="AK2608"/>
      <c r="AL2608"/>
      <c r="AM2608"/>
      <c r="AN2608"/>
      <c r="AO2608"/>
    </row>
    <row r="2609" spans="1:41" ht="15">
      <c r="A2609"/>
      <c r="B2609"/>
      <c r="C2609" s="137"/>
      <c r="D2609" s="30"/>
      <c r="E2609" s="30"/>
      <c r="F2609" s="10"/>
      <c r="G2609" s="10"/>
      <c r="H2609" s="15"/>
      <c r="I2609" s="15"/>
      <c r="J2609" s="15"/>
      <c r="K2609" s="15"/>
      <c r="L2609" s="15"/>
      <c r="M2609" s="15"/>
      <c r="N2609" s="15"/>
      <c r="O2609" s="15"/>
      <c r="P2609" s="15"/>
      <c r="Q2609" s="71"/>
      <c r="R2609" s="84"/>
      <c r="S2609" s="10"/>
      <c r="T2609" s="10"/>
      <c r="U2609" s="10"/>
      <c r="V2609" s="10"/>
      <c r="W2609" s="138"/>
      <c r="Y2609"/>
      <c r="Z2609"/>
      <c r="AA2609"/>
      <c r="AB2609"/>
      <c r="AC2609"/>
      <c r="AD2609"/>
      <c r="AE2609"/>
      <c r="AF2609"/>
      <c r="AG2609"/>
      <c r="AH2609"/>
      <c r="AI2609"/>
      <c r="AJ2609"/>
      <c r="AK2609"/>
      <c r="AL2609"/>
      <c r="AM2609"/>
      <c r="AN2609"/>
      <c r="AO2609"/>
    </row>
    <row r="2610" spans="1:41" ht="15">
      <c r="A2610"/>
      <c r="B2610"/>
      <c r="C2610" s="137"/>
      <c r="D2610" s="30"/>
      <c r="E2610" s="30"/>
      <c r="F2610" s="10"/>
      <c r="G2610" s="10"/>
      <c r="H2610" s="15"/>
      <c r="I2610" s="15"/>
      <c r="J2610" s="15"/>
      <c r="K2610" s="15"/>
      <c r="L2610" s="15"/>
      <c r="M2610" s="15"/>
      <c r="N2610" s="15"/>
      <c r="O2610" s="15"/>
      <c r="P2610" s="15"/>
      <c r="Q2610" s="71"/>
      <c r="R2610" s="84"/>
      <c r="S2610" s="10"/>
      <c r="T2610" s="10"/>
      <c r="U2610" s="10"/>
      <c r="V2610" s="10"/>
      <c r="W2610" s="138"/>
      <c r="Y2610"/>
      <c r="Z2610"/>
      <c r="AA2610"/>
      <c r="AB2610"/>
      <c r="AC2610"/>
      <c r="AD2610"/>
      <c r="AE2610"/>
      <c r="AF2610"/>
      <c r="AG2610"/>
      <c r="AH2610"/>
      <c r="AI2610"/>
      <c r="AJ2610"/>
      <c r="AK2610"/>
      <c r="AL2610"/>
      <c r="AM2610"/>
      <c r="AN2610"/>
      <c r="AO2610"/>
    </row>
    <row r="2611" spans="1:41" ht="15">
      <c r="A2611"/>
      <c r="B2611"/>
      <c r="C2611" s="137"/>
      <c r="D2611" s="30"/>
      <c r="E2611" s="30"/>
      <c r="F2611" s="10"/>
      <c r="G2611" s="10"/>
      <c r="H2611" s="15"/>
      <c r="I2611" s="15"/>
      <c r="J2611" s="15"/>
      <c r="K2611" s="15"/>
      <c r="L2611" s="15"/>
      <c r="M2611" s="15"/>
      <c r="N2611" s="15"/>
      <c r="O2611" s="15"/>
      <c r="P2611" s="15"/>
      <c r="Q2611" s="71"/>
      <c r="R2611" s="84"/>
      <c r="S2611" s="10"/>
      <c r="T2611" s="10"/>
      <c r="U2611" s="10"/>
      <c r="V2611" s="10"/>
      <c r="W2611" s="138"/>
      <c r="Y2611"/>
      <c r="Z2611"/>
      <c r="AA2611"/>
      <c r="AB2611"/>
      <c r="AC2611"/>
      <c r="AD2611"/>
      <c r="AE2611"/>
      <c r="AF2611"/>
      <c r="AG2611"/>
      <c r="AH2611"/>
      <c r="AI2611"/>
      <c r="AJ2611"/>
      <c r="AK2611"/>
      <c r="AL2611"/>
      <c r="AM2611"/>
      <c r="AN2611"/>
      <c r="AO2611"/>
    </row>
    <row r="2612" spans="1:41" ht="15">
      <c r="A2612"/>
      <c r="B2612"/>
      <c r="C2612" s="137"/>
      <c r="D2612" s="30"/>
      <c r="E2612" s="30"/>
      <c r="F2612" s="10"/>
      <c r="G2612" s="10"/>
      <c r="H2612" s="15"/>
      <c r="I2612" s="15"/>
      <c r="J2612" s="15"/>
      <c r="K2612" s="15"/>
      <c r="L2612" s="15"/>
      <c r="M2612" s="15"/>
      <c r="N2612" s="15"/>
      <c r="O2612" s="15"/>
      <c r="P2612" s="15"/>
      <c r="Q2612" s="71"/>
      <c r="R2612" s="84"/>
      <c r="S2612" s="10"/>
      <c r="T2612" s="10"/>
      <c r="U2612" s="10"/>
      <c r="V2612" s="10"/>
      <c r="W2612" s="138"/>
      <c r="Y2612"/>
      <c r="Z2612"/>
      <c r="AA2612"/>
      <c r="AB2612"/>
      <c r="AC2612"/>
      <c r="AD2612"/>
      <c r="AE2612"/>
      <c r="AF2612"/>
      <c r="AG2612"/>
      <c r="AH2612"/>
      <c r="AI2612"/>
      <c r="AJ2612"/>
      <c r="AK2612"/>
      <c r="AL2612"/>
      <c r="AM2612"/>
      <c r="AN2612"/>
      <c r="AO2612"/>
    </row>
    <row r="2613" spans="1:41" ht="15">
      <c r="A2613"/>
      <c r="B2613"/>
      <c r="C2613" s="137"/>
      <c r="D2613" s="30"/>
      <c r="E2613" s="30"/>
      <c r="F2613" s="10"/>
      <c r="G2613" s="10"/>
      <c r="H2613" s="15"/>
      <c r="I2613" s="15"/>
      <c r="J2613" s="15"/>
      <c r="K2613" s="15"/>
      <c r="L2613" s="15"/>
      <c r="M2613" s="15"/>
      <c r="N2613" s="15"/>
      <c r="O2613" s="15"/>
      <c r="P2613" s="15"/>
      <c r="Q2613" s="71"/>
      <c r="R2613" s="84"/>
      <c r="S2613" s="10"/>
      <c r="T2613" s="10"/>
      <c r="U2613" s="10"/>
      <c r="V2613" s="10"/>
      <c r="W2613" s="138"/>
      <c r="Y2613"/>
      <c r="Z2613"/>
      <c r="AA2613"/>
      <c r="AB2613"/>
      <c r="AC2613"/>
      <c r="AD2613"/>
      <c r="AE2613"/>
      <c r="AF2613"/>
      <c r="AG2613"/>
      <c r="AH2613"/>
      <c r="AI2613"/>
      <c r="AJ2613"/>
      <c r="AK2613"/>
      <c r="AL2613"/>
      <c r="AM2613"/>
      <c r="AN2613"/>
      <c r="AO2613"/>
    </row>
    <row r="2614" spans="1:41" ht="15">
      <c r="A2614"/>
      <c r="B2614"/>
      <c r="C2614" s="137"/>
      <c r="D2614" s="30"/>
      <c r="E2614" s="30"/>
      <c r="F2614" s="10"/>
      <c r="G2614" s="10"/>
      <c r="H2614" s="15"/>
      <c r="I2614" s="15"/>
      <c r="J2614" s="15"/>
      <c r="K2614" s="15"/>
      <c r="L2614" s="15"/>
      <c r="M2614" s="15"/>
      <c r="N2614" s="15"/>
      <c r="O2614" s="15"/>
      <c r="P2614" s="15"/>
      <c r="Q2614" s="71"/>
      <c r="R2614" s="84"/>
      <c r="S2614" s="10"/>
      <c r="T2614" s="10"/>
      <c r="U2614" s="10"/>
      <c r="V2614" s="10"/>
      <c r="W2614" s="138"/>
      <c r="Y2614"/>
      <c r="Z2614"/>
      <c r="AA2614"/>
      <c r="AB2614"/>
      <c r="AC2614"/>
      <c r="AD2614"/>
      <c r="AE2614"/>
      <c r="AF2614"/>
      <c r="AG2614"/>
      <c r="AH2614"/>
      <c r="AI2614"/>
      <c r="AJ2614"/>
      <c r="AK2614"/>
      <c r="AL2614"/>
      <c r="AM2614"/>
      <c r="AN2614"/>
      <c r="AO2614"/>
    </row>
    <row r="2615" spans="1:41" ht="15">
      <c r="A2615"/>
      <c r="B2615"/>
      <c r="C2615" s="137"/>
      <c r="D2615" s="30"/>
      <c r="E2615" s="30"/>
      <c r="F2615" s="10"/>
      <c r="G2615" s="10"/>
      <c r="H2615" s="15"/>
      <c r="I2615" s="15"/>
      <c r="J2615" s="15"/>
      <c r="K2615" s="15"/>
      <c r="L2615" s="15"/>
      <c r="M2615" s="15"/>
      <c r="N2615" s="15"/>
      <c r="O2615" s="15"/>
      <c r="P2615" s="15"/>
      <c r="Q2615" s="71"/>
      <c r="R2615" s="84"/>
      <c r="S2615" s="10"/>
      <c r="T2615" s="10"/>
      <c r="U2615" s="10"/>
      <c r="V2615" s="10"/>
      <c r="W2615" s="138"/>
      <c r="Y2615"/>
      <c r="Z2615"/>
      <c r="AA2615"/>
      <c r="AB2615"/>
      <c r="AC2615"/>
      <c r="AD2615"/>
      <c r="AE2615"/>
      <c r="AF2615"/>
      <c r="AG2615"/>
      <c r="AH2615"/>
      <c r="AI2615"/>
      <c r="AJ2615"/>
      <c r="AK2615"/>
      <c r="AL2615"/>
      <c r="AM2615"/>
      <c r="AN2615"/>
      <c r="AO2615"/>
    </row>
    <row r="2616" spans="1:41" ht="15">
      <c r="A2616"/>
      <c r="B2616"/>
      <c r="C2616" s="137"/>
      <c r="D2616" s="30"/>
      <c r="E2616" s="30"/>
      <c r="F2616" s="10"/>
      <c r="G2616" s="10"/>
      <c r="H2616" s="15"/>
      <c r="I2616" s="15"/>
      <c r="J2616" s="15"/>
      <c r="K2616" s="15"/>
      <c r="L2616" s="15"/>
      <c r="M2616" s="15"/>
      <c r="N2616" s="15"/>
      <c r="O2616" s="15"/>
      <c r="P2616" s="15"/>
      <c r="Q2616" s="71"/>
      <c r="R2616" s="84"/>
      <c r="S2616" s="10"/>
      <c r="T2616" s="10"/>
      <c r="U2616" s="10"/>
      <c r="V2616" s="10"/>
      <c r="W2616" s="138"/>
      <c r="Y2616"/>
      <c r="Z2616"/>
      <c r="AA2616"/>
      <c r="AB2616"/>
      <c r="AC2616"/>
      <c r="AD2616"/>
      <c r="AE2616"/>
      <c r="AF2616"/>
      <c r="AG2616"/>
      <c r="AH2616"/>
      <c r="AI2616"/>
      <c r="AJ2616"/>
      <c r="AK2616"/>
      <c r="AL2616"/>
      <c r="AM2616"/>
      <c r="AN2616"/>
      <c r="AO2616"/>
    </row>
    <row r="2617" spans="1:41" ht="15">
      <c r="A2617"/>
      <c r="B2617"/>
      <c r="C2617" s="137"/>
      <c r="D2617" s="30"/>
      <c r="E2617" s="30"/>
      <c r="F2617" s="10"/>
      <c r="G2617" s="10"/>
      <c r="H2617" s="15"/>
      <c r="I2617" s="15"/>
      <c r="J2617" s="15"/>
      <c r="K2617" s="15"/>
      <c r="L2617" s="15"/>
      <c r="M2617" s="15"/>
      <c r="N2617" s="15"/>
      <c r="O2617" s="15"/>
      <c r="P2617" s="15"/>
      <c r="Q2617" s="71"/>
      <c r="R2617" s="84"/>
      <c r="S2617" s="10"/>
      <c r="T2617" s="10"/>
      <c r="U2617" s="10"/>
      <c r="V2617" s="10"/>
      <c r="W2617" s="138"/>
      <c r="Y2617"/>
      <c r="Z2617"/>
      <c r="AA2617"/>
      <c r="AB2617"/>
      <c r="AC2617"/>
      <c r="AD2617"/>
      <c r="AE2617"/>
      <c r="AF2617"/>
      <c r="AG2617"/>
      <c r="AH2617"/>
      <c r="AI2617"/>
      <c r="AJ2617"/>
      <c r="AK2617"/>
      <c r="AL2617"/>
      <c r="AM2617"/>
      <c r="AN2617"/>
      <c r="AO2617"/>
    </row>
    <row r="2618" spans="1:41" ht="15">
      <c r="A2618"/>
      <c r="B2618"/>
      <c r="C2618" s="137"/>
      <c r="D2618" s="30"/>
      <c r="E2618" s="30"/>
      <c r="F2618" s="10"/>
      <c r="G2618" s="10"/>
      <c r="H2618" s="15"/>
      <c r="I2618" s="15"/>
      <c r="J2618" s="15"/>
      <c r="K2618" s="15"/>
      <c r="L2618" s="15"/>
      <c r="M2618" s="15"/>
      <c r="N2618" s="15"/>
      <c r="O2618" s="15"/>
      <c r="P2618" s="15"/>
      <c r="Q2618" s="71"/>
      <c r="R2618" s="84"/>
      <c r="S2618" s="10"/>
      <c r="T2618" s="10"/>
      <c r="U2618" s="10"/>
      <c r="V2618" s="10"/>
      <c r="W2618" s="138"/>
      <c r="Y2618"/>
      <c r="Z2618"/>
      <c r="AA2618"/>
      <c r="AB2618"/>
      <c r="AC2618"/>
      <c r="AD2618"/>
      <c r="AE2618"/>
      <c r="AF2618"/>
      <c r="AG2618"/>
      <c r="AH2618"/>
      <c r="AI2618"/>
      <c r="AJ2618"/>
      <c r="AK2618"/>
      <c r="AL2618"/>
      <c r="AM2618"/>
      <c r="AN2618"/>
      <c r="AO2618"/>
    </row>
    <row r="2619" spans="1:41" ht="15">
      <c r="A2619"/>
      <c r="B2619"/>
      <c r="C2619" s="137"/>
      <c r="D2619" s="30"/>
      <c r="E2619" s="30"/>
      <c r="F2619" s="10"/>
      <c r="G2619" s="10"/>
      <c r="H2619" s="15"/>
      <c r="I2619" s="15"/>
      <c r="J2619" s="15"/>
      <c r="K2619" s="15"/>
      <c r="L2619" s="15"/>
      <c r="M2619" s="15"/>
      <c r="N2619" s="15"/>
      <c r="O2619" s="15"/>
      <c r="P2619" s="15"/>
      <c r="Q2619" s="71"/>
      <c r="R2619" s="84"/>
      <c r="S2619" s="10"/>
      <c r="T2619" s="10"/>
      <c r="U2619" s="10"/>
      <c r="V2619" s="10"/>
      <c r="W2619" s="138"/>
      <c r="Y2619"/>
      <c r="Z2619"/>
      <c r="AA2619"/>
      <c r="AB2619"/>
      <c r="AC2619"/>
      <c r="AD2619"/>
      <c r="AE2619"/>
      <c r="AF2619"/>
      <c r="AG2619"/>
      <c r="AH2619"/>
      <c r="AI2619"/>
      <c r="AJ2619"/>
      <c r="AK2619"/>
      <c r="AL2619"/>
      <c r="AM2619"/>
      <c r="AN2619"/>
      <c r="AO2619"/>
    </row>
    <row r="2620" spans="1:41" ht="15">
      <c r="A2620"/>
      <c r="B2620"/>
      <c r="C2620" s="137"/>
      <c r="D2620" s="30"/>
      <c r="E2620" s="30"/>
      <c r="F2620" s="10"/>
      <c r="G2620" s="10"/>
      <c r="H2620" s="15"/>
      <c r="I2620" s="15"/>
      <c r="J2620" s="15"/>
      <c r="K2620" s="15"/>
      <c r="L2620" s="15"/>
      <c r="M2620" s="15"/>
      <c r="N2620" s="15"/>
      <c r="O2620" s="15"/>
      <c r="P2620" s="15"/>
      <c r="Q2620" s="71"/>
      <c r="R2620" s="84"/>
      <c r="S2620" s="10"/>
      <c r="T2620" s="10"/>
      <c r="U2620" s="10"/>
      <c r="V2620" s="10"/>
      <c r="W2620" s="138"/>
      <c r="Y2620"/>
      <c r="Z2620"/>
      <c r="AA2620"/>
      <c r="AB2620"/>
      <c r="AC2620"/>
      <c r="AD2620"/>
      <c r="AE2620"/>
      <c r="AF2620"/>
      <c r="AG2620"/>
      <c r="AH2620"/>
      <c r="AI2620"/>
      <c r="AJ2620"/>
      <c r="AK2620"/>
      <c r="AL2620"/>
      <c r="AM2620"/>
      <c r="AN2620"/>
      <c r="AO2620"/>
    </row>
    <row r="2621" spans="1:41" ht="15">
      <c r="A2621"/>
      <c r="B2621"/>
      <c r="C2621" s="137"/>
      <c r="D2621" s="30"/>
      <c r="E2621" s="30"/>
      <c r="F2621" s="10"/>
      <c r="G2621" s="10"/>
      <c r="H2621" s="15"/>
      <c r="I2621" s="15"/>
      <c r="J2621" s="15"/>
      <c r="K2621" s="15"/>
      <c r="L2621" s="15"/>
      <c r="M2621" s="15"/>
      <c r="N2621" s="15"/>
      <c r="O2621" s="15"/>
      <c r="P2621" s="15"/>
      <c r="Q2621" s="71"/>
      <c r="R2621" s="84"/>
      <c r="S2621" s="10"/>
      <c r="T2621" s="10"/>
      <c r="U2621" s="10"/>
      <c r="V2621" s="10"/>
      <c r="W2621" s="138"/>
      <c r="Y2621"/>
      <c r="Z2621"/>
      <c r="AA2621"/>
      <c r="AB2621"/>
      <c r="AC2621"/>
      <c r="AD2621"/>
      <c r="AE2621"/>
      <c r="AF2621"/>
      <c r="AG2621"/>
      <c r="AH2621"/>
      <c r="AI2621"/>
      <c r="AJ2621"/>
      <c r="AK2621"/>
      <c r="AL2621"/>
      <c r="AM2621"/>
      <c r="AN2621"/>
      <c r="AO2621"/>
    </row>
    <row r="2622" spans="1:41" ht="15">
      <c r="A2622"/>
      <c r="B2622"/>
      <c r="C2622" s="137"/>
      <c r="D2622" s="30"/>
      <c r="E2622" s="30"/>
      <c r="F2622" s="10"/>
      <c r="G2622" s="10"/>
      <c r="H2622" s="15"/>
      <c r="I2622" s="15"/>
      <c r="J2622" s="15"/>
      <c r="K2622" s="15"/>
      <c r="L2622" s="15"/>
      <c r="M2622" s="15"/>
      <c r="N2622" s="15"/>
      <c r="O2622" s="15"/>
      <c r="P2622" s="15"/>
      <c r="Q2622" s="71"/>
      <c r="R2622" s="84"/>
      <c r="S2622" s="10"/>
      <c r="T2622" s="10"/>
      <c r="U2622" s="10"/>
      <c r="V2622" s="10"/>
      <c r="W2622" s="138"/>
      <c r="Y2622"/>
      <c r="Z2622"/>
      <c r="AA2622"/>
      <c r="AB2622"/>
      <c r="AC2622"/>
      <c r="AD2622"/>
      <c r="AE2622"/>
      <c r="AF2622"/>
      <c r="AG2622"/>
      <c r="AH2622"/>
      <c r="AI2622"/>
      <c r="AJ2622"/>
      <c r="AK2622"/>
      <c r="AL2622"/>
      <c r="AM2622"/>
      <c r="AN2622"/>
      <c r="AO2622"/>
    </row>
    <row r="2623" spans="1:41" ht="15">
      <c r="A2623"/>
      <c r="B2623"/>
      <c r="C2623" s="137"/>
      <c r="D2623" s="30"/>
      <c r="E2623" s="30"/>
      <c r="F2623" s="10"/>
      <c r="G2623" s="10"/>
      <c r="H2623" s="15"/>
      <c r="I2623" s="15"/>
      <c r="J2623" s="15"/>
      <c r="K2623" s="15"/>
      <c r="L2623" s="15"/>
      <c r="M2623" s="15"/>
      <c r="N2623" s="15"/>
      <c r="O2623" s="15"/>
      <c r="P2623" s="15"/>
      <c r="Q2623" s="71"/>
      <c r="R2623" s="84"/>
      <c r="S2623" s="10"/>
      <c r="T2623" s="10"/>
      <c r="U2623" s="10"/>
      <c r="V2623" s="10"/>
      <c r="W2623" s="138"/>
      <c r="Y2623"/>
      <c r="Z2623"/>
      <c r="AA2623"/>
      <c r="AB2623"/>
      <c r="AC2623"/>
      <c r="AD2623"/>
      <c r="AE2623"/>
      <c r="AF2623"/>
      <c r="AG2623"/>
      <c r="AH2623"/>
      <c r="AI2623"/>
      <c r="AJ2623"/>
      <c r="AK2623"/>
      <c r="AL2623"/>
      <c r="AM2623"/>
      <c r="AN2623"/>
      <c r="AO2623"/>
    </row>
    <row r="2624" spans="1:41" ht="15">
      <c r="A2624"/>
      <c r="B2624"/>
      <c r="C2624" s="137"/>
      <c r="D2624" s="30"/>
      <c r="E2624" s="30"/>
      <c r="F2624" s="10"/>
      <c r="G2624" s="10"/>
      <c r="H2624" s="15"/>
      <c r="I2624" s="15"/>
      <c r="J2624" s="15"/>
      <c r="K2624" s="15"/>
      <c r="L2624" s="15"/>
      <c r="M2624" s="15"/>
      <c r="N2624" s="15"/>
      <c r="O2624" s="15"/>
      <c r="P2624" s="15"/>
      <c r="Q2624" s="71"/>
      <c r="R2624" s="84"/>
      <c r="S2624" s="10"/>
      <c r="T2624" s="10"/>
      <c r="U2624" s="10"/>
      <c r="V2624" s="10"/>
      <c r="W2624" s="138"/>
      <c r="Y2624"/>
      <c r="Z2624"/>
      <c r="AA2624"/>
      <c r="AB2624"/>
      <c r="AC2624"/>
      <c r="AD2624"/>
      <c r="AE2624"/>
      <c r="AF2624"/>
      <c r="AG2624"/>
      <c r="AH2624"/>
      <c r="AI2624"/>
      <c r="AJ2624"/>
      <c r="AK2624"/>
      <c r="AL2624"/>
      <c r="AM2624"/>
      <c r="AN2624"/>
      <c r="AO2624"/>
    </row>
    <row r="2625" spans="1:41" ht="15">
      <c r="A2625"/>
      <c r="B2625"/>
      <c r="C2625" s="137"/>
      <c r="D2625" s="30"/>
      <c r="E2625" s="30"/>
      <c r="F2625" s="10"/>
      <c r="G2625" s="10"/>
      <c r="H2625" s="15"/>
      <c r="I2625" s="15"/>
      <c r="J2625" s="15"/>
      <c r="K2625" s="15"/>
      <c r="L2625" s="15"/>
      <c r="M2625" s="15"/>
      <c r="N2625" s="15"/>
      <c r="O2625" s="15"/>
      <c r="P2625" s="15"/>
      <c r="Q2625" s="71"/>
      <c r="R2625" s="84"/>
      <c r="S2625" s="10"/>
      <c r="T2625" s="10"/>
      <c r="U2625" s="10"/>
      <c r="V2625" s="10"/>
      <c r="W2625" s="138"/>
      <c r="Y2625"/>
      <c r="Z2625"/>
      <c r="AA2625"/>
      <c r="AB2625"/>
      <c r="AC2625"/>
      <c r="AD2625"/>
      <c r="AE2625"/>
      <c r="AF2625"/>
      <c r="AG2625"/>
      <c r="AH2625"/>
      <c r="AI2625"/>
      <c r="AJ2625"/>
      <c r="AK2625"/>
      <c r="AL2625"/>
      <c r="AM2625"/>
      <c r="AN2625"/>
      <c r="AO2625"/>
    </row>
    <row r="2626" spans="1:41" ht="15">
      <c r="A2626"/>
      <c r="B2626"/>
      <c r="C2626" s="137"/>
      <c r="D2626" s="30"/>
      <c r="E2626" s="30"/>
      <c r="F2626" s="10"/>
      <c r="G2626" s="10"/>
      <c r="H2626" s="15"/>
      <c r="I2626" s="15"/>
      <c r="J2626" s="15"/>
      <c r="K2626" s="15"/>
      <c r="L2626" s="15"/>
      <c r="M2626" s="15"/>
      <c r="N2626" s="15"/>
      <c r="O2626" s="15"/>
      <c r="P2626" s="15"/>
      <c r="Q2626" s="71"/>
      <c r="R2626" s="84"/>
      <c r="S2626" s="10"/>
      <c r="T2626" s="10"/>
      <c r="U2626" s="10"/>
      <c r="V2626" s="10"/>
      <c r="W2626" s="138"/>
      <c r="Y2626"/>
      <c r="Z2626"/>
      <c r="AA2626"/>
      <c r="AB2626"/>
      <c r="AC2626"/>
      <c r="AD2626"/>
      <c r="AE2626"/>
      <c r="AF2626"/>
      <c r="AG2626"/>
      <c r="AH2626"/>
      <c r="AI2626"/>
      <c r="AJ2626"/>
      <c r="AK2626"/>
      <c r="AL2626"/>
      <c r="AM2626"/>
      <c r="AN2626"/>
      <c r="AO2626"/>
    </row>
    <row r="2627" spans="1:41" ht="15">
      <c r="A2627"/>
      <c r="B2627"/>
      <c r="C2627" s="137"/>
      <c r="D2627" s="30"/>
      <c r="E2627" s="30"/>
      <c r="F2627" s="10"/>
      <c r="G2627" s="10"/>
      <c r="H2627" s="15"/>
      <c r="I2627" s="15"/>
      <c r="J2627" s="15"/>
      <c r="K2627" s="15"/>
      <c r="L2627" s="15"/>
      <c r="M2627" s="15"/>
      <c r="N2627" s="15"/>
      <c r="O2627" s="15"/>
      <c r="P2627" s="15"/>
      <c r="Q2627" s="71"/>
      <c r="R2627" s="84"/>
      <c r="S2627" s="10"/>
      <c r="T2627" s="10"/>
      <c r="U2627" s="10"/>
      <c r="V2627" s="10"/>
      <c r="W2627" s="138"/>
      <c r="Y2627"/>
      <c r="Z2627"/>
      <c r="AA2627"/>
      <c r="AB2627"/>
      <c r="AC2627"/>
      <c r="AD2627"/>
      <c r="AE2627"/>
      <c r="AF2627"/>
      <c r="AG2627"/>
      <c r="AH2627"/>
      <c r="AI2627"/>
      <c r="AJ2627"/>
      <c r="AK2627"/>
      <c r="AL2627"/>
      <c r="AM2627"/>
      <c r="AN2627"/>
      <c r="AO2627"/>
    </row>
    <row r="2628" spans="1:41" ht="15">
      <c r="A2628"/>
      <c r="B2628"/>
      <c r="C2628" s="137"/>
      <c r="D2628" s="30"/>
      <c r="E2628" s="30"/>
      <c r="F2628" s="10"/>
      <c r="G2628" s="10"/>
      <c r="H2628" s="15"/>
      <c r="I2628" s="15"/>
      <c r="J2628" s="15"/>
      <c r="K2628" s="15"/>
      <c r="L2628" s="15"/>
      <c r="M2628" s="15"/>
      <c r="N2628" s="15"/>
      <c r="O2628" s="15"/>
      <c r="P2628" s="15"/>
      <c r="Q2628" s="71"/>
      <c r="R2628" s="84"/>
      <c r="S2628" s="10"/>
      <c r="T2628" s="10"/>
      <c r="U2628" s="10"/>
      <c r="V2628" s="10"/>
      <c r="W2628" s="138"/>
      <c r="Y2628"/>
      <c r="Z2628"/>
      <c r="AA2628"/>
      <c r="AB2628"/>
      <c r="AC2628"/>
      <c r="AD2628"/>
      <c r="AE2628"/>
      <c r="AF2628"/>
      <c r="AG2628"/>
      <c r="AH2628"/>
      <c r="AI2628"/>
      <c r="AJ2628"/>
      <c r="AK2628"/>
      <c r="AL2628"/>
      <c r="AM2628"/>
      <c r="AN2628"/>
      <c r="AO2628"/>
    </row>
    <row r="2629" spans="1:41" ht="15">
      <c r="A2629"/>
      <c r="B2629"/>
      <c r="C2629" s="137"/>
      <c r="D2629" s="30"/>
      <c r="E2629" s="30"/>
      <c r="F2629" s="10"/>
      <c r="G2629" s="10"/>
      <c r="H2629" s="15"/>
      <c r="I2629" s="15"/>
      <c r="J2629" s="15"/>
      <c r="K2629" s="15"/>
      <c r="L2629" s="15"/>
      <c r="M2629" s="15"/>
      <c r="N2629" s="15"/>
      <c r="O2629" s="15"/>
      <c r="P2629" s="15"/>
      <c r="Q2629" s="71"/>
      <c r="R2629" s="84"/>
      <c r="S2629" s="10"/>
      <c r="T2629" s="10"/>
      <c r="U2629" s="10"/>
      <c r="V2629" s="10"/>
      <c r="W2629" s="138"/>
      <c r="Y2629"/>
      <c r="Z2629"/>
      <c r="AA2629"/>
      <c r="AB2629"/>
      <c r="AC2629"/>
      <c r="AD2629"/>
      <c r="AE2629"/>
      <c r="AF2629"/>
      <c r="AG2629"/>
      <c r="AH2629"/>
      <c r="AI2629"/>
      <c r="AJ2629"/>
      <c r="AK2629"/>
      <c r="AL2629"/>
      <c r="AM2629"/>
      <c r="AN2629"/>
      <c r="AO2629"/>
    </row>
    <row r="2630" spans="1:41" ht="15">
      <c r="A2630"/>
      <c r="B2630"/>
      <c r="C2630" s="137"/>
      <c r="D2630" s="30"/>
      <c r="E2630" s="30"/>
      <c r="F2630" s="10"/>
      <c r="G2630" s="10"/>
      <c r="H2630" s="15"/>
      <c r="I2630" s="15"/>
      <c r="J2630" s="15"/>
      <c r="K2630" s="15"/>
      <c r="L2630" s="15"/>
      <c r="M2630" s="15"/>
      <c r="N2630" s="15"/>
      <c r="O2630" s="15"/>
      <c r="P2630" s="15"/>
      <c r="Q2630" s="71"/>
      <c r="R2630" s="84"/>
      <c r="S2630" s="10"/>
      <c r="T2630" s="10"/>
      <c r="U2630" s="10"/>
      <c r="V2630" s="10"/>
      <c r="W2630" s="138"/>
      <c r="Y2630"/>
      <c r="Z2630"/>
      <c r="AA2630"/>
      <c r="AB2630"/>
      <c r="AC2630"/>
      <c r="AD2630"/>
      <c r="AE2630"/>
      <c r="AF2630"/>
      <c r="AG2630"/>
      <c r="AH2630"/>
      <c r="AI2630"/>
      <c r="AJ2630"/>
      <c r="AK2630"/>
      <c r="AL2630"/>
      <c r="AM2630"/>
      <c r="AN2630"/>
      <c r="AO2630"/>
    </row>
    <row r="2631" spans="1:41" ht="15">
      <c r="A2631"/>
      <c r="B2631"/>
      <c r="C2631" s="137"/>
      <c r="D2631" s="30"/>
      <c r="E2631" s="30"/>
      <c r="F2631" s="10"/>
      <c r="G2631" s="10"/>
      <c r="H2631" s="15"/>
      <c r="I2631" s="15"/>
      <c r="J2631" s="15"/>
      <c r="K2631" s="15"/>
      <c r="L2631" s="15"/>
      <c r="M2631" s="15"/>
      <c r="N2631" s="15"/>
      <c r="O2631" s="15"/>
      <c r="P2631" s="15"/>
      <c r="Q2631" s="71"/>
      <c r="R2631" s="84"/>
      <c r="S2631" s="10"/>
      <c r="T2631" s="10"/>
      <c r="U2631" s="10"/>
      <c r="V2631" s="10"/>
      <c r="W2631" s="138"/>
      <c r="Y2631"/>
      <c r="Z2631"/>
      <c r="AA2631"/>
      <c r="AB2631"/>
      <c r="AC2631"/>
      <c r="AD2631"/>
      <c r="AE2631"/>
      <c r="AF2631"/>
      <c r="AG2631"/>
      <c r="AH2631"/>
      <c r="AI2631"/>
      <c r="AJ2631"/>
      <c r="AK2631"/>
      <c r="AL2631"/>
      <c r="AM2631"/>
      <c r="AN2631"/>
      <c r="AO2631"/>
    </row>
    <row r="2632" spans="1:41" ht="15">
      <c r="A2632"/>
      <c r="B2632"/>
      <c r="C2632" s="137"/>
      <c r="D2632" s="30"/>
      <c r="E2632" s="30"/>
      <c r="F2632" s="10"/>
      <c r="G2632" s="10"/>
      <c r="H2632" s="15"/>
      <c r="I2632" s="15"/>
      <c r="J2632" s="15"/>
      <c r="K2632" s="15"/>
      <c r="L2632" s="15"/>
      <c r="M2632" s="15"/>
      <c r="N2632" s="15"/>
      <c r="O2632" s="15"/>
      <c r="P2632" s="15"/>
      <c r="Q2632" s="71"/>
      <c r="R2632" s="84"/>
      <c r="S2632" s="10"/>
      <c r="T2632" s="10"/>
      <c r="U2632" s="10"/>
      <c r="V2632" s="10"/>
      <c r="W2632" s="138"/>
      <c r="Y2632"/>
      <c r="Z2632"/>
      <c r="AA2632"/>
      <c r="AB2632"/>
      <c r="AC2632"/>
      <c r="AD2632"/>
      <c r="AE2632"/>
      <c r="AF2632"/>
      <c r="AG2632"/>
      <c r="AH2632"/>
      <c r="AI2632"/>
      <c r="AJ2632"/>
      <c r="AK2632"/>
      <c r="AL2632"/>
      <c r="AM2632"/>
      <c r="AN2632"/>
      <c r="AO2632"/>
    </row>
    <row r="2633" spans="1:41" ht="15">
      <c r="A2633"/>
      <c r="B2633"/>
      <c r="C2633" s="137"/>
      <c r="D2633" s="30"/>
      <c r="E2633" s="30"/>
      <c r="F2633" s="10"/>
      <c r="G2633" s="10"/>
      <c r="H2633" s="15"/>
      <c r="I2633" s="15"/>
      <c r="J2633" s="15"/>
      <c r="K2633" s="15"/>
      <c r="L2633" s="15"/>
      <c r="M2633" s="15"/>
      <c r="N2633" s="15"/>
      <c r="O2633" s="15"/>
      <c r="P2633" s="15"/>
      <c r="Q2633" s="71"/>
      <c r="R2633" s="84"/>
      <c r="S2633" s="10"/>
      <c r="T2633" s="10"/>
      <c r="U2633" s="10"/>
      <c r="V2633" s="10"/>
      <c r="W2633" s="138"/>
      <c r="Y2633"/>
      <c r="Z2633"/>
      <c r="AA2633"/>
      <c r="AB2633"/>
      <c r="AC2633"/>
      <c r="AD2633"/>
      <c r="AE2633"/>
      <c r="AF2633"/>
      <c r="AG2633"/>
      <c r="AH2633"/>
      <c r="AI2633"/>
      <c r="AJ2633"/>
      <c r="AK2633"/>
      <c r="AL2633"/>
      <c r="AM2633"/>
      <c r="AN2633"/>
      <c r="AO2633"/>
    </row>
    <row r="2634" spans="1:41" ht="15">
      <c r="A2634"/>
      <c r="B2634"/>
      <c r="C2634" s="137"/>
      <c r="D2634" s="30"/>
      <c r="E2634" s="30"/>
      <c r="F2634" s="10"/>
      <c r="G2634" s="10"/>
      <c r="H2634" s="15"/>
      <c r="I2634" s="15"/>
      <c r="J2634" s="15"/>
      <c r="K2634" s="15"/>
      <c r="L2634" s="15"/>
      <c r="M2634" s="15"/>
      <c r="N2634" s="15"/>
      <c r="O2634" s="15"/>
      <c r="P2634" s="15"/>
      <c r="Q2634" s="71"/>
      <c r="R2634" s="84"/>
      <c r="S2634" s="10"/>
      <c r="T2634" s="10"/>
      <c r="U2634" s="10"/>
      <c r="V2634" s="10"/>
      <c r="W2634" s="138"/>
      <c r="Y2634"/>
      <c r="Z2634"/>
      <c r="AA2634"/>
      <c r="AB2634"/>
      <c r="AC2634"/>
      <c r="AD2634"/>
      <c r="AE2634"/>
      <c r="AF2634"/>
      <c r="AG2634"/>
      <c r="AH2634"/>
      <c r="AI2634"/>
      <c r="AJ2634"/>
      <c r="AK2634"/>
      <c r="AL2634"/>
      <c r="AM2634"/>
      <c r="AN2634"/>
      <c r="AO2634"/>
    </row>
    <row r="2635" spans="1:41" ht="15">
      <c r="A2635"/>
      <c r="B2635"/>
      <c r="C2635" s="137"/>
      <c r="D2635" s="30"/>
      <c r="E2635" s="30"/>
      <c r="F2635" s="10"/>
      <c r="G2635" s="10"/>
      <c r="H2635" s="15"/>
      <c r="I2635" s="15"/>
      <c r="J2635" s="15"/>
      <c r="K2635" s="15"/>
      <c r="L2635" s="15"/>
      <c r="M2635" s="15"/>
      <c r="N2635" s="15"/>
      <c r="O2635" s="15"/>
      <c r="P2635" s="15"/>
      <c r="Q2635" s="71"/>
      <c r="R2635" s="84"/>
      <c r="S2635" s="10"/>
      <c r="T2635" s="10"/>
      <c r="U2635" s="10"/>
      <c r="V2635" s="10"/>
      <c r="W2635" s="138"/>
      <c r="Y2635"/>
      <c r="Z2635"/>
      <c r="AA2635"/>
      <c r="AB2635"/>
      <c r="AC2635"/>
      <c r="AD2635"/>
      <c r="AE2635"/>
      <c r="AF2635"/>
      <c r="AG2635"/>
      <c r="AH2635"/>
      <c r="AI2635"/>
      <c r="AJ2635"/>
      <c r="AK2635"/>
      <c r="AL2635"/>
      <c r="AM2635"/>
      <c r="AN2635"/>
      <c r="AO2635"/>
    </row>
    <row r="2636" spans="1:41" ht="15">
      <c r="A2636"/>
      <c r="B2636"/>
      <c r="C2636" s="137"/>
      <c r="D2636" s="30"/>
      <c r="E2636" s="30"/>
      <c r="F2636" s="10"/>
      <c r="G2636" s="10"/>
      <c r="H2636" s="15"/>
      <c r="I2636" s="15"/>
      <c r="J2636" s="15"/>
      <c r="K2636" s="15"/>
      <c r="L2636" s="15"/>
      <c r="M2636" s="15"/>
      <c r="N2636" s="15"/>
      <c r="O2636" s="15"/>
      <c r="P2636" s="15"/>
      <c r="Q2636" s="71"/>
      <c r="R2636" s="84"/>
      <c r="S2636" s="10"/>
      <c r="T2636" s="10"/>
      <c r="U2636" s="10"/>
      <c r="V2636" s="10"/>
      <c r="W2636" s="138"/>
      <c r="Y2636"/>
      <c r="Z2636"/>
      <c r="AA2636"/>
      <c r="AB2636"/>
      <c r="AC2636"/>
      <c r="AD2636"/>
      <c r="AE2636"/>
      <c r="AF2636"/>
      <c r="AG2636"/>
      <c r="AH2636"/>
      <c r="AI2636"/>
      <c r="AJ2636"/>
      <c r="AK2636"/>
      <c r="AL2636"/>
      <c r="AM2636"/>
      <c r="AN2636"/>
      <c r="AO2636"/>
    </row>
    <row r="2637" spans="1:41" ht="15">
      <c r="A2637"/>
      <c r="B2637"/>
      <c r="C2637" s="137"/>
      <c r="D2637" s="30"/>
      <c r="E2637" s="30"/>
      <c r="F2637" s="10"/>
      <c r="G2637" s="10"/>
      <c r="H2637" s="15"/>
      <c r="I2637" s="15"/>
      <c r="J2637" s="15"/>
      <c r="K2637" s="15"/>
      <c r="L2637" s="15"/>
      <c r="M2637" s="15"/>
      <c r="N2637" s="15"/>
      <c r="O2637" s="15"/>
      <c r="P2637" s="15"/>
      <c r="Q2637" s="71"/>
      <c r="R2637" s="84"/>
      <c r="S2637" s="10"/>
      <c r="T2637" s="10"/>
      <c r="U2637" s="10"/>
      <c r="V2637" s="10"/>
      <c r="W2637" s="138"/>
      <c r="Y2637"/>
      <c r="Z2637"/>
      <c r="AA2637"/>
      <c r="AB2637"/>
      <c r="AC2637"/>
      <c r="AD2637"/>
      <c r="AE2637"/>
      <c r="AF2637"/>
      <c r="AG2637"/>
      <c r="AH2637"/>
      <c r="AI2637"/>
      <c r="AJ2637"/>
      <c r="AK2637"/>
      <c r="AL2637"/>
      <c r="AM2637"/>
      <c r="AN2637"/>
      <c r="AO2637"/>
    </row>
    <row r="2638" spans="1:41" ht="15">
      <c r="A2638"/>
      <c r="B2638"/>
      <c r="C2638" s="137"/>
      <c r="D2638" s="30"/>
      <c r="E2638" s="30"/>
      <c r="F2638" s="10"/>
      <c r="G2638" s="10"/>
      <c r="H2638" s="15"/>
      <c r="I2638" s="15"/>
      <c r="J2638" s="15"/>
      <c r="K2638" s="15"/>
      <c r="L2638" s="15"/>
      <c r="M2638" s="15"/>
      <c r="N2638" s="15"/>
      <c r="O2638" s="15"/>
      <c r="P2638" s="15"/>
      <c r="Q2638" s="71"/>
      <c r="R2638" s="84"/>
      <c r="S2638" s="10"/>
      <c r="T2638" s="10"/>
      <c r="U2638" s="10"/>
      <c r="V2638" s="10"/>
      <c r="W2638" s="138"/>
      <c r="Y2638"/>
      <c r="Z2638"/>
      <c r="AA2638"/>
      <c r="AB2638"/>
      <c r="AC2638"/>
      <c r="AD2638"/>
      <c r="AE2638"/>
      <c r="AF2638"/>
      <c r="AG2638"/>
      <c r="AH2638"/>
      <c r="AI2638"/>
      <c r="AJ2638"/>
      <c r="AK2638"/>
      <c r="AL2638"/>
      <c r="AM2638"/>
      <c r="AN2638"/>
      <c r="AO2638"/>
    </row>
    <row r="2639" spans="1:41" ht="15">
      <c r="A2639"/>
      <c r="B2639"/>
      <c r="C2639" s="137"/>
      <c r="D2639" s="30"/>
      <c r="E2639" s="30"/>
      <c r="F2639" s="10"/>
      <c r="G2639" s="10"/>
      <c r="H2639" s="15"/>
      <c r="I2639" s="15"/>
      <c r="J2639" s="15"/>
      <c r="K2639" s="15"/>
      <c r="L2639" s="15"/>
      <c r="M2639" s="15"/>
      <c r="N2639" s="15"/>
      <c r="O2639" s="15"/>
      <c r="P2639" s="15"/>
      <c r="Q2639" s="71"/>
      <c r="R2639" s="84"/>
      <c r="S2639" s="10"/>
      <c r="T2639" s="10"/>
      <c r="U2639" s="10"/>
      <c r="V2639" s="10"/>
      <c r="W2639" s="138"/>
      <c r="Y2639"/>
      <c r="Z2639"/>
      <c r="AA2639"/>
      <c r="AB2639"/>
      <c r="AC2639"/>
      <c r="AD2639"/>
      <c r="AE2639"/>
      <c r="AF2639"/>
      <c r="AG2639"/>
      <c r="AH2639"/>
      <c r="AI2639"/>
      <c r="AJ2639"/>
      <c r="AK2639"/>
      <c r="AL2639"/>
      <c r="AM2639"/>
      <c r="AN2639"/>
      <c r="AO2639"/>
    </row>
    <row r="2640" spans="1:41" ht="15">
      <c r="A2640"/>
      <c r="B2640"/>
      <c r="C2640" s="137"/>
      <c r="D2640" s="30"/>
      <c r="E2640" s="30"/>
      <c r="F2640" s="10"/>
      <c r="G2640" s="10"/>
      <c r="H2640" s="15"/>
      <c r="I2640" s="15"/>
      <c r="J2640" s="15"/>
      <c r="K2640" s="15"/>
      <c r="L2640" s="15"/>
      <c r="M2640" s="15"/>
      <c r="N2640" s="15"/>
      <c r="O2640" s="15"/>
      <c r="P2640" s="15"/>
      <c r="Q2640" s="71"/>
      <c r="R2640" s="84"/>
      <c r="S2640" s="10"/>
      <c r="T2640" s="10"/>
      <c r="U2640" s="10"/>
      <c r="V2640" s="10"/>
      <c r="W2640" s="138"/>
      <c r="Y2640"/>
      <c r="Z2640"/>
      <c r="AA2640"/>
      <c r="AB2640"/>
      <c r="AC2640"/>
      <c r="AD2640"/>
      <c r="AE2640"/>
      <c r="AF2640"/>
      <c r="AG2640"/>
      <c r="AH2640"/>
      <c r="AI2640"/>
      <c r="AJ2640"/>
      <c r="AK2640"/>
      <c r="AL2640"/>
      <c r="AM2640"/>
      <c r="AN2640"/>
      <c r="AO2640"/>
    </row>
    <row r="2641" spans="1:41" ht="15">
      <c r="A2641"/>
      <c r="B2641"/>
      <c r="C2641" s="137"/>
      <c r="D2641" s="30"/>
      <c r="E2641" s="30"/>
      <c r="F2641" s="10"/>
      <c r="G2641" s="10"/>
      <c r="H2641" s="15"/>
      <c r="I2641" s="15"/>
      <c r="J2641" s="15"/>
      <c r="K2641" s="15"/>
      <c r="L2641" s="15"/>
      <c r="M2641" s="15"/>
      <c r="N2641" s="15"/>
      <c r="O2641" s="15"/>
      <c r="P2641" s="15"/>
      <c r="Q2641" s="71"/>
      <c r="R2641" s="84"/>
      <c r="S2641" s="10"/>
      <c r="T2641" s="10"/>
      <c r="U2641" s="10"/>
      <c r="V2641" s="10"/>
      <c r="W2641" s="138"/>
      <c r="Y2641"/>
      <c r="Z2641"/>
      <c r="AA2641"/>
      <c r="AB2641"/>
      <c r="AC2641"/>
      <c r="AD2641"/>
      <c r="AE2641"/>
      <c r="AF2641"/>
      <c r="AG2641"/>
      <c r="AH2641"/>
      <c r="AI2641"/>
      <c r="AJ2641"/>
      <c r="AK2641"/>
      <c r="AL2641"/>
      <c r="AM2641"/>
      <c r="AN2641"/>
      <c r="AO2641"/>
    </row>
    <row r="2642" spans="1:41" ht="15">
      <c r="A2642"/>
      <c r="B2642"/>
      <c r="C2642" s="137"/>
      <c r="D2642" s="30"/>
      <c r="E2642" s="30"/>
      <c r="F2642" s="10"/>
      <c r="G2642" s="10"/>
      <c r="H2642" s="15"/>
      <c r="I2642" s="15"/>
      <c r="J2642" s="15"/>
      <c r="K2642" s="15"/>
      <c r="L2642" s="15"/>
      <c r="M2642" s="15"/>
      <c r="N2642" s="15"/>
      <c r="O2642" s="15"/>
      <c r="P2642" s="15"/>
      <c r="Q2642" s="71"/>
      <c r="R2642" s="84"/>
      <c r="S2642" s="10"/>
      <c r="T2642" s="10"/>
      <c r="U2642" s="10"/>
      <c r="V2642" s="10"/>
      <c r="W2642" s="138"/>
      <c r="Y2642"/>
      <c r="Z2642"/>
      <c r="AA2642"/>
      <c r="AB2642"/>
      <c r="AC2642"/>
      <c r="AD2642"/>
      <c r="AE2642"/>
      <c r="AF2642"/>
      <c r="AG2642"/>
      <c r="AH2642"/>
      <c r="AI2642"/>
      <c r="AJ2642"/>
      <c r="AK2642"/>
      <c r="AL2642"/>
      <c r="AM2642"/>
      <c r="AN2642"/>
      <c r="AO2642"/>
    </row>
    <row r="2643" spans="1:41" ht="15">
      <c r="A2643"/>
      <c r="B2643"/>
      <c r="C2643" s="137"/>
      <c r="D2643" s="30"/>
      <c r="E2643" s="30"/>
      <c r="F2643" s="10"/>
      <c r="G2643" s="10"/>
      <c r="H2643" s="15"/>
      <c r="I2643" s="15"/>
      <c r="J2643" s="15"/>
      <c r="K2643" s="15"/>
      <c r="L2643" s="15"/>
      <c r="M2643" s="15"/>
      <c r="N2643" s="15"/>
      <c r="O2643" s="15"/>
      <c r="P2643" s="15"/>
      <c r="Q2643" s="71"/>
      <c r="R2643" s="84"/>
      <c r="S2643" s="10"/>
      <c r="T2643" s="10"/>
      <c r="U2643" s="10"/>
      <c r="V2643" s="10"/>
      <c r="W2643" s="138"/>
      <c r="Y2643"/>
      <c r="Z2643"/>
      <c r="AA2643"/>
      <c r="AB2643"/>
      <c r="AC2643"/>
      <c r="AD2643"/>
      <c r="AE2643"/>
      <c r="AF2643"/>
      <c r="AG2643"/>
      <c r="AH2643"/>
      <c r="AI2643"/>
      <c r="AJ2643"/>
      <c r="AK2643"/>
      <c r="AL2643"/>
      <c r="AM2643"/>
      <c r="AN2643"/>
      <c r="AO2643"/>
    </row>
    <row r="2644" spans="1:41" ht="15">
      <c r="A2644"/>
      <c r="B2644"/>
      <c r="C2644" s="137"/>
      <c r="D2644" s="30"/>
      <c r="E2644" s="30"/>
      <c r="F2644" s="10"/>
      <c r="G2644" s="10"/>
      <c r="H2644" s="15"/>
      <c r="I2644" s="15"/>
      <c r="J2644" s="15"/>
      <c r="K2644" s="15"/>
      <c r="L2644" s="15"/>
      <c r="M2644" s="15"/>
      <c r="N2644" s="15"/>
      <c r="O2644" s="15"/>
      <c r="P2644" s="15"/>
      <c r="Q2644" s="71"/>
      <c r="R2644" s="84"/>
      <c r="S2644" s="10"/>
      <c r="T2644" s="10"/>
      <c r="U2644" s="10"/>
      <c r="V2644" s="10"/>
      <c r="W2644" s="138"/>
      <c r="Y2644"/>
      <c r="Z2644"/>
      <c r="AA2644"/>
      <c r="AB2644"/>
      <c r="AC2644"/>
      <c r="AD2644"/>
      <c r="AE2644"/>
      <c r="AF2644"/>
      <c r="AG2644"/>
      <c r="AH2644"/>
      <c r="AI2644"/>
      <c r="AJ2644"/>
      <c r="AK2644"/>
      <c r="AL2644"/>
      <c r="AM2644"/>
      <c r="AN2644"/>
      <c r="AO2644"/>
    </row>
    <row r="2645" spans="1:41" ht="15">
      <c r="A2645"/>
      <c r="B2645"/>
      <c r="C2645" s="137"/>
      <c r="D2645" s="30"/>
      <c r="E2645" s="30"/>
      <c r="F2645" s="10"/>
      <c r="G2645" s="10"/>
      <c r="H2645" s="15"/>
      <c r="I2645" s="15"/>
      <c r="J2645" s="15"/>
      <c r="K2645" s="15"/>
      <c r="L2645" s="15"/>
      <c r="M2645" s="15"/>
      <c r="N2645" s="15"/>
      <c r="O2645" s="15"/>
      <c r="P2645" s="15"/>
      <c r="Q2645" s="71"/>
      <c r="R2645" s="84"/>
      <c r="S2645" s="10"/>
      <c r="T2645" s="10"/>
      <c r="U2645" s="10"/>
      <c r="V2645" s="10"/>
      <c r="W2645" s="138"/>
      <c r="Y2645"/>
      <c r="Z2645"/>
      <c r="AA2645"/>
      <c r="AB2645"/>
      <c r="AC2645"/>
      <c r="AD2645"/>
      <c r="AE2645"/>
      <c r="AF2645"/>
      <c r="AG2645"/>
      <c r="AH2645"/>
      <c r="AI2645"/>
      <c r="AJ2645"/>
      <c r="AK2645"/>
      <c r="AL2645"/>
      <c r="AM2645"/>
      <c r="AN2645"/>
      <c r="AO2645"/>
    </row>
    <row r="2646" spans="1:41" ht="15">
      <c r="A2646"/>
      <c r="B2646"/>
      <c r="C2646" s="137"/>
      <c r="D2646" s="30"/>
      <c r="E2646" s="30"/>
      <c r="F2646" s="10"/>
      <c r="G2646" s="10"/>
      <c r="H2646" s="15"/>
      <c r="I2646" s="15"/>
      <c r="J2646" s="15"/>
      <c r="K2646" s="15"/>
      <c r="L2646" s="15"/>
      <c r="M2646" s="15"/>
      <c r="N2646" s="15"/>
      <c r="O2646" s="15"/>
      <c r="P2646" s="15"/>
      <c r="Q2646" s="71"/>
      <c r="R2646" s="84"/>
      <c r="S2646" s="10"/>
      <c r="T2646" s="10"/>
      <c r="U2646" s="10"/>
      <c r="V2646" s="10"/>
      <c r="W2646" s="138"/>
      <c r="Y2646"/>
      <c r="Z2646"/>
      <c r="AA2646"/>
      <c r="AB2646"/>
      <c r="AC2646"/>
      <c r="AD2646"/>
      <c r="AE2646"/>
      <c r="AF2646"/>
      <c r="AG2646"/>
      <c r="AH2646"/>
      <c r="AI2646"/>
      <c r="AJ2646"/>
      <c r="AK2646"/>
      <c r="AL2646"/>
      <c r="AM2646"/>
      <c r="AN2646"/>
      <c r="AO2646"/>
    </row>
    <row r="2647" spans="1:41" ht="15">
      <c r="A2647"/>
      <c r="B2647"/>
      <c r="C2647" s="137"/>
      <c r="D2647" s="30"/>
      <c r="E2647" s="30"/>
      <c r="F2647" s="10"/>
      <c r="G2647" s="10"/>
      <c r="H2647" s="15"/>
      <c r="I2647" s="15"/>
      <c r="J2647" s="15"/>
      <c r="K2647" s="15"/>
      <c r="L2647" s="15"/>
      <c r="M2647" s="15"/>
      <c r="N2647" s="15"/>
      <c r="O2647" s="15"/>
      <c r="P2647" s="15"/>
      <c r="Q2647" s="71"/>
      <c r="R2647" s="84"/>
      <c r="S2647" s="10"/>
      <c r="T2647" s="10"/>
      <c r="U2647" s="10"/>
      <c r="V2647" s="10"/>
      <c r="W2647" s="138"/>
      <c r="Y2647"/>
      <c r="Z2647"/>
      <c r="AA2647"/>
      <c r="AB2647"/>
      <c r="AC2647"/>
      <c r="AD2647"/>
      <c r="AE2647"/>
      <c r="AF2647"/>
      <c r="AG2647"/>
      <c r="AH2647"/>
      <c r="AI2647"/>
      <c r="AJ2647"/>
      <c r="AK2647"/>
      <c r="AL2647"/>
      <c r="AM2647"/>
      <c r="AN2647"/>
      <c r="AO2647"/>
    </row>
    <row r="2648" spans="1:41" ht="15">
      <c r="A2648"/>
      <c r="B2648"/>
      <c r="C2648" s="137"/>
      <c r="D2648" s="30"/>
      <c r="E2648" s="30"/>
      <c r="F2648" s="10"/>
      <c r="G2648" s="10"/>
      <c r="H2648" s="15"/>
      <c r="I2648" s="15"/>
      <c r="J2648" s="15"/>
      <c r="K2648" s="15"/>
      <c r="L2648" s="15"/>
      <c r="M2648" s="15"/>
      <c r="N2648" s="15"/>
      <c r="O2648" s="15"/>
      <c r="P2648" s="15"/>
      <c r="Q2648" s="71"/>
      <c r="R2648" s="84"/>
      <c r="S2648" s="10"/>
      <c r="T2648" s="10"/>
      <c r="U2648" s="10"/>
      <c r="V2648" s="10"/>
      <c r="W2648" s="138"/>
      <c r="Y2648"/>
      <c r="Z2648"/>
      <c r="AA2648"/>
      <c r="AB2648"/>
      <c r="AC2648"/>
      <c r="AD2648"/>
      <c r="AE2648"/>
      <c r="AF2648"/>
      <c r="AG2648"/>
      <c r="AH2648"/>
      <c r="AI2648"/>
      <c r="AJ2648"/>
      <c r="AK2648"/>
      <c r="AL2648"/>
      <c r="AM2648"/>
      <c r="AN2648"/>
      <c r="AO2648"/>
    </row>
    <row r="2649" spans="1:41" ht="15">
      <c r="A2649"/>
      <c r="B2649"/>
      <c r="C2649" s="137"/>
      <c r="D2649" s="30"/>
      <c r="E2649" s="30"/>
      <c r="F2649" s="10"/>
      <c r="G2649" s="10"/>
      <c r="H2649" s="15"/>
      <c r="I2649" s="15"/>
      <c r="J2649" s="15"/>
      <c r="K2649" s="15"/>
      <c r="L2649" s="15"/>
      <c r="M2649" s="15"/>
      <c r="N2649" s="15"/>
      <c r="O2649" s="15"/>
      <c r="P2649" s="15"/>
      <c r="Q2649" s="71"/>
      <c r="R2649" s="84"/>
      <c r="S2649" s="10"/>
      <c r="T2649" s="10"/>
      <c r="U2649" s="10"/>
      <c r="V2649" s="10"/>
      <c r="W2649" s="138"/>
      <c r="Y2649"/>
      <c r="Z2649"/>
      <c r="AA2649"/>
      <c r="AB2649"/>
      <c r="AC2649"/>
      <c r="AD2649"/>
      <c r="AE2649"/>
      <c r="AF2649"/>
      <c r="AG2649"/>
      <c r="AH2649"/>
      <c r="AI2649"/>
      <c r="AJ2649"/>
      <c r="AK2649"/>
      <c r="AL2649"/>
      <c r="AM2649"/>
      <c r="AN2649"/>
      <c r="AO2649"/>
    </row>
    <row r="2650" spans="1:41" ht="15">
      <c r="A2650"/>
      <c r="B2650"/>
      <c r="C2650" s="137"/>
      <c r="D2650" s="30"/>
      <c r="E2650" s="30"/>
      <c r="F2650" s="10"/>
      <c r="G2650" s="10"/>
      <c r="H2650" s="15"/>
      <c r="I2650" s="15"/>
      <c r="J2650" s="15"/>
      <c r="K2650" s="15"/>
      <c r="L2650" s="15"/>
      <c r="M2650" s="15"/>
      <c r="N2650" s="15"/>
      <c r="O2650" s="15"/>
      <c r="P2650" s="15"/>
      <c r="Q2650" s="71"/>
      <c r="R2650" s="84"/>
      <c r="S2650" s="10"/>
      <c r="T2650" s="10"/>
      <c r="U2650" s="10"/>
      <c r="V2650" s="10"/>
      <c r="W2650" s="138"/>
      <c r="Y2650"/>
      <c r="Z2650"/>
      <c r="AA2650"/>
      <c r="AB2650"/>
      <c r="AC2650"/>
      <c r="AD2650"/>
      <c r="AE2650"/>
      <c r="AF2650"/>
      <c r="AG2650"/>
      <c r="AH2650"/>
      <c r="AI2650"/>
      <c r="AJ2650"/>
      <c r="AK2650"/>
      <c r="AL2650"/>
      <c r="AM2650"/>
      <c r="AN2650"/>
      <c r="AO2650"/>
    </row>
    <row r="2651" spans="1:41" ht="15">
      <c r="A2651"/>
      <c r="B2651"/>
      <c r="C2651" s="137"/>
      <c r="D2651" s="30"/>
      <c r="E2651" s="30"/>
      <c r="F2651" s="10"/>
      <c r="G2651" s="10"/>
      <c r="H2651" s="15"/>
      <c r="I2651" s="15"/>
      <c r="J2651" s="15"/>
      <c r="K2651" s="15"/>
      <c r="L2651" s="15"/>
      <c r="M2651" s="15"/>
      <c r="N2651" s="15"/>
      <c r="O2651" s="15"/>
      <c r="P2651" s="15"/>
      <c r="Q2651" s="71"/>
      <c r="R2651" s="84"/>
      <c r="S2651" s="10"/>
      <c r="T2651" s="10"/>
      <c r="U2651" s="10"/>
      <c r="V2651" s="10"/>
      <c r="W2651" s="138"/>
      <c r="Y2651"/>
      <c r="Z2651"/>
      <c r="AA2651"/>
      <c r="AB2651"/>
      <c r="AC2651"/>
      <c r="AD2651"/>
      <c r="AE2651"/>
      <c r="AF2651"/>
      <c r="AG2651"/>
      <c r="AH2651"/>
      <c r="AI2651"/>
      <c r="AJ2651"/>
      <c r="AK2651"/>
      <c r="AL2651"/>
      <c r="AM2651"/>
      <c r="AN2651"/>
      <c r="AO2651"/>
    </row>
    <row r="2652" spans="1:41" ht="15">
      <c r="A2652"/>
      <c r="B2652"/>
      <c r="C2652" s="137"/>
      <c r="D2652" s="30"/>
      <c r="E2652" s="30"/>
      <c r="F2652" s="10"/>
      <c r="G2652" s="10"/>
      <c r="H2652" s="15"/>
      <c r="I2652" s="15"/>
      <c r="J2652" s="15"/>
      <c r="K2652" s="15"/>
      <c r="L2652" s="15"/>
      <c r="M2652" s="15"/>
      <c r="N2652" s="15"/>
      <c r="O2652" s="15"/>
      <c r="P2652" s="15"/>
      <c r="Q2652" s="71"/>
      <c r="R2652" s="84"/>
      <c r="S2652" s="10"/>
      <c r="T2652" s="10"/>
      <c r="U2652" s="10"/>
      <c r="V2652" s="10"/>
      <c r="W2652" s="138"/>
      <c r="Y2652"/>
      <c r="Z2652"/>
      <c r="AA2652"/>
      <c r="AB2652"/>
      <c r="AC2652"/>
      <c r="AD2652"/>
      <c r="AE2652"/>
      <c r="AF2652"/>
      <c r="AG2652"/>
      <c r="AH2652"/>
      <c r="AI2652"/>
      <c r="AJ2652"/>
      <c r="AK2652"/>
      <c r="AL2652"/>
      <c r="AM2652"/>
      <c r="AN2652"/>
      <c r="AO2652"/>
    </row>
    <row r="2653" spans="1:41" ht="15">
      <c r="A2653"/>
      <c r="B2653"/>
      <c r="C2653" s="137"/>
      <c r="D2653" s="30"/>
      <c r="E2653" s="30"/>
      <c r="F2653" s="10"/>
      <c r="G2653" s="10"/>
      <c r="H2653" s="15"/>
      <c r="I2653" s="15"/>
      <c r="J2653" s="15"/>
      <c r="K2653" s="15"/>
      <c r="L2653" s="15"/>
      <c r="M2653" s="15"/>
      <c r="N2653" s="15"/>
      <c r="O2653" s="15"/>
      <c r="P2653" s="15"/>
      <c r="Q2653" s="71"/>
      <c r="R2653" s="84"/>
      <c r="S2653" s="10"/>
      <c r="T2653" s="10"/>
      <c r="U2653" s="10"/>
      <c r="V2653" s="10"/>
      <c r="W2653" s="138"/>
      <c r="Y2653"/>
      <c r="Z2653"/>
      <c r="AA2653"/>
      <c r="AB2653"/>
      <c r="AC2653"/>
      <c r="AD2653"/>
      <c r="AE2653"/>
      <c r="AF2653"/>
      <c r="AG2653"/>
      <c r="AH2653"/>
      <c r="AI2653"/>
      <c r="AJ2653"/>
      <c r="AK2653"/>
      <c r="AL2653"/>
      <c r="AM2653"/>
      <c r="AN2653"/>
      <c r="AO2653"/>
    </row>
    <row r="2654" spans="1:41" ht="15">
      <c r="A2654"/>
      <c r="B2654"/>
      <c r="C2654" s="137"/>
      <c r="D2654" s="30"/>
      <c r="E2654" s="30"/>
      <c r="F2654" s="10"/>
      <c r="G2654" s="10"/>
      <c r="H2654" s="15"/>
      <c r="I2654" s="15"/>
      <c r="J2654" s="15"/>
      <c r="K2654" s="15"/>
      <c r="L2654" s="15"/>
      <c r="M2654" s="15"/>
      <c r="N2654" s="15"/>
      <c r="O2654" s="15"/>
      <c r="P2654" s="15"/>
      <c r="Q2654" s="71"/>
      <c r="R2654" s="84"/>
      <c r="S2654" s="10"/>
      <c r="T2654" s="10"/>
      <c r="U2654" s="10"/>
      <c r="V2654" s="10"/>
      <c r="W2654" s="138"/>
      <c r="Y2654"/>
      <c r="Z2654"/>
      <c r="AA2654"/>
      <c r="AB2654"/>
      <c r="AC2654"/>
      <c r="AD2654"/>
      <c r="AE2654"/>
      <c r="AF2654"/>
      <c r="AG2654"/>
      <c r="AH2654"/>
      <c r="AI2654"/>
      <c r="AJ2654"/>
      <c r="AK2654"/>
      <c r="AL2654"/>
      <c r="AM2654"/>
      <c r="AN2654"/>
      <c r="AO2654"/>
    </row>
    <row r="2655" spans="1:41" ht="15">
      <c r="A2655"/>
      <c r="B2655"/>
      <c r="C2655" s="137"/>
      <c r="D2655" s="30"/>
      <c r="E2655" s="30"/>
      <c r="F2655" s="10"/>
      <c r="G2655" s="10"/>
      <c r="H2655" s="15"/>
      <c r="I2655" s="15"/>
      <c r="J2655" s="15"/>
      <c r="K2655" s="15"/>
      <c r="L2655" s="15"/>
      <c r="M2655" s="15"/>
      <c r="N2655" s="15"/>
      <c r="O2655" s="15"/>
      <c r="P2655" s="15"/>
      <c r="Q2655" s="71"/>
      <c r="R2655" s="84"/>
      <c r="S2655" s="10"/>
      <c r="T2655" s="10"/>
      <c r="U2655" s="10"/>
      <c r="V2655" s="10"/>
      <c r="W2655" s="138"/>
      <c r="Y2655"/>
      <c r="Z2655"/>
      <c r="AA2655"/>
      <c r="AB2655"/>
      <c r="AC2655"/>
      <c r="AD2655"/>
      <c r="AE2655"/>
      <c r="AF2655"/>
      <c r="AG2655"/>
      <c r="AH2655"/>
      <c r="AI2655"/>
      <c r="AJ2655"/>
      <c r="AK2655"/>
      <c r="AL2655"/>
      <c r="AM2655"/>
      <c r="AN2655"/>
      <c r="AO2655"/>
    </row>
    <row r="2656" spans="1:41" ht="15">
      <c r="A2656"/>
      <c r="B2656"/>
      <c r="C2656" s="137"/>
      <c r="D2656" s="30"/>
      <c r="E2656" s="30"/>
      <c r="F2656" s="10"/>
      <c r="G2656" s="10"/>
      <c r="H2656" s="15"/>
      <c r="I2656" s="15"/>
      <c r="J2656" s="15"/>
      <c r="K2656" s="15"/>
      <c r="L2656" s="15"/>
      <c r="M2656" s="15"/>
      <c r="N2656" s="15"/>
      <c r="O2656" s="15"/>
      <c r="P2656" s="15"/>
      <c r="Q2656" s="71"/>
      <c r="R2656" s="84"/>
      <c r="S2656" s="10"/>
      <c r="T2656" s="10"/>
      <c r="U2656" s="10"/>
      <c r="V2656" s="10"/>
      <c r="W2656" s="138"/>
      <c r="Y2656"/>
      <c r="Z2656"/>
      <c r="AA2656"/>
      <c r="AB2656"/>
      <c r="AC2656"/>
      <c r="AD2656"/>
      <c r="AE2656"/>
      <c r="AF2656"/>
      <c r="AG2656"/>
      <c r="AH2656"/>
      <c r="AI2656"/>
      <c r="AJ2656"/>
      <c r="AK2656"/>
      <c r="AL2656"/>
      <c r="AM2656"/>
      <c r="AN2656"/>
      <c r="AO2656"/>
    </row>
    <row r="2657" spans="1:41" ht="15">
      <c r="A2657"/>
      <c r="B2657"/>
      <c r="C2657" s="137"/>
      <c r="D2657" s="30"/>
      <c r="E2657" s="30"/>
      <c r="F2657" s="10"/>
      <c r="G2657" s="10"/>
      <c r="H2657" s="15"/>
      <c r="I2657" s="15"/>
      <c r="J2657" s="15"/>
      <c r="K2657" s="15"/>
      <c r="L2657" s="15"/>
      <c r="M2657" s="15"/>
      <c r="N2657" s="15"/>
      <c r="O2657" s="15"/>
      <c r="P2657" s="15"/>
      <c r="Q2657" s="71"/>
      <c r="R2657" s="84"/>
      <c r="S2657" s="10"/>
      <c r="T2657" s="10"/>
      <c r="U2657" s="10"/>
      <c r="V2657" s="10"/>
      <c r="W2657" s="138"/>
      <c r="Y2657"/>
      <c r="Z2657"/>
      <c r="AA2657"/>
      <c r="AB2657"/>
      <c r="AC2657"/>
      <c r="AD2657"/>
      <c r="AE2657"/>
      <c r="AF2657"/>
      <c r="AG2657"/>
      <c r="AH2657"/>
      <c r="AI2657"/>
      <c r="AJ2657"/>
      <c r="AK2657"/>
      <c r="AL2657"/>
      <c r="AM2657"/>
      <c r="AN2657"/>
      <c r="AO2657"/>
    </row>
    <row r="2658" spans="1:41" ht="15">
      <c r="A2658"/>
      <c r="B2658"/>
      <c r="C2658" s="137"/>
      <c r="D2658" s="30"/>
      <c r="E2658" s="30"/>
      <c r="F2658" s="10"/>
      <c r="G2658" s="10"/>
      <c r="H2658" s="15"/>
      <c r="I2658" s="15"/>
      <c r="J2658" s="15"/>
      <c r="K2658" s="15"/>
      <c r="L2658" s="15"/>
      <c r="M2658" s="15"/>
      <c r="N2658" s="15"/>
      <c r="O2658" s="15"/>
      <c r="P2658" s="15"/>
      <c r="Q2658" s="71"/>
      <c r="R2658" s="84"/>
      <c r="S2658" s="10"/>
      <c r="T2658" s="10"/>
      <c r="U2658" s="10"/>
      <c r="V2658" s="10"/>
      <c r="W2658" s="138"/>
      <c r="Y2658"/>
      <c r="Z2658"/>
      <c r="AA2658"/>
      <c r="AB2658"/>
      <c r="AC2658"/>
      <c r="AD2658"/>
      <c r="AE2658"/>
      <c r="AF2658"/>
      <c r="AG2658"/>
      <c r="AH2658"/>
      <c r="AI2658"/>
      <c r="AJ2658"/>
      <c r="AK2658"/>
      <c r="AL2658"/>
      <c r="AM2658"/>
      <c r="AN2658"/>
      <c r="AO2658"/>
    </row>
    <row r="2659" spans="1:41" ht="15">
      <c r="A2659"/>
      <c r="B2659"/>
      <c r="C2659" s="137"/>
      <c r="D2659" s="30"/>
      <c r="E2659" s="30"/>
      <c r="F2659" s="10"/>
      <c r="G2659" s="10"/>
      <c r="H2659" s="15"/>
      <c r="I2659" s="15"/>
      <c r="J2659" s="15"/>
      <c r="K2659" s="15"/>
      <c r="L2659" s="15"/>
      <c r="M2659" s="15"/>
      <c r="N2659" s="15"/>
      <c r="O2659" s="15"/>
      <c r="P2659" s="15"/>
      <c r="Q2659" s="71"/>
      <c r="R2659" s="84"/>
      <c r="S2659" s="10"/>
      <c r="T2659" s="10"/>
      <c r="U2659" s="10"/>
      <c r="V2659" s="10"/>
      <c r="W2659" s="138"/>
      <c r="Y2659"/>
      <c r="Z2659"/>
      <c r="AA2659"/>
      <c r="AB2659"/>
      <c r="AC2659"/>
      <c r="AD2659"/>
      <c r="AE2659"/>
      <c r="AF2659"/>
      <c r="AG2659"/>
      <c r="AH2659"/>
      <c r="AI2659"/>
      <c r="AJ2659"/>
      <c r="AK2659"/>
      <c r="AL2659"/>
      <c r="AM2659"/>
      <c r="AN2659"/>
      <c r="AO2659"/>
    </row>
    <row r="2660" spans="1:41" ht="15">
      <c r="A2660"/>
      <c r="B2660"/>
      <c r="C2660" s="137"/>
      <c r="D2660" s="30"/>
      <c r="E2660" s="30"/>
      <c r="F2660" s="10"/>
      <c r="G2660" s="10"/>
      <c r="H2660" s="15"/>
      <c r="I2660" s="15"/>
      <c r="J2660" s="15"/>
      <c r="K2660" s="15"/>
      <c r="L2660" s="15"/>
      <c r="M2660" s="15"/>
      <c r="N2660" s="15"/>
      <c r="O2660" s="15"/>
      <c r="P2660" s="15"/>
      <c r="Q2660" s="71"/>
      <c r="R2660" s="84"/>
      <c r="S2660" s="10"/>
      <c r="T2660" s="10"/>
      <c r="U2660" s="10"/>
      <c r="V2660" s="10"/>
      <c r="W2660" s="138"/>
      <c r="Y2660"/>
      <c r="Z2660"/>
      <c r="AA2660"/>
      <c r="AB2660"/>
      <c r="AC2660"/>
      <c r="AD2660"/>
      <c r="AE2660"/>
      <c r="AF2660"/>
      <c r="AG2660"/>
      <c r="AH2660"/>
      <c r="AI2660"/>
      <c r="AJ2660"/>
      <c r="AK2660"/>
      <c r="AL2660"/>
      <c r="AM2660"/>
      <c r="AN2660"/>
      <c r="AO2660"/>
    </row>
    <row r="2661" spans="1:41" ht="15">
      <c r="A2661"/>
      <c r="B2661"/>
      <c r="C2661" s="137"/>
      <c r="D2661" s="30"/>
      <c r="E2661" s="30"/>
      <c r="F2661" s="10"/>
      <c r="G2661" s="10"/>
      <c r="H2661" s="15"/>
      <c r="I2661" s="15"/>
      <c r="J2661" s="15"/>
      <c r="K2661" s="15"/>
      <c r="L2661" s="15"/>
      <c r="M2661" s="15"/>
      <c r="N2661" s="15"/>
      <c r="O2661" s="15"/>
      <c r="P2661" s="15"/>
      <c r="Q2661" s="71"/>
      <c r="R2661" s="84"/>
      <c r="S2661" s="10"/>
      <c r="T2661" s="10"/>
      <c r="U2661" s="10"/>
      <c r="V2661" s="10"/>
      <c r="W2661" s="138"/>
      <c r="Y2661"/>
      <c r="Z2661"/>
      <c r="AA2661"/>
      <c r="AB2661"/>
      <c r="AC2661"/>
      <c r="AD2661"/>
      <c r="AE2661"/>
      <c r="AF2661"/>
      <c r="AG2661"/>
      <c r="AH2661"/>
      <c r="AI2661"/>
      <c r="AJ2661"/>
      <c r="AK2661"/>
      <c r="AL2661"/>
      <c r="AM2661"/>
      <c r="AN2661"/>
      <c r="AO2661"/>
    </row>
    <row r="2662" spans="1:41" ht="15">
      <c r="A2662"/>
      <c r="B2662"/>
      <c r="C2662" s="137"/>
      <c r="D2662" s="30"/>
      <c r="E2662" s="30"/>
      <c r="F2662" s="10"/>
      <c r="G2662" s="10"/>
      <c r="H2662" s="15"/>
      <c r="I2662" s="15"/>
      <c r="J2662" s="15"/>
      <c r="K2662" s="15"/>
      <c r="L2662" s="15"/>
      <c r="M2662" s="15"/>
      <c r="N2662" s="15"/>
      <c r="O2662" s="15"/>
      <c r="P2662" s="15"/>
      <c r="Q2662" s="71"/>
      <c r="R2662" s="84"/>
      <c r="S2662" s="10"/>
      <c r="T2662" s="10"/>
      <c r="U2662" s="10"/>
      <c r="V2662" s="10"/>
      <c r="W2662" s="138"/>
      <c r="Y2662"/>
      <c r="Z2662"/>
      <c r="AA2662"/>
      <c r="AB2662"/>
      <c r="AC2662"/>
      <c r="AD2662"/>
      <c r="AE2662"/>
      <c r="AF2662"/>
      <c r="AG2662"/>
      <c r="AH2662"/>
      <c r="AI2662"/>
      <c r="AJ2662"/>
      <c r="AK2662"/>
      <c r="AL2662"/>
      <c r="AM2662"/>
      <c r="AN2662"/>
      <c r="AO2662"/>
    </row>
    <row r="2663" spans="1:41" ht="15">
      <c r="A2663"/>
      <c r="B2663"/>
      <c r="C2663" s="137"/>
      <c r="D2663" s="30"/>
      <c r="E2663" s="30"/>
      <c r="F2663" s="10"/>
      <c r="G2663" s="10"/>
      <c r="H2663" s="15"/>
      <c r="I2663" s="15"/>
      <c r="J2663" s="15"/>
      <c r="K2663" s="15"/>
      <c r="L2663" s="15"/>
      <c r="M2663" s="15"/>
      <c r="N2663" s="15"/>
      <c r="O2663" s="15"/>
      <c r="P2663" s="15"/>
      <c r="Q2663" s="71"/>
      <c r="R2663" s="84"/>
      <c r="S2663" s="10"/>
      <c r="T2663" s="10"/>
      <c r="U2663" s="10"/>
      <c r="V2663" s="10"/>
      <c r="W2663" s="138"/>
      <c r="Y2663"/>
      <c r="Z2663"/>
      <c r="AA2663"/>
      <c r="AB2663"/>
      <c r="AC2663"/>
      <c r="AD2663"/>
      <c r="AE2663"/>
      <c r="AF2663"/>
      <c r="AG2663"/>
      <c r="AH2663"/>
      <c r="AI2663"/>
      <c r="AJ2663"/>
      <c r="AK2663"/>
      <c r="AL2663"/>
      <c r="AM2663"/>
      <c r="AN2663"/>
      <c r="AO2663"/>
    </row>
    <row r="2664" spans="1:41" ht="15">
      <c r="A2664"/>
      <c r="B2664"/>
      <c r="C2664" s="137"/>
      <c r="D2664" s="30"/>
      <c r="E2664" s="30"/>
      <c r="F2664" s="10"/>
      <c r="G2664" s="10"/>
      <c r="H2664" s="15"/>
      <c r="I2664" s="15"/>
      <c r="J2664" s="15"/>
      <c r="K2664" s="15"/>
      <c r="L2664" s="15"/>
      <c r="M2664" s="15"/>
      <c r="N2664" s="15"/>
      <c r="O2664" s="15"/>
      <c r="P2664" s="15"/>
      <c r="Q2664" s="71"/>
      <c r="R2664" s="84"/>
      <c r="S2664" s="10"/>
      <c r="T2664" s="10"/>
      <c r="U2664" s="10"/>
      <c r="V2664" s="10"/>
      <c r="W2664" s="138"/>
      <c r="Y2664"/>
      <c r="Z2664"/>
      <c r="AA2664"/>
      <c r="AB2664"/>
      <c r="AC2664"/>
      <c r="AD2664"/>
      <c r="AE2664"/>
      <c r="AF2664"/>
      <c r="AG2664"/>
      <c r="AH2664"/>
      <c r="AI2664"/>
      <c r="AJ2664"/>
      <c r="AK2664"/>
      <c r="AL2664"/>
      <c r="AM2664"/>
      <c r="AN2664"/>
      <c r="AO2664"/>
    </row>
    <row r="2665" spans="1:41" ht="15">
      <c r="A2665"/>
      <c r="B2665"/>
      <c r="C2665" s="137"/>
      <c r="D2665" s="30"/>
      <c r="E2665" s="30"/>
      <c r="F2665" s="10"/>
      <c r="G2665" s="10"/>
      <c r="H2665" s="15"/>
      <c r="I2665" s="15"/>
      <c r="J2665" s="15"/>
      <c r="K2665" s="15"/>
      <c r="L2665" s="15"/>
      <c r="M2665" s="15"/>
      <c r="N2665" s="15"/>
      <c r="O2665" s="15"/>
      <c r="P2665" s="15"/>
      <c r="Q2665" s="71"/>
      <c r="R2665" s="84"/>
      <c r="S2665" s="10"/>
      <c r="T2665" s="10"/>
      <c r="U2665" s="10"/>
      <c r="V2665" s="10"/>
      <c r="W2665" s="138"/>
      <c r="Y2665"/>
      <c r="Z2665"/>
      <c r="AA2665"/>
      <c r="AB2665"/>
      <c r="AC2665"/>
      <c r="AD2665"/>
      <c r="AE2665"/>
      <c r="AF2665"/>
      <c r="AG2665"/>
      <c r="AH2665"/>
      <c r="AI2665"/>
      <c r="AJ2665"/>
      <c r="AK2665"/>
      <c r="AL2665"/>
      <c r="AM2665"/>
      <c r="AN2665"/>
      <c r="AO2665"/>
    </row>
    <row r="2666" spans="1:41" ht="15">
      <c r="A2666"/>
      <c r="B2666"/>
      <c r="C2666" s="137"/>
      <c r="D2666" s="30"/>
      <c r="E2666" s="30"/>
      <c r="F2666" s="10"/>
      <c r="G2666" s="10"/>
      <c r="H2666" s="15"/>
      <c r="I2666" s="15"/>
      <c r="J2666" s="15"/>
      <c r="K2666" s="15"/>
      <c r="L2666" s="15"/>
      <c r="M2666" s="15"/>
      <c r="N2666" s="15"/>
      <c r="O2666" s="15"/>
      <c r="P2666" s="15"/>
      <c r="Q2666" s="71"/>
      <c r="R2666" s="84"/>
      <c r="S2666" s="10"/>
      <c r="T2666" s="10"/>
      <c r="U2666" s="10"/>
      <c r="V2666" s="10"/>
      <c r="W2666" s="138"/>
      <c r="Y2666"/>
      <c r="Z2666"/>
      <c r="AA2666"/>
      <c r="AB2666"/>
      <c r="AC2666"/>
      <c r="AD2666"/>
      <c r="AE2666"/>
      <c r="AF2666"/>
      <c r="AG2666"/>
      <c r="AH2666"/>
      <c r="AI2666"/>
      <c r="AJ2666"/>
      <c r="AK2666"/>
      <c r="AL2666"/>
      <c r="AM2666"/>
      <c r="AN2666"/>
      <c r="AO2666"/>
    </row>
    <row r="2667" spans="1:41" ht="15">
      <c r="A2667"/>
      <c r="B2667"/>
      <c r="C2667" s="137"/>
      <c r="D2667" s="30"/>
      <c r="E2667" s="30"/>
      <c r="F2667" s="10"/>
      <c r="G2667" s="10"/>
      <c r="H2667" s="15"/>
      <c r="I2667" s="15"/>
      <c r="J2667" s="15"/>
      <c r="K2667" s="15"/>
      <c r="L2667" s="15"/>
      <c r="M2667" s="15"/>
      <c r="N2667" s="15"/>
      <c r="O2667" s="15"/>
      <c r="P2667" s="15"/>
      <c r="Q2667" s="71"/>
      <c r="R2667" s="84"/>
      <c r="S2667" s="10"/>
      <c r="T2667" s="10"/>
      <c r="U2667" s="10"/>
      <c r="V2667" s="10"/>
      <c r="W2667" s="138"/>
      <c r="Y2667"/>
      <c r="Z2667"/>
      <c r="AA2667"/>
      <c r="AB2667"/>
      <c r="AC2667"/>
      <c r="AD2667"/>
      <c r="AE2667"/>
      <c r="AF2667"/>
      <c r="AG2667"/>
      <c r="AH2667"/>
      <c r="AI2667"/>
      <c r="AJ2667"/>
      <c r="AK2667"/>
      <c r="AL2667"/>
      <c r="AM2667"/>
      <c r="AN2667"/>
      <c r="AO2667"/>
    </row>
    <row r="2668" spans="1:41" ht="15">
      <c r="A2668"/>
      <c r="B2668"/>
      <c r="C2668" s="137"/>
      <c r="D2668" s="30"/>
      <c r="E2668" s="30"/>
      <c r="F2668" s="10"/>
      <c r="G2668" s="10"/>
      <c r="H2668" s="15"/>
      <c r="I2668" s="15"/>
      <c r="J2668" s="15"/>
      <c r="K2668" s="15"/>
      <c r="L2668" s="15"/>
      <c r="M2668" s="15"/>
      <c r="N2668" s="15"/>
      <c r="O2668" s="15"/>
      <c r="P2668" s="15"/>
      <c r="Q2668" s="71"/>
      <c r="R2668" s="84"/>
      <c r="S2668" s="10"/>
      <c r="T2668" s="10"/>
      <c r="U2668" s="10"/>
      <c r="V2668" s="10"/>
      <c r="W2668" s="138"/>
      <c r="Y2668"/>
      <c r="Z2668"/>
      <c r="AA2668"/>
      <c r="AB2668"/>
      <c r="AC2668"/>
      <c r="AD2668"/>
      <c r="AE2668"/>
      <c r="AF2668"/>
      <c r="AG2668"/>
      <c r="AH2668"/>
      <c r="AI2668"/>
      <c r="AJ2668"/>
      <c r="AK2668"/>
      <c r="AL2668"/>
      <c r="AM2668"/>
      <c r="AN2668"/>
      <c r="AO2668"/>
    </row>
    <row r="2669" spans="1:41" ht="15">
      <c r="A2669"/>
      <c r="B2669"/>
      <c r="C2669" s="137"/>
      <c r="D2669" s="30"/>
      <c r="E2669" s="30"/>
      <c r="F2669" s="10"/>
      <c r="G2669" s="10"/>
      <c r="H2669" s="15"/>
      <c r="I2669" s="15"/>
      <c r="J2669" s="15"/>
      <c r="K2669" s="15"/>
      <c r="L2669" s="15"/>
      <c r="M2669" s="15"/>
      <c r="N2669" s="15"/>
      <c r="O2669" s="15"/>
      <c r="P2669" s="15"/>
      <c r="Q2669" s="71"/>
      <c r="R2669" s="84"/>
      <c r="S2669" s="10"/>
      <c r="T2669" s="10"/>
      <c r="U2669" s="10"/>
      <c r="V2669" s="10"/>
      <c r="W2669" s="138"/>
      <c r="Y2669"/>
      <c r="Z2669"/>
      <c r="AA2669"/>
      <c r="AB2669"/>
      <c r="AC2669"/>
      <c r="AD2669"/>
      <c r="AE2669"/>
      <c r="AF2669"/>
      <c r="AG2669"/>
      <c r="AH2669"/>
      <c r="AI2669"/>
      <c r="AJ2669"/>
      <c r="AK2669"/>
      <c r="AL2669"/>
      <c r="AM2669"/>
      <c r="AN2669"/>
      <c r="AO2669"/>
    </row>
    <row r="2670" spans="1:41" ht="15">
      <c r="A2670"/>
      <c r="B2670"/>
      <c r="C2670" s="137"/>
      <c r="D2670" s="30"/>
      <c r="E2670" s="30"/>
      <c r="F2670" s="10"/>
      <c r="G2670" s="10"/>
      <c r="H2670" s="15"/>
      <c r="I2670" s="15"/>
      <c r="J2670" s="15"/>
      <c r="K2670" s="15"/>
      <c r="L2670" s="15"/>
      <c r="M2670" s="15"/>
      <c r="N2670" s="15"/>
      <c r="O2670" s="15"/>
      <c r="P2670" s="15"/>
      <c r="Q2670" s="71"/>
      <c r="R2670" s="84"/>
      <c r="S2670" s="10"/>
      <c r="T2670" s="10"/>
      <c r="U2670" s="10"/>
      <c r="V2670" s="10"/>
      <c r="W2670" s="138"/>
      <c r="Y2670"/>
      <c r="Z2670"/>
      <c r="AA2670"/>
      <c r="AB2670"/>
      <c r="AC2670"/>
      <c r="AD2670"/>
      <c r="AE2670"/>
      <c r="AF2670"/>
      <c r="AG2670"/>
      <c r="AH2670"/>
      <c r="AI2670"/>
      <c r="AJ2670"/>
      <c r="AK2670"/>
      <c r="AL2670"/>
      <c r="AM2670"/>
      <c r="AN2670"/>
      <c r="AO2670"/>
    </row>
    <row r="2671" spans="1:41" ht="15">
      <c r="A2671"/>
      <c r="B2671"/>
      <c r="C2671" s="137"/>
      <c r="D2671" s="30"/>
      <c r="E2671" s="30"/>
      <c r="F2671" s="10"/>
      <c r="G2671" s="10"/>
      <c r="H2671" s="15"/>
      <c r="I2671" s="15"/>
      <c r="J2671" s="15"/>
      <c r="K2671" s="15"/>
      <c r="L2671" s="15"/>
      <c r="M2671" s="15"/>
      <c r="N2671" s="15"/>
      <c r="O2671" s="15"/>
      <c r="P2671" s="15"/>
      <c r="Q2671" s="71"/>
      <c r="R2671" s="84"/>
      <c r="S2671" s="10"/>
      <c r="T2671" s="10"/>
      <c r="U2671" s="10"/>
      <c r="V2671" s="10"/>
      <c r="W2671" s="138"/>
      <c r="Y2671"/>
      <c r="Z2671"/>
      <c r="AA2671"/>
      <c r="AB2671"/>
      <c r="AC2671"/>
      <c r="AD2671"/>
      <c r="AE2671"/>
      <c r="AF2671"/>
      <c r="AG2671"/>
      <c r="AH2671"/>
      <c r="AI2671"/>
      <c r="AJ2671"/>
      <c r="AK2671"/>
      <c r="AL2671"/>
      <c r="AM2671"/>
      <c r="AN2671"/>
      <c r="AO2671"/>
    </row>
    <row r="2672" spans="1:41" ht="15">
      <c r="A2672"/>
      <c r="B2672"/>
      <c r="C2672" s="137"/>
      <c r="D2672" s="30"/>
      <c r="E2672" s="30"/>
      <c r="F2672" s="10"/>
      <c r="G2672" s="10"/>
      <c r="H2672" s="15"/>
      <c r="I2672" s="15"/>
      <c r="J2672" s="15"/>
      <c r="K2672" s="15"/>
      <c r="L2672" s="15"/>
      <c r="M2672" s="15"/>
      <c r="N2672" s="15"/>
      <c r="O2672" s="15"/>
      <c r="P2672" s="15"/>
      <c r="Q2672" s="71"/>
      <c r="R2672" s="84"/>
      <c r="S2672" s="10"/>
      <c r="T2672" s="10"/>
      <c r="U2672" s="10"/>
      <c r="V2672" s="10"/>
      <c r="W2672" s="138"/>
      <c r="Y2672"/>
      <c r="Z2672"/>
      <c r="AA2672"/>
      <c r="AB2672"/>
      <c r="AC2672"/>
      <c r="AD2672"/>
      <c r="AE2672"/>
      <c r="AF2672"/>
      <c r="AG2672"/>
      <c r="AH2672"/>
      <c r="AI2672"/>
      <c r="AJ2672"/>
      <c r="AK2672"/>
      <c r="AL2672"/>
      <c r="AM2672"/>
      <c r="AN2672"/>
      <c r="AO2672"/>
    </row>
    <row r="2673" spans="1:41" ht="15">
      <c r="A2673"/>
      <c r="B2673"/>
      <c r="C2673" s="137"/>
      <c r="D2673" s="30"/>
      <c r="E2673" s="30"/>
      <c r="F2673" s="10"/>
      <c r="G2673" s="10"/>
      <c r="H2673" s="15"/>
      <c r="I2673" s="15"/>
      <c r="J2673" s="15"/>
      <c r="K2673" s="15"/>
      <c r="L2673" s="15"/>
      <c r="M2673" s="15"/>
      <c r="N2673" s="15"/>
      <c r="O2673" s="15"/>
      <c r="P2673" s="15"/>
      <c r="Q2673" s="71"/>
      <c r="R2673" s="84"/>
      <c r="S2673" s="10"/>
      <c r="T2673" s="10"/>
      <c r="U2673" s="10"/>
      <c r="V2673" s="10"/>
      <c r="W2673" s="138"/>
      <c r="Y2673"/>
      <c r="Z2673"/>
      <c r="AA2673"/>
      <c r="AB2673"/>
      <c r="AC2673"/>
      <c r="AD2673"/>
      <c r="AE2673"/>
      <c r="AF2673"/>
      <c r="AG2673"/>
      <c r="AH2673"/>
      <c r="AI2673"/>
      <c r="AJ2673"/>
      <c r="AK2673"/>
      <c r="AL2673"/>
      <c r="AM2673"/>
      <c r="AN2673"/>
      <c r="AO2673"/>
    </row>
    <row r="2674" spans="1:41" ht="15">
      <c r="A2674"/>
      <c r="B2674"/>
      <c r="C2674" s="137"/>
      <c r="D2674" s="30"/>
      <c r="E2674" s="30"/>
      <c r="F2674" s="10"/>
      <c r="G2674" s="10"/>
      <c r="H2674" s="15"/>
      <c r="I2674" s="15"/>
      <c r="J2674" s="15"/>
      <c r="K2674" s="15"/>
      <c r="L2674" s="15"/>
      <c r="M2674" s="15"/>
      <c r="N2674" s="15"/>
      <c r="O2674" s="15"/>
      <c r="P2674" s="15"/>
      <c r="Q2674" s="71"/>
      <c r="R2674" s="84"/>
      <c r="S2674" s="10"/>
      <c r="T2674" s="10"/>
      <c r="U2674" s="10"/>
      <c r="V2674" s="10"/>
      <c r="W2674" s="138"/>
      <c r="Y2674"/>
      <c r="Z2674"/>
      <c r="AA2674"/>
      <c r="AB2674"/>
      <c r="AC2674"/>
      <c r="AD2674"/>
      <c r="AE2674"/>
      <c r="AF2674"/>
      <c r="AG2674"/>
      <c r="AH2674"/>
      <c r="AI2674"/>
      <c r="AJ2674"/>
      <c r="AK2674"/>
      <c r="AL2674"/>
      <c r="AM2674"/>
      <c r="AN2674"/>
      <c r="AO2674"/>
    </row>
    <row r="2675" spans="1:41" ht="15">
      <c r="A2675"/>
      <c r="B2675"/>
      <c r="C2675" s="137"/>
      <c r="D2675" s="30"/>
      <c r="E2675" s="30"/>
      <c r="F2675" s="10"/>
      <c r="G2675" s="10"/>
      <c r="H2675" s="15"/>
      <c r="I2675" s="15"/>
      <c r="J2675" s="15"/>
      <c r="K2675" s="15"/>
      <c r="L2675" s="15"/>
      <c r="M2675" s="15"/>
      <c r="N2675" s="15"/>
      <c r="O2675" s="15"/>
      <c r="P2675" s="15"/>
      <c r="Q2675" s="71"/>
      <c r="R2675" s="84"/>
      <c r="S2675" s="10"/>
      <c r="T2675" s="10"/>
      <c r="U2675" s="10"/>
      <c r="V2675" s="10"/>
      <c r="W2675" s="138"/>
      <c r="Y2675"/>
      <c r="Z2675"/>
      <c r="AA2675"/>
      <c r="AB2675"/>
      <c r="AC2675"/>
      <c r="AD2675"/>
      <c r="AE2675"/>
      <c r="AF2675"/>
      <c r="AG2675"/>
      <c r="AH2675"/>
      <c r="AI2675"/>
      <c r="AJ2675"/>
      <c r="AK2675"/>
      <c r="AL2675"/>
      <c r="AM2675"/>
      <c r="AN2675"/>
      <c r="AO2675"/>
    </row>
    <row r="2676" spans="1:41" ht="15">
      <c r="A2676"/>
      <c r="B2676"/>
      <c r="C2676" s="137"/>
      <c r="D2676" s="30"/>
      <c r="E2676" s="30"/>
      <c r="F2676" s="10"/>
      <c r="G2676" s="10"/>
      <c r="H2676" s="15"/>
      <c r="I2676" s="15"/>
      <c r="J2676" s="15"/>
      <c r="K2676" s="15"/>
      <c r="L2676" s="15"/>
      <c r="M2676" s="15"/>
      <c r="N2676" s="15"/>
      <c r="O2676" s="15"/>
      <c r="P2676" s="15"/>
      <c r="Q2676" s="71"/>
      <c r="R2676" s="84"/>
      <c r="S2676" s="10"/>
      <c r="T2676" s="10"/>
      <c r="U2676" s="10"/>
      <c r="V2676" s="10"/>
      <c r="W2676" s="138"/>
      <c r="Y2676"/>
      <c r="Z2676"/>
      <c r="AA2676"/>
      <c r="AB2676"/>
      <c r="AC2676"/>
      <c r="AD2676"/>
      <c r="AE2676"/>
      <c r="AF2676"/>
      <c r="AG2676"/>
      <c r="AH2676"/>
      <c r="AI2676"/>
      <c r="AJ2676"/>
      <c r="AK2676"/>
      <c r="AL2676"/>
      <c r="AM2676"/>
      <c r="AN2676"/>
      <c r="AO2676"/>
    </row>
    <row r="2677" spans="1:41" ht="15">
      <c r="A2677"/>
      <c r="B2677"/>
      <c r="C2677" s="137"/>
      <c r="D2677" s="30"/>
      <c r="E2677" s="30"/>
      <c r="F2677" s="10"/>
      <c r="G2677" s="10"/>
      <c r="H2677" s="15"/>
      <c r="I2677" s="15"/>
      <c r="J2677" s="15"/>
      <c r="K2677" s="15"/>
      <c r="L2677" s="15"/>
      <c r="M2677" s="15"/>
      <c r="N2677" s="15"/>
      <c r="O2677" s="15"/>
      <c r="P2677" s="15"/>
      <c r="Q2677" s="71"/>
      <c r="R2677" s="84"/>
      <c r="S2677" s="10"/>
      <c r="T2677" s="10"/>
      <c r="U2677" s="10"/>
      <c r="V2677" s="10"/>
      <c r="W2677" s="138"/>
      <c r="Y2677"/>
      <c r="Z2677"/>
      <c r="AA2677"/>
      <c r="AB2677"/>
      <c r="AC2677"/>
      <c r="AD2677"/>
      <c r="AE2677"/>
      <c r="AF2677"/>
      <c r="AG2677"/>
      <c r="AH2677"/>
      <c r="AI2677"/>
      <c r="AJ2677"/>
      <c r="AK2677"/>
      <c r="AL2677"/>
      <c r="AM2677"/>
      <c r="AN2677"/>
      <c r="AO2677"/>
    </row>
    <row r="2678" spans="1:41" ht="15">
      <c r="A2678"/>
      <c r="B2678"/>
      <c r="C2678" s="137"/>
      <c r="D2678" s="30"/>
      <c r="E2678" s="30"/>
      <c r="F2678" s="10"/>
      <c r="G2678" s="10"/>
      <c r="H2678" s="15"/>
      <c r="I2678" s="15"/>
      <c r="J2678" s="15"/>
      <c r="K2678" s="15"/>
      <c r="L2678" s="15"/>
      <c r="M2678" s="15"/>
      <c r="N2678" s="15"/>
      <c r="O2678" s="15"/>
      <c r="P2678" s="15"/>
      <c r="Q2678" s="71"/>
      <c r="R2678" s="84"/>
      <c r="S2678" s="10"/>
      <c r="T2678" s="10"/>
      <c r="U2678" s="10"/>
      <c r="V2678" s="10"/>
      <c r="W2678" s="138"/>
      <c r="Y2678"/>
      <c r="Z2678"/>
      <c r="AA2678"/>
      <c r="AB2678"/>
      <c r="AC2678"/>
      <c r="AD2678"/>
      <c r="AE2678"/>
      <c r="AF2678"/>
      <c r="AG2678"/>
      <c r="AH2678"/>
      <c r="AI2678"/>
      <c r="AJ2678"/>
      <c r="AK2678"/>
      <c r="AL2678"/>
      <c r="AM2678"/>
      <c r="AN2678"/>
      <c r="AO2678"/>
    </row>
    <row r="2679" spans="1:41" ht="15">
      <c r="A2679"/>
      <c r="B2679"/>
      <c r="C2679" s="137"/>
      <c r="D2679" s="30"/>
      <c r="E2679" s="30"/>
      <c r="F2679" s="10"/>
      <c r="G2679" s="10"/>
      <c r="H2679" s="15"/>
      <c r="I2679" s="15"/>
      <c r="J2679" s="15"/>
      <c r="K2679" s="15"/>
      <c r="L2679" s="15"/>
      <c r="M2679" s="15"/>
      <c r="N2679" s="15"/>
      <c r="O2679" s="15"/>
      <c r="P2679" s="15"/>
      <c r="Q2679" s="71"/>
      <c r="R2679" s="84"/>
      <c r="S2679" s="10"/>
      <c r="T2679" s="10"/>
      <c r="U2679" s="10"/>
      <c r="V2679" s="10"/>
      <c r="W2679" s="138"/>
      <c r="Y2679"/>
      <c r="Z2679"/>
      <c r="AA2679"/>
      <c r="AB2679"/>
      <c r="AC2679"/>
      <c r="AD2679"/>
      <c r="AE2679"/>
      <c r="AF2679"/>
      <c r="AG2679"/>
      <c r="AH2679"/>
      <c r="AI2679"/>
      <c r="AJ2679"/>
      <c r="AK2679"/>
      <c r="AL2679"/>
      <c r="AM2679"/>
      <c r="AN2679"/>
      <c r="AO2679"/>
    </row>
    <row r="2680" spans="1:41" ht="15">
      <c r="A2680"/>
      <c r="B2680"/>
      <c r="C2680" s="137"/>
      <c r="D2680" s="30"/>
      <c r="E2680" s="30"/>
      <c r="F2680" s="10"/>
      <c r="G2680" s="10"/>
      <c r="H2680" s="15"/>
      <c r="I2680" s="15"/>
      <c r="J2680" s="15"/>
      <c r="K2680" s="15"/>
      <c r="L2680" s="15"/>
      <c r="M2680" s="15"/>
      <c r="N2680" s="15"/>
      <c r="O2680" s="15"/>
      <c r="P2680" s="15"/>
      <c r="Q2680" s="71"/>
      <c r="R2680" s="84"/>
      <c r="S2680" s="10"/>
      <c r="T2680" s="10"/>
      <c r="U2680" s="10"/>
      <c r="V2680" s="10"/>
      <c r="W2680" s="138"/>
      <c r="Y2680"/>
      <c r="Z2680"/>
      <c r="AA2680"/>
      <c r="AB2680"/>
      <c r="AC2680"/>
      <c r="AD2680"/>
      <c r="AE2680"/>
      <c r="AF2680"/>
      <c r="AG2680"/>
      <c r="AH2680"/>
      <c r="AI2680"/>
      <c r="AJ2680"/>
      <c r="AK2680"/>
      <c r="AL2680"/>
      <c r="AM2680"/>
      <c r="AN2680"/>
      <c r="AO2680"/>
    </row>
    <row r="2681" spans="1:41" ht="15">
      <c r="A2681"/>
      <c r="B2681"/>
      <c r="C2681" s="137"/>
      <c r="D2681" s="30"/>
      <c r="E2681" s="30"/>
      <c r="F2681" s="10"/>
      <c r="G2681" s="10"/>
      <c r="H2681" s="15"/>
      <c r="I2681" s="15"/>
      <c r="J2681" s="15"/>
      <c r="K2681" s="15"/>
      <c r="L2681" s="15"/>
      <c r="M2681" s="15"/>
      <c r="N2681" s="15"/>
      <c r="O2681" s="15"/>
      <c r="P2681" s="15"/>
      <c r="Q2681" s="71"/>
      <c r="R2681" s="84"/>
      <c r="S2681" s="10"/>
      <c r="T2681" s="10"/>
      <c r="U2681" s="10"/>
      <c r="V2681" s="10"/>
      <c r="W2681" s="138"/>
      <c r="Y2681"/>
      <c r="Z2681"/>
      <c r="AA2681"/>
      <c r="AB2681"/>
      <c r="AC2681"/>
      <c r="AD2681"/>
      <c r="AE2681"/>
      <c r="AF2681"/>
      <c r="AG2681"/>
      <c r="AH2681"/>
      <c r="AI2681"/>
      <c r="AJ2681"/>
      <c r="AK2681"/>
      <c r="AL2681"/>
      <c r="AM2681"/>
      <c r="AN2681"/>
      <c r="AO2681"/>
    </row>
    <row r="2682" spans="1:41" ht="15">
      <c r="A2682"/>
      <c r="B2682"/>
      <c r="C2682" s="137"/>
      <c r="D2682" s="30"/>
      <c r="E2682" s="30"/>
      <c r="F2682" s="10"/>
      <c r="G2682" s="10"/>
      <c r="H2682" s="15"/>
      <c r="I2682" s="15"/>
      <c r="J2682" s="15"/>
      <c r="K2682" s="15"/>
      <c r="L2682" s="15"/>
      <c r="M2682" s="15"/>
      <c r="N2682" s="15"/>
      <c r="O2682" s="15"/>
      <c r="P2682" s="15"/>
      <c r="Q2682" s="71"/>
      <c r="R2682" s="84"/>
      <c r="S2682" s="10"/>
      <c r="T2682" s="10"/>
      <c r="U2682" s="10"/>
      <c r="V2682" s="10"/>
      <c r="W2682" s="138"/>
      <c r="Y2682"/>
      <c r="Z2682"/>
      <c r="AA2682"/>
      <c r="AB2682"/>
      <c r="AC2682"/>
      <c r="AD2682"/>
      <c r="AE2682"/>
      <c r="AF2682"/>
      <c r="AG2682"/>
      <c r="AH2682"/>
      <c r="AI2682"/>
      <c r="AJ2682"/>
      <c r="AK2682"/>
      <c r="AL2682"/>
      <c r="AM2682"/>
      <c r="AN2682"/>
      <c r="AO2682"/>
    </row>
    <row r="2683" spans="1:41" ht="15">
      <c r="A2683"/>
      <c r="B2683"/>
      <c r="C2683" s="137"/>
      <c r="D2683" s="30"/>
      <c r="E2683" s="30"/>
      <c r="F2683" s="10"/>
      <c r="G2683" s="10"/>
      <c r="H2683" s="15"/>
      <c r="I2683" s="15"/>
      <c r="J2683" s="15"/>
      <c r="K2683" s="15"/>
      <c r="L2683" s="15"/>
      <c r="M2683" s="15"/>
      <c r="N2683" s="15"/>
      <c r="O2683" s="15"/>
      <c r="P2683" s="15"/>
      <c r="Q2683" s="71"/>
      <c r="R2683" s="84"/>
      <c r="S2683" s="10"/>
      <c r="T2683" s="10"/>
      <c r="U2683" s="10"/>
      <c r="V2683" s="10"/>
      <c r="W2683" s="138"/>
      <c r="Y2683"/>
      <c r="Z2683"/>
      <c r="AA2683"/>
      <c r="AB2683"/>
      <c r="AC2683"/>
      <c r="AD2683"/>
      <c r="AE2683"/>
      <c r="AF2683"/>
      <c r="AG2683"/>
      <c r="AH2683"/>
      <c r="AI2683"/>
      <c r="AJ2683"/>
      <c r="AK2683"/>
      <c r="AL2683"/>
      <c r="AM2683"/>
      <c r="AN2683"/>
      <c r="AO2683"/>
    </row>
    <row r="2684" spans="1:41" ht="15">
      <c r="A2684"/>
      <c r="B2684"/>
      <c r="C2684" s="137"/>
      <c r="D2684" s="30"/>
      <c r="E2684" s="30"/>
      <c r="F2684" s="10"/>
      <c r="G2684" s="10"/>
      <c r="H2684" s="15"/>
      <c r="I2684" s="15"/>
      <c r="J2684" s="15"/>
      <c r="K2684" s="15"/>
      <c r="L2684" s="15"/>
      <c r="M2684" s="15"/>
      <c r="N2684" s="15"/>
      <c r="O2684" s="15"/>
      <c r="P2684" s="15"/>
      <c r="Q2684" s="71"/>
      <c r="R2684" s="84"/>
      <c r="S2684" s="10"/>
      <c r="T2684" s="10"/>
      <c r="U2684" s="10"/>
      <c r="V2684" s="10"/>
      <c r="W2684" s="138"/>
      <c r="Y2684"/>
      <c r="Z2684"/>
      <c r="AA2684"/>
      <c r="AB2684"/>
      <c r="AC2684"/>
      <c r="AD2684"/>
      <c r="AE2684"/>
      <c r="AF2684"/>
      <c r="AG2684"/>
      <c r="AH2684"/>
      <c r="AI2684"/>
      <c r="AJ2684"/>
      <c r="AK2684"/>
      <c r="AL2684"/>
      <c r="AM2684"/>
      <c r="AN2684"/>
      <c r="AO2684"/>
    </row>
    <row r="2685" spans="1:41" ht="15">
      <c r="A2685"/>
      <c r="B2685"/>
      <c r="C2685" s="137"/>
      <c r="D2685" s="30"/>
      <c r="E2685" s="30"/>
      <c r="F2685" s="10"/>
      <c r="G2685" s="10"/>
      <c r="H2685" s="15"/>
      <c r="I2685" s="15"/>
      <c r="J2685" s="15"/>
      <c r="K2685" s="15"/>
      <c r="L2685" s="15"/>
      <c r="M2685" s="15"/>
      <c r="N2685" s="15"/>
      <c r="O2685" s="15"/>
      <c r="P2685" s="15"/>
      <c r="Q2685" s="71"/>
      <c r="R2685" s="84"/>
      <c r="S2685" s="10"/>
      <c r="T2685" s="10"/>
      <c r="U2685" s="10"/>
      <c r="V2685" s="10"/>
      <c r="W2685" s="138"/>
      <c r="Y2685"/>
      <c r="Z2685"/>
      <c r="AA2685"/>
      <c r="AB2685"/>
      <c r="AC2685"/>
      <c r="AD2685"/>
      <c r="AE2685"/>
      <c r="AF2685"/>
      <c r="AG2685"/>
      <c r="AH2685"/>
      <c r="AI2685"/>
      <c r="AJ2685"/>
      <c r="AK2685"/>
      <c r="AL2685"/>
      <c r="AM2685"/>
      <c r="AN2685"/>
      <c r="AO2685"/>
    </row>
    <row r="2686" spans="1:41" ht="15">
      <c r="A2686"/>
      <c r="B2686"/>
      <c r="C2686" s="137"/>
      <c r="D2686" s="30"/>
      <c r="E2686" s="30"/>
      <c r="F2686" s="10"/>
      <c r="G2686" s="10"/>
      <c r="H2686" s="15"/>
      <c r="I2686" s="15"/>
      <c r="J2686" s="15"/>
      <c r="K2686" s="15"/>
      <c r="L2686" s="15"/>
      <c r="M2686" s="15"/>
      <c r="N2686" s="15"/>
      <c r="O2686" s="15"/>
      <c r="P2686" s="15"/>
      <c r="Q2686" s="71"/>
      <c r="R2686" s="84"/>
      <c r="S2686" s="10"/>
      <c r="T2686" s="10"/>
      <c r="U2686" s="10"/>
      <c r="V2686" s="10"/>
      <c r="W2686" s="138"/>
      <c r="Y2686"/>
      <c r="Z2686"/>
      <c r="AA2686"/>
      <c r="AB2686"/>
      <c r="AC2686"/>
      <c r="AD2686"/>
      <c r="AE2686"/>
      <c r="AF2686"/>
      <c r="AG2686"/>
      <c r="AH2686"/>
      <c r="AI2686"/>
      <c r="AJ2686"/>
      <c r="AK2686"/>
      <c r="AL2686"/>
      <c r="AM2686"/>
      <c r="AN2686"/>
      <c r="AO2686"/>
    </row>
    <row r="2687" spans="1:41" ht="15">
      <c r="A2687"/>
      <c r="B2687"/>
      <c r="C2687" s="137"/>
      <c r="D2687" s="30"/>
      <c r="E2687" s="30"/>
      <c r="F2687" s="10"/>
      <c r="G2687" s="10"/>
      <c r="H2687" s="15"/>
      <c r="I2687" s="15"/>
      <c r="J2687" s="15"/>
      <c r="K2687" s="15"/>
      <c r="L2687" s="15"/>
      <c r="M2687" s="15"/>
      <c r="N2687" s="15"/>
      <c r="O2687" s="15"/>
      <c r="P2687" s="15"/>
      <c r="Q2687" s="71"/>
      <c r="R2687" s="84"/>
      <c r="S2687" s="10"/>
      <c r="T2687" s="10"/>
      <c r="U2687" s="10"/>
      <c r="V2687" s="10"/>
      <c r="W2687" s="138"/>
      <c r="Y2687"/>
      <c r="Z2687"/>
      <c r="AA2687"/>
      <c r="AB2687"/>
      <c r="AC2687"/>
      <c r="AD2687"/>
      <c r="AE2687"/>
      <c r="AF2687"/>
      <c r="AG2687"/>
      <c r="AH2687"/>
      <c r="AI2687"/>
      <c r="AJ2687"/>
      <c r="AK2687"/>
      <c r="AL2687"/>
      <c r="AM2687"/>
      <c r="AN2687"/>
      <c r="AO2687"/>
    </row>
    <row r="2688" spans="1:41" ht="15">
      <c r="A2688"/>
      <c r="B2688"/>
      <c r="C2688" s="137"/>
      <c r="D2688" s="30"/>
      <c r="E2688" s="30"/>
      <c r="F2688" s="10"/>
      <c r="G2688" s="10"/>
      <c r="H2688" s="15"/>
      <c r="I2688" s="15"/>
      <c r="J2688" s="15"/>
      <c r="K2688" s="15"/>
      <c r="L2688" s="15"/>
      <c r="M2688" s="15"/>
      <c r="N2688" s="15"/>
      <c r="O2688" s="15"/>
      <c r="P2688" s="15"/>
      <c r="Q2688" s="71"/>
      <c r="R2688" s="84"/>
      <c r="S2688" s="10"/>
      <c r="T2688" s="10"/>
      <c r="U2688" s="10"/>
      <c r="V2688" s="10"/>
      <c r="W2688" s="138"/>
      <c r="Y2688"/>
      <c r="Z2688"/>
      <c r="AA2688"/>
      <c r="AB2688"/>
      <c r="AC2688"/>
      <c r="AD2688"/>
      <c r="AE2688"/>
      <c r="AF2688"/>
      <c r="AG2688"/>
      <c r="AH2688"/>
      <c r="AI2688"/>
      <c r="AJ2688"/>
      <c r="AK2688"/>
      <c r="AL2688"/>
      <c r="AM2688"/>
      <c r="AN2688"/>
      <c r="AO2688"/>
    </row>
    <row r="2689" spans="1:41" ht="15">
      <c r="A2689"/>
      <c r="B2689"/>
      <c r="C2689" s="137"/>
      <c r="D2689" s="30"/>
      <c r="E2689" s="30"/>
      <c r="F2689" s="10"/>
      <c r="G2689" s="10"/>
      <c r="H2689" s="15"/>
      <c r="I2689" s="15"/>
      <c r="J2689" s="15"/>
      <c r="K2689" s="15"/>
      <c r="L2689" s="15"/>
      <c r="M2689" s="15"/>
      <c r="N2689" s="15"/>
      <c r="O2689" s="15"/>
      <c r="P2689" s="15"/>
      <c r="Q2689" s="71"/>
      <c r="R2689" s="84"/>
      <c r="S2689" s="10"/>
      <c r="T2689" s="10"/>
      <c r="U2689" s="10"/>
      <c r="V2689" s="10"/>
      <c r="W2689" s="138"/>
      <c r="Y2689"/>
      <c r="Z2689"/>
      <c r="AA2689"/>
      <c r="AB2689"/>
      <c r="AC2689"/>
      <c r="AD2689"/>
      <c r="AE2689"/>
      <c r="AF2689"/>
      <c r="AG2689"/>
      <c r="AH2689"/>
      <c r="AI2689"/>
      <c r="AJ2689"/>
      <c r="AK2689"/>
      <c r="AL2689"/>
      <c r="AM2689"/>
      <c r="AN2689"/>
      <c r="AO2689"/>
    </row>
    <row r="2690" spans="1:41" ht="15">
      <c r="A2690"/>
      <c r="B2690"/>
      <c r="C2690" s="137"/>
      <c r="D2690" s="30"/>
      <c r="E2690" s="30"/>
      <c r="F2690" s="10"/>
      <c r="G2690" s="10"/>
      <c r="H2690" s="15"/>
      <c r="I2690" s="15"/>
      <c r="J2690" s="15"/>
      <c r="K2690" s="15"/>
      <c r="L2690" s="15"/>
      <c r="M2690" s="15"/>
      <c r="N2690" s="15"/>
      <c r="O2690" s="15"/>
      <c r="P2690" s="15"/>
      <c r="Q2690" s="71"/>
      <c r="R2690" s="84"/>
      <c r="S2690" s="10"/>
      <c r="T2690" s="10"/>
      <c r="U2690" s="10"/>
      <c r="V2690" s="10"/>
      <c r="W2690" s="138"/>
      <c r="Y2690"/>
      <c r="Z2690"/>
      <c r="AA2690"/>
      <c r="AB2690"/>
      <c r="AC2690"/>
      <c r="AD2690"/>
      <c r="AE2690"/>
      <c r="AF2690"/>
      <c r="AG2690"/>
      <c r="AH2690"/>
      <c r="AI2690"/>
      <c r="AJ2690"/>
      <c r="AK2690"/>
      <c r="AL2690"/>
      <c r="AM2690"/>
      <c r="AN2690"/>
      <c r="AO2690"/>
    </row>
    <row r="2691" spans="1:41" ht="15">
      <c r="A2691"/>
      <c r="B2691"/>
      <c r="C2691" s="137"/>
      <c r="D2691" s="30"/>
      <c r="E2691" s="30"/>
      <c r="F2691" s="10"/>
      <c r="G2691" s="10"/>
      <c r="H2691" s="15"/>
      <c r="I2691" s="15"/>
      <c r="J2691" s="15"/>
      <c r="K2691" s="15"/>
      <c r="L2691" s="15"/>
      <c r="M2691" s="15"/>
      <c r="N2691" s="15"/>
      <c r="O2691" s="15"/>
      <c r="P2691" s="15"/>
      <c r="Q2691" s="71"/>
      <c r="R2691" s="84"/>
      <c r="S2691" s="10"/>
      <c r="T2691" s="10"/>
      <c r="U2691" s="10"/>
      <c r="V2691" s="10"/>
      <c r="W2691" s="138"/>
      <c r="Y2691"/>
      <c r="Z2691"/>
      <c r="AA2691"/>
      <c r="AB2691"/>
      <c r="AC2691"/>
      <c r="AD2691"/>
      <c r="AE2691"/>
      <c r="AF2691"/>
      <c r="AG2691"/>
      <c r="AH2691"/>
      <c r="AI2691"/>
      <c r="AJ2691"/>
      <c r="AK2691"/>
      <c r="AL2691"/>
      <c r="AM2691"/>
      <c r="AN2691"/>
      <c r="AO2691"/>
    </row>
    <row r="2692" spans="1:41" ht="15">
      <c r="A2692"/>
      <c r="B2692"/>
      <c r="C2692" s="137"/>
      <c r="D2692" s="30"/>
      <c r="E2692" s="30"/>
      <c r="F2692" s="10"/>
      <c r="G2692" s="10"/>
      <c r="H2692" s="15"/>
      <c r="I2692" s="15"/>
      <c r="J2692" s="15"/>
      <c r="K2692" s="15"/>
      <c r="L2692" s="15"/>
      <c r="M2692" s="15"/>
      <c r="N2692" s="15"/>
      <c r="O2692" s="15"/>
      <c r="P2692" s="15"/>
      <c r="Q2692" s="71"/>
      <c r="R2692" s="84"/>
      <c r="S2692" s="10"/>
      <c r="T2692" s="10"/>
      <c r="U2692" s="10"/>
      <c r="V2692" s="10"/>
      <c r="W2692" s="138"/>
      <c r="Y2692"/>
      <c r="Z2692"/>
      <c r="AA2692"/>
      <c r="AB2692"/>
      <c r="AC2692"/>
      <c r="AD2692"/>
      <c r="AE2692"/>
      <c r="AF2692"/>
      <c r="AG2692"/>
      <c r="AH2692"/>
      <c r="AI2692"/>
      <c r="AJ2692"/>
      <c r="AK2692"/>
      <c r="AL2692"/>
      <c r="AM2692"/>
      <c r="AN2692"/>
      <c r="AO2692"/>
    </row>
    <row r="2693" spans="1:41" ht="15">
      <c r="A2693"/>
      <c r="B2693"/>
      <c r="C2693" s="137"/>
      <c r="D2693" s="30"/>
      <c r="E2693" s="30"/>
      <c r="F2693" s="10"/>
      <c r="G2693" s="10"/>
      <c r="H2693" s="15"/>
      <c r="I2693" s="15"/>
      <c r="J2693" s="15"/>
      <c r="K2693" s="15"/>
      <c r="L2693" s="15"/>
      <c r="M2693" s="15"/>
      <c r="N2693" s="15"/>
      <c r="O2693" s="15"/>
      <c r="P2693" s="15"/>
      <c r="Q2693" s="71"/>
      <c r="R2693" s="84"/>
      <c r="S2693" s="10"/>
      <c r="T2693" s="10"/>
      <c r="U2693" s="10"/>
      <c r="V2693" s="10"/>
      <c r="W2693" s="138"/>
      <c r="Y2693"/>
      <c r="Z2693"/>
      <c r="AA2693"/>
      <c r="AB2693"/>
      <c r="AC2693"/>
      <c r="AD2693"/>
      <c r="AE2693"/>
      <c r="AF2693"/>
      <c r="AG2693"/>
      <c r="AH2693"/>
      <c r="AI2693"/>
      <c r="AJ2693"/>
      <c r="AK2693"/>
      <c r="AL2693"/>
      <c r="AM2693"/>
      <c r="AN2693"/>
      <c r="AO2693"/>
    </row>
    <row r="2694" spans="1:41" ht="15">
      <c r="A2694"/>
      <c r="B2694"/>
      <c r="C2694" s="137"/>
      <c r="D2694" s="30"/>
      <c r="E2694" s="30"/>
      <c r="F2694" s="10"/>
      <c r="G2694" s="10"/>
      <c r="H2694" s="15"/>
      <c r="I2694" s="15"/>
      <c r="J2694" s="15"/>
      <c r="K2694" s="15"/>
      <c r="L2694" s="15"/>
      <c r="M2694" s="15"/>
      <c r="N2694" s="15"/>
      <c r="O2694" s="15"/>
      <c r="P2694" s="15"/>
      <c r="Q2694" s="71"/>
      <c r="R2694" s="84"/>
      <c r="S2694" s="10"/>
      <c r="T2694" s="10"/>
      <c r="U2694" s="10"/>
      <c r="V2694" s="10"/>
      <c r="W2694" s="138"/>
      <c r="Y2694"/>
      <c r="Z2694"/>
      <c r="AA2694"/>
      <c r="AB2694"/>
      <c r="AC2694"/>
      <c r="AD2694"/>
      <c r="AE2694"/>
      <c r="AF2694"/>
      <c r="AG2694"/>
      <c r="AH2694"/>
      <c r="AI2694"/>
      <c r="AJ2694"/>
      <c r="AK2694"/>
      <c r="AL2694"/>
      <c r="AM2694"/>
      <c r="AN2694"/>
      <c r="AO2694"/>
    </row>
    <row r="2695" spans="1:41" ht="15">
      <c r="A2695"/>
      <c r="B2695"/>
      <c r="C2695" s="137"/>
      <c r="D2695" s="30"/>
      <c r="E2695" s="30"/>
      <c r="F2695" s="10"/>
      <c r="G2695" s="10"/>
      <c r="H2695" s="15"/>
      <c r="I2695" s="15"/>
      <c r="J2695" s="15"/>
      <c r="K2695" s="15"/>
      <c r="L2695" s="15"/>
      <c r="M2695" s="15"/>
      <c r="N2695" s="15"/>
      <c r="O2695" s="15"/>
      <c r="P2695" s="15"/>
      <c r="Q2695" s="71"/>
      <c r="R2695" s="84"/>
      <c r="S2695" s="10"/>
      <c r="T2695" s="10"/>
      <c r="U2695" s="10"/>
      <c r="V2695" s="10"/>
      <c r="W2695" s="138"/>
      <c r="Y2695"/>
      <c r="Z2695"/>
      <c r="AA2695"/>
      <c r="AB2695"/>
      <c r="AC2695"/>
      <c r="AD2695"/>
      <c r="AE2695"/>
      <c r="AF2695"/>
      <c r="AG2695"/>
      <c r="AH2695"/>
      <c r="AI2695"/>
      <c r="AJ2695"/>
      <c r="AK2695"/>
      <c r="AL2695"/>
      <c r="AM2695"/>
      <c r="AN2695"/>
      <c r="AO2695"/>
    </row>
    <row r="2696" spans="1:41" ht="15">
      <c r="A2696"/>
      <c r="B2696"/>
      <c r="C2696" s="137"/>
      <c r="D2696" s="30"/>
      <c r="E2696" s="30"/>
      <c r="F2696" s="10"/>
      <c r="G2696" s="10"/>
      <c r="H2696" s="15"/>
      <c r="I2696" s="15"/>
      <c r="J2696" s="15"/>
      <c r="K2696" s="15"/>
      <c r="L2696" s="15"/>
      <c r="M2696" s="15"/>
      <c r="N2696" s="15"/>
      <c r="O2696" s="15"/>
      <c r="P2696" s="15"/>
      <c r="Q2696" s="71"/>
      <c r="R2696" s="84"/>
      <c r="S2696" s="10"/>
      <c r="T2696" s="10"/>
      <c r="U2696" s="10"/>
      <c r="V2696" s="10"/>
      <c r="W2696" s="138"/>
      <c r="Y2696"/>
      <c r="Z2696"/>
      <c r="AA2696"/>
      <c r="AB2696"/>
      <c r="AC2696"/>
      <c r="AD2696"/>
      <c r="AE2696"/>
      <c r="AF2696"/>
      <c r="AG2696"/>
      <c r="AH2696"/>
      <c r="AI2696"/>
      <c r="AJ2696"/>
      <c r="AK2696"/>
      <c r="AL2696"/>
      <c r="AM2696"/>
      <c r="AN2696"/>
      <c r="AO2696"/>
    </row>
    <row r="2697" spans="1:41" ht="15">
      <c r="A2697"/>
      <c r="B2697"/>
      <c r="C2697" s="137"/>
      <c r="D2697" s="30"/>
      <c r="E2697" s="30"/>
      <c r="F2697" s="10"/>
      <c r="G2697" s="10"/>
      <c r="H2697" s="15"/>
      <c r="I2697" s="15"/>
      <c r="J2697" s="15"/>
      <c r="K2697" s="15"/>
      <c r="L2697" s="15"/>
      <c r="M2697" s="15"/>
      <c r="N2697" s="15"/>
      <c r="O2697" s="15"/>
      <c r="P2697" s="15"/>
      <c r="Q2697" s="71"/>
      <c r="R2697" s="84"/>
      <c r="S2697" s="10"/>
      <c r="T2697" s="10"/>
      <c r="U2697" s="10"/>
      <c r="V2697" s="10"/>
      <c r="W2697" s="138"/>
      <c r="Y2697"/>
      <c r="Z2697"/>
      <c r="AA2697"/>
      <c r="AB2697"/>
      <c r="AC2697"/>
      <c r="AD2697"/>
      <c r="AE2697"/>
      <c r="AF2697"/>
      <c r="AG2697"/>
      <c r="AH2697"/>
      <c r="AI2697"/>
      <c r="AJ2697"/>
      <c r="AK2697"/>
      <c r="AL2697"/>
      <c r="AM2697"/>
      <c r="AN2697"/>
      <c r="AO2697"/>
    </row>
    <row r="2698" spans="1:41" ht="15">
      <c r="A2698"/>
      <c r="B2698"/>
      <c r="C2698" s="137"/>
      <c r="D2698" s="30"/>
      <c r="E2698" s="30"/>
      <c r="F2698" s="10"/>
      <c r="G2698" s="10"/>
      <c r="H2698" s="15"/>
      <c r="I2698" s="15"/>
      <c r="J2698" s="15"/>
      <c r="K2698" s="15"/>
      <c r="L2698" s="15"/>
      <c r="M2698" s="15"/>
      <c r="N2698" s="15"/>
      <c r="O2698" s="15"/>
      <c r="P2698" s="15"/>
      <c r="Q2698" s="71"/>
      <c r="R2698" s="84"/>
      <c r="S2698" s="10"/>
      <c r="T2698" s="10"/>
      <c r="U2698" s="10"/>
      <c r="V2698" s="10"/>
      <c r="W2698" s="138"/>
      <c r="Y2698"/>
      <c r="Z2698"/>
      <c r="AA2698"/>
      <c r="AB2698"/>
      <c r="AC2698"/>
      <c r="AD2698"/>
      <c r="AE2698"/>
      <c r="AF2698"/>
      <c r="AG2698"/>
      <c r="AH2698"/>
      <c r="AI2698"/>
      <c r="AJ2698"/>
      <c r="AK2698"/>
      <c r="AL2698"/>
      <c r="AM2698"/>
      <c r="AN2698"/>
      <c r="AO2698"/>
    </row>
    <row r="2699" spans="1:41" ht="15">
      <c r="A2699"/>
      <c r="B2699"/>
      <c r="C2699" s="137"/>
      <c r="D2699" s="30"/>
      <c r="E2699" s="30"/>
      <c r="F2699" s="10"/>
      <c r="G2699" s="10"/>
      <c r="H2699" s="15"/>
      <c r="I2699" s="15"/>
      <c r="J2699" s="15"/>
      <c r="K2699" s="15"/>
      <c r="L2699" s="15"/>
      <c r="M2699" s="15"/>
      <c r="N2699" s="15"/>
      <c r="O2699" s="15"/>
      <c r="P2699" s="15"/>
      <c r="Q2699" s="71"/>
      <c r="R2699" s="84"/>
      <c r="S2699" s="10"/>
      <c r="T2699" s="10"/>
      <c r="U2699" s="10"/>
      <c r="V2699" s="10"/>
      <c r="W2699" s="138"/>
      <c r="Y2699"/>
      <c r="Z2699"/>
      <c r="AA2699"/>
      <c r="AB2699"/>
      <c r="AC2699"/>
      <c r="AD2699"/>
      <c r="AE2699"/>
      <c r="AF2699"/>
      <c r="AG2699"/>
      <c r="AH2699"/>
      <c r="AI2699"/>
      <c r="AJ2699"/>
      <c r="AK2699"/>
      <c r="AL2699"/>
      <c r="AM2699"/>
      <c r="AN2699"/>
      <c r="AO2699"/>
    </row>
    <row r="2700" spans="1:41" ht="15">
      <c r="A2700"/>
      <c r="B2700"/>
      <c r="C2700" s="137"/>
      <c r="D2700" s="30"/>
      <c r="E2700" s="30"/>
      <c r="F2700" s="10"/>
      <c r="G2700" s="10"/>
      <c r="H2700" s="15"/>
      <c r="I2700" s="15"/>
      <c r="J2700" s="15"/>
      <c r="K2700" s="15"/>
      <c r="L2700" s="15"/>
      <c r="M2700" s="15"/>
      <c r="N2700" s="15"/>
      <c r="O2700" s="15"/>
      <c r="P2700" s="15"/>
      <c r="Q2700" s="71"/>
      <c r="R2700" s="84"/>
      <c r="S2700" s="10"/>
      <c r="T2700" s="10"/>
      <c r="U2700" s="10"/>
      <c r="V2700" s="10"/>
      <c r="W2700" s="138"/>
      <c r="Y2700"/>
      <c r="Z2700"/>
      <c r="AA2700"/>
      <c r="AB2700"/>
      <c r="AC2700"/>
      <c r="AD2700"/>
      <c r="AE2700"/>
      <c r="AF2700"/>
      <c r="AG2700"/>
      <c r="AH2700"/>
      <c r="AI2700"/>
      <c r="AJ2700"/>
      <c r="AK2700"/>
      <c r="AL2700"/>
      <c r="AM2700"/>
      <c r="AN2700"/>
      <c r="AO2700"/>
    </row>
    <row r="2701" spans="1:41" ht="15">
      <c r="A2701"/>
      <c r="B2701"/>
      <c r="C2701" s="137"/>
      <c r="D2701" s="30"/>
      <c r="E2701" s="30"/>
      <c r="F2701" s="10"/>
      <c r="G2701" s="10"/>
      <c r="H2701" s="15"/>
      <c r="I2701" s="15"/>
      <c r="J2701" s="15"/>
      <c r="K2701" s="15"/>
      <c r="L2701" s="15"/>
      <c r="M2701" s="15"/>
      <c r="N2701" s="15"/>
      <c r="O2701" s="15"/>
      <c r="P2701" s="15"/>
      <c r="Q2701" s="71"/>
      <c r="R2701" s="84"/>
      <c r="S2701" s="10"/>
      <c r="T2701" s="10"/>
      <c r="U2701" s="10"/>
      <c r="V2701" s="10"/>
      <c r="W2701" s="138"/>
      <c r="Y2701"/>
      <c r="Z2701"/>
      <c r="AA2701"/>
      <c r="AB2701"/>
      <c r="AC2701"/>
      <c r="AD2701"/>
      <c r="AE2701"/>
      <c r="AF2701"/>
      <c r="AG2701"/>
      <c r="AH2701"/>
      <c r="AI2701"/>
      <c r="AJ2701"/>
      <c r="AK2701"/>
      <c r="AL2701"/>
      <c r="AM2701"/>
      <c r="AN2701"/>
      <c r="AO2701"/>
    </row>
    <row r="2702" spans="1:41" ht="15">
      <c r="A2702"/>
      <c r="B2702"/>
      <c r="C2702" s="137"/>
      <c r="D2702" s="30"/>
      <c r="E2702" s="30"/>
      <c r="F2702" s="10"/>
      <c r="G2702" s="10"/>
      <c r="H2702" s="15"/>
      <c r="I2702" s="15"/>
      <c r="J2702" s="15"/>
      <c r="K2702" s="15"/>
      <c r="L2702" s="15"/>
      <c r="M2702" s="15"/>
      <c r="N2702" s="15"/>
      <c r="O2702" s="15"/>
      <c r="P2702" s="15"/>
      <c r="Q2702" s="71"/>
      <c r="R2702" s="84"/>
      <c r="S2702" s="10"/>
      <c r="T2702" s="10"/>
      <c r="U2702" s="10"/>
      <c r="V2702" s="10"/>
      <c r="W2702" s="138"/>
      <c r="Y2702"/>
      <c r="Z2702"/>
      <c r="AA2702"/>
      <c r="AB2702"/>
      <c r="AC2702"/>
      <c r="AD2702"/>
      <c r="AE2702"/>
      <c r="AF2702"/>
      <c r="AG2702"/>
      <c r="AH2702"/>
      <c r="AI2702"/>
      <c r="AJ2702"/>
      <c r="AK2702"/>
      <c r="AL2702"/>
      <c r="AM2702"/>
      <c r="AN2702"/>
      <c r="AO2702"/>
    </row>
    <row r="2703" spans="1:41" ht="15">
      <c r="A2703"/>
      <c r="B2703"/>
      <c r="C2703" s="137"/>
      <c r="D2703" s="30"/>
      <c r="E2703" s="30"/>
      <c r="F2703" s="10"/>
      <c r="G2703" s="10"/>
      <c r="H2703" s="15"/>
      <c r="I2703" s="15"/>
      <c r="J2703" s="15"/>
      <c r="K2703" s="15"/>
      <c r="L2703" s="15"/>
      <c r="M2703" s="15"/>
      <c r="N2703" s="15"/>
      <c r="O2703" s="15"/>
      <c r="P2703" s="15"/>
      <c r="Q2703" s="71"/>
      <c r="R2703" s="84"/>
      <c r="S2703" s="10"/>
      <c r="T2703" s="10"/>
      <c r="U2703" s="10"/>
      <c r="V2703" s="10"/>
      <c r="W2703" s="138"/>
      <c r="Y2703"/>
      <c r="Z2703"/>
      <c r="AA2703"/>
      <c r="AB2703"/>
      <c r="AC2703"/>
      <c r="AD2703"/>
      <c r="AE2703"/>
      <c r="AF2703"/>
      <c r="AG2703"/>
      <c r="AH2703"/>
      <c r="AI2703"/>
      <c r="AJ2703"/>
      <c r="AK2703"/>
      <c r="AL2703"/>
      <c r="AM2703"/>
      <c r="AN2703"/>
      <c r="AO2703"/>
    </row>
    <row r="2704" spans="1:41" ht="15">
      <c r="A2704"/>
      <c r="B2704"/>
      <c r="C2704" s="137"/>
      <c r="D2704" s="30"/>
      <c r="E2704" s="30"/>
      <c r="F2704" s="10"/>
      <c r="G2704" s="10"/>
      <c r="H2704" s="15"/>
      <c r="I2704" s="15"/>
      <c r="J2704" s="15"/>
      <c r="K2704" s="15"/>
      <c r="L2704" s="15"/>
      <c r="M2704" s="15"/>
      <c r="N2704" s="15"/>
      <c r="O2704" s="15"/>
      <c r="P2704" s="15"/>
      <c r="Q2704" s="71"/>
      <c r="R2704" s="84"/>
      <c r="S2704" s="10"/>
      <c r="T2704" s="10"/>
      <c r="U2704" s="10"/>
      <c r="V2704" s="10"/>
      <c r="W2704" s="138"/>
      <c r="Y2704"/>
      <c r="Z2704"/>
      <c r="AA2704"/>
      <c r="AB2704"/>
      <c r="AC2704"/>
      <c r="AD2704"/>
      <c r="AE2704"/>
      <c r="AF2704"/>
      <c r="AG2704"/>
      <c r="AH2704"/>
      <c r="AI2704"/>
      <c r="AJ2704"/>
      <c r="AK2704"/>
      <c r="AL2704"/>
      <c r="AM2704"/>
      <c r="AN2704"/>
      <c r="AO2704"/>
    </row>
    <row r="2705" spans="1:41" ht="15">
      <c r="A2705"/>
      <c r="B2705"/>
      <c r="C2705" s="137"/>
      <c r="D2705" s="30"/>
      <c r="E2705" s="30"/>
      <c r="F2705" s="10"/>
      <c r="G2705" s="10"/>
      <c r="H2705" s="15"/>
      <c r="I2705" s="15"/>
      <c r="J2705" s="15"/>
      <c r="K2705" s="15"/>
      <c r="L2705" s="15"/>
      <c r="M2705" s="15"/>
      <c r="N2705" s="15"/>
      <c r="O2705" s="15"/>
      <c r="P2705" s="15"/>
      <c r="Q2705" s="71"/>
      <c r="R2705" s="84"/>
      <c r="S2705" s="10"/>
      <c r="T2705" s="10"/>
      <c r="U2705" s="10"/>
      <c r="V2705" s="10"/>
      <c r="W2705" s="138"/>
      <c r="Y2705"/>
      <c r="Z2705"/>
      <c r="AA2705"/>
      <c r="AB2705"/>
      <c r="AC2705"/>
      <c r="AD2705"/>
      <c r="AE2705"/>
      <c r="AF2705"/>
      <c r="AG2705"/>
      <c r="AH2705"/>
      <c r="AI2705"/>
      <c r="AJ2705"/>
      <c r="AK2705"/>
      <c r="AL2705"/>
      <c r="AM2705"/>
      <c r="AN2705"/>
      <c r="AO2705"/>
    </row>
    <row r="2706" spans="1:41" ht="15">
      <c r="A2706"/>
      <c r="B2706"/>
      <c r="C2706" s="137"/>
      <c r="D2706" s="30"/>
      <c r="E2706" s="30"/>
      <c r="F2706" s="10"/>
      <c r="G2706" s="10"/>
      <c r="H2706" s="15"/>
      <c r="I2706" s="15"/>
      <c r="J2706" s="15"/>
      <c r="K2706" s="15"/>
      <c r="L2706" s="15"/>
      <c r="M2706" s="15"/>
      <c r="N2706" s="15"/>
      <c r="O2706" s="15"/>
      <c r="P2706" s="15"/>
      <c r="Q2706" s="71"/>
      <c r="R2706" s="84"/>
      <c r="S2706" s="10"/>
      <c r="T2706" s="10"/>
      <c r="U2706" s="10"/>
      <c r="V2706" s="10"/>
      <c r="W2706" s="138"/>
      <c r="Y2706"/>
      <c r="Z2706"/>
      <c r="AA2706"/>
      <c r="AB2706"/>
      <c r="AC2706"/>
      <c r="AD2706"/>
      <c r="AE2706"/>
      <c r="AF2706"/>
      <c r="AG2706"/>
      <c r="AH2706"/>
      <c r="AI2706"/>
      <c r="AJ2706"/>
      <c r="AK2706"/>
      <c r="AL2706"/>
      <c r="AM2706"/>
      <c r="AN2706"/>
      <c r="AO2706"/>
    </row>
    <row r="2707" spans="1:41" ht="15">
      <c r="A2707"/>
      <c r="B2707"/>
      <c r="C2707" s="137"/>
      <c r="D2707" s="30"/>
      <c r="E2707" s="30"/>
      <c r="F2707" s="10"/>
      <c r="G2707" s="10"/>
      <c r="H2707" s="15"/>
      <c r="I2707" s="15"/>
      <c r="J2707" s="15"/>
      <c r="K2707" s="15"/>
      <c r="L2707" s="15"/>
      <c r="M2707" s="15"/>
      <c r="N2707" s="15"/>
      <c r="O2707" s="15"/>
      <c r="P2707" s="15"/>
      <c r="Q2707" s="71"/>
      <c r="R2707" s="84"/>
      <c r="S2707" s="10"/>
      <c r="T2707" s="10"/>
      <c r="U2707" s="10"/>
      <c r="V2707" s="10"/>
      <c r="W2707" s="138"/>
      <c r="Y2707"/>
      <c r="Z2707"/>
      <c r="AA2707"/>
      <c r="AB2707"/>
      <c r="AC2707"/>
      <c r="AD2707"/>
      <c r="AE2707"/>
      <c r="AF2707"/>
      <c r="AG2707"/>
      <c r="AH2707"/>
      <c r="AI2707"/>
      <c r="AJ2707"/>
      <c r="AK2707"/>
      <c r="AL2707"/>
      <c r="AM2707"/>
      <c r="AN2707"/>
      <c r="AO2707"/>
    </row>
    <row r="2708" spans="1:41" ht="15">
      <c r="A2708"/>
      <c r="B2708"/>
      <c r="C2708" s="137"/>
      <c r="D2708" s="30"/>
      <c r="E2708" s="30"/>
      <c r="F2708" s="10"/>
      <c r="G2708" s="10"/>
      <c r="H2708" s="15"/>
      <c r="I2708" s="15"/>
      <c r="J2708" s="15"/>
      <c r="K2708" s="15"/>
      <c r="L2708" s="15"/>
      <c r="M2708" s="15"/>
      <c r="N2708" s="15"/>
      <c r="O2708" s="15"/>
      <c r="P2708" s="15"/>
      <c r="Q2708" s="71"/>
      <c r="R2708" s="84"/>
      <c r="S2708" s="10"/>
      <c r="T2708" s="10"/>
      <c r="U2708" s="10"/>
      <c r="V2708" s="10"/>
      <c r="W2708" s="138"/>
      <c r="Y2708"/>
      <c r="Z2708"/>
      <c r="AA2708"/>
      <c r="AB2708"/>
      <c r="AC2708"/>
      <c r="AD2708"/>
      <c r="AE2708"/>
      <c r="AF2708"/>
      <c r="AG2708"/>
      <c r="AH2708"/>
      <c r="AI2708"/>
      <c r="AJ2708"/>
      <c r="AK2708"/>
      <c r="AL2708"/>
      <c r="AM2708"/>
      <c r="AN2708"/>
      <c r="AO2708"/>
    </row>
    <row r="2709" spans="1:41" ht="15">
      <c r="A2709"/>
      <c r="B2709"/>
      <c r="C2709" s="137"/>
      <c r="D2709" s="30"/>
      <c r="E2709" s="30"/>
      <c r="F2709" s="10"/>
      <c r="G2709" s="10"/>
      <c r="H2709" s="15"/>
      <c r="I2709" s="15"/>
      <c r="J2709" s="15"/>
      <c r="K2709" s="15"/>
      <c r="L2709" s="15"/>
      <c r="M2709" s="15"/>
      <c r="N2709" s="15"/>
      <c r="O2709" s="15"/>
      <c r="P2709" s="15"/>
      <c r="Q2709" s="71"/>
      <c r="R2709" s="84"/>
      <c r="S2709" s="10"/>
      <c r="T2709" s="10"/>
      <c r="U2709" s="10"/>
      <c r="V2709" s="10"/>
      <c r="W2709" s="138"/>
      <c r="Y2709"/>
      <c r="Z2709"/>
      <c r="AA2709"/>
      <c r="AB2709"/>
      <c r="AC2709"/>
      <c r="AD2709"/>
      <c r="AE2709"/>
      <c r="AF2709"/>
      <c r="AG2709"/>
      <c r="AH2709"/>
      <c r="AI2709"/>
      <c r="AJ2709"/>
      <c r="AK2709"/>
      <c r="AL2709"/>
      <c r="AM2709"/>
      <c r="AN2709"/>
      <c r="AO2709"/>
    </row>
    <row r="2710" spans="1:41" ht="15">
      <c r="A2710"/>
      <c r="B2710"/>
      <c r="C2710" s="137"/>
      <c r="D2710" s="30"/>
      <c r="E2710" s="30"/>
      <c r="F2710" s="10"/>
      <c r="G2710" s="10"/>
      <c r="H2710" s="15"/>
      <c r="I2710" s="15"/>
      <c r="J2710" s="15"/>
      <c r="K2710" s="15"/>
      <c r="L2710" s="15"/>
      <c r="M2710" s="15"/>
      <c r="N2710" s="15"/>
      <c r="O2710" s="15"/>
      <c r="P2710" s="15"/>
      <c r="Q2710" s="71"/>
      <c r="R2710" s="84"/>
      <c r="S2710" s="10"/>
      <c r="T2710" s="10"/>
      <c r="U2710" s="10"/>
      <c r="V2710" s="10"/>
      <c r="W2710" s="138"/>
      <c r="Y2710"/>
      <c r="Z2710"/>
      <c r="AA2710"/>
      <c r="AB2710"/>
      <c r="AC2710"/>
      <c r="AD2710"/>
      <c r="AE2710"/>
      <c r="AF2710"/>
      <c r="AG2710"/>
      <c r="AH2710"/>
      <c r="AI2710"/>
      <c r="AJ2710"/>
      <c r="AK2710"/>
      <c r="AL2710"/>
      <c r="AM2710"/>
      <c r="AN2710"/>
      <c r="AO2710"/>
    </row>
    <row r="2711" spans="1:41" ht="15">
      <c r="A2711"/>
      <c r="B2711"/>
      <c r="C2711" s="137"/>
      <c r="D2711" s="30"/>
      <c r="E2711" s="30"/>
      <c r="F2711" s="10"/>
      <c r="G2711" s="10"/>
      <c r="H2711" s="15"/>
      <c r="I2711" s="15"/>
      <c r="J2711" s="15"/>
      <c r="K2711" s="15"/>
      <c r="L2711" s="15"/>
      <c r="M2711" s="15"/>
      <c r="N2711" s="15"/>
      <c r="O2711" s="15"/>
      <c r="P2711" s="15"/>
      <c r="Q2711" s="71"/>
      <c r="R2711" s="84"/>
      <c r="S2711" s="10"/>
      <c r="T2711" s="10"/>
      <c r="U2711" s="10"/>
      <c r="V2711" s="10"/>
      <c r="W2711" s="138"/>
      <c r="Y2711"/>
      <c r="Z2711"/>
      <c r="AA2711"/>
      <c r="AB2711"/>
      <c r="AC2711"/>
      <c r="AD2711"/>
      <c r="AE2711"/>
      <c r="AF2711"/>
      <c r="AG2711"/>
      <c r="AH2711"/>
      <c r="AI2711"/>
      <c r="AJ2711"/>
      <c r="AK2711"/>
      <c r="AL2711"/>
      <c r="AM2711"/>
      <c r="AN2711"/>
      <c r="AO2711"/>
    </row>
    <row r="2712" spans="1:41" ht="15">
      <c r="A2712"/>
      <c r="B2712"/>
      <c r="C2712" s="137"/>
      <c r="D2712" s="30"/>
      <c r="E2712" s="30"/>
      <c r="F2712" s="10"/>
      <c r="G2712" s="10"/>
      <c r="H2712" s="15"/>
      <c r="I2712" s="15"/>
      <c r="J2712" s="15"/>
      <c r="K2712" s="15"/>
      <c r="L2712" s="15"/>
      <c r="M2712" s="15"/>
      <c r="N2712" s="15"/>
      <c r="O2712" s="15"/>
      <c r="P2712" s="15"/>
      <c r="Q2712" s="71"/>
      <c r="R2712" s="84"/>
      <c r="S2712" s="10"/>
      <c r="T2712" s="10"/>
      <c r="U2712" s="10"/>
      <c r="V2712" s="10"/>
      <c r="W2712" s="138"/>
      <c r="Y2712"/>
      <c r="Z2712"/>
      <c r="AA2712"/>
      <c r="AB2712"/>
      <c r="AC2712"/>
      <c r="AD2712"/>
      <c r="AE2712"/>
      <c r="AF2712"/>
      <c r="AG2712"/>
      <c r="AH2712"/>
      <c r="AI2712"/>
      <c r="AJ2712"/>
      <c r="AK2712"/>
      <c r="AL2712"/>
      <c r="AM2712"/>
      <c r="AN2712"/>
      <c r="AO2712"/>
    </row>
    <row r="2713" spans="1:41" ht="15">
      <c r="A2713"/>
      <c r="B2713"/>
      <c r="C2713" s="137"/>
      <c r="D2713" s="30"/>
      <c r="E2713" s="30"/>
      <c r="F2713" s="10"/>
      <c r="G2713" s="10"/>
      <c r="H2713" s="15"/>
      <c r="I2713" s="15"/>
      <c r="J2713" s="15"/>
      <c r="K2713" s="15"/>
      <c r="L2713" s="15"/>
      <c r="M2713" s="15"/>
      <c r="N2713" s="15"/>
      <c r="O2713" s="15"/>
      <c r="P2713" s="15"/>
      <c r="Q2713" s="71"/>
      <c r="R2713" s="84"/>
      <c r="S2713" s="10"/>
      <c r="T2713" s="10"/>
      <c r="U2713" s="10"/>
      <c r="V2713" s="10"/>
      <c r="W2713" s="138"/>
      <c r="Y2713"/>
      <c r="Z2713"/>
      <c r="AA2713"/>
      <c r="AB2713"/>
      <c r="AC2713"/>
      <c r="AD2713"/>
      <c r="AE2713"/>
      <c r="AF2713"/>
      <c r="AG2713"/>
      <c r="AH2713"/>
      <c r="AI2713"/>
      <c r="AJ2713"/>
      <c r="AK2713"/>
      <c r="AL2713"/>
      <c r="AM2713"/>
      <c r="AN2713"/>
      <c r="AO2713"/>
    </row>
    <row r="2714" spans="1:41" ht="15">
      <c r="A2714"/>
      <c r="B2714"/>
      <c r="C2714" s="137"/>
      <c r="D2714" s="30"/>
      <c r="E2714" s="30"/>
      <c r="F2714" s="10"/>
      <c r="G2714" s="10"/>
      <c r="H2714" s="15"/>
      <c r="I2714" s="15"/>
      <c r="J2714" s="15"/>
      <c r="K2714" s="15"/>
      <c r="L2714" s="15"/>
      <c r="M2714" s="15"/>
      <c r="N2714" s="15"/>
      <c r="O2714" s="15"/>
      <c r="P2714" s="15"/>
      <c r="Q2714" s="71"/>
      <c r="R2714" s="84"/>
      <c r="S2714" s="10"/>
      <c r="T2714" s="10"/>
      <c r="U2714" s="10"/>
      <c r="V2714" s="10"/>
      <c r="W2714" s="138"/>
      <c r="Y2714"/>
      <c r="Z2714"/>
      <c r="AA2714"/>
      <c r="AB2714"/>
      <c r="AC2714"/>
      <c r="AD2714"/>
      <c r="AE2714"/>
      <c r="AF2714"/>
      <c r="AG2714"/>
      <c r="AH2714"/>
      <c r="AI2714"/>
      <c r="AJ2714"/>
      <c r="AK2714"/>
      <c r="AL2714"/>
      <c r="AM2714"/>
      <c r="AN2714"/>
      <c r="AO2714"/>
    </row>
    <row r="2715" spans="1:41" ht="15">
      <c r="A2715"/>
      <c r="B2715"/>
      <c r="C2715" s="137"/>
      <c r="D2715" s="30"/>
      <c r="E2715" s="30"/>
      <c r="F2715" s="10"/>
      <c r="G2715" s="10"/>
      <c r="H2715" s="15"/>
      <c r="I2715" s="15"/>
      <c r="J2715" s="15"/>
      <c r="K2715" s="15"/>
      <c r="L2715" s="15"/>
      <c r="M2715" s="15"/>
      <c r="N2715" s="15"/>
      <c r="O2715" s="15"/>
      <c r="P2715" s="15"/>
      <c r="Q2715" s="71"/>
      <c r="R2715" s="84"/>
      <c r="S2715" s="10"/>
      <c r="T2715" s="10"/>
      <c r="U2715" s="10"/>
      <c r="V2715" s="10"/>
      <c r="W2715" s="138"/>
      <c r="Y2715"/>
      <c r="Z2715"/>
      <c r="AA2715"/>
      <c r="AB2715"/>
      <c r="AC2715"/>
      <c r="AD2715"/>
      <c r="AE2715"/>
      <c r="AF2715"/>
      <c r="AG2715"/>
      <c r="AH2715"/>
      <c r="AI2715"/>
      <c r="AJ2715"/>
      <c r="AK2715"/>
      <c r="AL2715"/>
      <c r="AM2715"/>
      <c r="AN2715"/>
      <c r="AO2715"/>
    </row>
    <row r="2716" spans="1:41" ht="15">
      <c r="A2716"/>
      <c r="B2716"/>
      <c r="C2716" s="137"/>
      <c r="D2716" s="30"/>
      <c r="E2716" s="30"/>
      <c r="F2716" s="10"/>
      <c r="G2716" s="10"/>
      <c r="H2716" s="15"/>
      <c r="I2716" s="15"/>
      <c r="J2716" s="15"/>
      <c r="K2716" s="15"/>
      <c r="L2716" s="15"/>
      <c r="M2716" s="15"/>
      <c r="N2716" s="15"/>
      <c r="O2716" s="15"/>
      <c r="P2716" s="15"/>
      <c r="Q2716" s="71"/>
      <c r="R2716" s="84"/>
      <c r="S2716" s="10"/>
      <c r="T2716" s="10"/>
      <c r="U2716" s="10"/>
      <c r="V2716" s="10"/>
      <c r="W2716" s="138"/>
      <c r="Y2716"/>
      <c r="Z2716"/>
      <c r="AA2716"/>
      <c r="AB2716"/>
      <c r="AC2716"/>
      <c r="AD2716"/>
      <c r="AE2716"/>
      <c r="AF2716"/>
      <c r="AG2716"/>
      <c r="AH2716"/>
      <c r="AI2716"/>
      <c r="AJ2716"/>
      <c r="AK2716"/>
      <c r="AL2716"/>
      <c r="AM2716"/>
      <c r="AN2716"/>
      <c r="AO2716"/>
    </row>
    <row r="2717" spans="1:41" ht="15">
      <c r="A2717"/>
      <c r="B2717"/>
      <c r="C2717" s="137"/>
      <c r="D2717" s="30"/>
      <c r="E2717" s="30"/>
      <c r="F2717" s="10"/>
      <c r="G2717" s="10"/>
      <c r="H2717" s="15"/>
      <c r="I2717" s="15"/>
      <c r="J2717" s="15"/>
      <c r="K2717" s="15"/>
      <c r="L2717" s="15"/>
      <c r="M2717" s="15"/>
      <c r="N2717" s="15"/>
      <c r="O2717" s="15"/>
      <c r="P2717" s="15"/>
      <c r="Q2717" s="71"/>
      <c r="R2717" s="84"/>
      <c r="S2717" s="10"/>
      <c r="T2717" s="10"/>
      <c r="U2717" s="10"/>
      <c r="V2717" s="10"/>
      <c r="W2717" s="138"/>
      <c r="Y2717"/>
      <c r="Z2717"/>
      <c r="AA2717"/>
      <c r="AB2717"/>
      <c r="AC2717"/>
      <c r="AD2717"/>
      <c r="AE2717"/>
      <c r="AF2717"/>
      <c r="AG2717"/>
      <c r="AH2717"/>
      <c r="AI2717"/>
      <c r="AJ2717"/>
      <c r="AK2717"/>
      <c r="AL2717"/>
      <c r="AM2717"/>
      <c r="AN2717"/>
      <c r="AO2717"/>
    </row>
    <row r="2718" spans="1:41" ht="15">
      <c r="A2718"/>
      <c r="B2718"/>
      <c r="C2718" s="137"/>
      <c r="D2718" s="30"/>
      <c r="E2718" s="30"/>
      <c r="F2718" s="10"/>
      <c r="G2718" s="10"/>
      <c r="H2718" s="15"/>
      <c r="I2718" s="15"/>
      <c r="J2718" s="15"/>
      <c r="K2718" s="15"/>
      <c r="L2718" s="15"/>
      <c r="M2718" s="15"/>
      <c r="N2718" s="15"/>
      <c r="O2718" s="15"/>
      <c r="P2718" s="15"/>
      <c r="Q2718" s="71"/>
      <c r="R2718" s="84"/>
      <c r="S2718" s="10"/>
      <c r="T2718" s="10"/>
      <c r="U2718" s="10"/>
      <c r="V2718" s="10"/>
      <c r="W2718" s="138"/>
      <c r="Y2718"/>
      <c r="Z2718"/>
      <c r="AA2718"/>
      <c r="AB2718"/>
      <c r="AC2718"/>
      <c r="AD2718"/>
      <c r="AE2718"/>
      <c r="AF2718"/>
      <c r="AG2718"/>
      <c r="AH2718"/>
      <c r="AI2718"/>
      <c r="AJ2718"/>
      <c r="AK2718"/>
      <c r="AL2718"/>
      <c r="AM2718"/>
      <c r="AN2718"/>
      <c r="AO2718"/>
    </row>
    <row r="2719" spans="1:41" ht="15">
      <c r="A2719"/>
      <c r="B2719"/>
      <c r="C2719" s="137"/>
      <c r="D2719" s="30"/>
      <c r="E2719" s="30"/>
      <c r="F2719" s="10"/>
      <c r="G2719" s="10"/>
      <c r="H2719" s="15"/>
      <c r="I2719" s="15"/>
      <c r="J2719" s="15"/>
      <c r="K2719" s="15"/>
      <c r="L2719" s="15"/>
      <c r="M2719" s="15"/>
      <c r="N2719" s="15"/>
      <c r="O2719" s="15"/>
      <c r="P2719" s="15"/>
      <c r="Q2719" s="71"/>
      <c r="R2719" s="84"/>
      <c r="S2719" s="10"/>
      <c r="T2719" s="10"/>
      <c r="U2719" s="10"/>
      <c r="V2719" s="10"/>
      <c r="W2719" s="138"/>
      <c r="Y2719"/>
      <c r="Z2719"/>
      <c r="AA2719"/>
      <c r="AB2719"/>
      <c r="AC2719"/>
      <c r="AD2719"/>
      <c r="AE2719"/>
      <c r="AF2719"/>
      <c r="AG2719"/>
      <c r="AH2719"/>
      <c r="AI2719"/>
      <c r="AJ2719"/>
      <c r="AK2719"/>
      <c r="AL2719"/>
      <c r="AM2719"/>
      <c r="AN2719"/>
      <c r="AO2719"/>
    </row>
    <row r="2720" spans="1:41" ht="15">
      <c r="A2720"/>
      <c r="B2720"/>
      <c r="C2720" s="137"/>
      <c r="D2720" s="30"/>
      <c r="E2720" s="30"/>
      <c r="F2720" s="10"/>
      <c r="G2720" s="10"/>
      <c r="H2720" s="15"/>
      <c r="I2720" s="15"/>
      <c r="J2720" s="15"/>
      <c r="K2720" s="15"/>
      <c r="L2720" s="15"/>
      <c r="M2720" s="15"/>
      <c r="N2720" s="15"/>
      <c r="O2720" s="15"/>
      <c r="P2720" s="15"/>
      <c r="Q2720" s="71"/>
      <c r="R2720" s="84"/>
      <c r="S2720" s="10"/>
      <c r="T2720" s="10"/>
      <c r="U2720" s="10"/>
      <c r="V2720" s="10"/>
      <c r="W2720" s="138"/>
      <c r="Y2720"/>
      <c r="Z2720"/>
      <c r="AA2720"/>
      <c r="AB2720"/>
      <c r="AC2720"/>
      <c r="AD2720"/>
      <c r="AE2720"/>
      <c r="AF2720"/>
      <c r="AG2720"/>
      <c r="AH2720"/>
      <c r="AI2720"/>
      <c r="AJ2720"/>
      <c r="AK2720"/>
      <c r="AL2720"/>
      <c r="AM2720"/>
      <c r="AN2720"/>
      <c r="AO2720"/>
    </row>
    <row r="2721" spans="1:41" ht="15">
      <c r="A2721"/>
      <c r="B2721"/>
      <c r="C2721" s="137"/>
      <c r="D2721" s="30"/>
      <c r="E2721" s="30"/>
      <c r="F2721" s="10"/>
      <c r="G2721" s="10"/>
      <c r="H2721" s="15"/>
      <c r="I2721" s="15"/>
      <c r="J2721" s="15"/>
      <c r="K2721" s="15"/>
      <c r="L2721" s="15"/>
      <c r="M2721" s="15"/>
      <c r="N2721" s="15"/>
      <c r="O2721" s="15"/>
      <c r="P2721" s="15"/>
      <c r="Q2721" s="71"/>
      <c r="R2721" s="84"/>
      <c r="S2721" s="10"/>
      <c r="T2721" s="10"/>
      <c r="U2721" s="10"/>
      <c r="V2721" s="10"/>
      <c r="W2721" s="138"/>
      <c r="Y2721"/>
      <c r="Z2721"/>
      <c r="AA2721"/>
      <c r="AB2721"/>
      <c r="AC2721"/>
      <c r="AD2721"/>
      <c r="AE2721"/>
      <c r="AF2721"/>
      <c r="AG2721"/>
      <c r="AH2721"/>
      <c r="AI2721"/>
      <c r="AJ2721"/>
      <c r="AK2721"/>
      <c r="AL2721"/>
      <c r="AM2721"/>
      <c r="AN2721"/>
      <c r="AO2721"/>
    </row>
    <row r="2722" spans="1:41" ht="15">
      <c r="A2722"/>
      <c r="B2722"/>
      <c r="C2722" s="137"/>
      <c r="D2722" s="30"/>
      <c r="E2722" s="30"/>
      <c r="F2722" s="10"/>
      <c r="G2722" s="10"/>
      <c r="H2722" s="15"/>
      <c r="I2722" s="15"/>
      <c r="J2722" s="15"/>
      <c r="K2722" s="15"/>
      <c r="L2722" s="15"/>
      <c r="M2722" s="15"/>
      <c r="N2722" s="15"/>
      <c r="O2722" s="15"/>
      <c r="P2722" s="15"/>
      <c r="Q2722" s="71"/>
      <c r="R2722" s="84"/>
      <c r="S2722" s="10"/>
      <c r="T2722" s="10"/>
      <c r="U2722" s="10"/>
      <c r="V2722" s="10"/>
      <c r="W2722" s="138"/>
      <c r="Y2722"/>
      <c r="Z2722"/>
      <c r="AA2722"/>
      <c r="AB2722"/>
      <c r="AC2722"/>
      <c r="AD2722"/>
      <c r="AE2722"/>
      <c r="AF2722"/>
      <c r="AG2722"/>
      <c r="AH2722"/>
      <c r="AI2722"/>
      <c r="AJ2722"/>
      <c r="AK2722"/>
      <c r="AL2722"/>
      <c r="AM2722"/>
      <c r="AN2722"/>
      <c r="AO2722"/>
    </row>
    <row r="2723" spans="1:41" ht="15">
      <c r="A2723"/>
      <c r="B2723"/>
      <c r="C2723" s="137"/>
      <c r="D2723" s="30"/>
      <c r="E2723" s="30"/>
      <c r="F2723" s="10"/>
      <c r="G2723" s="10"/>
      <c r="H2723" s="15"/>
      <c r="I2723" s="15"/>
      <c r="J2723" s="15"/>
      <c r="K2723" s="15"/>
      <c r="L2723" s="15"/>
      <c r="M2723" s="15"/>
      <c r="N2723" s="15"/>
      <c r="O2723" s="15"/>
      <c r="P2723" s="15"/>
      <c r="Q2723" s="71"/>
      <c r="R2723" s="84"/>
      <c r="S2723" s="10"/>
      <c r="T2723" s="10"/>
      <c r="U2723" s="10"/>
      <c r="V2723" s="10"/>
      <c r="W2723" s="138"/>
      <c r="Y2723"/>
      <c r="Z2723"/>
      <c r="AA2723"/>
      <c r="AB2723"/>
      <c r="AC2723"/>
      <c r="AD2723"/>
      <c r="AE2723"/>
      <c r="AF2723"/>
      <c r="AG2723"/>
      <c r="AH2723"/>
      <c r="AI2723"/>
      <c r="AJ2723"/>
      <c r="AK2723"/>
      <c r="AL2723"/>
      <c r="AM2723"/>
      <c r="AN2723"/>
      <c r="AO2723"/>
    </row>
    <row r="2724" spans="1:41" ht="15">
      <c r="A2724"/>
      <c r="B2724"/>
      <c r="C2724" s="137"/>
      <c r="D2724" s="30"/>
      <c r="E2724" s="30"/>
      <c r="F2724" s="10"/>
      <c r="G2724" s="10"/>
      <c r="H2724" s="15"/>
      <c r="I2724" s="15"/>
      <c r="J2724" s="15"/>
      <c r="K2724" s="15"/>
      <c r="L2724" s="15"/>
      <c r="M2724" s="15"/>
      <c r="N2724" s="15"/>
      <c r="O2724" s="15"/>
      <c r="P2724" s="15"/>
      <c r="Q2724" s="71"/>
      <c r="R2724" s="84"/>
      <c r="S2724" s="10"/>
      <c r="T2724" s="10"/>
      <c r="U2724" s="10"/>
      <c r="V2724" s="10"/>
      <c r="W2724" s="138"/>
      <c r="Y2724"/>
      <c r="Z2724"/>
      <c r="AA2724"/>
      <c r="AB2724"/>
      <c r="AC2724"/>
      <c r="AD2724"/>
      <c r="AE2724"/>
      <c r="AF2724"/>
      <c r="AG2724"/>
      <c r="AH2724"/>
      <c r="AI2724"/>
      <c r="AJ2724"/>
      <c r="AK2724"/>
      <c r="AL2724"/>
      <c r="AM2724"/>
      <c r="AN2724"/>
      <c r="AO2724"/>
    </row>
    <row r="2725" spans="1:41" ht="15">
      <c r="A2725"/>
      <c r="B2725"/>
      <c r="C2725" s="137"/>
      <c r="D2725" s="30"/>
      <c r="E2725" s="30"/>
      <c r="F2725" s="10"/>
      <c r="G2725" s="10"/>
      <c r="H2725" s="15"/>
      <c r="I2725" s="15"/>
      <c r="J2725" s="15"/>
      <c r="K2725" s="15"/>
      <c r="L2725" s="15"/>
      <c r="M2725" s="15"/>
      <c r="N2725" s="15"/>
      <c r="O2725" s="15"/>
      <c r="P2725" s="15"/>
      <c r="Q2725" s="71"/>
      <c r="R2725" s="84"/>
      <c r="S2725" s="10"/>
      <c r="T2725" s="10"/>
      <c r="U2725" s="10"/>
      <c r="V2725" s="10"/>
      <c r="W2725" s="138"/>
      <c r="Y2725"/>
      <c r="Z2725"/>
      <c r="AA2725"/>
      <c r="AB2725"/>
      <c r="AC2725"/>
      <c r="AD2725"/>
      <c r="AE2725"/>
      <c r="AF2725"/>
      <c r="AG2725"/>
      <c r="AH2725"/>
      <c r="AI2725"/>
      <c r="AJ2725"/>
      <c r="AK2725"/>
      <c r="AL2725"/>
      <c r="AM2725"/>
      <c r="AN2725"/>
      <c r="AO2725"/>
    </row>
    <row r="2726" spans="1:41" ht="15">
      <c r="A2726"/>
      <c r="B2726"/>
      <c r="C2726" s="137"/>
      <c r="D2726" s="30"/>
      <c r="E2726" s="30"/>
      <c r="F2726" s="10"/>
      <c r="G2726" s="10"/>
      <c r="H2726" s="15"/>
      <c r="I2726" s="15"/>
      <c r="J2726" s="15"/>
      <c r="K2726" s="15"/>
      <c r="L2726" s="15"/>
      <c r="M2726" s="15"/>
      <c r="N2726" s="15"/>
      <c r="O2726" s="15"/>
      <c r="P2726" s="15"/>
      <c r="Q2726" s="71"/>
      <c r="R2726" s="84"/>
      <c r="S2726" s="10"/>
      <c r="T2726" s="10"/>
      <c r="U2726" s="10"/>
      <c r="V2726" s="10"/>
      <c r="W2726" s="138"/>
      <c r="Y2726"/>
      <c r="Z2726"/>
      <c r="AA2726"/>
      <c r="AB2726"/>
      <c r="AC2726"/>
      <c r="AD2726"/>
      <c r="AE2726"/>
      <c r="AF2726"/>
      <c r="AG2726"/>
      <c r="AH2726"/>
      <c r="AI2726"/>
      <c r="AJ2726"/>
      <c r="AK2726"/>
      <c r="AL2726"/>
      <c r="AM2726"/>
      <c r="AN2726"/>
      <c r="AO2726"/>
    </row>
    <row r="2727" spans="1:41" ht="15">
      <c r="A2727"/>
      <c r="B2727"/>
      <c r="C2727" s="137"/>
      <c r="D2727" s="30"/>
      <c r="E2727" s="30"/>
      <c r="F2727" s="10"/>
      <c r="G2727" s="10"/>
      <c r="H2727" s="15"/>
      <c r="I2727" s="15"/>
      <c r="J2727" s="15"/>
      <c r="K2727" s="15"/>
      <c r="L2727" s="15"/>
      <c r="M2727" s="15"/>
      <c r="N2727" s="15"/>
      <c r="O2727" s="15"/>
      <c r="P2727" s="15"/>
      <c r="Q2727" s="71"/>
      <c r="R2727" s="84"/>
      <c r="S2727" s="10"/>
      <c r="T2727" s="10"/>
      <c r="U2727" s="10"/>
      <c r="V2727" s="10"/>
      <c r="W2727" s="138"/>
      <c r="Y2727"/>
      <c r="Z2727"/>
      <c r="AA2727"/>
      <c r="AB2727"/>
      <c r="AC2727"/>
      <c r="AD2727"/>
      <c r="AE2727"/>
      <c r="AF2727"/>
      <c r="AG2727"/>
      <c r="AH2727"/>
      <c r="AI2727"/>
      <c r="AJ2727"/>
      <c r="AK2727"/>
      <c r="AL2727"/>
      <c r="AM2727"/>
      <c r="AN2727"/>
      <c r="AO2727"/>
    </row>
    <row r="2728" spans="1:41" ht="15">
      <c r="A2728"/>
      <c r="B2728"/>
      <c r="C2728" s="137"/>
      <c r="D2728" s="30"/>
      <c r="E2728" s="30"/>
      <c r="F2728" s="10"/>
      <c r="G2728" s="10"/>
      <c r="H2728" s="15"/>
      <c r="I2728" s="15"/>
      <c r="J2728" s="15"/>
      <c r="K2728" s="15"/>
      <c r="L2728" s="15"/>
      <c r="M2728" s="15"/>
      <c r="N2728" s="15"/>
      <c r="O2728" s="15"/>
      <c r="P2728" s="15"/>
      <c r="Q2728" s="71"/>
      <c r="R2728" s="84"/>
      <c r="S2728" s="10"/>
      <c r="T2728" s="10"/>
      <c r="U2728" s="10"/>
      <c r="V2728" s="10"/>
      <c r="W2728" s="138"/>
      <c r="Y2728"/>
      <c r="Z2728"/>
      <c r="AA2728"/>
      <c r="AB2728"/>
      <c r="AC2728"/>
      <c r="AD2728"/>
      <c r="AE2728"/>
      <c r="AF2728"/>
      <c r="AG2728"/>
      <c r="AH2728"/>
      <c r="AI2728"/>
      <c r="AJ2728"/>
      <c r="AK2728"/>
      <c r="AL2728"/>
      <c r="AM2728"/>
      <c r="AN2728"/>
      <c r="AO2728"/>
    </row>
    <row r="2729" spans="1:41" ht="15">
      <c r="A2729"/>
      <c r="B2729"/>
      <c r="C2729" s="137"/>
      <c r="D2729" s="30"/>
      <c r="E2729" s="30"/>
      <c r="F2729" s="10"/>
      <c r="G2729" s="10"/>
      <c r="H2729" s="15"/>
      <c r="I2729" s="15"/>
      <c r="J2729" s="15"/>
      <c r="K2729" s="15"/>
      <c r="L2729" s="15"/>
      <c r="M2729" s="15"/>
      <c r="N2729" s="15"/>
      <c r="O2729" s="15"/>
      <c r="P2729" s="15"/>
      <c r="Q2729" s="71"/>
      <c r="R2729" s="84"/>
      <c r="S2729" s="10"/>
      <c r="T2729" s="10"/>
      <c r="U2729" s="10"/>
      <c r="V2729" s="10"/>
      <c r="W2729" s="138"/>
      <c r="Y2729"/>
      <c r="Z2729"/>
      <c r="AA2729"/>
      <c r="AB2729"/>
      <c r="AC2729"/>
      <c r="AD2729"/>
      <c r="AE2729"/>
      <c r="AF2729"/>
      <c r="AG2729"/>
      <c r="AH2729"/>
      <c r="AI2729"/>
      <c r="AJ2729"/>
      <c r="AK2729"/>
      <c r="AL2729"/>
      <c r="AM2729"/>
      <c r="AN2729"/>
      <c r="AO2729"/>
    </row>
    <row r="2730" spans="1:41" ht="15">
      <c r="A2730"/>
      <c r="B2730"/>
      <c r="C2730" s="137"/>
      <c r="D2730" s="30"/>
      <c r="E2730" s="30"/>
      <c r="F2730" s="10"/>
      <c r="G2730" s="10"/>
      <c r="H2730" s="15"/>
      <c r="I2730" s="15"/>
      <c r="J2730" s="15"/>
      <c r="K2730" s="15"/>
      <c r="L2730" s="15"/>
      <c r="M2730" s="15"/>
      <c r="N2730" s="15"/>
      <c r="O2730" s="15"/>
      <c r="P2730" s="15"/>
      <c r="Q2730" s="71"/>
      <c r="R2730" s="84"/>
      <c r="S2730" s="10"/>
      <c r="T2730" s="10"/>
      <c r="U2730" s="10"/>
      <c r="V2730" s="10"/>
      <c r="W2730" s="138"/>
      <c r="Y2730"/>
      <c r="Z2730"/>
      <c r="AA2730"/>
      <c r="AB2730"/>
      <c r="AC2730"/>
      <c r="AD2730"/>
      <c r="AE2730"/>
      <c r="AF2730"/>
      <c r="AG2730"/>
      <c r="AH2730"/>
      <c r="AI2730"/>
      <c r="AJ2730"/>
      <c r="AK2730"/>
      <c r="AL2730"/>
      <c r="AM2730"/>
      <c r="AN2730"/>
      <c r="AO2730"/>
    </row>
    <row r="2731" spans="1:41" ht="15">
      <c r="A2731"/>
      <c r="B2731"/>
      <c r="C2731" s="137"/>
      <c r="D2731" s="30"/>
      <c r="E2731" s="30"/>
      <c r="F2731" s="10"/>
      <c r="G2731" s="10"/>
      <c r="H2731" s="15"/>
      <c r="I2731" s="15"/>
      <c r="J2731" s="15"/>
      <c r="K2731" s="15"/>
      <c r="L2731" s="15"/>
      <c r="M2731" s="15"/>
      <c r="N2731" s="15"/>
      <c r="O2731" s="15"/>
      <c r="P2731" s="15"/>
      <c r="Q2731" s="71"/>
      <c r="R2731" s="84"/>
      <c r="S2731" s="10"/>
      <c r="T2731" s="10"/>
      <c r="U2731" s="10"/>
      <c r="V2731" s="10"/>
      <c r="W2731" s="138"/>
      <c r="Y2731"/>
      <c r="Z2731"/>
      <c r="AA2731"/>
      <c r="AB2731"/>
      <c r="AC2731"/>
      <c r="AD2731"/>
      <c r="AE2731"/>
      <c r="AF2731"/>
      <c r="AG2731"/>
      <c r="AH2731"/>
      <c r="AI2731"/>
      <c r="AJ2731"/>
      <c r="AK2731"/>
      <c r="AL2731"/>
      <c r="AM2731"/>
      <c r="AN2731"/>
      <c r="AO2731"/>
    </row>
    <row r="2732" spans="1:41" ht="15">
      <c r="A2732"/>
      <c r="B2732"/>
      <c r="C2732" s="137"/>
      <c r="D2732" s="30"/>
      <c r="E2732" s="30"/>
      <c r="F2732" s="10"/>
      <c r="G2732" s="10"/>
      <c r="H2732" s="15"/>
      <c r="I2732" s="15"/>
      <c r="J2732" s="15"/>
      <c r="K2732" s="15"/>
      <c r="L2732" s="15"/>
      <c r="M2732" s="15"/>
      <c r="N2732" s="15"/>
      <c r="O2732" s="15"/>
      <c r="P2732" s="15"/>
      <c r="Q2732" s="71"/>
      <c r="R2732" s="84"/>
      <c r="S2732" s="10"/>
      <c r="T2732" s="10"/>
      <c r="U2732" s="10"/>
      <c r="V2732" s="10"/>
      <c r="W2732" s="138"/>
      <c r="Y2732"/>
      <c r="Z2732"/>
      <c r="AA2732"/>
      <c r="AB2732"/>
      <c r="AC2732"/>
      <c r="AD2732"/>
      <c r="AE2732"/>
      <c r="AF2732"/>
      <c r="AG2732"/>
      <c r="AH2732"/>
      <c r="AI2732"/>
      <c r="AJ2732"/>
      <c r="AK2732"/>
      <c r="AL2732"/>
      <c r="AM2732"/>
      <c r="AN2732"/>
      <c r="AO2732"/>
    </row>
    <row r="2733" spans="1:41" ht="15">
      <c r="A2733"/>
      <c r="B2733"/>
      <c r="C2733" s="137"/>
      <c r="D2733" s="30"/>
      <c r="E2733" s="30"/>
      <c r="F2733" s="10"/>
      <c r="G2733" s="10"/>
      <c r="H2733" s="15"/>
      <c r="I2733" s="15"/>
      <c r="J2733" s="15"/>
      <c r="K2733" s="15"/>
      <c r="L2733" s="15"/>
      <c r="M2733" s="15"/>
      <c r="N2733" s="15"/>
      <c r="O2733" s="15"/>
      <c r="P2733" s="15"/>
      <c r="Q2733" s="71"/>
      <c r="R2733" s="84"/>
      <c r="S2733" s="10"/>
      <c r="T2733" s="10"/>
      <c r="U2733" s="10"/>
      <c r="V2733" s="10"/>
      <c r="W2733" s="138"/>
      <c r="Y2733"/>
      <c r="Z2733"/>
      <c r="AA2733"/>
      <c r="AB2733"/>
      <c r="AC2733"/>
      <c r="AD2733"/>
      <c r="AE2733"/>
      <c r="AF2733"/>
      <c r="AG2733"/>
      <c r="AH2733"/>
      <c r="AI2733"/>
      <c r="AJ2733"/>
      <c r="AK2733"/>
      <c r="AL2733"/>
      <c r="AM2733"/>
      <c r="AN2733"/>
      <c r="AO2733"/>
    </row>
    <row r="2734" spans="1:41" ht="15">
      <c r="A2734"/>
      <c r="B2734"/>
      <c r="C2734" s="137"/>
      <c r="D2734" s="30"/>
      <c r="E2734" s="30"/>
      <c r="F2734" s="10"/>
      <c r="G2734" s="10"/>
      <c r="H2734" s="15"/>
      <c r="I2734" s="15"/>
      <c r="J2734" s="15"/>
      <c r="K2734" s="15"/>
      <c r="L2734" s="15"/>
      <c r="M2734" s="15"/>
      <c r="N2734" s="15"/>
      <c r="O2734" s="15"/>
      <c r="P2734" s="15"/>
      <c r="Q2734" s="71"/>
      <c r="R2734" s="84"/>
      <c r="S2734" s="10"/>
      <c r="T2734" s="10"/>
      <c r="U2734" s="10"/>
      <c r="V2734" s="10"/>
      <c r="W2734" s="138"/>
      <c r="Y2734"/>
      <c r="Z2734"/>
      <c r="AA2734"/>
      <c r="AB2734"/>
      <c r="AC2734"/>
      <c r="AD2734"/>
      <c r="AE2734"/>
      <c r="AF2734"/>
      <c r="AG2734"/>
      <c r="AH2734"/>
      <c r="AI2734"/>
      <c r="AJ2734"/>
      <c r="AK2734"/>
      <c r="AL2734"/>
      <c r="AM2734"/>
      <c r="AN2734"/>
      <c r="AO2734"/>
    </row>
    <row r="2735" spans="1:41" ht="15">
      <c r="A2735"/>
      <c r="B2735"/>
      <c r="C2735" s="137"/>
      <c r="D2735" s="30"/>
      <c r="E2735" s="30"/>
      <c r="F2735" s="10"/>
      <c r="G2735" s="10"/>
      <c r="H2735" s="15"/>
      <c r="I2735" s="15"/>
      <c r="J2735" s="15"/>
      <c r="K2735" s="15"/>
      <c r="L2735" s="15"/>
      <c r="M2735" s="15"/>
      <c r="N2735" s="15"/>
      <c r="O2735" s="15"/>
      <c r="P2735" s="15"/>
      <c r="Q2735" s="71"/>
      <c r="R2735" s="84"/>
      <c r="S2735" s="10"/>
      <c r="T2735" s="10"/>
      <c r="U2735" s="10"/>
      <c r="V2735" s="10"/>
      <c r="W2735" s="138"/>
      <c r="Y2735"/>
      <c r="Z2735"/>
      <c r="AA2735"/>
      <c r="AB2735"/>
      <c r="AC2735"/>
      <c r="AD2735"/>
      <c r="AE2735"/>
      <c r="AF2735"/>
      <c r="AG2735"/>
      <c r="AH2735"/>
      <c r="AI2735"/>
      <c r="AJ2735"/>
      <c r="AK2735"/>
      <c r="AL2735"/>
      <c r="AM2735"/>
      <c r="AN2735"/>
      <c r="AO2735"/>
    </row>
    <row r="2736" spans="1:41" ht="15">
      <c r="A2736"/>
      <c r="B2736"/>
      <c r="C2736" s="137"/>
      <c r="D2736" s="30"/>
      <c r="E2736" s="30"/>
      <c r="F2736" s="10"/>
      <c r="G2736" s="10"/>
      <c r="H2736" s="15"/>
      <c r="I2736" s="15"/>
      <c r="J2736" s="15"/>
      <c r="K2736" s="15"/>
      <c r="L2736" s="15"/>
      <c r="M2736" s="15"/>
      <c r="N2736" s="15"/>
      <c r="O2736" s="15"/>
      <c r="P2736" s="15"/>
      <c r="Q2736" s="71"/>
      <c r="R2736" s="84"/>
      <c r="S2736" s="10"/>
      <c r="T2736" s="10"/>
      <c r="U2736" s="10"/>
      <c r="V2736" s="10"/>
      <c r="W2736" s="138"/>
      <c r="Y2736"/>
      <c r="Z2736"/>
      <c r="AA2736"/>
      <c r="AB2736"/>
      <c r="AC2736"/>
      <c r="AD2736"/>
      <c r="AE2736"/>
      <c r="AF2736"/>
      <c r="AG2736"/>
      <c r="AH2736"/>
      <c r="AI2736"/>
      <c r="AJ2736"/>
      <c r="AK2736"/>
      <c r="AL2736"/>
      <c r="AM2736"/>
      <c r="AN2736"/>
      <c r="AO2736"/>
    </row>
    <row r="2737" spans="1:41" ht="15">
      <c r="A2737"/>
      <c r="B2737"/>
      <c r="C2737" s="137"/>
      <c r="D2737" s="30"/>
      <c r="E2737" s="30"/>
      <c r="F2737" s="10"/>
      <c r="G2737" s="10"/>
      <c r="H2737" s="15"/>
      <c r="I2737" s="15"/>
      <c r="J2737" s="15"/>
      <c r="K2737" s="15"/>
      <c r="L2737" s="15"/>
      <c r="M2737" s="15"/>
      <c r="N2737" s="15"/>
      <c r="O2737" s="15"/>
      <c r="P2737" s="15"/>
      <c r="Q2737" s="71"/>
      <c r="R2737" s="84"/>
      <c r="S2737" s="10"/>
      <c r="T2737" s="10"/>
      <c r="U2737" s="10"/>
      <c r="V2737" s="10"/>
      <c r="W2737" s="138"/>
      <c r="Y2737"/>
      <c r="Z2737"/>
      <c r="AA2737"/>
      <c r="AB2737"/>
      <c r="AC2737"/>
      <c r="AD2737"/>
      <c r="AE2737"/>
      <c r="AF2737"/>
      <c r="AG2737"/>
      <c r="AH2737"/>
      <c r="AI2737"/>
      <c r="AJ2737"/>
      <c r="AK2737"/>
      <c r="AL2737"/>
      <c r="AM2737"/>
      <c r="AN2737"/>
      <c r="AO2737"/>
    </row>
    <row r="2738" spans="1:41" ht="15">
      <c r="A2738"/>
      <c r="B2738"/>
      <c r="C2738" s="137"/>
      <c r="D2738" s="30"/>
      <c r="E2738" s="30"/>
      <c r="F2738" s="10"/>
      <c r="G2738" s="10"/>
      <c r="H2738" s="15"/>
      <c r="I2738" s="15"/>
      <c r="J2738" s="15"/>
      <c r="K2738" s="15"/>
      <c r="L2738" s="15"/>
      <c r="M2738" s="15"/>
      <c r="N2738" s="15"/>
      <c r="O2738" s="15"/>
      <c r="P2738" s="15"/>
      <c r="Q2738" s="71"/>
      <c r="R2738" s="84"/>
      <c r="S2738" s="10"/>
      <c r="T2738" s="10"/>
      <c r="U2738" s="10"/>
      <c r="V2738" s="10"/>
      <c r="W2738" s="138"/>
      <c r="Y2738"/>
      <c r="Z2738"/>
      <c r="AA2738"/>
      <c r="AB2738"/>
      <c r="AC2738"/>
      <c r="AD2738"/>
      <c r="AE2738"/>
      <c r="AF2738"/>
      <c r="AG2738"/>
      <c r="AH2738"/>
      <c r="AI2738"/>
      <c r="AJ2738"/>
      <c r="AK2738"/>
      <c r="AL2738"/>
      <c r="AM2738"/>
      <c r="AN2738"/>
      <c r="AO2738"/>
    </row>
    <row r="2739" spans="1:41" ht="15">
      <c r="A2739"/>
      <c r="B2739"/>
      <c r="C2739" s="137"/>
      <c r="D2739" s="30"/>
      <c r="E2739" s="30"/>
      <c r="F2739" s="10"/>
      <c r="G2739" s="10"/>
      <c r="H2739" s="15"/>
      <c r="I2739" s="15"/>
      <c r="J2739" s="15"/>
      <c r="K2739" s="15"/>
      <c r="L2739" s="15"/>
      <c r="M2739" s="15"/>
      <c r="N2739" s="15"/>
      <c r="O2739" s="15"/>
      <c r="P2739" s="15"/>
      <c r="Q2739" s="71"/>
      <c r="R2739" s="84"/>
      <c r="S2739" s="10"/>
      <c r="T2739" s="10"/>
      <c r="U2739" s="10"/>
      <c r="V2739" s="10"/>
      <c r="W2739" s="138"/>
      <c r="Y2739"/>
      <c r="Z2739"/>
      <c r="AA2739"/>
      <c r="AB2739"/>
      <c r="AC2739"/>
      <c r="AD2739"/>
      <c r="AE2739"/>
      <c r="AF2739"/>
      <c r="AG2739"/>
      <c r="AH2739"/>
      <c r="AI2739"/>
      <c r="AJ2739"/>
      <c r="AK2739"/>
      <c r="AL2739"/>
      <c r="AM2739"/>
      <c r="AN2739"/>
      <c r="AO2739"/>
    </row>
    <row r="2740" spans="1:41" ht="15">
      <c r="A2740"/>
      <c r="B2740"/>
      <c r="C2740" s="137"/>
      <c r="D2740" s="30"/>
      <c r="E2740" s="30"/>
      <c r="F2740" s="10"/>
      <c r="G2740" s="10"/>
      <c r="H2740" s="15"/>
      <c r="I2740" s="15"/>
      <c r="J2740" s="15"/>
      <c r="K2740" s="15"/>
      <c r="L2740" s="15"/>
      <c r="M2740" s="15"/>
      <c r="N2740" s="15"/>
      <c r="O2740" s="15"/>
      <c r="P2740" s="15"/>
      <c r="Q2740" s="71"/>
      <c r="R2740" s="84"/>
      <c r="S2740" s="10"/>
      <c r="T2740" s="10"/>
      <c r="U2740" s="10"/>
      <c r="V2740" s="10"/>
      <c r="W2740" s="138"/>
      <c r="Y2740"/>
      <c r="Z2740"/>
      <c r="AA2740"/>
      <c r="AB2740"/>
      <c r="AC2740"/>
      <c r="AD2740"/>
      <c r="AE2740"/>
      <c r="AF2740"/>
      <c r="AG2740"/>
      <c r="AH2740"/>
      <c r="AI2740"/>
      <c r="AJ2740"/>
      <c r="AK2740"/>
      <c r="AL2740"/>
      <c r="AM2740"/>
      <c r="AN2740"/>
      <c r="AO2740"/>
    </row>
    <row r="2741" spans="1:41" ht="15">
      <c r="A2741"/>
      <c r="B2741"/>
      <c r="C2741" s="137"/>
      <c r="D2741" s="30"/>
      <c r="E2741" s="30"/>
      <c r="F2741" s="10"/>
      <c r="G2741" s="10"/>
      <c r="H2741" s="15"/>
      <c r="I2741" s="15"/>
      <c r="J2741" s="15"/>
      <c r="K2741" s="15"/>
      <c r="L2741" s="15"/>
      <c r="M2741" s="15"/>
      <c r="N2741" s="15"/>
      <c r="O2741" s="15"/>
      <c r="P2741" s="15"/>
      <c r="Q2741" s="71"/>
      <c r="R2741" s="84"/>
      <c r="S2741" s="10"/>
      <c r="T2741" s="10"/>
      <c r="U2741" s="10"/>
      <c r="V2741" s="10"/>
      <c r="W2741" s="138"/>
      <c r="Y2741"/>
      <c r="Z2741"/>
      <c r="AA2741"/>
      <c r="AB2741"/>
      <c r="AC2741"/>
      <c r="AD2741"/>
      <c r="AE2741"/>
      <c r="AF2741"/>
      <c r="AG2741"/>
      <c r="AH2741"/>
      <c r="AI2741"/>
      <c r="AJ2741"/>
      <c r="AK2741"/>
      <c r="AL2741"/>
      <c r="AM2741"/>
      <c r="AN2741"/>
      <c r="AO2741"/>
    </row>
    <row r="2742" spans="1:41" ht="15">
      <c r="A2742"/>
      <c r="B2742"/>
      <c r="C2742" s="137"/>
      <c r="D2742" s="30"/>
      <c r="E2742" s="30"/>
      <c r="F2742" s="10"/>
      <c r="G2742" s="10"/>
      <c r="H2742" s="15"/>
      <c r="I2742" s="15"/>
      <c r="J2742" s="15"/>
      <c r="K2742" s="15"/>
      <c r="L2742" s="15"/>
      <c r="M2742" s="15"/>
      <c r="N2742" s="15"/>
      <c r="O2742" s="15"/>
      <c r="P2742" s="15"/>
      <c r="Q2742" s="71"/>
      <c r="R2742" s="84"/>
      <c r="S2742" s="10"/>
      <c r="T2742" s="10"/>
      <c r="U2742" s="10"/>
      <c r="V2742" s="10"/>
      <c r="W2742" s="138"/>
      <c r="Y2742"/>
      <c r="Z2742"/>
      <c r="AA2742"/>
      <c r="AB2742"/>
      <c r="AC2742"/>
      <c r="AD2742"/>
      <c r="AE2742"/>
      <c r="AF2742"/>
      <c r="AG2742"/>
      <c r="AH2742"/>
      <c r="AI2742"/>
      <c r="AJ2742"/>
      <c r="AK2742"/>
      <c r="AL2742"/>
      <c r="AM2742"/>
      <c r="AN2742"/>
      <c r="AO2742"/>
    </row>
    <row r="2743" spans="1:41" ht="15">
      <c r="A2743"/>
      <c r="B2743"/>
      <c r="C2743" s="137"/>
      <c r="D2743" s="30"/>
      <c r="E2743" s="30"/>
      <c r="F2743" s="10"/>
      <c r="G2743" s="10"/>
      <c r="H2743" s="15"/>
      <c r="I2743" s="15"/>
      <c r="J2743" s="15"/>
      <c r="K2743" s="15"/>
      <c r="L2743" s="15"/>
      <c r="M2743" s="15"/>
      <c r="N2743" s="15"/>
      <c r="O2743" s="15"/>
      <c r="P2743" s="15"/>
      <c r="Q2743" s="71"/>
      <c r="R2743" s="84"/>
      <c r="S2743" s="10"/>
      <c r="T2743" s="10"/>
      <c r="U2743" s="10"/>
      <c r="V2743" s="10"/>
      <c r="W2743" s="138"/>
      <c r="Y2743"/>
      <c r="Z2743"/>
      <c r="AA2743"/>
      <c r="AB2743"/>
      <c r="AC2743"/>
      <c r="AD2743"/>
      <c r="AE2743"/>
      <c r="AF2743"/>
      <c r="AG2743"/>
      <c r="AH2743"/>
      <c r="AI2743"/>
      <c r="AJ2743"/>
      <c r="AK2743"/>
      <c r="AL2743"/>
      <c r="AM2743"/>
      <c r="AN2743"/>
      <c r="AO2743"/>
    </row>
    <row r="2744" spans="1:41" ht="15">
      <c r="A2744"/>
      <c r="B2744"/>
      <c r="C2744" s="137"/>
      <c r="D2744" s="30"/>
      <c r="E2744" s="30"/>
      <c r="F2744" s="10"/>
      <c r="G2744" s="10"/>
      <c r="H2744" s="15"/>
      <c r="I2744" s="15"/>
      <c r="J2744" s="15"/>
      <c r="K2744" s="15"/>
      <c r="L2744" s="15"/>
      <c r="M2744" s="15"/>
      <c r="N2744" s="15"/>
      <c r="O2744" s="15"/>
      <c r="P2744" s="15"/>
      <c r="Q2744" s="71"/>
      <c r="R2744" s="84"/>
      <c r="S2744" s="10"/>
      <c r="T2744" s="10"/>
      <c r="U2744" s="10"/>
      <c r="V2744" s="10"/>
      <c r="W2744" s="138"/>
      <c r="Y2744"/>
      <c r="Z2744"/>
      <c r="AA2744"/>
      <c r="AB2744"/>
      <c r="AC2744"/>
      <c r="AD2744"/>
      <c r="AE2744"/>
      <c r="AF2744"/>
      <c r="AG2744"/>
      <c r="AH2744"/>
      <c r="AI2744"/>
      <c r="AJ2744"/>
      <c r="AK2744"/>
      <c r="AL2744"/>
      <c r="AM2744"/>
      <c r="AN2744"/>
      <c r="AO2744"/>
    </row>
    <row r="2745" spans="1:41" ht="15">
      <c r="A2745"/>
      <c r="B2745"/>
      <c r="C2745" s="137"/>
      <c r="D2745" s="30"/>
      <c r="E2745" s="30"/>
      <c r="F2745" s="10"/>
      <c r="G2745" s="10"/>
      <c r="H2745" s="15"/>
      <c r="I2745" s="15"/>
      <c r="J2745" s="15"/>
      <c r="K2745" s="15"/>
      <c r="L2745" s="15"/>
      <c r="M2745" s="15"/>
      <c r="N2745" s="15"/>
      <c r="O2745" s="15"/>
      <c r="P2745" s="15"/>
      <c r="Q2745" s="71"/>
      <c r="R2745" s="84"/>
      <c r="S2745" s="10"/>
      <c r="T2745" s="10"/>
      <c r="U2745" s="10"/>
      <c r="V2745" s="10"/>
      <c r="W2745" s="138"/>
      <c r="Y2745"/>
      <c r="Z2745"/>
      <c r="AA2745"/>
      <c r="AB2745"/>
      <c r="AC2745"/>
      <c r="AD2745"/>
      <c r="AE2745"/>
      <c r="AF2745"/>
      <c r="AG2745"/>
      <c r="AH2745"/>
      <c r="AI2745"/>
      <c r="AJ2745"/>
      <c r="AK2745"/>
      <c r="AL2745"/>
      <c r="AM2745"/>
      <c r="AN2745"/>
      <c r="AO2745"/>
    </row>
    <row r="2746" spans="1:41" ht="15">
      <c r="A2746"/>
      <c r="B2746"/>
      <c r="C2746" s="137"/>
      <c r="D2746" s="30"/>
      <c r="E2746" s="30"/>
      <c r="F2746" s="10"/>
      <c r="G2746" s="10"/>
      <c r="H2746" s="15"/>
      <c r="I2746" s="15"/>
      <c r="J2746" s="15"/>
      <c r="K2746" s="15"/>
      <c r="L2746" s="15"/>
      <c r="M2746" s="15"/>
      <c r="N2746" s="15"/>
      <c r="O2746" s="15"/>
      <c r="P2746" s="15"/>
      <c r="Q2746" s="71"/>
      <c r="R2746" s="84"/>
      <c r="S2746" s="10"/>
      <c r="T2746" s="10"/>
      <c r="U2746" s="10"/>
      <c r="V2746" s="10"/>
      <c r="W2746" s="138"/>
      <c r="Y2746"/>
      <c r="Z2746"/>
      <c r="AA2746"/>
      <c r="AB2746"/>
      <c r="AC2746"/>
      <c r="AD2746"/>
      <c r="AE2746"/>
      <c r="AF2746"/>
      <c r="AG2746"/>
      <c r="AH2746"/>
      <c r="AI2746"/>
      <c r="AJ2746"/>
      <c r="AK2746"/>
      <c r="AL2746"/>
      <c r="AM2746"/>
      <c r="AN2746"/>
      <c r="AO2746"/>
    </row>
    <row r="2747" spans="1:41" ht="15">
      <c r="A2747"/>
      <c r="B2747"/>
      <c r="C2747" s="137"/>
      <c r="D2747" s="30"/>
      <c r="E2747" s="30"/>
      <c r="F2747" s="10"/>
      <c r="G2747" s="10"/>
      <c r="H2747" s="15"/>
      <c r="I2747" s="15"/>
      <c r="J2747" s="15"/>
      <c r="K2747" s="15"/>
      <c r="L2747" s="15"/>
      <c r="M2747" s="15"/>
      <c r="N2747" s="15"/>
      <c r="O2747" s="15"/>
      <c r="P2747" s="15"/>
      <c r="Q2747" s="71"/>
      <c r="R2747" s="84"/>
      <c r="S2747" s="10"/>
      <c r="T2747" s="10"/>
      <c r="U2747" s="10"/>
      <c r="V2747" s="10"/>
      <c r="W2747" s="138"/>
      <c r="Y2747"/>
      <c r="Z2747"/>
      <c r="AA2747"/>
      <c r="AB2747"/>
      <c r="AC2747"/>
      <c r="AD2747"/>
      <c r="AE2747"/>
      <c r="AF2747"/>
      <c r="AG2747"/>
      <c r="AH2747"/>
      <c r="AI2747"/>
      <c r="AJ2747"/>
      <c r="AK2747"/>
      <c r="AL2747"/>
      <c r="AM2747"/>
      <c r="AN2747"/>
      <c r="AO2747"/>
    </row>
    <row r="2748" spans="1:41" ht="15">
      <c r="A2748"/>
      <c r="B2748"/>
      <c r="C2748" s="137"/>
      <c r="D2748" s="30"/>
      <c r="E2748" s="30"/>
      <c r="F2748" s="10"/>
      <c r="G2748" s="10"/>
      <c r="H2748" s="15"/>
      <c r="I2748" s="15"/>
      <c r="J2748" s="15"/>
      <c r="K2748" s="15"/>
      <c r="L2748" s="15"/>
      <c r="M2748" s="15"/>
      <c r="N2748" s="15"/>
      <c r="O2748" s="15"/>
      <c r="P2748" s="15"/>
      <c r="Q2748" s="71"/>
      <c r="R2748" s="84"/>
      <c r="S2748" s="10"/>
      <c r="T2748" s="10"/>
      <c r="U2748" s="10"/>
      <c r="V2748" s="10"/>
      <c r="W2748" s="138"/>
      <c r="Y2748"/>
      <c r="Z2748"/>
      <c r="AA2748"/>
      <c r="AB2748"/>
      <c r="AC2748"/>
      <c r="AD2748"/>
      <c r="AE2748"/>
      <c r="AF2748"/>
      <c r="AG2748"/>
      <c r="AH2748"/>
      <c r="AI2748"/>
      <c r="AJ2748"/>
      <c r="AK2748"/>
      <c r="AL2748"/>
      <c r="AM2748"/>
      <c r="AN2748"/>
      <c r="AO2748"/>
    </row>
    <row r="2749" spans="1:41" ht="15">
      <c r="A2749"/>
      <c r="B2749"/>
      <c r="C2749" s="137"/>
      <c r="D2749" s="30"/>
      <c r="E2749" s="30"/>
      <c r="F2749" s="10"/>
      <c r="G2749" s="10"/>
      <c r="H2749" s="15"/>
      <c r="I2749" s="15"/>
      <c r="J2749" s="15"/>
      <c r="K2749" s="15"/>
      <c r="L2749" s="15"/>
      <c r="M2749" s="15"/>
      <c r="N2749" s="15"/>
      <c r="O2749" s="15"/>
      <c r="P2749" s="15"/>
      <c r="Q2749" s="71"/>
      <c r="R2749" s="84"/>
      <c r="S2749" s="10"/>
      <c r="T2749" s="10"/>
      <c r="U2749" s="10"/>
      <c r="V2749" s="10"/>
      <c r="W2749" s="138"/>
      <c r="Y2749"/>
      <c r="Z2749"/>
      <c r="AA2749"/>
      <c r="AB2749"/>
      <c r="AC2749"/>
      <c r="AD2749"/>
      <c r="AE2749"/>
      <c r="AF2749"/>
      <c r="AG2749"/>
      <c r="AH2749"/>
      <c r="AI2749"/>
      <c r="AJ2749"/>
      <c r="AK2749"/>
      <c r="AL2749"/>
      <c r="AM2749"/>
      <c r="AN2749"/>
      <c r="AO2749"/>
    </row>
    <row r="2750" spans="1:41" ht="15">
      <c r="A2750"/>
      <c r="B2750"/>
      <c r="C2750" s="137"/>
      <c r="D2750" s="30"/>
      <c r="E2750" s="30"/>
      <c r="F2750" s="10"/>
      <c r="G2750" s="10"/>
      <c r="H2750" s="15"/>
      <c r="I2750" s="15"/>
      <c r="J2750" s="15"/>
      <c r="K2750" s="15"/>
      <c r="L2750" s="15"/>
      <c r="M2750" s="15"/>
      <c r="N2750" s="15"/>
      <c r="O2750" s="15"/>
      <c r="P2750" s="15"/>
      <c r="Q2750" s="71"/>
      <c r="R2750" s="84"/>
      <c r="S2750" s="10"/>
      <c r="T2750" s="10"/>
      <c r="U2750" s="10"/>
      <c r="V2750" s="10"/>
      <c r="W2750" s="138"/>
      <c r="Y2750"/>
      <c r="Z2750"/>
      <c r="AA2750"/>
      <c r="AB2750"/>
      <c r="AC2750"/>
      <c r="AD2750"/>
      <c r="AE2750"/>
      <c r="AF2750"/>
      <c r="AG2750"/>
      <c r="AH2750"/>
      <c r="AI2750"/>
      <c r="AJ2750"/>
      <c r="AK2750"/>
      <c r="AL2750"/>
      <c r="AM2750"/>
      <c r="AN2750"/>
      <c r="AO2750"/>
    </row>
    <row r="2751" spans="1:41" ht="15">
      <c r="A2751"/>
      <c r="B2751"/>
      <c r="C2751" s="137"/>
      <c r="D2751" s="30"/>
      <c r="E2751" s="30"/>
      <c r="F2751" s="10"/>
      <c r="G2751" s="10"/>
      <c r="H2751" s="15"/>
      <c r="I2751" s="15"/>
      <c r="J2751" s="15"/>
      <c r="K2751" s="15"/>
      <c r="L2751" s="15"/>
      <c r="M2751" s="15"/>
      <c r="N2751" s="15"/>
      <c r="O2751" s="15"/>
      <c r="P2751" s="15"/>
      <c r="Q2751" s="71"/>
      <c r="R2751" s="84"/>
      <c r="S2751" s="10"/>
      <c r="T2751" s="10"/>
      <c r="U2751" s="10"/>
      <c r="V2751" s="10"/>
      <c r="W2751" s="138"/>
      <c r="Y2751"/>
      <c r="Z2751"/>
      <c r="AA2751"/>
      <c r="AB2751"/>
      <c r="AC2751"/>
      <c r="AD2751"/>
      <c r="AE2751"/>
      <c r="AF2751"/>
      <c r="AG2751"/>
      <c r="AH2751"/>
      <c r="AI2751"/>
      <c r="AJ2751"/>
      <c r="AK2751"/>
      <c r="AL2751"/>
      <c r="AM2751"/>
      <c r="AN2751"/>
      <c r="AO2751"/>
    </row>
    <row r="2752" spans="1:41" ht="15">
      <c r="A2752"/>
      <c r="B2752"/>
      <c r="C2752" s="137"/>
      <c r="D2752" s="30"/>
      <c r="E2752" s="30"/>
      <c r="F2752" s="10"/>
      <c r="G2752" s="10"/>
      <c r="H2752" s="15"/>
      <c r="I2752" s="15"/>
      <c r="J2752" s="15"/>
      <c r="K2752" s="15"/>
      <c r="L2752" s="15"/>
      <c r="M2752" s="15"/>
      <c r="N2752" s="15"/>
      <c r="O2752" s="15"/>
      <c r="P2752" s="15"/>
      <c r="Q2752" s="71"/>
      <c r="R2752" s="84"/>
      <c r="S2752" s="10"/>
      <c r="T2752" s="10"/>
      <c r="U2752" s="10"/>
      <c r="V2752" s="10"/>
      <c r="W2752" s="138"/>
      <c r="Y2752"/>
      <c r="Z2752"/>
      <c r="AA2752"/>
      <c r="AB2752"/>
      <c r="AC2752"/>
      <c r="AD2752"/>
      <c r="AE2752"/>
      <c r="AF2752"/>
      <c r="AG2752"/>
      <c r="AH2752"/>
      <c r="AI2752"/>
      <c r="AJ2752"/>
      <c r="AK2752"/>
      <c r="AL2752"/>
      <c r="AM2752"/>
      <c r="AN2752"/>
      <c r="AO2752"/>
    </row>
    <row r="2753" spans="1:41" ht="15">
      <c r="A2753"/>
      <c r="B2753"/>
      <c r="C2753" s="137"/>
      <c r="D2753" s="30"/>
      <c r="E2753" s="30"/>
      <c r="F2753" s="10"/>
      <c r="G2753" s="10"/>
      <c r="H2753" s="15"/>
      <c r="I2753" s="15"/>
      <c r="J2753" s="15"/>
      <c r="K2753" s="15"/>
      <c r="L2753" s="15"/>
      <c r="M2753" s="15"/>
      <c r="N2753" s="15"/>
      <c r="O2753" s="15"/>
      <c r="P2753" s="15"/>
      <c r="Q2753" s="71"/>
      <c r="R2753" s="84"/>
      <c r="S2753" s="10"/>
      <c r="T2753" s="10"/>
      <c r="U2753" s="10"/>
      <c r="V2753" s="10"/>
      <c r="W2753" s="138"/>
      <c r="Y2753"/>
      <c r="Z2753"/>
      <c r="AA2753"/>
      <c r="AB2753"/>
      <c r="AC2753"/>
      <c r="AD2753"/>
      <c r="AE2753"/>
      <c r="AF2753"/>
      <c r="AG2753"/>
      <c r="AH2753"/>
      <c r="AI2753"/>
      <c r="AJ2753"/>
      <c r="AK2753"/>
      <c r="AL2753"/>
      <c r="AM2753"/>
      <c r="AN2753"/>
      <c r="AO2753"/>
    </row>
    <row r="2754" spans="1:41" ht="15">
      <c r="A2754"/>
      <c r="B2754"/>
      <c r="C2754" s="137"/>
      <c r="D2754" s="30"/>
      <c r="E2754" s="30"/>
      <c r="F2754" s="10"/>
      <c r="G2754" s="10"/>
      <c r="H2754" s="15"/>
      <c r="I2754" s="15"/>
      <c r="J2754" s="15"/>
      <c r="K2754" s="15"/>
      <c r="L2754" s="15"/>
      <c r="M2754" s="15"/>
      <c r="N2754" s="15"/>
      <c r="O2754" s="15"/>
      <c r="P2754" s="15"/>
      <c r="Q2754" s="71"/>
      <c r="R2754" s="84"/>
      <c r="S2754" s="10"/>
      <c r="T2754" s="10"/>
      <c r="U2754" s="10"/>
      <c r="V2754" s="10"/>
      <c r="W2754" s="138"/>
      <c r="Y2754"/>
      <c r="Z2754"/>
      <c r="AA2754"/>
      <c r="AB2754"/>
      <c r="AC2754"/>
      <c r="AD2754"/>
      <c r="AE2754"/>
      <c r="AF2754"/>
      <c r="AG2754"/>
      <c r="AH2754"/>
      <c r="AI2754"/>
      <c r="AJ2754"/>
      <c r="AK2754"/>
      <c r="AL2754"/>
      <c r="AM2754"/>
      <c r="AN2754"/>
      <c r="AO2754"/>
    </row>
    <row r="2755" spans="1:41" ht="15">
      <c r="A2755"/>
      <c r="B2755"/>
      <c r="C2755" s="137"/>
      <c r="D2755" s="30"/>
      <c r="E2755" s="30"/>
      <c r="F2755" s="10"/>
      <c r="G2755" s="10"/>
      <c r="H2755" s="15"/>
      <c r="I2755" s="15"/>
      <c r="J2755" s="15"/>
      <c r="K2755" s="15"/>
      <c r="L2755" s="15"/>
      <c r="M2755" s="15"/>
      <c r="N2755" s="15"/>
      <c r="O2755" s="15"/>
      <c r="P2755" s="15"/>
      <c r="Q2755" s="71"/>
      <c r="R2755" s="84"/>
      <c r="S2755" s="10"/>
      <c r="T2755" s="10"/>
      <c r="U2755" s="10"/>
      <c r="V2755" s="10"/>
      <c r="W2755" s="138"/>
      <c r="Y2755"/>
      <c r="Z2755"/>
      <c r="AA2755"/>
      <c r="AB2755"/>
      <c r="AC2755"/>
      <c r="AD2755"/>
      <c r="AE2755"/>
      <c r="AF2755"/>
      <c r="AG2755"/>
      <c r="AH2755"/>
      <c r="AI2755"/>
      <c r="AJ2755"/>
      <c r="AK2755"/>
      <c r="AL2755"/>
      <c r="AM2755"/>
      <c r="AN2755"/>
      <c r="AO2755"/>
    </row>
    <row r="2756" spans="1:41" ht="15">
      <c r="A2756"/>
      <c r="B2756"/>
      <c r="C2756" s="137"/>
      <c r="D2756" s="30"/>
      <c r="E2756" s="30"/>
      <c r="F2756" s="10"/>
      <c r="G2756" s="10"/>
      <c r="H2756" s="15"/>
      <c r="I2756" s="15"/>
      <c r="J2756" s="15"/>
      <c r="K2756" s="15"/>
      <c r="L2756" s="15"/>
      <c r="M2756" s="15"/>
      <c r="N2756" s="15"/>
      <c r="O2756" s="15"/>
      <c r="P2756" s="15"/>
      <c r="Q2756" s="71"/>
      <c r="R2756" s="84"/>
      <c r="S2756" s="10"/>
      <c r="T2756" s="10"/>
      <c r="U2756" s="10"/>
      <c r="V2756" s="10"/>
      <c r="W2756" s="138"/>
      <c r="Y2756"/>
      <c r="Z2756"/>
      <c r="AA2756"/>
      <c r="AB2756"/>
      <c r="AC2756"/>
      <c r="AD2756"/>
      <c r="AE2756"/>
      <c r="AF2756"/>
      <c r="AG2756"/>
      <c r="AH2756"/>
      <c r="AI2756"/>
      <c r="AJ2756"/>
      <c r="AK2756"/>
      <c r="AL2756"/>
      <c r="AM2756"/>
      <c r="AN2756"/>
      <c r="AO2756"/>
    </row>
    <row r="2757" spans="1:41" ht="15">
      <c r="A2757"/>
      <c r="B2757"/>
      <c r="C2757" s="137"/>
      <c r="D2757" s="30"/>
      <c r="E2757" s="30"/>
      <c r="F2757" s="10"/>
      <c r="G2757" s="10"/>
      <c r="H2757" s="15"/>
      <c r="I2757" s="15"/>
      <c r="J2757" s="15"/>
      <c r="K2757" s="15"/>
      <c r="L2757" s="15"/>
      <c r="M2757" s="15"/>
      <c r="N2757" s="15"/>
      <c r="O2757" s="15"/>
      <c r="P2757" s="15"/>
      <c r="Q2757" s="71"/>
      <c r="R2757" s="84"/>
      <c r="S2757" s="10"/>
      <c r="T2757" s="10"/>
      <c r="U2757" s="10"/>
      <c r="V2757" s="10"/>
      <c r="W2757" s="138"/>
      <c r="Y2757"/>
      <c r="Z2757"/>
      <c r="AA2757"/>
      <c r="AB2757"/>
      <c r="AC2757"/>
      <c r="AD2757"/>
      <c r="AE2757"/>
      <c r="AF2757"/>
      <c r="AG2757"/>
      <c r="AH2757"/>
      <c r="AI2757"/>
      <c r="AJ2757"/>
      <c r="AK2757"/>
      <c r="AL2757"/>
      <c r="AM2757"/>
      <c r="AN2757"/>
      <c r="AO2757"/>
    </row>
    <row r="2758" spans="1:41" ht="15">
      <c r="A2758"/>
      <c r="B2758"/>
      <c r="C2758" s="137"/>
      <c r="D2758" s="30"/>
      <c r="E2758" s="30"/>
      <c r="F2758" s="10"/>
      <c r="G2758" s="10"/>
      <c r="H2758" s="15"/>
      <c r="I2758" s="15"/>
      <c r="J2758" s="15"/>
      <c r="K2758" s="15"/>
      <c r="L2758" s="15"/>
      <c r="M2758" s="15"/>
      <c r="N2758" s="15"/>
      <c r="O2758" s="15"/>
      <c r="P2758" s="15"/>
      <c r="Q2758" s="71"/>
      <c r="R2758" s="84"/>
      <c r="S2758" s="10"/>
      <c r="T2758" s="10"/>
      <c r="U2758" s="10"/>
      <c r="V2758" s="10"/>
      <c r="W2758" s="138"/>
      <c r="Y2758"/>
      <c r="Z2758"/>
      <c r="AA2758"/>
      <c r="AB2758"/>
      <c r="AC2758"/>
      <c r="AD2758"/>
      <c r="AE2758"/>
      <c r="AF2758"/>
      <c r="AG2758"/>
      <c r="AH2758"/>
      <c r="AI2758"/>
      <c r="AJ2758"/>
      <c r="AK2758"/>
      <c r="AL2758"/>
      <c r="AM2758"/>
      <c r="AN2758"/>
      <c r="AO2758"/>
    </row>
    <row r="2759" spans="1:41" ht="15">
      <c r="A2759"/>
      <c r="B2759"/>
      <c r="C2759" s="137"/>
      <c r="D2759" s="30"/>
      <c r="E2759" s="30"/>
      <c r="F2759" s="10"/>
      <c r="G2759" s="10"/>
      <c r="H2759" s="15"/>
      <c r="I2759" s="15"/>
      <c r="J2759" s="15"/>
      <c r="K2759" s="15"/>
      <c r="L2759" s="15"/>
      <c r="M2759" s="15"/>
      <c r="N2759" s="15"/>
      <c r="O2759" s="15"/>
      <c r="P2759" s="15"/>
      <c r="Q2759" s="71"/>
      <c r="R2759" s="84"/>
      <c r="S2759" s="10"/>
      <c r="T2759" s="10"/>
      <c r="U2759" s="10"/>
      <c r="V2759" s="10"/>
      <c r="W2759" s="138"/>
      <c r="Y2759"/>
      <c r="Z2759"/>
      <c r="AA2759"/>
      <c r="AB2759"/>
      <c r="AC2759"/>
      <c r="AD2759"/>
      <c r="AE2759"/>
      <c r="AF2759"/>
      <c r="AG2759"/>
      <c r="AH2759"/>
      <c r="AI2759"/>
      <c r="AJ2759"/>
      <c r="AK2759"/>
      <c r="AL2759"/>
      <c r="AM2759"/>
      <c r="AN2759"/>
      <c r="AO2759"/>
    </row>
    <row r="2760" spans="1:41" ht="15">
      <c r="A2760"/>
      <c r="B2760"/>
      <c r="C2760" s="137"/>
      <c r="D2760" s="30"/>
      <c r="E2760" s="30"/>
      <c r="F2760" s="10"/>
      <c r="G2760" s="10"/>
      <c r="H2760" s="15"/>
      <c r="I2760" s="15"/>
      <c r="J2760" s="15"/>
      <c r="K2760" s="15"/>
      <c r="L2760" s="15"/>
      <c r="M2760" s="15"/>
      <c r="N2760" s="15"/>
      <c r="O2760" s="15"/>
      <c r="P2760" s="15"/>
      <c r="Q2760" s="71"/>
      <c r="R2760" s="84"/>
      <c r="S2760" s="10"/>
      <c r="T2760" s="10"/>
      <c r="U2760" s="10"/>
      <c r="V2760" s="10"/>
      <c r="W2760" s="138"/>
      <c r="Y2760"/>
      <c r="Z2760"/>
      <c r="AA2760"/>
      <c r="AB2760"/>
      <c r="AC2760"/>
      <c r="AD2760"/>
      <c r="AE2760"/>
      <c r="AF2760"/>
      <c r="AG2760"/>
      <c r="AH2760"/>
      <c r="AI2760"/>
      <c r="AJ2760"/>
      <c r="AK2760"/>
      <c r="AL2760"/>
      <c r="AM2760"/>
      <c r="AN2760"/>
      <c r="AO2760"/>
    </row>
    <row r="2761" spans="1:41" ht="15">
      <c r="A2761"/>
      <c r="B2761"/>
      <c r="C2761" s="137"/>
      <c r="D2761" s="30"/>
      <c r="E2761" s="30"/>
      <c r="F2761" s="10"/>
      <c r="G2761" s="10"/>
      <c r="H2761" s="15"/>
      <c r="I2761" s="15"/>
      <c r="J2761" s="15"/>
      <c r="K2761" s="15"/>
      <c r="L2761" s="15"/>
      <c r="M2761" s="15"/>
      <c r="N2761" s="15"/>
      <c r="O2761" s="15"/>
      <c r="P2761" s="15"/>
      <c r="Q2761" s="71"/>
      <c r="R2761" s="84"/>
      <c r="S2761" s="10"/>
      <c r="T2761" s="10"/>
      <c r="U2761" s="10"/>
      <c r="V2761" s="10"/>
      <c r="W2761" s="138"/>
      <c r="Y2761"/>
      <c r="Z2761"/>
      <c r="AA2761"/>
      <c r="AB2761"/>
      <c r="AC2761"/>
      <c r="AD2761"/>
      <c r="AE2761"/>
      <c r="AF2761"/>
      <c r="AG2761"/>
      <c r="AH2761"/>
      <c r="AI2761"/>
      <c r="AJ2761"/>
      <c r="AK2761"/>
      <c r="AL2761"/>
      <c r="AM2761"/>
      <c r="AN2761"/>
      <c r="AO2761"/>
    </row>
    <row r="2762" spans="1:41" ht="15">
      <c r="A2762"/>
      <c r="B2762"/>
      <c r="C2762" s="137"/>
      <c r="D2762" s="30"/>
      <c r="E2762" s="30"/>
      <c r="F2762" s="10"/>
      <c r="G2762" s="10"/>
      <c r="H2762" s="15"/>
      <c r="I2762" s="15"/>
      <c r="J2762" s="15"/>
      <c r="K2762" s="15"/>
      <c r="L2762" s="15"/>
      <c r="M2762" s="15"/>
      <c r="N2762" s="15"/>
      <c r="O2762" s="15"/>
      <c r="P2762" s="15"/>
      <c r="Q2762" s="71"/>
      <c r="R2762" s="84"/>
      <c r="S2762" s="10"/>
      <c r="T2762" s="10"/>
      <c r="U2762" s="10"/>
      <c r="V2762" s="10"/>
      <c r="W2762" s="138"/>
      <c r="Y2762"/>
      <c r="Z2762"/>
      <c r="AA2762"/>
      <c r="AB2762"/>
      <c r="AC2762"/>
      <c r="AD2762"/>
      <c r="AE2762"/>
      <c r="AF2762"/>
      <c r="AG2762"/>
      <c r="AH2762"/>
      <c r="AI2762"/>
      <c r="AJ2762"/>
      <c r="AK2762"/>
      <c r="AL2762"/>
      <c r="AM2762"/>
      <c r="AN2762"/>
      <c r="AO2762"/>
    </row>
    <row r="2763" spans="1:41" ht="15">
      <c r="A2763"/>
      <c r="B2763"/>
      <c r="C2763" s="137"/>
      <c r="D2763" s="30"/>
      <c r="E2763" s="30"/>
      <c r="F2763" s="10"/>
      <c r="G2763" s="10"/>
      <c r="H2763" s="15"/>
      <c r="I2763" s="15"/>
      <c r="J2763" s="15"/>
      <c r="K2763" s="15"/>
      <c r="L2763" s="15"/>
      <c r="M2763" s="15"/>
      <c r="N2763" s="15"/>
      <c r="O2763" s="15"/>
      <c r="P2763" s="15"/>
      <c r="Q2763" s="71"/>
      <c r="R2763" s="84"/>
      <c r="S2763" s="10"/>
      <c r="T2763" s="10"/>
      <c r="U2763" s="10"/>
      <c r="V2763" s="10"/>
      <c r="W2763" s="138"/>
      <c r="Y2763"/>
      <c r="Z2763"/>
      <c r="AA2763"/>
      <c r="AB2763"/>
      <c r="AC2763"/>
      <c r="AD2763"/>
      <c r="AE2763"/>
      <c r="AF2763"/>
      <c r="AG2763"/>
      <c r="AH2763"/>
      <c r="AI2763"/>
      <c r="AJ2763"/>
      <c r="AK2763"/>
      <c r="AL2763"/>
      <c r="AM2763"/>
      <c r="AN2763"/>
      <c r="AO2763"/>
    </row>
    <row r="2764" spans="1:41" ht="15">
      <c r="A2764"/>
      <c r="B2764"/>
      <c r="C2764" s="137"/>
      <c r="D2764" s="30"/>
      <c r="E2764" s="30"/>
      <c r="F2764" s="10"/>
      <c r="G2764" s="10"/>
      <c r="H2764" s="15"/>
      <c r="I2764" s="15"/>
      <c r="J2764" s="15"/>
      <c r="K2764" s="15"/>
      <c r="L2764" s="15"/>
      <c r="M2764" s="15"/>
      <c r="N2764" s="15"/>
      <c r="O2764" s="15"/>
      <c r="P2764" s="15"/>
      <c r="Q2764" s="71"/>
      <c r="R2764" s="84"/>
      <c r="S2764" s="10"/>
      <c r="T2764" s="10"/>
      <c r="U2764" s="10"/>
      <c r="V2764" s="10"/>
      <c r="W2764" s="138"/>
      <c r="Y2764"/>
      <c r="Z2764"/>
      <c r="AA2764"/>
      <c r="AB2764"/>
      <c r="AC2764"/>
      <c r="AD2764"/>
      <c r="AE2764"/>
      <c r="AF2764"/>
      <c r="AG2764"/>
      <c r="AH2764"/>
      <c r="AI2764"/>
      <c r="AJ2764"/>
      <c r="AK2764"/>
      <c r="AL2764"/>
      <c r="AM2764"/>
      <c r="AN2764"/>
      <c r="AO2764"/>
    </row>
    <row r="2765" spans="1:41" ht="15">
      <c r="A2765"/>
      <c r="B2765"/>
      <c r="C2765" s="137"/>
      <c r="D2765" s="30"/>
      <c r="E2765" s="30"/>
      <c r="F2765" s="10"/>
      <c r="G2765" s="10"/>
      <c r="H2765" s="15"/>
      <c r="I2765" s="15"/>
      <c r="J2765" s="15"/>
      <c r="K2765" s="15"/>
      <c r="L2765" s="15"/>
      <c r="M2765" s="15"/>
      <c r="N2765" s="15"/>
      <c r="O2765" s="15"/>
      <c r="P2765" s="15"/>
      <c r="Q2765" s="71"/>
      <c r="R2765" s="84"/>
      <c r="S2765" s="10"/>
      <c r="T2765" s="10"/>
      <c r="U2765" s="10"/>
      <c r="V2765" s="10"/>
      <c r="W2765" s="138"/>
      <c r="Y2765"/>
      <c r="Z2765"/>
      <c r="AA2765"/>
      <c r="AB2765"/>
      <c r="AC2765"/>
      <c r="AD2765"/>
      <c r="AE2765"/>
      <c r="AF2765"/>
      <c r="AG2765"/>
      <c r="AH2765"/>
      <c r="AI2765"/>
      <c r="AJ2765"/>
      <c r="AK2765"/>
      <c r="AL2765"/>
      <c r="AM2765"/>
      <c r="AN2765"/>
      <c r="AO2765"/>
    </row>
    <row r="2766" spans="1:41" ht="15">
      <c r="A2766"/>
      <c r="B2766"/>
      <c r="C2766" s="137"/>
      <c r="D2766" s="30"/>
      <c r="E2766" s="30"/>
      <c r="F2766" s="10"/>
      <c r="G2766" s="10"/>
      <c r="H2766" s="15"/>
      <c r="I2766" s="15"/>
      <c r="J2766" s="15"/>
      <c r="K2766" s="15"/>
      <c r="L2766" s="15"/>
      <c r="M2766" s="15"/>
      <c r="N2766" s="15"/>
      <c r="O2766" s="15"/>
      <c r="P2766" s="15"/>
      <c r="Q2766" s="71"/>
      <c r="R2766" s="84"/>
      <c r="S2766" s="10"/>
      <c r="T2766" s="10"/>
      <c r="U2766" s="10"/>
      <c r="V2766" s="10"/>
      <c r="W2766" s="138"/>
      <c r="Y2766"/>
      <c r="Z2766"/>
      <c r="AA2766"/>
      <c r="AB2766"/>
      <c r="AC2766"/>
      <c r="AD2766"/>
      <c r="AE2766"/>
      <c r="AF2766"/>
      <c r="AG2766"/>
      <c r="AH2766"/>
      <c r="AI2766"/>
      <c r="AJ2766"/>
      <c r="AK2766"/>
      <c r="AL2766"/>
      <c r="AM2766"/>
      <c r="AN2766"/>
      <c r="AO2766"/>
    </row>
    <row r="2767" spans="1:41" ht="15">
      <c r="A2767"/>
      <c r="B2767"/>
      <c r="C2767" s="137"/>
      <c r="D2767" s="30"/>
      <c r="E2767" s="30"/>
      <c r="F2767" s="10"/>
      <c r="G2767" s="10"/>
      <c r="H2767" s="15"/>
      <c r="I2767" s="15"/>
      <c r="J2767" s="15"/>
      <c r="K2767" s="15"/>
      <c r="L2767" s="15"/>
      <c r="M2767" s="15"/>
      <c r="N2767" s="15"/>
      <c r="O2767" s="15"/>
      <c r="P2767" s="15"/>
      <c r="Q2767" s="71"/>
      <c r="R2767" s="84"/>
      <c r="S2767" s="10"/>
      <c r="T2767" s="10"/>
      <c r="U2767" s="10"/>
      <c r="V2767" s="10"/>
      <c r="W2767" s="138"/>
      <c r="Y2767"/>
      <c r="Z2767"/>
      <c r="AA2767"/>
      <c r="AB2767"/>
      <c r="AC2767"/>
      <c r="AD2767"/>
      <c r="AE2767"/>
      <c r="AF2767"/>
      <c r="AG2767"/>
      <c r="AH2767"/>
      <c r="AI2767"/>
      <c r="AJ2767"/>
      <c r="AK2767"/>
      <c r="AL2767"/>
      <c r="AM2767"/>
      <c r="AN2767"/>
      <c r="AO2767"/>
    </row>
    <row r="2768" spans="1:41" ht="15">
      <c r="A2768"/>
      <c r="B2768"/>
      <c r="C2768" s="137"/>
      <c r="D2768" s="30"/>
      <c r="E2768" s="30"/>
      <c r="F2768" s="10"/>
      <c r="G2768" s="10"/>
      <c r="H2768" s="15"/>
      <c r="I2768" s="15"/>
      <c r="J2768" s="15"/>
      <c r="K2768" s="15"/>
      <c r="L2768" s="15"/>
      <c r="M2768" s="15"/>
      <c r="N2768" s="15"/>
      <c r="O2768" s="15"/>
      <c r="P2768" s="15"/>
      <c r="Q2768" s="71"/>
      <c r="R2768" s="84"/>
      <c r="S2768" s="10"/>
      <c r="T2768" s="10"/>
      <c r="U2768" s="10"/>
      <c r="V2768" s="10"/>
      <c r="W2768" s="138"/>
      <c r="Y2768"/>
      <c r="Z2768"/>
      <c r="AA2768"/>
      <c r="AB2768"/>
      <c r="AC2768"/>
      <c r="AD2768"/>
      <c r="AE2768"/>
      <c r="AF2768"/>
      <c r="AG2768"/>
      <c r="AH2768"/>
      <c r="AI2768"/>
      <c r="AJ2768"/>
      <c r="AK2768"/>
      <c r="AL2768"/>
      <c r="AM2768"/>
      <c r="AN2768"/>
      <c r="AO2768"/>
    </row>
    <row r="2769" spans="1:41" ht="15">
      <c r="A2769"/>
      <c r="B2769"/>
      <c r="C2769" s="137"/>
      <c r="D2769" s="30"/>
      <c r="E2769" s="30"/>
      <c r="F2769" s="10"/>
      <c r="G2769" s="10"/>
      <c r="H2769" s="15"/>
      <c r="I2769" s="15"/>
      <c r="J2769" s="15"/>
      <c r="K2769" s="15"/>
      <c r="L2769" s="15"/>
      <c r="M2769" s="15"/>
      <c r="N2769" s="15"/>
      <c r="O2769" s="15"/>
      <c r="P2769" s="15"/>
      <c r="Q2769" s="71"/>
      <c r="R2769" s="84"/>
      <c r="S2769" s="10"/>
      <c r="T2769" s="10"/>
      <c r="U2769" s="10"/>
      <c r="V2769" s="10"/>
      <c r="W2769" s="138"/>
      <c r="Y2769"/>
      <c r="Z2769"/>
      <c r="AA2769"/>
      <c r="AB2769"/>
      <c r="AC2769"/>
      <c r="AD2769"/>
      <c r="AE2769"/>
      <c r="AF2769"/>
      <c r="AG2769"/>
      <c r="AH2769"/>
      <c r="AI2769"/>
      <c r="AJ2769"/>
      <c r="AK2769"/>
      <c r="AL2769"/>
      <c r="AM2769"/>
      <c r="AN2769"/>
      <c r="AO2769"/>
    </row>
    <row r="2770" spans="1:41" ht="15">
      <c r="A2770"/>
      <c r="B2770"/>
      <c r="C2770" s="137"/>
      <c r="D2770" s="30"/>
      <c r="E2770" s="30"/>
      <c r="F2770" s="10"/>
      <c r="G2770" s="10"/>
      <c r="H2770" s="15"/>
      <c r="I2770" s="15"/>
      <c r="J2770" s="15"/>
      <c r="K2770" s="15"/>
      <c r="L2770" s="15"/>
      <c r="M2770" s="15"/>
      <c r="N2770" s="15"/>
      <c r="O2770" s="15"/>
      <c r="P2770" s="15"/>
      <c r="Q2770" s="71"/>
      <c r="R2770" s="84"/>
      <c r="S2770" s="10"/>
      <c r="T2770" s="10"/>
      <c r="U2770" s="10"/>
      <c r="V2770" s="10"/>
      <c r="W2770" s="138"/>
      <c r="Y2770"/>
      <c r="Z2770"/>
      <c r="AA2770"/>
      <c r="AB2770"/>
      <c r="AC2770"/>
      <c r="AD2770"/>
      <c r="AE2770"/>
      <c r="AF2770"/>
      <c r="AG2770"/>
      <c r="AH2770"/>
      <c r="AI2770"/>
      <c r="AJ2770"/>
      <c r="AK2770"/>
      <c r="AL2770"/>
      <c r="AM2770"/>
      <c r="AN2770"/>
      <c r="AO2770"/>
    </row>
    <row r="2771" spans="1:41" ht="15">
      <c r="A2771"/>
      <c r="B2771"/>
      <c r="C2771" s="137"/>
      <c r="D2771" s="30"/>
      <c r="E2771" s="30"/>
      <c r="F2771" s="10"/>
      <c r="G2771" s="10"/>
      <c r="H2771" s="15"/>
      <c r="I2771" s="15"/>
      <c r="J2771" s="15"/>
      <c r="K2771" s="15"/>
      <c r="L2771" s="15"/>
      <c r="M2771" s="15"/>
      <c r="N2771" s="15"/>
      <c r="O2771" s="15"/>
      <c r="P2771" s="15"/>
      <c r="Q2771" s="71"/>
      <c r="R2771" s="84"/>
      <c r="S2771" s="10"/>
      <c r="T2771" s="10"/>
      <c r="U2771" s="10"/>
      <c r="V2771" s="10"/>
      <c r="W2771" s="138"/>
      <c r="Y2771"/>
      <c r="Z2771"/>
      <c r="AA2771"/>
      <c r="AB2771"/>
      <c r="AC2771"/>
      <c r="AD2771"/>
      <c r="AE2771"/>
      <c r="AF2771"/>
      <c r="AG2771"/>
      <c r="AH2771"/>
      <c r="AI2771"/>
      <c r="AJ2771"/>
      <c r="AK2771"/>
      <c r="AL2771"/>
      <c r="AM2771"/>
      <c r="AN2771"/>
      <c r="AO2771"/>
    </row>
    <row r="2772" spans="1:41" ht="15">
      <c r="A2772"/>
      <c r="B2772"/>
      <c r="C2772" s="137"/>
      <c r="D2772" s="30"/>
      <c r="E2772" s="30"/>
      <c r="F2772" s="10"/>
      <c r="G2772" s="10"/>
      <c r="H2772" s="15"/>
      <c r="I2772" s="15"/>
      <c r="J2772" s="15"/>
      <c r="K2772" s="15"/>
      <c r="L2772" s="15"/>
      <c r="M2772" s="15"/>
      <c r="N2772" s="15"/>
      <c r="O2772" s="15"/>
      <c r="P2772" s="15"/>
      <c r="Q2772" s="71"/>
      <c r="R2772" s="84"/>
      <c r="S2772" s="10"/>
      <c r="T2772" s="10"/>
      <c r="U2772" s="10"/>
      <c r="V2772" s="10"/>
      <c r="W2772" s="138"/>
      <c r="Y2772"/>
      <c r="Z2772"/>
      <c r="AA2772"/>
      <c r="AB2772"/>
      <c r="AC2772"/>
      <c r="AD2772"/>
      <c r="AE2772"/>
      <c r="AF2772"/>
      <c r="AG2772"/>
      <c r="AH2772"/>
      <c r="AI2772"/>
      <c r="AJ2772"/>
      <c r="AK2772"/>
      <c r="AL2772"/>
      <c r="AM2772"/>
      <c r="AN2772"/>
      <c r="AO2772"/>
    </row>
    <row r="2773" spans="1:41" ht="15">
      <c r="A2773"/>
      <c r="B2773"/>
      <c r="C2773" s="137"/>
      <c r="D2773" s="30"/>
      <c r="E2773" s="30"/>
      <c r="F2773" s="10"/>
      <c r="G2773" s="10"/>
      <c r="H2773" s="15"/>
      <c r="I2773" s="15"/>
      <c r="J2773" s="15"/>
      <c r="K2773" s="15"/>
      <c r="L2773" s="15"/>
      <c r="M2773" s="15"/>
      <c r="N2773" s="15"/>
      <c r="O2773" s="15"/>
      <c r="P2773" s="15"/>
      <c r="Q2773" s="71"/>
      <c r="R2773" s="84"/>
      <c r="S2773" s="10"/>
      <c r="T2773" s="10"/>
      <c r="U2773" s="10"/>
      <c r="V2773" s="10"/>
      <c r="W2773" s="138"/>
      <c r="Y2773"/>
      <c r="Z2773"/>
      <c r="AA2773"/>
      <c r="AB2773"/>
      <c r="AC2773"/>
      <c r="AD2773"/>
      <c r="AE2773"/>
      <c r="AF2773"/>
      <c r="AG2773"/>
      <c r="AH2773"/>
      <c r="AI2773"/>
      <c r="AJ2773"/>
      <c r="AK2773"/>
      <c r="AL2773"/>
      <c r="AM2773"/>
      <c r="AN2773"/>
      <c r="AO2773"/>
    </row>
    <row r="2774" spans="1:41" ht="15">
      <c r="A2774"/>
      <c r="B2774"/>
      <c r="C2774" s="137"/>
      <c r="D2774" s="30"/>
      <c r="E2774" s="30"/>
      <c r="F2774" s="10"/>
      <c r="G2774" s="10"/>
      <c r="H2774" s="15"/>
      <c r="I2774" s="15"/>
      <c r="J2774" s="15"/>
      <c r="K2774" s="15"/>
      <c r="L2774" s="15"/>
      <c r="M2774" s="15"/>
      <c r="N2774" s="15"/>
      <c r="O2774" s="15"/>
      <c r="P2774" s="15"/>
      <c r="Q2774" s="71"/>
      <c r="R2774" s="84"/>
      <c r="S2774" s="10"/>
      <c r="T2774" s="10"/>
      <c r="U2774" s="10"/>
      <c r="V2774" s="10"/>
      <c r="W2774" s="138"/>
      <c r="Y2774"/>
      <c r="Z2774"/>
      <c r="AA2774"/>
      <c r="AB2774"/>
      <c r="AC2774"/>
      <c r="AD2774"/>
      <c r="AE2774"/>
      <c r="AF2774"/>
      <c r="AG2774"/>
      <c r="AH2774"/>
      <c r="AI2774"/>
      <c r="AJ2774"/>
      <c r="AK2774"/>
      <c r="AL2774"/>
      <c r="AM2774"/>
      <c r="AN2774"/>
      <c r="AO2774"/>
    </row>
    <row r="2775" spans="1:41" ht="15">
      <c r="A2775"/>
      <c r="B2775"/>
      <c r="C2775" s="137"/>
      <c r="D2775" s="30"/>
      <c r="E2775" s="30"/>
      <c r="F2775" s="10"/>
      <c r="G2775" s="10"/>
      <c r="H2775" s="15"/>
      <c r="I2775" s="15"/>
      <c r="J2775" s="15"/>
      <c r="K2775" s="15"/>
      <c r="L2775" s="15"/>
      <c r="M2775" s="15"/>
      <c r="N2775" s="15"/>
      <c r="O2775" s="15"/>
      <c r="P2775" s="15"/>
      <c r="Q2775" s="71"/>
      <c r="R2775" s="84"/>
      <c r="S2775" s="10"/>
      <c r="T2775" s="10"/>
      <c r="U2775" s="10"/>
      <c r="V2775" s="10"/>
      <c r="W2775" s="138"/>
      <c r="Y2775"/>
      <c r="Z2775"/>
      <c r="AA2775"/>
      <c r="AB2775"/>
      <c r="AC2775"/>
      <c r="AD2775"/>
      <c r="AE2775"/>
      <c r="AF2775"/>
      <c r="AG2775"/>
      <c r="AH2775"/>
      <c r="AI2775"/>
      <c r="AJ2775"/>
      <c r="AK2775"/>
      <c r="AL2775"/>
      <c r="AM2775"/>
      <c r="AN2775"/>
      <c r="AO2775"/>
    </row>
    <row r="2776" spans="1:41" ht="15">
      <c r="A2776"/>
      <c r="B2776"/>
      <c r="C2776" s="137"/>
      <c r="D2776" s="30"/>
      <c r="E2776" s="30"/>
      <c r="F2776" s="10"/>
      <c r="G2776" s="10"/>
      <c r="H2776" s="15"/>
      <c r="I2776" s="15"/>
      <c r="J2776" s="15"/>
      <c r="K2776" s="15"/>
      <c r="L2776" s="15"/>
      <c r="M2776" s="15"/>
      <c r="N2776" s="15"/>
      <c r="O2776" s="15"/>
      <c r="P2776" s="15"/>
      <c r="Q2776" s="71"/>
      <c r="R2776" s="84"/>
      <c r="S2776" s="10"/>
      <c r="T2776" s="10"/>
      <c r="U2776" s="10"/>
      <c r="V2776" s="10"/>
      <c r="W2776" s="138"/>
      <c r="Y2776"/>
      <c r="Z2776"/>
      <c r="AA2776"/>
      <c r="AB2776"/>
      <c r="AC2776"/>
      <c r="AD2776"/>
      <c r="AE2776"/>
      <c r="AF2776"/>
      <c r="AG2776"/>
      <c r="AH2776"/>
      <c r="AI2776"/>
      <c r="AJ2776"/>
      <c r="AK2776"/>
      <c r="AL2776"/>
      <c r="AM2776"/>
      <c r="AN2776"/>
      <c r="AO2776"/>
    </row>
    <row r="2777" spans="1:41" ht="15">
      <c r="A2777"/>
      <c r="B2777"/>
      <c r="C2777" s="137"/>
      <c r="D2777" s="30"/>
      <c r="E2777" s="30"/>
      <c r="F2777" s="10"/>
      <c r="G2777" s="10"/>
      <c r="H2777" s="15"/>
      <c r="I2777" s="15"/>
      <c r="J2777" s="15"/>
      <c r="K2777" s="15"/>
      <c r="L2777" s="15"/>
      <c r="M2777" s="15"/>
      <c r="N2777" s="15"/>
      <c r="O2777" s="15"/>
      <c r="P2777" s="15"/>
      <c r="Q2777" s="71"/>
      <c r="R2777" s="84"/>
      <c r="S2777" s="10"/>
      <c r="T2777" s="10"/>
      <c r="U2777" s="10"/>
      <c r="V2777" s="10"/>
      <c r="W2777" s="138"/>
      <c r="Y2777"/>
      <c r="Z2777"/>
      <c r="AA2777"/>
      <c r="AB2777"/>
      <c r="AC2777"/>
      <c r="AD2777"/>
      <c r="AE2777"/>
      <c r="AF2777"/>
      <c r="AG2777"/>
      <c r="AH2777"/>
      <c r="AI2777"/>
      <c r="AJ2777"/>
      <c r="AK2777"/>
      <c r="AL2777"/>
      <c r="AM2777"/>
      <c r="AN2777"/>
      <c r="AO2777"/>
    </row>
    <row r="2778" spans="1:41" ht="15">
      <c r="A2778"/>
      <c r="B2778"/>
      <c r="C2778" s="137"/>
      <c r="D2778" s="30"/>
      <c r="E2778" s="30"/>
      <c r="F2778" s="10"/>
      <c r="G2778" s="10"/>
      <c r="H2778" s="15"/>
      <c r="I2778" s="15"/>
      <c r="J2778" s="15"/>
      <c r="K2778" s="15"/>
      <c r="L2778" s="15"/>
      <c r="M2778" s="15"/>
      <c r="N2778" s="15"/>
      <c r="O2778" s="15"/>
      <c r="P2778" s="15"/>
      <c r="Q2778" s="71"/>
      <c r="R2778" s="84"/>
      <c r="S2778" s="10"/>
      <c r="T2778" s="10"/>
      <c r="U2778" s="10"/>
      <c r="V2778" s="10"/>
      <c r="W2778" s="138"/>
      <c r="Y2778"/>
      <c r="Z2778"/>
      <c r="AA2778"/>
      <c r="AB2778"/>
      <c r="AC2778"/>
      <c r="AD2778"/>
      <c r="AE2778"/>
      <c r="AF2778"/>
      <c r="AG2778"/>
      <c r="AH2778"/>
      <c r="AI2778"/>
      <c r="AJ2778"/>
      <c r="AK2778"/>
      <c r="AL2778"/>
      <c r="AM2778"/>
      <c r="AN2778"/>
      <c r="AO2778"/>
    </row>
    <row r="2779" spans="1:41" ht="15">
      <c r="A2779"/>
      <c r="B2779"/>
      <c r="C2779" s="137"/>
      <c r="D2779" s="30"/>
      <c r="E2779" s="30"/>
      <c r="F2779" s="10"/>
      <c r="G2779" s="10"/>
      <c r="H2779" s="15"/>
      <c r="I2779" s="15"/>
      <c r="J2779" s="15"/>
      <c r="K2779" s="15"/>
      <c r="L2779" s="15"/>
      <c r="M2779" s="15"/>
      <c r="N2779" s="15"/>
      <c r="O2779" s="15"/>
      <c r="P2779" s="15"/>
      <c r="Q2779" s="71"/>
      <c r="R2779" s="84"/>
      <c r="S2779" s="10"/>
      <c r="T2779" s="10"/>
      <c r="U2779" s="10"/>
      <c r="V2779" s="10"/>
      <c r="W2779" s="138"/>
      <c r="Y2779"/>
      <c r="Z2779"/>
      <c r="AA2779"/>
      <c r="AB2779"/>
      <c r="AC2779"/>
      <c r="AD2779"/>
      <c r="AE2779"/>
      <c r="AF2779"/>
      <c r="AG2779"/>
      <c r="AH2779"/>
      <c r="AI2779"/>
      <c r="AJ2779"/>
      <c r="AK2779"/>
      <c r="AL2779"/>
      <c r="AM2779"/>
      <c r="AN2779"/>
      <c r="AO2779"/>
    </row>
    <row r="2780" spans="1:41" ht="15">
      <c r="A2780"/>
      <c r="B2780"/>
      <c r="C2780" s="137"/>
      <c r="D2780" s="30"/>
      <c r="E2780" s="30"/>
      <c r="F2780" s="10"/>
      <c r="G2780" s="10"/>
      <c r="H2780" s="15"/>
      <c r="I2780" s="15"/>
      <c r="J2780" s="15"/>
      <c r="K2780" s="15"/>
      <c r="L2780" s="15"/>
      <c r="M2780" s="15"/>
      <c r="N2780" s="15"/>
      <c r="O2780" s="15"/>
      <c r="P2780" s="15"/>
      <c r="Q2780" s="71"/>
      <c r="R2780" s="84"/>
      <c r="S2780" s="10"/>
      <c r="T2780" s="10"/>
      <c r="U2780" s="10"/>
      <c r="V2780" s="10"/>
      <c r="W2780" s="138"/>
      <c r="Y2780"/>
      <c r="Z2780"/>
      <c r="AA2780"/>
      <c r="AB2780"/>
      <c r="AC2780"/>
      <c r="AD2780"/>
      <c r="AE2780"/>
      <c r="AF2780"/>
      <c r="AG2780"/>
      <c r="AH2780"/>
      <c r="AI2780"/>
      <c r="AJ2780"/>
      <c r="AK2780"/>
      <c r="AL2780"/>
      <c r="AM2780"/>
      <c r="AN2780"/>
      <c r="AO2780"/>
    </row>
    <row r="2781" spans="1:41" ht="15">
      <c r="A2781"/>
      <c r="B2781"/>
      <c r="C2781" s="137"/>
      <c r="D2781" s="30"/>
      <c r="E2781" s="30"/>
      <c r="F2781" s="10"/>
      <c r="G2781" s="10"/>
      <c r="H2781" s="15"/>
      <c r="I2781" s="15"/>
      <c r="J2781" s="15"/>
      <c r="K2781" s="15"/>
      <c r="L2781" s="15"/>
      <c r="M2781" s="15"/>
      <c r="N2781" s="15"/>
      <c r="O2781" s="15"/>
      <c r="P2781" s="15"/>
      <c r="Q2781" s="71"/>
      <c r="R2781" s="84"/>
      <c r="S2781" s="10"/>
      <c r="T2781" s="10"/>
      <c r="U2781" s="10"/>
      <c r="V2781" s="10"/>
      <c r="W2781" s="138"/>
      <c r="Y2781"/>
      <c r="Z2781"/>
      <c r="AA2781"/>
      <c r="AB2781"/>
      <c r="AC2781"/>
      <c r="AD2781"/>
      <c r="AE2781"/>
      <c r="AF2781"/>
      <c r="AG2781"/>
      <c r="AH2781"/>
      <c r="AI2781"/>
      <c r="AJ2781"/>
      <c r="AK2781"/>
      <c r="AL2781"/>
      <c r="AM2781"/>
      <c r="AN2781"/>
      <c r="AO2781"/>
    </row>
    <row r="2782" spans="1:41" ht="15">
      <c r="A2782"/>
      <c r="B2782"/>
      <c r="C2782" s="137"/>
      <c r="D2782" s="30"/>
      <c r="E2782" s="30"/>
      <c r="F2782" s="10"/>
      <c r="G2782" s="10"/>
      <c r="H2782" s="15"/>
      <c r="I2782" s="15"/>
      <c r="J2782" s="15"/>
      <c r="K2782" s="15"/>
      <c r="L2782" s="15"/>
      <c r="M2782" s="15"/>
      <c r="N2782" s="15"/>
      <c r="O2782" s="15"/>
      <c r="P2782" s="15"/>
      <c r="Q2782" s="71"/>
      <c r="R2782" s="84"/>
      <c r="S2782" s="10"/>
      <c r="T2782" s="10"/>
      <c r="U2782" s="10"/>
      <c r="V2782" s="10"/>
      <c r="W2782" s="138"/>
      <c r="Y2782"/>
      <c r="Z2782"/>
      <c r="AA2782"/>
      <c r="AB2782"/>
      <c r="AC2782"/>
      <c r="AD2782"/>
      <c r="AE2782"/>
      <c r="AF2782"/>
      <c r="AG2782"/>
      <c r="AH2782"/>
      <c r="AI2782"/>
      <c r="AJ2782"/>
      <c r="AK2782"/>
      <c r="AL2782"/>
      <c r="AM2782"/>
      <c r="AN2782"/>
      <c r="AO2782"/>
    </row>
    <row r="2783" spans="1:41" ht="15">
      <c r="A2783"/>
      <c r="B2783"/>
      <c r="C2783" s="137"/>
      <c r="D2783" s="30"/>
      <c r="E2783" s="30"/>
      <c r="F2783" s="10"/>
      <c r="G2783" s="10"/>
      <c r="H2783" s="15"/>
      <c r="I2783" s="15"/>
      <c r="J2783" s="15"/>
      <c r="K2783" s="15"/>
      <c r="L2783" s="15"/>
      <c r="M2783" s="15"/>
      <c r="N2783" s="15"/>
      <c r="O2783" s="15"/>
      <c r="P2783" s="15"/>
      <c r="Q2783" s="71"/>
      <c r="R2783" s="84"/>
      <c r="S2783" s="10"/>
      <c r="T2783" s="10"/>
      <c r="U2783" s="10"/>
      <c r="V2783" s="10"/>
      <c r="W2783" s="138"/>
      <c r="Y2783"/>
      <c r="Z2783"/>
      <c r="AA2783"/>
      <c r="AB2783"/>
      <c r="AC2783"/>
      <c r="AD2783"/>
      <c r="AE2783"/>
      <c r="AF2783"/>
      <c r="AG2783"/>
      <c r="AH2783"/>
      <c r="AI2783"/>
      <c r="AJ2783"/>
      <c r="AK2783"/>
      <c r="AL2783"/>
      <c r="AM2783"/>
      <c r="AN2783"/>
      <c r="AO2783"/>
    </row>
    <row r="2784" spans="1:41" ht="15">
      <c r="A2784"/>
      <c r="B2784"/>
      <c r="C2784" s="137"/>
      <c r="D2784" s="30"/>
      <c r="E2784" s="30"/>
      <c r="F2784" s="10"/>
      <c r="G2784" s="10"/>
      <c r="H2784" s="15"/>
      <c r="I2784" s="15"/>
      <c r="J2784" s="15"/>
      <c r="K2784" s="15"/>
      <c r="L2784" s="15"/>
      <c r="M2784" s="15"/>
      <c r="N2784" s="15"/>
      <c r="O2784" s="15"/>
      <c r="P2784" s="15"/>
      <c r="Q2784" s="71"/>
      <c r="R2784" s="84"/>
      <c r="S2784" s="10"/>
      <c r="T2784" s="10"/>
      <c r="U2784" s="10"/>
      <c r="V2784" s="10"/>
      <c r="W2784" s="138"/>
      <c r="Y2784"/>
      <c r="Z2784"/>
      <c r="AA2784"/>
      <c r="AB2784"/>
      <c r="AC2784"/>
      <c r="AD2784"/>
      <c r="AE2784"/>
      <c r="AF2784"/>
      <c r="AG2784"/>
      <c r="AH2784"/>
      <c r="AI2784"/>
      <c r="AJ2784"/>
      <c r="AK2784"/>
      <c r="AL2784"/>
      <c r="AM2784"/>
      <c r="AN2784"/>
      <c r="AO2784"/>
    </row>
    <row r="2785" spans="1:41" ht="15">
      <c r="A2785"/>
      <c r="B2785"/>
      <c r="C2785" s="137"/>
      <c r="D2785" s="30"/>
      <c r="E2785" s="30"/>
      <c r="F2785" s="10"/>
      <c r="G2785" s="10"/>
      <c r="H2785" s="15"/>
      <c r="I2785" s="15"/>
      <c r="J2785" s="15"/>
      <c r="K2785" s="15"/>
      <c r="L2785" s="15"/>
      <c r="M2785" s="15"/>
      <c r="N2785" s="15"/>
      <c r="O2785" s="15"/>
      <c r="P2785" s="15"/>
      <c r="Q2785" s="71"/>
      <c r="R2785" s="84"/>
      <c r="S2785" s="10"/>
      <c r="T2785" s="10"/>
      <c r="U2785" s="10"/>
      <c r="V2785" s="10"/>
      <c r="W2785" s="138"/>
      <c r="Y2785"/>
      <c r="Z2785"/>
      <c r="AA2785"/>
      <c r="AB2785"/>
      <c r="AC2785"/>
      <c r="AD2785"/>
      <c r="AE2785"/>
      <c r="AF2785"/>
      <c r="AG2785"/>
      <c r="AH2785"/>
      <c r="AI2785"/>
      <c r="AJ2785"/>
      <c r="AK2785"/>
      <c r="AL2785"/>
      <c r="AM2785"/>
      <c r="AN2785"/>
      <c r="AO2785"/>
    </row>
    <row r="2786" spans="1:41" ht="15">
      <c r="A2786"/>
      <c r="B2786"/>
      <c r="C2786" s="137"/>
      <c r="D2786" s="30"/>
      <c r="E2786" s="30"/>
      <c r="F2786" s="10"/>
      <c r="G2786" s="10"/>
      <c r="H2786" s="15"/>
      <c r="I2786" s="15"/>
      <c r="J2786" s="15"/>
      <c r="K2786" s="15"/>
      <c r="L2786" s="15"/>
      <c r="M2786" s="15"/>
      <c r="N2786" s="15"/>
      <c r="O2786" s="15"/>
      <c r="P2786" s="15"/>
      <c r="Q2786" s="71"/>
      <c r="R2786" s="84"/>
      <c r="S2786" s="10"/>
      <c r="T2786" s="10"/>
      <c r="U2786" s="10"/>
      <c r="V2786" s="10"/>
      <c r="W2786" s="138"/>
      <c r="Y2786"/>
      <c r="Z2786"/>
      <c r="AA2786"/>
      <c r="AB2786"/>
      <c r="AC2786"/>
      <c r="AD2786"/>
      <c r="AE2786"/>
      <c r="AF2786"/>
      <c r="AG2786"/>
      <c r="AH2786"/>
      <c r="AI2786"/>
      <c r="AJ2786"/>
      <c r="AK2786"/>
      <c r="AL2786"/>
      <c r="AM2786"/>
      <c r="AN2786"/>
      <c r="AO2786"/>
    </row>
    <row r="2787" spans="1:41" ht="15">
      <c r="A2787"/>
      <c r="B2787"/>
      <c r="C2787" s="137"/>
      <c r="D2787" s="30"/>
      <c r="E2787" s="30"/>
      <c r="F2787" s="10"/>
      <c r="G2787" s="10"/>
      <c r="H2787" s="15"/>
      <c r="I2787" s="15"/>
      <c r="J2787" s="15"/>
      <c r="K2787" s="15"/>
      <c r="L2787" s="15"/>
      <c r="M2787" s="15"/>
      <c r="N2787" s="15"/>
      <c r="O2787" s="15"/>
      <c r="P2787" s="15"/>
      <c r="Q2787" s="71"/>
      <c r="R2787" s="84"/>
      <c r="S2787" s="10"/>
      <c r="T2787" s="10"/>
      <c r="U2787" s="10"/>
      <c r="V2787" s="10"/>
      <c r="W2787" s="138"/>
      <c r="Y2787"/>
      <c r="Z2787"/>
      <c r="AA2787"/>
      <c r="AB2787"/>
      <c r="AC2787"/>
      <c r="AD2787"/>
      <c r="AE2787"/>
      <c r="AF2787"/>
      <c r="AG2787"/>
      <c r="AH2787"/>
      <c r="AI2787"/>
      <c r="AJ2787"/>
      <c r="AK2787"/>
      <c r="AL2787"/>
      <c r="AM2787"/>
      <c r="AN2787"/>
      <c r="AO2787"/>
    </row>
    <row r="2788" spans="1:41" ht="15">
      <c r="A2788"/>
      <c r="B2788"/>
      <c r="C2788" s="137"/>
      <c r="D2788" s="30"/>
      <c r="E2788" s="30"/>
      <c r="F2788" s="10"/>
      <c r="G2788" s="10"/>
      <c r="H2788" s="15"/>
      <c r="I2788" s="15"/>
      <c r="J2788" s="15"/>
      <c r="K2788" s="15"/>
      <c r="L2788" s="15"/>
      <c r="M2788" s="15"/>
      <c r="N2788" s="15"/>
      <c r="O2788" s="15"/>
      <c r="P2788" s="15"/>
      <c r="Q2788" s="71"/>
      <c r="R2788" s="84"/>
      <c r="S2788" s="10"/>
      <c r="T2788" s="10"/>
      <c r="U2788" s="10"/>
      <c r="V2788" s="10"/>
      <c r="W2788" s="138"/>
      <c r="Y2788"/>
      <c r="Z2788"/>
      <c r="AA2788"/>
      <c r="AB2788"/>
      <c r="AC2788"/>
      <c r="AD2788"/>
      <c r="AE2788"/>
      <c r="AF2788"/>
      <c r="AG2788"/>
      <c r="AH2788"/>
      <c r="AI2788"/>
      <c r="AJ2788"/>
      <c r="AK2788"/>
      <c r="AL2788"/>
      <c r="AM2788"/>
      <c r="AN2788"/>
      <c r="AO2788"/>
    </row>
    <row r="2789" spans="1:41" ht="15">
      <c r="A2789"/>
      <c r="B2789"/>
      <c r="C2789" s="137"/>
      <c r="D2789" s="30"/>
      <c r="E2789" s="30"/>
      <c r="F2789" s="10"/>
      <c r="G2789" s="10"/>
      <c r="H2789" s="15"/>
      <c r="I2789" s="15"/>
      <c r="J2789" s="15"/>
      <c r="K2789" s="15"/>
      <c r="L2789" s="15"/>
      <c r="M2789" s="15"/>
      <c r="N2789" s="15"/>
      <c r="O2789" s="15"/>
      <c r="P2789" s="15"/>
      <c r="Q2789" s="71"/>
      <c r="R2789" s="84"/>
      <c r="S2789" s="10"/>
      <c r="T2789" s="10"/>
      <c r="U2789" s="10"/>
      <c r="V2789" s="10"/>
      <c r="W2789" s="138"/>
      <c r="Y2789"/>
      <c r="Z2789"/>
      <c r="AA2789"/>
      <c r="AB2789"/>
      <c r="AC2789"/>
      <c r="AD2789"/>
      <c r="AE2789"/>
      <c r="AF2789"/>
      <c r="AG2789"/>
      <c r="AH2789"/>
      <c r="AI2789"/>
      <c r="AJ2789"/>
      <c r="AK2789"/>
      <c r="AL2789"/>
      <c r="AM2789"/>
      <c r="AN2789"/>
      <c r="AO2789"/>
    </row>
    <row r="2790" spans="1:41" ht="15">
      <c r="A2790"/>
      <c r="B2790"/>
      <c r="C2790" s="137"/>
      <c r="D2790" s="30"/>
      <c r="E2790" s="30"/>
      <c r="F2790" s="10"/>
      <c r="G2790" s="10"/>
      <c r="H2790" s="15"/>
      <c r="I2790" s="15"/>
      <c r="J2790" s="15"/>
      <c r="K2790" s="15"/>
      <c r="L2790" s="15"/>
      <c r="M2790" s="15"/>
      <c r="N2790" s="15"/>
      <c r="O2790" s="15"/>
      <c r="P2790" s="15"/>
      <c r="Q2790" s="71"/>
      <c r="R2790" s="84"/>
      <c r="S2790" s="10"/>
      <c r="T2790" s="10"/>
      <c r="U2790" s="10"/>
      <c r="V2790" s="10"/>
      <c r="W2790" s="138"/>
      <c r="Y2790"/>
      <c r="Z2790"/>
      <c r="AA2790"/>
      <c r="AB2790"/>
      <c r="AC2790"/>
      <c r="AD2790"/>
      <c r="AE2790"/>
      <c r="AF2790"/>
      <c r="AG2790"/>
      <c r="AH2790"/>
      <c r="AI2790"/>
      <c r="AJ2790"/>
      <c r="AK2790"/>
      <c r="AL2790"/>
      <c r="AM2790"/>
      <c r="AN2790"/>
      <c r="AO2790"/>
    </row>
    <row r="2791" spans="1:41" ht="15">
      <c r="A2791"/>
      <c r="B2791"/>
      <c r="C2791" s="137"/>
      <c r="D2791" s="30"/>
      <c r="E2791" s="30"/>
      <c r="F2791" s="10"/>
      <c r="G2791" s="10"/>
      <c r="H2791" s="15"/>
      <c r="I2791" s="15"/>
      <c r="J2791" s="15"/>
      <c r="K2791" s="15"/>
      <c r="L2791" s="15"/>
      <c r="M2791" s="15"/>
      <c r="N2791" s="15"/>
      <c r="O2791" s="15"/>
      <c r="P2791" s="15"/>
      <c r="Q2791" s="71"/>
      <c r="R2791" s="84"/>
      <c r="S2791" s="10"/>
      <c r="T2791" s="10"/>
      <c r="U2791" s="10"/>
      <c r="V2791" s="10"/>
      <c r="W2791" s="138"/>
      <c r="Y2791"/>
      <c r="Z2791"/>
      <c r="AA2791"/>
      <c r="AB2791"/>
      <c r="AC2791"/>
      <c r="AD2791"/>
      <c r="AE2791"/>
      <c r="AF2791"/>
      <c r="AG2791"/>
      <c r="AH2791"/>
      <c r="AI2791"/>
      <c r="AJ2791"/>
      <c r="AK2791"/>
      <c r="AL2791"/>
      <c r="AM2791"/>
      <c r="AN2791"/>
      <c r="AO2791"/>
    </row>
    <row r="2792" spans="1:41" ht="15">
      <c r="A2792"/>
      <c r="B2792"/>
      <c r="C2792" s="137"/>
      <c r="D2792" s="30"/>
      <c r="E2792" s="30"/>
      <c r="F2792" s="10"/>
      <c r="G2792" s="10"/>
      <c r="H2792" s="15"/>
      <c r="I2792" s="15"/>
      <c r="J2792" s="15"/>
      <c r="K2792" s="15"/>
      <c r="L2792" s="15"/>
      <c r="M2792" s="15"/>
      <c r="N2792" s="15"/>
      <c r="O2792" s="15"/>
      <c r="P2792" s="15"/>
      <c r="Q2792" s="71"/>
      <c r="R2792" s="84"/>
      <c r="S2792" s="10"/>
      <c r="T2792" s="10"/>
      <c r="U2792" s="10"/>
      <c r="V2792" s="10"/>
      <c r="W2792" s="138"/>
      <c r="Y2792"/>
      <c r="Z2792"/>
      <c r="AA2792"/>
      <c r="AB2792"/>
      <c r="AC2792"/>
      <c r="AD2792"/>
      <c r="AE2792"/>
      <c r="AF2792"/>
      <c r="AG2792"/>
      <c r="AH2792"/>
      <c r="AI2792"/>
      <c r="AJ2792"/>
      <c r="AK2792"/>
      <c r="AL2792"/>
      <c r="AM2792"/>
      <c r="AN2792"/>
      <c r="AO2792"/>
    </row>
    <row r="2793" spans="1:41" ht="15">
      <c r="A2793"/>
      <c r="B2793"/>
      <c r="C2793" s="137"/>
      <c r="D2793" s="30"/>
      <c r="E2793" s="30"/>
      <c r="F2793" s="10"/>
      <c r="G2793" s="10"/>
      <c r="H2793" s="15"/>
      <c r="I2793" s="15"/>
      <c r="J2793" s="15"/>
      <c r="K2793" s="15"/>
      <c r="L2793" s="15"/>
      <c r="M2793" s="15"/>
      <c r="N2793" s="15"/>
      <c r="O2793" s="15"/>
      <c r="P2793" s="15"/>
      <c r="Q2793" s="71"/>
      <c r="R2793" s="84"/>
      <c r="S2793" s="10"/>
      <c r="T2793" s="10"/>
      <c r="U2793" s="10"/>
      <c r="V2793" s="10"/>
      <c r="W2793" s="138"/>
      <c r="Y2793"/>
      <c r="Z2793"/>
      <c r="AA2793"/>
      <c r="AB2793"/>
      <c r="AC2793"/>
      <c r="AD2793"/>
      <c r="AE2793"/>
      <c r="AF2793"/>
      <c r="AG2793"/>
      <c r="AH2793"/>
      <c r="AI2793"/>
      <c r="AJ2793"/>
      <c r="AK2793"/>
      <c r="AL2793"/>
      <c r="AM2793"/>
      <c r="AN2793"/>
      <c r="AO2793"/>
    </row>
    <row r="2794" spans="1:41" ht="15">
      <c r="A2794"/>
      <c r="B2794"/>
      <c r="C2794" s="137"/>
      <c r="D2794" s="30"/>
      <c r="E2794" s="30"/>
      <c r="F2794" s="10"/>
      <c r="G2794" s="10"/>
      <c r="H2794" s="15"/>
      <c r="I2794" s="15"/>
      <c r="J2794" s="15"/>
      <c r="K2794" s="15"/>
      <c r="L2794" s="15"/>
      <c r="M2794" s="15"/>
      <c r="N2794" s="15"/>
      <c r="O2794" s="15"/>
      <c r="P2794" s="15"/>
      <c r="Q2794" s="71"/>
      <c r="R2794" s="84"/>
      <c r="S2794" s="10"/>
      <c r="T2794" s="10"/>
      <c r="U2794" s="10"/>
      <c r="V2794" s="10"/>
      <c r="W2794" s="138"/>
      <c r="Y2794"/>
      <c r="Z2794"/>
      <c r="AA2794"/>
      <c r="AB2794"/>
      <c r="AC2794"/>
      <c r="AD2794"/>
      <c r="AE2794"/>
      <c r="AF2794"/>
      <c r="AG2794"/>
      <c r="AH2794"/>
      <c r="AI2794"/>
      <c r="AJ2794"/>
      <c r="AK2794"/>
      <c r="AL2794"/>
      <c r="AM2794"/>
      <c r="AN2794"/>
      <c r="AO2794"/>
    </row>
    <row r="2795" spans="1:41" ht="15">
      <c r="A2795"/>
      <c r="B2795"/>
      <c r="C2795" s="137"/>
      <c r="D2795" s="30"/>
      <c r="E2795" s="30"/>
      <c r="F2795" s="10"/>
      <c r="G2795" s="10"/>
      <c r="H2795" s="15"/>
      <c r="I2795" s="15"/>
      <c r="J2795" s="15"/>
      <c r="K2795" s="15"/>
      <c r="L2795" s="15"/>
      <c r="M2795" s="15"/>
      <c r="N2795" s="15"/>
      <c r="O2795" s="15"/>
      <c r="P2795" s="15"/>
      <c r="Q2795" s="71"/>
      <c r="R2795" s="84"/>
      <c r="S2795" s="10"/>
      <c r="T2795" s="10"/>
      <c r="U2795" s="10"/>
      <c r="V2795" s="10"/>
      <c r="W2795" s="138"/>
      <c r="Y2795"/>
      <c r="Z2795"/>
      <c r="AA2795"/>
      <c r="AB2795"/>
      <c r="AC2795"/>
      <c r="AD2795"/>
      <c r="AE2795"/>
      <c r="AF2795"/>
      <c r="AG2795"/>
      <c r="AH2795"/>
      <c r="AI2795"/>
      <c r="AJ2795"/>
      <c r="AK2795"/>
      <c r="AL2795"/>
      <c r="AM2795"/>
      <c r="AN2795"/>
      <c r="AO2795"/>
    </row>
    <row r="2796" spans="1:41" ht="15">
      <c r="A2796"/>
      <c r="B2796"/>
      <c r="C2796" s="137"/>
      <c r="D2796" s="30"/>
      <c r="E2796" s="30"/>
      <c r="F2796" s="10"/>
      <c r="G2796" s="10"/>
      <c r="H2796" s="15"/>
      <c r="I2796" s="15"/>
      <c r="J2796" s="15"/>
      <c r="K2796" s="15"/>
      <c r="L2796" s="15"/>
      <c r="M2796" s="15"/>
      <c r="N2796" s="15"/>
      <c r="O2796" s="15"/>
      <c r="P2796" s="15"/>
      <c r="Q2796" s="71"/>
      <c r="R2796" s="84"/>
      <c r="S2796" s="10"/>
      <c r="T2796" s="10"/>
      <c r="U2796" s="10"/>
      <c r="V2796" s="10"/>
      <c r="W2796" s="138"/>
      <c r="Y2796"/>
      <c r="Z2796"/>
      <c r="AA2796"/>
      <c r="AB2796"/>
      <c r="AC2796"/>
      <c r="AD2796"/>
      <c r="AE2796"/>
      <c r="AF2796"/>
      <c r="AG2796"/>
      <c r="AH2796"/>
      <c r="AI2796"/>
      <c r="AJ2796"/>
      <c r="AK2796"/>
      <c r="AL2796"/>
      <c r="AM2796"/>
      <c r="AN2796"/>
      <c r="AO2796"/>
    </row>
    <row r="2797" spans="1:41" ht="15">
      <c r="A2797"/>
      <c r="B2797"/>
      <c r="C2797" s="137"/>
      <c r="D2797" s="30"/>
      <c r="E2797" s="30"/>
      <c r="F2797" s="10"/>
      <c r="G2797" s="10"/>
      <c r="H2797" s="15"/>
      <c r="I2797" s="15"/>
      <c r="J2797" s="15"/>
      <c r="K2797" s="15"/>
      <c r="L2797" s="15"/>
      <c r="M2797" s="15"/>
      <c r="N2797" s="15"/>
      <c r="O2797" s="15"/>
      <c r="P2797" s="15"/>
      <c r="Q2797" s="71"/>
      <c r="R2797" s="84"/>
      <c r="S2797" s="10"/>
      <c r="T2797" s="10"/>
      <c r="U2797" s="10"/>
      <c r="V2797" s="10"/>
      <c r="W2797" s="138"/>
      <c r="Y2797"/>
      <c r="Z2797"/>
      <c r="AA2797"/>
      <c r="AB2797"/>
      <c r="AC2797"/>
      <c r="AD2797"/>
      <c r="AE2797"/>
      <c r="AF2797"/>
      <c r="AG2797"/>
      <c r="AH2797"/>
      <c r="AI2797"/>
      <c r="AJ2797"/>
      <c r="AK2797"/>
      <c r="AL2797"/>
      <c r="AM2797"/>
      <c r="AN2797"/>
      <c r="AO2797"/>
    </row>
    <row r="2798" spans="1:41" ht="15">
      <c r="A2798"/>
      <c r="B2798"/>
      <c r="C2798" s="137"/>
      <c r="D2798" s="30"/>
      <c r="E2798" s="30"/>
      <c r="F2798" s="10"/>
      <c r="G2798" s="10"/>
      <c r="H2798" s="15"/>
      <c r="I2798" s="15"/>
      <c r="J2798" s="15"/>
      <c r="K2798" s="15"/>
      <c r="L2798" s="15"/>
      <c r="M2798" s="15"/>
      <c r="N2798" s="15"/>
      <c r="O2798" s="15"/>
      <c r="P2798" s="15"/>
      <c r="Q2798" s="71"/>
      <c r="R2798" s="84"/>
      <c r="S2798" s="10"/>
      <c r="T2798" s="10"/>
      <c r="U2798" s="10"/>
      <c r="V2798" s="10"/>
      <c r="W2798" s="138"/>
      <c r="Y2798"/>
      <c r="Z2798"/>
      <c r="AA2798"/>
      <c r="AB2798"/>
      <c r="AC2798"/>
      <c r="AD2798"/>
      <c r="AE2798"/>
      <c r="AF2798"/>
      <c r="AG2798"/>
      <c r="AH2798"/>
      <c r="AI2798"/>
      <c r="AJ2798"/>
      <c r="AK2798"/>
      <c r="AL2798"/>
      <c r="AM2798"/>
      <c r="AN2798"/>
      <c r="AO2798"/>
    </row>
    <row r="2799" spans="1:41" ht="15">
      <c r="A2799"/>
      <c r="B2799"/>
      <c r="C2799" s="137"/>
      <c r="D2799" s="30"/>
      <c r="E2799" s="30"/>
      <c r="F2799" s="10"/>
      <c r="G2799" s="10"/>
      <c r="H2799" s="15"/>
      <c r="I2799" s="15"/>
      <c r="J2799" s="15"/>
      <c r="K2799" s="15"/>
      <c r="L2799" s="15"/>
      <c r="M2799" s="15"/>
      <c r="N2799" s="15"/>
      <c r="O2799" s="15"/>
      <c r="P2799" s="15"/>
      <c r="Q2799" s="71"/>
      <c r="R2799" s="84"/>
      <c r="S2799" s="10"/>
      <c r="T2799" s="10"/>
      <c r="U2799" s="10"/>
      <c r="V2799" s="10"/>
      <c r="W2799" s="138"/>
      <c r="Y2799"/>
      <c r="Z2799"/>
      <c r="AA2799"/>
      <c r="AB2799"/>
      <c r="AC2799"/>
      <c r="AD2799"/>
      <c r="AE2799"/>
      <c r="AF2799"/>
      <c r="AG2799"/>
      <c r="AH2799"/>
      <c r="AI2799"/>
      <c r="AJ2799"/>
      <c r="AK2799"/>
      <c r="AL2799"/>
      <c r="AM2799"/>
      <c r="AN2799"/>
      <c r="AO2799"/>
    </row>
    <row r="2800" spans="1:41" ht="15">
      <c r="A2800"/>
      <c r="B2800"/>
      <c r="C2800" s="137"/>
      <c r="D2800" s="30"/>
      <c r="E2800" s="30"/>
      <c r="F2800" s="10"/>
      <c r="G2800" s="10"/>
      <c r="H2800" s="15"/>
      <c r="I2800" s="15"/>
      <c r="J2800" s="15"/>
      <c r="K2800" s="15"/>
      <c r="L2800" s="15"/>
      <c r="M2800" s="15"/>
      <c r="N2800" s="15"/>
      <c r="O2800" s="15"/>
      <c r="P2800" s="15"/>
      <c r="Q2800" s="71"/>
      <c r="R2800" s="84"/>
      <c r="S2800" s="10"/>
      <c r="T2800" s="10"/>
      <c r="U2800" s="10"/>
      <c r="V2800" s="10"/>
      <c r="W2800" s="138"/>
      <c r="Y2800"/>
      <c r="Z2800"/>
      <c r="AA2800"/>
      <c r="AB2800"/>
      <c r="AC2800"/>
      <c r="AD2800"/>
      <c r="AE2800"/>
      <c r="AF2800"/>
      <c r="AG2800"/>
      <c r="AH2800"/>
      <c r="AI2800"/>
      <c r="AJ2800"/>
      <c r="AK2800"/>
      <c r="AL2800"/>
      <c r="AM2800"/>
      <c r="AN2800"/>
      <c r="AO2800"/>
    </row>
    <row r="2801" spans="1:41" ht="15">
      <c r="A2801"/>
      <c r="B2801"/>
      <c r="C2801" s="137"/>
      <c r="D2801" s="30"/>
      <c r="E2801" s="30"/>
      <c r="F2801" s="10"/>
      <c r="G2801" s="10"/>
      <c r="H2801" s="15"/>
      <c r="I2801" s="15"/>
      <c r="J2801" s="15"/>
      <c r="K2801" s="15"/>
      <c r="L2801" s="15"/>
      <c r="M2801" s="15"/>
      <c r="N2801" s="15"/>
      <c r="O2801" s="15"/>
      <c r="P2801" s="15"/>
      <c r="Q2801" s="71"/>
      <c r="R2801" s="84"/>
      <c r="S2801" s="10"/>
      <c r="T2801" s="10"/>
      <c r="U2801" s="10"/>
      <c r="V2801" s="10"/>
      <c r="W2801" s="138"/>
      <c r="Y2801"/>
      <c r="Z2801"/>
      <c r="AA2801"/>
      <c r="AB2801"/>
      <c r="AC2801"/>
      <c r="AD2801"/>
      <c r="AE2801"/>
      <c r="AF2801"/>
      <c r="AG2801"/>
      <c r="AH2801"/>
      <c r="AI2801"/>
      <c r="AJ2801"/>
      <c r="AK2801"/>
      <c r="AL2801"/>
      <c r="AM2801"/>
      <c r="AN2801"/>
      <c r="AO2801"/>
    </row>
    <row r="2802" spans="1:41" ht="15">
      <c r="A2802"/>
      <c r="B2802"/>
      <c r="C2802" s="137"/>
      <c r="D2802" s="30"/>
      <c r="E2802" s="30"/>
      <c r="F2802" s="10"/>
      <c r="G2802" s="10"/>
      <c r="H2802" s="15"/>
      <c r="I2802" s="15"/>
      <c r="J2802" s="15"/>
      <c r="K2802" s="15"/>
      <c r="L2802" s="15"/>
      <c r="M2802" s="15"/>
      <c r="N2802" s="15"/>
      <c r="O2802" s="15"/>
      <c r="P2802" s="15"/>
      <c r="Q2802" s="71"/>
      <c r="R2802" s="84"/>
      <c r="S2802" s="10"/>
      <c r="T2802" s="10"/>
      <c r="U2802" s="10"/>
      <c r="V2802" s="10"/>
      <c r="W2802" s="138"/>
      <c r="Y2802"/>
      <c r="Z2802"/>
      <c r="AA2802"/>
      <c r="AB2802"/>
      <c r="AC2802"/>
      <c r="AD2802"/>
      <c r="AE2802"/>
      <c r="AF2802"/>
      <c r="AG2802"/>
      <c r="AH2802"/>
      <c r="AI2802"/>
      <c r="AJ2802"/>
      <c r="AK2802"/>
      <c r="AL2802"/>
      <c r="AM2802"/>
      <c r="AN2802"/>
      <c r="AO2802"/>
    </row>
    <row r="2803" spans="1:41" ht="15">
      <c r="A2803"/>
      <c r="B2803"/>
      <c r="C2803" s="137"/>
      <c r="D2803" s="30"/>
      <c r="E2803" s="30"/>
      <c r="F2803" s="10"/>
      <c r="G2803" s="10"/>
      <c r="H2803" s="15"/>
      <c r="I2803" s="15"/>
      <c r="J2803" s="15"/>
      <c r="K2803" s="15"/>
      <c r="L2803" s="15"/>
      <c r="M2803" s="15"/>
      <c r="N2803" s="15"/>
      <c r="O2803" s="15"/>
      <c r="P2803" s="15"/>
      <c r="Q2803" s="71"/>
      <c r="R2803" s="84"/>
      <c r="S2803" s="10"/>
      <c r="T2803" s="10"/>
      <c r="U2803" s="10"/>
      <c r="V2803" s="10"/>
      <c r="W2803" s="138"/>
      <c r="Y2803"/>
      <c r="Z2803"/>
      <c r="AA2803"/>
      <c r="AB2803"/>
      <c r="AC2803"/>
      <c r="AD2803"/>
      <c r="AE2803"/>
      <c r="AF2803"/>
      <c r="AG2803"/>
      <c r="AH2803"/>
      <c r="AI2803"/>
      <c r="AJ2803"/>
      <c r="AK2803"/>
      <c r="AL2803"/>
      <c r="AM2803"/>
      <c r="AN2803"/>
      <c r="AO2803"/>
    </row>
    <row r="2804" spans="1:41" ht="15">
      <c r="A2804"/>
      <c r="B2804"/>
      <c r="C2804" s="137"/>
      <c r="D2804" s="30"/>
      <c r="E2804" s="30"/>
      <c r="F2804" s="10"/>
      <c r="G2804" s="10"/>
      <c r="H2804" s="15"/>
      <c r="I2804" s="15"/>
      <c r="J2804" s="15"/>
      <c r="K2804" s="15"/>
      <c r="L2804" s="15"/>
      <c r="M2804" s="15"/>
      <c r="N2804" s="15"/>
      <c r="O2804" s="15"/>
      <c r="P2804" s="15"/>
      <c r="Q2804" s="71"/>
      <c r="R2804" s="84"/>
      <c r="S2804" s="10"/>
      <c r="T2804" s="10"/>
      <c r="U2804" s="10"/>
      <c r="V2804" s="10"/>
      <c r="W2804" s="138"/>
      <c r="Y2804"/>
      <c r="Z2804"/>
      <c r="AA2804"/>
      <c r="AB2804"/>
      <c r="AC2804"/>
      <c r="AD2804"/>
      <c r="AE2804"/>
      <c r="AF2804"/>
      <c r="AG2804"/>
      <c r="AH2804"/>
      <c r="AI2804"/>
      <c r="AJ2804"/>
      <c r="AK2804"/>
      <c r="AL2804"/>
      <c r="AM2804"/>
      <c r="AN2804"/>
      <c r="AO2804"/>
    </row>
    <row r="2805" spans="1:41" ht="15">
      <c r="A2805"/>
      <c r="B2805"/>
      <c r="C2805" s="137"/>
      <c r="D2805" s="30"/>
      <c r="E2805" s="30"/>
      <c r="F2805" s="10"/>
      <c r="G2805" s="10"/>
      <c r="H2805" s="15"/>
      <c r="I2805" s="15"/>
      <c r="J2805" s="15"/>
      <c r="K2805" s="15"/>
      <c r="L2805" s="15"/>
      <c r="M2805" s="15"/>
      <c r="N2805" s="15"/>
      <c r="O2805" s="15"/>
      <c r="P2805" s="15"/>
      <c r="Q2805" s="71"/>
      <c r="R2805" s="84"/>
      <c r="S2805" s="10"/>
      <c r="T2805" s="10"/>
      <c r="U2805" s="10"/>
      <c r="V2805" s="10"/>
      <c r="W2805" s="138"/>
      <c r="Y2805"/>
      <c r="Z2805"/>
      <c r="AA2805"/>
      <c r="AB2805"/>
      <c r="AC2805"/>
      <c r="AD2805"/>
      <c r="AE2805"/>
      <c r="AF2805"/>
      <c r="AG2805"/>
      <c r="AH2805"/>
      <c r="AI2805"/>
      <c r="AJ2805"/>
      <c r="AK2805"/>
      <c r="AL2805"/>
      <c r="AM2805"/>
      <c r="AN2805"/>
      <c r="AO2805"/>
    </row>
    <row r="2806" spans="1:41" ht="15">
      <c r="A2806"/>
      <c r="B2806"/>
      <c r="C2806" s="137"/>
      <c r="D2806" s="30"/>
      <c r="E2806" s="30"/>
      <c r="F2806" s="10"/>
      <c r="G2806" s="10"/>
      <c r="H2806" s="15"/>
      <c r="I2806" s="15"/>
      <c r="J2806" s="15"/>
      <c r="K2806" s="15"/>
      <c r="L2806" s="15"/>
      <c r="M2806" s="15"/>
      <c r="N2806" s="15"/>
      <c r="O2806" s="15"/>
      <c r="P2806" s="15"/>
      <c r="Q2806" s="71"/>
      <c r="R2806" s="84"/>
      <c r="S2806" s="10"/>
      <c r="T2806" s="10"/>
      <c r="U2806" s="10"/>
      <c r="V2806" s="10"/>
      <c r="W2806" s="138"/>
      <c r="Y2806"/>
      <c r="Z2806"/>
      <c r="AA2806"/>
      <c r="AB2806"/>
      <c r="AC2806"/>
      <c r="AD2806"/>
      <c r="AE2806"/>
      <c r="AF2806"/>
      <c r="AG2806"/>
      <c r="AH2806"/>
      <c r="AI2806"/>
      <c r="AJ2806"/>
      <c r="AK2806"/>
      <c r="AL2806"/>
      <c r="AM2806"/>
      <c r="AN2806"/>
      <c r="AO2806"/>
    </row>
    <row r="2807" spans="1:41" ht="15">
      <c r="A2807"/>
      <c r="B2807"/>
      <c r="C2807" s="137"/>
      <c r="D2807" s="30"/>
      <c r="E2807" s="30"/>
      <c r="F2807" s="10"/>
      <c r="G2807" s="10"/>
      <c r="H2807" s="15"/>
      <c r="I2807" s="15"/>
      <c r="J2807" s="15"/>
      <c r="K2807" s="15"/>
      <c r="L2807" s="15"/>
      <c r="M2807" s="15"/>
      <c r="N2807" s="15"/>
      <c r="O2807" s="15"/>
      <c r="P2807" s="15"/>
      <c r="Q2807" s="71"/>
      <c r="R2807" s="84"/>
      <c r="S2807" s="10"/>
      <c r="T2807" s="10"/>
      <c r="U2807" s="10"/>
      <c r="V2807" s="10"/>
      <c r="W2807" s="138"/>
      <c r="Y2807"/>
      <c r="Z2807"/>
      <c r="AA2807"/>
      <c r="AB2807"/>
      <c r="AC2807"/>
      <c r="AD2807"/>
      <c r="AE2807"/>
      <c r="AF2807"/>
      <c r="AG2807"/>
      <c r="AH2807"/>
      <c r="AI2807"/>
      <c r="AJ2807"/>
      <c r="AK2807"/>
      <c r="AL2807"/>
      <c r="AM2807"/>
      <c r="AN2807"/>
      <c r="AO2807"/>
    </row>
    <row r="2808" spans="1:41" ht="15">
      <c r="A2808"/>
      <c r="B2808"/>
      <c r="C2808" s="137"/>
      <c r="D2808" s="30"/>
      <c r="E2808" s="30"/>
      <c r="F2808" s="10"/>
      <c r="G2808" s="10"/>
      <c r="H2808" s="15"/>
      <c r="I2808" s="15"/>
      <c r="J2808" s="15"/>
      <c r="K2808" s="15"/>
      <c r="L2808" s="15"/>
      <c r="M2808" s="15"/>
      <c r="N2808" s="15"/>
      <c r="O2808" s="15"/>
      <c r="P2808" s="15"/>
      <c r="Q2808" s="71"/>
      <c r="R2808" s="84"/>
      <c r="S2808" s="10"/>
      <c r="T2808" s="10"/>
      <c r="U2808" s="10"/>
      <c r="V2808" s="10"/>
      <c r="W2808" s="138"/>
      <c r="Y2808"/>
      <c r="Z2808"/>
      <c r="AA2808"/>
      <c r="AB2808"/>
      <c r="AC2808"/>
      <c r="AD2808"/>
      <c r="AE2808"/>
      <c r="AF2808"/>
      <c r="AG2808"/>
      <c r="AH2808"/>
      <c r="AI2808"/>
      <c r="AJ2808"/>
      <c r="AK2808"/>
      <c r="AL2808"/>
      <c r="AM2808"/>
      <c r="AN2808"/>
      <c r="AO2808"/>
    </row>
    <row r="2809" spans="1:41" ht="15">
      <c r="A2809"/>
      <c r="B2809"/>
      <c r="C2809" s="137"/>
      <c r="D2809" s="30"/>
      <c r="E2809" s="30"/>
      <c r="F2809" s="10"/>
      <c r="G2809" s="10"/>
      <c r="H2809" s="15"/>
      <c r="I2809" s="15"/>
      <c r="J2809" s="15"/>
      <c r="K2809" s="15"/>
      <c r="L2809" s="15"/>
      <c r="M2809" s="15"/>
      <c r="N2809" s="15"/>
      <c r="O2809" s="15"/>
      <c r="P2809" s="15"/>
      <c r="Q2809" s="71"/>
      <c r="R2809" s="84"/>
      <c r="S2809" s="10"/>
      <c r="T2809" s="10"/>
      <c r="U2809" s="10"/>
      <c r="V2809" s="10"/>
      <c r="W2809" s="138"/>
      <c r="Y2809"/>
      <c r="Z2809"/>
      <c r="AA2809"/>
      <c r="AB2809"/>
      <c r="AC2809"/>
      <c r="AD2809"/>
      <c r="AE2809"/>
      <c r="AF2809"/>
      <c r="AG2809"/>
      <c r="AH2809"/>
      <c r="AI2809"/>
      <c r="AJ2809"/>
      <c r="AK2809"/>
      <c r="AL2809"/>
      <c r="AM2809"/>
      <c r="AN2809"/>
      <c r="AO2809"/>
    </row>
    <row r="2810" spans="1:41" ht="15">
      <c r="A2810"/>
      <c r="B2810"/>
      <c r="C2810" s="137"/>
      <c r="D2810" s="30"/>
      <c r="E2810" s="30"/>
      <c r="F2810" s="10"/>
      <c r="G2810" s="10"/>
      <c r="H2810" s="15"/>
      <c r="I2810" s="15"/>
      <c r="J2810" s="15"/>
      <c r="K2810" s="15"/>
      <c r="L2810" s="15"/>
      <c r="M2810" s="15"/>
      <c r="N2810" s="15"/>
      <c r="O2810" s="15"/>
      <c r="P2810" s="15"/>
      <c r="Q2810" s="71"/>
      <c r="R2810" s="84"/>
      <c r="S2810" s="10"/>
      <c r="T2810" s="10"/>
      <c r="U2810" s="10"/>
      <c r="V2810" s="10"/>
      <c r="W2810" s="138"/>
      <c r="Y2810"/>
      <c r="Z2810"/>
      <c r="AA2810"/>
      <c r="AB2810"/>
      <c r="AC2810"/>
      <c r="AD2810"/>
      <c r="AE2810"/>
      <c r="AF2810"/>
      <c r="AG2810"/>
      <c r="AH2810"/>
      <c r="AI2810"/>
      <c r="AJ2810"/>
      <c r="AK2810"/>
      <c r="AL2810"/>
      <c r="AM2810"/>
      <c r="AN2810"/>
      <c r="AO2810"/>
    </row>
    <row r="2811" spans="1:41" ht="15">
      <c r="A2811"/>
      <c r="B2811"/>
      <c r="C2811" s="137"/>
      <c r="D2811" s="30"/>
      <c r="E2811" s="30"/>
      <c r="F2811" s="10"/>
      <c r="G2811" s="10"/>
      <c r="H2811" s="15"/>
      <c r="I2811" s="15"/>
      <c r="J2811" s="15"/>
      <c r="K2811" s="15"/>
      <c r="L2811" s="15"/>
      <c r="M2811" s="15"/>
      <c r="N2811" s="15"/>
      <c r="O2811" s="15"/>
      <c r="P2811" s="15"/>
      <c r="Q2811" s="71"/>
      <c r="R2811" s="84"/>
      <c r="S2811" s="10"/>
      <c r="T2811" s="10"/>
      <c r="U2811" s="10"/>
      <c r="V2811" s="10"/>
      <c r="W2811" s="138"/>
      <c r="Y2811"/>
      <c r="Z2811"/>
      <c r="AA2811"/>
      <c r="AB2811"/>
      <c r="AC2811"/>
      <c r="AD2811"/>
      <c r="AE2811"/>
      <c r="AF2811"/>
      <c r="AG2811"/>
      <c r="AH2811"/>
      <c r="AI2811"/>
      <c r="AJ2811"/>
      <c r="AK2811"/>
      <c r="AL2811"/>
      <c r="AM2811"/>
      <c r="AN2811"/>
      <c r="AO2811"/>
    </row>
    <row r="2812" spans="1:41" ht="15">
      <c r="A2812"/>
      <c r="B2812"/>
      <c r="C2812" s="137"/>
      <c r="D2812" s="30"/>
      <c r="E2812" s="30"/>
      <c r="F2812" s="10"/>
      <c r="G2812" s="10"/>
      <c r="H2812" s="15"/>
      <c r="I2812" s="15"/>
      <c r="J2812" s="15"/>
      <c r="K2812" s="15"/>
      <c r="L2812" s="15"/>
      <c r="M2812" s="15"/>
      <c r="N2812" s="15"/>
      <c r="O2812" s="15"/>
      <c r="P2812" s="15"/>
      <c r="Q2812" s="71"/>
      <c r="R2812" s="84"/>
      <c r="S2812" s="10"/>
      <c r="T2812" s="10"/>
      <c r="U2812" s="10"/>
      <c r="V2812" s="10"/>
      <c r="W2812" s="138"/>
      <c r="Y2812"/>
      <c r="Z2812"/>
      <c r="AA2812"/>
      <c r="AB2812"/>
      <c r="AC2812"/>
      <c r="AD2812"/>
      <c r="AE2812"/>
      <c r="AF2812"/>
      <c r="AG2812"/>
      <c r="AH2812"/>
      <c r="AI2812"/>
      <c r="AJ2812"/>
      <c r="AK2812"/>
      <c r="AL2812"/>
      <c r="AM2812"/>
      <c r="AN2812"/>
      <c r="AO2812"/>
    </row>
    <row r="2813" spans="1:41" ht="15">
      <c r="A2813"/>
      <c r="B2813"/>
      <c r="C2813" s="137"/>
      <c r="D2813" s="30"/>
      <c r="E2813" s="30"/>
      <c r="F2813" s="10"/>
      <c r="G2813" s="10"/>
      <c r="H2813" s="15"/>
      <c r="I2813" s="15"/>
      <c r="J2813" s="15"/>
      <c r="K2813" s="15"/>
      <c r="L2813" s="15"/>
      <c r="M2813" s="15"/>
      <c r="N2813" s="15"/>
      <c r="O2813" s="15"/>
      <c r="P2813" s="15"/>
      <c r="Q2813" s="71"/>
      <c r="R2813" s="84"/>
      <c r="S2813" s="10"/>
      <c r="T2813" s="10"/>
      <c r="U2813" s="10"/>
      <c r="V2813" s="10"/>
      <c r="W2813" s="138"/>
      <c r="Y2813"/>
      <c r="Z2813"/>
      <c r="AA2813"/>
      <c r="AB2813"/>
      <c r="AC2813"/>
      <c r="AD2813"/>
      <c r="AE2813"/>
      <c r="AF2813"/>
      <c r="AG2813"/>
      <c r="AH2813"/>
      <c r="AI2813"/>
      <c r="AJ2813"/>
      <c r="AK2813"/>
      <c r="AL2813"/>
      <c r="AM2813"/>
      <c r="AN2813"/>
      <c r="AO2813"/>
    </row>
    <row r="2814" spans="1:41" ht="15">
      <c r="A2814"/>
      <c r="B2814"/>
      <c r="C2814" s="137"/>
      <c r="D2814" s="30"/>
      <c r="E2814" s="30"/>
      <c r="F2814" s="10"/>
      <c r="G2814" s="10"/>
      <c r="H2814" s="15"/>
      <c r="I2814" s="15"/>
      <c r="J2814" s="15"/>
      <c r="K2814" s="15"/>
      <c r="L2814" s="15"/>
      <c r="M2814" s="15"/>
      <c r="N2814" s="15"/>
      <c r="O2814" s="15"/>
      <c r="P2814" s="15"/>
      <c r="Q2814" s="71"/>
      <c r="R2814" s="84"/>
      <c r="S2814" s="10"/>
      <c r="T2814" s="10"/>
      <c r="U2814" s="10"/>
      <c r="V2814" s="10"/>
      <c r="W2814" s="138"/>
      <c r="Y2814"/>
      <c r="Z2814"/>
      <c r="AA2814"/>
      <c r="AB2814"/>
      <c r="AC2814"/>
      <c r="AD2814"/>
      <c r="AE2814"/>
      <c r="AF2814"/>
      <c r="AG2814"/>
      <c r="AH2814"/>
      <c r="AI2814"/>
      <c r="AJ2814"/>
      <c r="AK2814"/>
      <c r="AL2814"/>
      <c r="AM2814"/>
      <c r="AN2814"/>
      <c r="AO2814"/>
    </row>
    <row r="2815" spans="1:41" ht="15">
      <c r="A2815"/>
      <c r="B2815"/>
      <c r="C2815" s="137"/>
      <c r="D2815" s="30"/>
      <c r="E2815" s="30"/>
      <c r="F2815" s="10"/>
      <c r="G2815" s="10"/>
      <c r="H2815" s="15"/>
      <c r="I2815" s="15"/>
      <c r="J2815" s="15"/>
      <c r="K2815" s="15"/>
      <c r="L2815" s="15"/>
      <c r="M2815" s="15"/>
      <c r="N2815" s="15"/>
      <c r="O2815" s="15"/>
      <c r="P2815" s="15"/>
      <c r="Q2815" s="71"/>
      <c r="R2815" s="84"/>
      <c r="S2815" s="10"/>
      <c r="T2815" s="10"/>
      <c r="U2815" s="10"/>
      <c r="V2815" s="10"/>
      <c r="W2815" s="138"/>
      <c r="Y2815"/>
      <c r="Z2815"/>
      <c r="AA2815"/>
      <c r="AB2815"/>
      <c r="AC2815"/>
      <c r="AD2815"/>
      <c r="AE2815"/>
      <c r="AF2815"/>
      <c r="AG2815"/>
      <c r="AH2815"/>
      <c r="AI2815"/>
      <c r="AJ2815"/>
      <c r="AK2815"/>
      <c r="AL2815"/>
      <c r="AM2815"/>
      <c r="AN2815"/>
      <c r="AO2815"/>
    </row>
    <row r="2816" spans="1:41" ht="15">
      <c r="A2816"/>
      <c r="B2816"/>
      <c r="C2816" s="137"/>
      <c r="D2816" s="30"/>
      <c r="E2816" s="30"/>
      <c r="F2816" s="10"/>
      <c r="G2816" s="10"/>
      <c r="H2816" s="15"/>
      <c r="I2816" s="15"/>
      <c r="J2816" s="15"/>
      <c r="K2816" s="15"/>
      <c r="L2816" s="15"/>
      <c r="M2816" s="15"/>
      <c r="N2816" s="15"/>
      <c r="O2816" s="15"/>
      <c r="P2816" s="15"/>
      <c r="Q2816" s="71"/>
      <c r="R2816" s="84"/>
      <c r="S2816" s="10"/>
      <c r="T2816" s="10"/>
      <c r="U2816" s="10"/>
      <c r="V2816" s="10"/>
      <c r="W2816" s="138"/>
      <c r="Y2816"/>
      <c r="Z2816"/>
      <c r="AA2816"/>
      <c r="AB2816"/>
      <c r="AC2816"/>
      <c r="AD2816"/>
      <c r="AE2816"/>
      <c r="AF2816"/>
      <c r="AG2816"/>
      <c r="AH2816"/>
      <c r="AI2816"/>
      <c r="AJ2816"/>
      <c r="AK2816"/>
      <c r="AL2816"/>
      <c r="AM2816"/>
      <c r="AN2816"/>
      <c r="AO2816"/>
    </row>
    <row r="2817" spans="1:41" ht="15">
      <c r="A2817"/>
      <c r="B2817"/>
      <c r="C2817" s="137"/>
      <c r="D2817" s="30"/>
      <c r="E2817" s="30"/>
      <c r="F2817" s="10"/>
      <c r="G2817" s="10"/>
      <c r="H2817" s="15"/>
      <c r="I2817" s="15"/>
      <c r="J2817" s="15"/>
      <c r="K2817" s="15"/>
      <c r="L2817" s="15"/>
      <c r="M2817" s="15"/>
      <c r="N2817" s="15"/>
      <c r="O2817" s="15"/>
      <c r="P2817" s="15"/>
      <c r="Q2817" s="71"/>
      <c r="R2817" s="84"/>
      <c r="S2817" s="10"/>
      <c r="T2817" s="10"/>
      <c r="U2817" s="10"/>
      <c r="V2817" s="10"/>
      <c r="W2817" s="138"/>
      <c r="Y2817"/>
      <c r="Z2817"/>
      <c r="AA2817"/>
      <c r="AB2817"/>
      <c r="AC2817"/>
      <c r="AD2817"/>
      <c r="AE2817"/>
      <c r="AF2817"/>
      <c r="AG2817"/>
      <c r="AH2817"/>
      <c r="AI2817"/>
      <c r="AJ2817"/>
      <c r="AK2817"/>
      <c r="AL2817"/>
      <c r="AM2817"/>
      <c r="AN2817"/>
      <c r="AO2817"/>
    </row>
    <row r="2818" spans="1:41" ht="15">
      <c r="A2818"/>
      <c r="B2818"/>
      <c r="C2818" s="137"/>
      <c r="D2818" s="30"/>
      <c r="E2818" s="30"/>
      <c r="F2818" s="10"/>
      <c r="G2818" s="10"/>
      <c r="H2818" s="15"/>
      <c r="I2818" s="15"/>
      <c r="J2818" s="15"/>
      <c r="K2818" s="15"/>
      <c r="L2818" s="15"/>
      <c r="M2818" s="15"/>
      <c r="N2818" s="15"/>
      <c r="O2818" s="15"/>
      <c r="P2818" s="15"/>
      <c r="Q2818" s="71"/>
      <c r="R2818" s="84"/>
      <c r="S2818" s="10"/>
      <c r="T2818" s="10"/>
      <c r="U2818" s="10"/>
      <c r="V2818" s="10"/>
      <c r="W2818" s="138"/>
      <c r="Y2818"/>
      <c r="Z2818"/>
      <c r="AA2818"/>
      <c r="AB2818"/>
      <c r="AC2818"/>
      <c r="AD2818"/>
      <c r="AE2818"/>
      <c r="AF2818"/>
      <c r="AG2818"/>
      <c r="AH2818"/>
      <c r="AI2818"/>
      <c r="AJ2818"/>
      <c r="AK2818"/>
      <c r="AL2818"/>
      <c r="AM2818"/>
      <c r="AN2818"/>
      <c r="AO2818"/>
    </row>
    <row r="2819" spans="1:41" ht="15">
      <c r="A2819"/>
      <c r="B2819"/>
      <c r="C2819" s="137"/>
      <c r="D2819" s="30"/>
      <c r="E2819" s="30"/>
      <c r="F2819" s="10"/>
      <c r="G2819" s="10"/>
      <c r="H2819" s="15"/>
      <c r="I2819" s="15"/>
      <c r="J2819" s="15"/>
      <c r="K2819" s="15"/>
      <c r="L2819" s="15"/>
      <c r="M2819" s="15"/>
      <c r="N2819" s="15"/>
      <c r="O2819" s="15"/>
      <c r="P2819" s="15"/>
      <c r="Q2819" s="71"/>
      <c r="R2819" s="84"/>
      <c r="S2819" s="10"/>
      <c r="T2819" s="10"/>
      <c r="U2819" s="10"/>
      <c r="V2819" s="10"/>
      <c r="W2819" s="138"/>
      <c r="Y2819"/>
      <c r="Z2819"/>
      <c r="AA2819"/>
      <c r="AB2819"/>
      <c r="AC2819"/>
      <c r="AD2819"/>
      <c r="AE2819"/>
      <c r="AF2819"/>
      <c r="AG2819"/>
      <c r="AH2819"/>
      <c r="AI2819"/>
      <c r="AJ2819"/>
      <c r="AK2819"/>
      <c r="AL2819"/>
      <c r="AM2819"/>
      <c r="AN2819"/>
      <c r="AO2819"/>
    </row>
    <row r="2820" spans="1:41" ht="15">
      <c r="A2820"/>
      <c r="B2820"/>
      <c r="C2820" s="137"/>
      <c r="D2820" s="30"/>
      <c r="E2820" s="30"/>
      <c r="F2820" s="10"/>
      <c r="G2820" s="10"/>
      <c r="H2820" s="15"/>
      <c r="I2820" s="15"/>
      <c r="J2820" s="15"/>
      <c r="K2820" s="15"/>
      <c r="L2820" s="15"/>
      <c r="M2820" s="15"/>
      <c r="N2820" s="15"/>
      <c r="O2820" s="15"/>
      <c r="P2820" s="15"/>
      <c r="Q2820" s="71"/>
      <c r="R2820" s="84"/>
      <c r="S2820" s="10"/>
      <c r="T2820" s="10"/>
      <c r="U2820" s="10"/>
      <c r="V2820" s="10"/>
      <c r="W2820" s="138"/>
      <c r="Y2820"/>
      <c r="Z2820"/>
      <c r="AA2820"/>
      <c r="AB2820"/>
      <c r="AC2820"/>
      <c r="AD2820"/>
      <c r="AE2820"/>
      <c r="AF2820"/>
      <c r="AG2820"/>
      <c r="AH2820"/>
      <c r="AI2820"/>
      <c r="AJ2820"/>
      <c r="AK2820"/>
      <c r="AL2820"/>
      <c r="AM2820"/>
      <c r="AN2820"/>
      <c r="AO2820"/>
    </row>
    <row r="2821" spans="1:41" ht="15">
      <c r="A2821"/>
      <c r="B2821"/>
      <c r="C2821" s="137"/>
      <c r="D2821" s="30"/>
      <c r="E2821" s="30"/>
      <c r="F2821" s="10"/>
      <c r="G2821" s="10"/>
      <c r="H2821" s="15"/>
      <c r="I2821" s="15"/>
      <c r="J2821" s="15"/>
      <c r="K2821" s="15"/>
      <c r="L2821" s="15"/>
      <c r="M2821" s="15"/>
      <c r="N2821" s="15"/>
      <c r="O2821" s="15"/>
      <c r="P2821" s="15"/>
      <c r="Q2821" s="71"/>
      <c r="R2821" s="84"/>
      <c r="S2821" s="10"/>
      <c r="T2821" s="10"/>
      <c r="U2821" s="10"/>
      <c r="V2821" s="10"/>
      <c r="W2821" s="138"/>
      <c r="Y2821"/>
      <c r="Z2821"/>
      <c r="AA2821"/>
      <c r="AB2821"/>
      <c r="AC2821"/>
      <c r="AD2821"/>
      <c r="AE2821"/>
      <c r="AF2821"/>
      <c r="AG2821"/>
      <c r="AH2821"/>
      <c r="AI2821"/>
      <c r="AJ2821"/>
      <c r="AK2821"/>
      <c r="AL2821"/>
      <c r="AM2821"/>
      <c r="AN2821"/>
      <c r="AO2821"/>
    </row>
    <row r="2822" spans="1:41" ht="15">
      <c r="A2822"/>
      <c r="B2822"/>
      <c r="C2822" s="137"/>
      <c r="D2822" s="30"/>
      <c r="E2822" s="30"/>
      <c r="F2822" s="10"/>
      <c r="G2822" s="10"/>
      <c r="H2822" s="15"/>
      <c r="I2822" s="15"/>
      <c r="J2822" s="15"/>
      <c r="K2822" s="15"/>
      <c r="L2822" s="15"/>
      <c r="M2822" s="15"/>
      <c r="N2822" s="15"/>
      <c r="O2822" s="15"/>
      <c r="P2822" s="15"/>
      <c r="Q2822" s="71"/>
      <c r="R2822" s="84"/>
      <c r="S2822" s="10"/>
      <c r="T2822" s="10"/>
      <c r="U2822" s="10"/>
      <c r="V2822" s="10"/>
      <c r="W2822" s="138"/>
      <c r="Y2822"/>
      <c r="Z2822"/>
      <c r="AA2822"/>
      <c r="AB2822"/>
      <c r="AC2822"/>
      <c r="AD2822"/>
      <c r="AE2822"/>
      <c r="AF2822"/>
      <c r="AG2822"/>
      <c r="AH2822"/>
      <c r="AI2822"/>
      <c r="AJ2822"/>
      <c r="AK2822"/>
      <c r="AL2822"/>
      <c r="AM2822"/>
      <c r="AN2822"/>
      <c r="AO2822"/>
    </row>
    <row r="2823" spans="1:41" ht="15">
      <c r="A2823"/>
      <c r="B2823"/>
      <c r="C2823" s="137"/>
      <c r="D2823" s="30"/>
      <c r="E2823" s="30"/>
      <c r="F2823" s="10"/>
      <c r="G2823" s="10"/>
      <c r="H2823" s="15"/>
      <c r="I2823" s="15"/>
      <c r="J2823" s="15"/>
      <c r="K2823" s="15"/>
      <c r="L2823" s="15"/>
      <c r="M2823" s="15"/>
      <c r="N2823" s="15"/>
      <c r="O2823" s="15"/>
      <c r="P2823" s="15"/>
      <c r="Q2823" s="71"/>
      <c r="R2823" s="84"/>
      <c r="S2823" s="10"/>
      <c r="T2823" s="10"/>
      <c r="U2823" s="10"/>
      <c r="V2823" s="10"/>
      <c r="W2823" s="138"/>
      <c r="Y2823"/>
      <c r="Z2823"/>
      <c r="AA2823"/>
      <c r="AB2823"/>
      <c r="AC2823"/>
      <c r="AD2823"/>
      <c r="AE2823"/>
      <c r="AF2823"/>
      <c r="AG2823"/>
      <c r="AH2823"/>
      <c r="AI2823"/>
      <c r="AJ2823"/>
      <c r="AK2823"/>
      <c r="AL2823"/>
      <c r="AM2823"/>
      <c r="AN2823"/>
      <c r="AO2823"/>
    </row>
    <row r="2824" spans="1:41" ht="15">
      <c r="A2824"/>
      <c r="B2824"/>
      <c r="C2824" s="137"/>
      <c r="D2824" s="30"/>
      <c r="E2824" s="30"/>
      <c r="F2824" s="10"/>
      <c r="G2824" s="10"/>
      <c r="H2824" s="15"/>
      <c r="I2824" s="15"/>
      <c r="J2824" s="15"/>
      <c r="K2824" s="15"/>
      <c r="L2824" s="15"/>
      <c r="M2824" s="15"/>
      <c r="N2824" s="15"/>
      <c r="O2824" s="15"/>
      <c r="P2824" s="15"/>
      <c r="Q2824" s="71"/>
      <c r="R2824" s="84"/>
      <c r="S2824" s="10"/>
      <c r="T2824" s="10"/>
      <c r="U2824" s="10"/>
      <c r="V2824" s="10"/>
      <c r="W2824" s="138"/>
      <c r="Y2824"/>
      <c r="Z2824"/>
      <c r="AA2824"/>
      <c r="AB2824"/>
      <c r="AC2824"/>
      <c r="AD2824"/>
      <c r="AE2824"/>
      <c r="AF2824"/>
      <c r="AG2824"/>
      <c r="AH2824"/>
      <c r="AI2824"/>
      <c r="AJ2824"/>
      <c r="AK2824"/>
      <c r="AL2824"/>
      <c r="AM2824"/>
      <c r="AN2824"/>
      <c r="AO2824"/>
    </row>
    <row r="2825" spans="1:41" ht="15">
      <c r="A2825"/>
      <c r="B2825"/>
      <c r="C2825" s="137"/>
      <c r="D2825" s="30"/>
      <c r="E2825" s="30"/>
      <c r="F2825" s="10"/>
      <c r="G2825" s="10"/>
      <c r="H2825" s="15"/>
      <c r="I2825" s="15"/>
      <c r="J2825" s="15"/>
      <c r="K2825" s="15"/>
      <c r="L2825" s="15"/>
      <c r="M2825" s="15"/>
      <c r="N2825" s="15"/>
      <c r="O2825" s="15"/>
      <c r="P2825" s="15"/>
      <c r="Q2825" s="71"/>
      <c r="R2825" s="84"/>
      <c r="S2825" s="10"/>
      <c r="T2825" s="10"/>
      <c r="U2825" s="10"/>
      <c r="V2825" s="10"/>
      <c r="W2825" s="138"/>
      <c r="Y2825"/>
      <c r="Z2825"/>
      <c r="AA2825"/>
      <c r="AB2825"/>
      <c r="AC2825"/>
      <c r="AD2825"/>
      <c r="AE2825"/>
      <c r="AF2825"/>
      <c r="AG2825"/>
      <c r="AH2825"/>
      <c r="AI2825"/>
      <c r="AJ2825"/>
      <c r="AK2825"/>
      <c r="AL2825"/>
      <c r="AM2825"/>
      <c r="AN2825"/>
      <c r="AO2825"/>
    </row>
    <row r="2826" spans="1:41" ht="15">
      <c r="A2826"/>
      <c r="B2826"/>
      <c r="C2826" s="137"/>
      <c r="D2826" s="30"/>
      <c r="E2826" s="30"/>
      <c r="F2826" s="10"/>
      <c r="G2826" s="10"/>
      <c r="H2826" s="15"/>
      <c r="I2826" s="15"/>
      <c r="J2826" s="15"/>
      <c r="K2826" s="15"/>
      <c r="L2826" s="15"/>
      <c r="M2826" s="15"/>
      <c r="N2826" s="15"/>
      <c r="O2826" s="15"/>
      <c r="P2826" s="15"/>
      <c r="Q2826" s="71"/>
      <c r="R2826" s="84"/>
      <c r="S2826" s="10"/>
      <c r="T2826" s="10"/>
      <c r="U2826" s="10"/>
      <c r="V2826" s="10"/>
      <c r="W2826" s="138"/>
      <c r="Y2826"/>
      <c r="Z2826"/>
      <c r="AA2826"/>
      <c r="AB2826"/>
      <c r="AC2826"/>
      <c r="AD2826"/>
      <c r="AE2826"/>
      <c r="AF2826"/>
      <c r="AG2826"/>
      <c r="AH2826"/>
      <c r="AI2826"/>
      <c r="AJ2826"/>
      <c r="AK2826"/>
      <c r="AL2826"/>
      <c r="AM2826"/>
      <c r="AN2826"/>
      <c r="AO2826"/>
    </row>
    <row r="2827" spans="1:41" ht="15">
      <c r="A2827"/>
      <c r="B2827"/>
      <c r="C2827" s="137"/>
      <c r="D2827" s="30"/>
      <c r="E2827" s="30"/>
      <c r="F2827" s="10"/>
      <c r="G2827" s="10"/>
      <c r="H2827" s="15"/>
      <c r="I2827" s="15"/>
      <c r="J2827" s="15"/>
      <c r="K2827" s="15"/>
      <c r="L2827" s="15"/>
      <c r="M2827" s="15"/>
      <c r="N2827" s="15"/>
      <c r="O2827" s="15"/>
      <c r="P2827" s="15"/>
      <c r="Q2827" s="71"/>
      <c r="R2827" s="84"/>
      <c r="S2827" s="10"/>
      <c r="T2827" s="10"/>
      <c r="U2827" s="10"/>
      <c r="V2827" s="10"/>
      <c r="W2827" s="138"/>
      <c r="Y2827"/>
      <c r="Z2827"/>
      <c r="AA2827"/>
      <c r="AB2827"/>
      <c r="AC2827"/>
      <c r="AD2827"/>
      <c r="AE2827"/>
      <c r="AF2827"/>
      <c r="AG2827"/>
      <c r="AH2827"/>
      <c r="AI2827"/>
      <c r="AJ2827"/>
      <c r="AK2827"/>
      <c r="AL2827"/>
      <c r="AM2827"/>
      <c r="AN2827"/>
      <c r="AO2827"/>
    </row>
    <row r="2828" spans="1:41" ht="15">
      <c r="A2828"/>
      <c r="B2828"/>
      <c r="C2828" s="137"/>
      <c r="D2828" s="30"/>
      <c r="E2828" s="30"/>
      <c r="F2828" s="10"/>
      <c r="G2828" s="10"/>
      <c r="H2828" s="15"/>
      <c r="I2828" s="15"/>
      <c r="J2828" s="15"/>
      <c r="K2828" s="15"/>
      <c r="L2828" s="15"/>
      <c r="M2828" s="15"/>
      <c r="N2828" s="15"/>
      <c r="O2828" s="15"/>
      <c r="P2828" s="15"/>
      <c r="Q2828" s="71"/>
      <c r="R2828" s="84"/>
      <c r="S2828" s="10"/>
      <c r="T2828" s="10"/>
      <c r="U2828" s="10"/>
      <c r="V2828" s="10"/>
      <c r="W2828" s="138"/>
      <c r="Y2828"/>
      <c r="Z2828"/>
      <c r="AA2828"/>
      <c r="AB2828"/>
      <c r="AC2828"/>
      <c r="AD2828"/>
      <c r="AE2828"/>
      <c r="AF2828"/>
      <c r="AG2828"/>
      <c r="AH2828"/>
      <c r="AI2828"/>
      <c r="AJ2828"/>
      <c r="AK2828"/>
      <c r="AL2828"/>
      <c r="AM2828"/>
      <c r="AN2828"/>
      <c r="AO2828"/>
    </row>
    <row r="2829" spans="1:41" ht="15">
      <c r="A2829"/>
      <c r="B2829"/>
      <c r="C2829" s="137"/>
      <c r="D2829" s="30"/>
      <c r="E2829" s="30"/>
      <c r="F2829" s="10"/>
      <c r="G2829" s="10"/>
      <c r="H2829" s="15"/>
      <c r="I2829" s="15"/>
      <c r="J2829" s="15"/>
      <c r="K2829" s="15"/>
      <c r="L2829" s="15"/>
      <c r="M2829" s="15"/>
      <c r="N2829" s="15"/>
      <c r="O2829" s="15"/>
      <c r="P2829" s="15"/>
      <c r="Q2829" s="71"/>
      <c r="R2829" s="84"/>
      <c r="S2829" s="10"/>
      <c r="T2829" s="10"/>
      <c r="U2829" s="10"/>
      <c r="V2829" s="10"/>
      <c r="W2829" s="138"/>
      <c r="Y2829"/>
      <c r="Z2829"/>
      <c r="AA2829"/>
      <c r="AB2829"/>
      <c r="AC2829"/>
      <c r="AD2829"/>
      <c r="AE2829"/>
      <c r="AF2829"/>
      <c r="AG2829"/>
      <c r="AH2829"/>
      <c r="AI2829"/>
      <c r="AJ2829"/>
      <c r="AK2829"/>
      <c r="AL2829"/>
      <c r="AM2829"/>
      <c r="AN2829"/>
      <c r="AO2829"/>
    </row>
    <row r="2830" spans="1:41" ht="15">
      <c r="A2830"/>
      <c r="B2830"/>
      <c r="C2830" s="137"/>
      <c r="D2830" s="30"/>
      <c r="E2830" s="30"/>
      <c r="F2830" s="10"/>
      <c r="G2830" s="10"/>
      <c r="H2830" s="15"/>
      <c r="I2830" s="15"/>
      <c r="J2830" s="15"/>
      <c r="K2830" s="15"/>
      <c r="L2830" s="15"/>
      <c r="M2830" s="15"/>
      <c r="N2830" s="15"/>
      <c r="O2830" s="15"/>
      <c r="P2830" s="15"/>
      <c r="Q2830" s="71"/>
      <c r="R2830" s="84"/>
      <c r="S2830" s="10"/>
      <c r="T2830" s="10"/>
      <c r="U2830" s="10"/>
      <c r="V2830" s="10"/>
      <c r="W2830" s="138"/>
      <c r="Y2830"/>
      <c r="Z2830"/>
      <c r="AA2830"/>
      <c r="AB2830"/>
      <c r="AC2830"/>
      <c r="AD2830"/>
      <c r="AE2830"/>
      <c r="AF2830"/>
      <c r="AG2830"/>
      <c r="AH2830"/>
      <c r="AI2830"/>
      <c r="AJ2830"/>
      <c r="AK2830"/>
      <c r="AL2830"/>
      <c r="AM2830"/>
      <c r="AN2830"/>
      <c r="AO2830"/>
    </row>
    <row r="2831" spans="1:41" ht="15">
      <c r="A2831"/>
      <c r="B2831"/>
      <c r="C2831" s="137"/>
      <c r="D2831" s="30"/>
      <c r="E2831" s="30"/>
      <c r="F2831" s="10"/>
      <c r="G2831" s="10"/>
      <c r="H2831" s="15"/>
      <c r="I2831" s="15"/>
      <c r="J2831" s="15"/>
      <c r="K2831" s="15"/>
      <c r="L2831" s="15"/>
      <c r="M2831" s="15"/>
      <c r="N2831" s="15"/>
      <c r="O2831" s="15"/>
      <c r="P2831" s="15"/>
      <c r="Q2831" s="71"/>
      <c r="R2831" s="84"/>
      <c r="S2831" s="10"/>
      <c r="T2831" s="10"/>
      <c r="U2831" s="10"/>
      <c r="V2831" s="10"/>
      <c r="W2831" s="138"/>
      <c r="Y2831"/>
      <c r="Z2831"/>
      <c r="AA2831"/>
      <c r="AB2831"/>
      <c r="AC2831"/>
      <c r="AD2831"/>
      <c r="AE2831"/>
      <c r="AF2831"/>
      <c r="AG2831"/>
      <c r="AH2831"/>
      <c r="AI2831"/>
      <c r="AJ2831"/>
      <c r="AK2831"/>
      <c r="AL2831"/>
      <c r="AM2831"/>
      <c r="AN2831"/>
      <c r="AO2831"/>
    </row>
    <row r="2832" spans="1:41" ht="15">
      <c r="A2832"/>
      <c r="B2832"/>
      <c r="C2832" s="137"/>
      <c r="D2832" s="30"/>
      <c r="E2832" s="30"/>
      <c r="F2832" s="10"/>
      <c r="G2832" s="10"/>
      <c r="H2832" s="15"/>
      <c r="I2832" s="15"/>
      <c r="J2832" s="15"/>
      <c r="K2832" s="15"/>
      <c r="L2832" s="15"/>
      <c r="M2832" s="15"/>
      <c r="N2832" s="15"/>
      <c r="O2832" s="15"/>
      <c r="P2832" s="15"/>
      <c r="Q2832" s="71"/>
      <c r="R2832" s="84"/>
      <c r="S2832" s="10"/>
      <c r="T2832" s="10"/>
      <c r="U2832" s="10"/>
      <c r="V2832" s="10"/>
      <c r="W2832" s="138"/>
      <c r="Y2832"/>
      <c r="Z2832"/>
      <c r="AA2832"/>
      <c r="AB2832"/>
      <c r="AC2832"/>
      <c r="AD2832"/>
      <c r="AE2832"/>
      <c r="AF2832"/>
      <c r="AG2832"/>
      <c r="AH2832"/>
      <c r="AI2832"/>
      <c r="AJ2832"/>
      <c r="AK2832"/>
      <c r="AL2832"/>
      <c r="AM2832"/>
      <c r="AN2832"/>
      <c r="AO2832"/>
    </row>
    <row r="2833" spans="1:41" ht="15">
      <c r="A2833"/>
      <c r="B2833"/>
      <c r="C2833" s="137"/>
      <c r="D2833" s="30"/>
      <c r="E2833" s="30"/>
      <c r="F2833" s="10"/>
      <c r="G2833" s="10"/>
      <c r="H2833" s="15"/>
      <c r="I2833" s="15"/>
      <c r="J2833" s="15"/>
      <c r="K2833" s="15"/>
      <c r="L2833" s="15"/>
      <c r="M2833" s="15"/>
      <c r="N2833" s="15"/>
      <c r="O2833" s="15"/>
      <c r="P2833" s="15"/>
      <c r="Q2833" s="71"/>
      <c r="R2833" s="84"/>
      <c r="S2833" s="10"/>
      <c r="T2833" s="10"/>
      <c r="U2833" s="10"/>
      <c r="V2833" s="10"/>
      <c r="W2833" s="138"/>
      <c r="Y2833"/>
      <c r="Z2833"/>
      <c r="AA2833"/>
      <c r="AB2833"/>
      <c r="AC2833"/>
      <c r="AD2833"/>
      <c r="AE2833"/>
      <c r="AF2833"/>
      <c r="AG2833"/>
      <c r="AH2833"/>
      <c r="AI2833"/>
      <c r="AJ2833"/>
      <c r="AK2833"/>
      <c r="AL2833"/>
      <c r="AM2833"/>
      <c r="AN2833"/>
      <c r="AO2833"/>
    </row>
    <row r="2834" spans="1:41" ht="15">
      <c r="A2834"/>
      <c r="B2834"/>
      <c r="C2834" s="137"/>
      <c r="D2834" s="30"/>
      <c r="E2834" s="30"/>
      <c r="F2834" s="10"/>
      <c r="G2834" s="10"/>
      <c r="H2834" s="15"/>
      <c r="I2834" s="15"/>
      <c r="J2834" s="15"/>
      <c r="K2834" s="15"/>
      <c r="L2834" s="15"/>
      <c r="M2834" s="15"/>
      <c r="N2834" s="15"/>
      <c r="O2834" s="15"/>
      <c r="P2834" s="15"/>
      <c r="Q2834" s="71"/>
      <c r="R2834" s="84"/>
      <c r="S2834" s="10"/>
      <c r="T2834" s="10"/>
      <c r="U2834" s="10"/>
      <c r="V2834" s="10"/>
      <c r="W2834" s="138"/>
      <c r="Y2834"/>
      <c r="Z2834"/>
      <c r="AA2834"/>
      <c r="AB2834"/>
      <c r="AC2834"/>
      <c r="AD2834"/>
      <c r="AE2834"/>
      <c r="AF2834"/>
      <c r="AG2834"/>
      <c r="AH2834"/>
      <c r="AI2834"/>
      <c r="AJ2834"/>
      <c r="AK2834"/>
      <c r="AL2834"/>
      <c r="AM2834"/>
      <c r="AN2834"/>
      <c r="AO2834"/>
    </row>
    <row r="2835" spans="1:41" ht="15">
      <c r="A2835"/>
      <c r="B2835"/>
      <c r="C2835" s="137"/>
      <c r="D2835" s="30"/>
      <c r="E2835" s="30"/>
      <c r="F2835" s="10"/>
      <c r="G2835" s="10"/>
      <c r="H2835" s="15"/>
      <c r="I2835" s="15"/>
      <c r="J2835" s="15"/>
      <c r="K2835" s="15"/>
      <c r="L2835" s="15"/>
      <c r="M2835" s="15"/>
      <c r="N2835" s="15"/>
      <c r="O2835" s="15"/>
      <c r="P2835" s="15"/>
      <c r="Q2835" s="71"/>
      <c r="R2835" s="84"/>
      <c r="S2835" s="10"/>
      <c r="T2835" s="10"/>
      <c r="U2835" s="10"/>
      <c r="V2835" s="10"/>
      <c r="W2835" s="138"/>
      <c r="Y2835"/>
      <c r="Z2835"/>
      <c r="AA2835"/>
      <c r="AB2835"/>
      <c r="AC2835"/>
      <c r="AD2835"/>
      <c r="AE2835"/>
      <c r="AF2835"/>
      <c r="AG2835"/>
      <c r="AH2835"/>
      <c r="AI2835"/>
      <c r="AJ2835"/>
      <c r="AK2835"/>
      <c r="AL2835"/>
      <c r="AM2835"/>
      <c r="AN2835"/>
      <c r="AO2835"/>
    </row>
    <row r="2836" spans="1:41" ht="15">
      <c r="A2836"/>
      <c r="B2836"/>
      <c r="C2836" s="137"/>
      <c r="D2836" s="30"/>
      <c r="E2836" s="30"/>
      <c r="F2836" s="10"/>
      <c r="G2836" s="10"/>
      <c r="H2836" s="15"/>
      <c r="I2836" s="15"/>
      <c r="J2836" s="15"/>
      <c r="K2836" s="15"/>
      <c r="L2836" s="15"/>
      <c r="M2836" s="15"/>
      <c r="N2836" s="15"/>
      <c r="O2836" s="15"/>
      <c r="P2836" s="15"/>
      <c r="Q2836" s="71"/>
      <c r="R2836" s="84"/>
      <c r="S2836" s="10"/>
      <c r="T2836" s="10"/>
      <c r="U2836" s="10"/>
      <c r="V2836" s="10"/>
      <c r="W2836" s="138"/>
      <c r="Y2836"/>
      <c r="Z2836"/>
      <c r="AA2836"/>
      <c r="AB2836"/>
      <c r="AC2836"/>
      <c r="AD2836"/>
      <c r="AE2836"/>
      <c r="AF2836"/>
      <c r="AG2836"/>
      <c r="AH2836"/>
      <c r="AI2836"/>
      <c r="AJ2836"/>
      <c r="AK2836"/>
      <c r="AL2836"/>
      <c r="AM2836"/>
      <c r="AN2836"/>
      <c r="AO2836"/>
    </row>
    <row r="2837" spans="1:41" ht="15">
      <c r="A2837"/>
      <c r="B2837"/>
      <c r="C2837" s="137"/>
      <c r="D2837" s="30"/>
      <c r="E2837" s="30"/>
      <c r="F2837" s="10"/>
      <c r="G2837" s="10"/>
      <c r="H2837" s="15"/>
      <c r="I2837" s="15"/>
      <c r="J2837" s="15"/>
      <c r="K2837" s="15"/>
      <c r="L2837" s="15"/>
      <c r="M2837" s="15"/>
      <c r="N2837" s="15"/>
      <c r="O2837" s="15"/>
      <c r="P2837" s="15"/>
      <c r="Q2837" s="71"/>
      <c r="R2837" s="84"/>
      <c r="S2837" s="10"/>
      <c r="T2837" s="10"/>
      <c r="U2837" s="10"/>
      <c r="V2837" s="10"/>
      <c r="W2837" s="138"/>
      <c r="Y2837"/>
      <c r="Z2837"/>
      <c r="AA2837"/>
      <c r="AB2837"/>
      <c r="AC2837"/>
      <c r="AD2837"/>
      <c r="AE2837"/>
      <c r="AF2837"/>
      <c r="AG2837"/>
      <c r="AH2837"/>
      <c r="AI2837"/>
      <c r="AJ2837"/>
      <c r="AK2837"/>
      <c r="AL2837"/>
      <c r="AM2837"/>
      <c r="AN2837"/>
      <c r="AO2837"/>
    </row>
    <row r="2838" spans="1:41" ht="15">
      <c r="A2838"/>
      <c r="B2838"/>
      <c r="C2838" s="137"/>
      <c r="D2838" s="30"/>
      <c r="E2838" s="30"/>
      <c r="F2838" s="10"/>
      <c r="G2838" s="10"/>
      <c r="H2838" s="15"/>
      <c r="I2838" s="15"/>
      <c r="J2838" s="15"/>
      <c r="K2838" s="15"/>
      <c r="L2838" s="15"/>
      <c r="M2838" s="15"/>
      <c r="N2838" s="15"/>
      <c r="O2838" s="15"/>
      <c r="P2838" s="15"/>
      <c r="Q2838" s="71"/>
      <c r="R2838" s="84"/>
      <c r="S2838" s="10"/>
      <c r="T2838" s="10"/>
      <c r="U2838" s="10"/>
      <c r="V2838" s="10"/>
      <c r="W2838" s="138"/>
      <c r="Y2838"/>
      <c r="Z2838"/>
      <c r="AA2838"/>
      <c r="AB2838"/>
      <c r="AC2838"/>
      <c r="AD2838"/>
      <c r="AE2838"/>
      <c r="AF2838"/>
      <c r="AG2838"/>
      <c r="AH2838"/>
      <c r="AI2838"/>
      <c r="AJ2838"/>
      <c r="AK2838"/>
      <c r="AL2838"/>
      <c r="AM2838"/>
      <c r="AN2838"/>
      <c r="AO2838"/>
    </row>
    <row r="2839" spans="1:41" ht="15">
      <c r="A2839"/>
      <c r="B2839"/>
      <c r="C2839" s="137"/>
      <c r="D2839" s="30"/>
      <c r="E2839" s="30"/>
      <c r="F2839" s="10"/>
      <c r="G2839" s="10"/>
      <c r="H2839" s="15"/>
      <c r="I2839" s="15"/>
      <c r="J2839" s="15"/>
      <c r="K2839" s="15"/>
      <c r="L2839" s="15"/>
      <c r="M2839" s="15"/>
      <c r="N2839" s="15"/>
      <c r="O2839" s="15"/>
      <c r="P2839" s="15"/>
      <c r="Q2839" s="71"/>
      <c r="R2839" s="84"/>
      <c r="S2839" s="10"/>
      <c r="T2839" s="10"/>
      <c r="U2839" s="10"/>
      <c r="V2839" s="10"/>
      <c r="W2839" s="138"/>
      <c r="Y2839"/>
      <c r="Z2839"/>
      <c r="AA2839"/>
      <c r="AB2839"/>
      <c r="AC2839"/>
      <c r="AD2839"/>
      <c r="AE2839"/>
      <c r="AF2839"/>
      <c r="AG2839"/>
      <c r="AH2839"/>
      <c r="AI2839"/>
      <c r="AJ2839"/>
      <c r="AK2839"/>
      <c r="AL2839"/>
      <c r="AM2839"/>
      <c r="AN2839"/>
      <c r="AO2839"/>
    </row>
    <row r="2840" spans="1:41" ht="15">
      <c r="A2840"/>
      <c r="B2840"/>
      <c r="C2840" s="137"/>
      <c r="D2840" s="30"/>
      <c r="E2840" s="30"/>
      <c r="F2840" s="10"/>
      <c r="G2840" s="10"/>
      <c r="H2840" s="15"/>
      <c r="I2840" s="15"/>
      <c r="J2840" s="15"/>
      <c r="K2840" s="15"/>
      <c r="L2840" s="15"/>
      <c r="M2840" s="15"/>
      <c r="N2840" s="15"/>
      <c r="O2840" s="15"/>
      <c r="P2840" s="15"/>
      <c r="Q2840" s="71"/>
      <c r="R2840" s="84"/>
      <c r="S2840" s="10"/>
      <c r="T2840" s="10"/>
      <c r="U2840" s="10"/>
      <c r="V2840" s="10"/>
      <c r="W2840" s="138"/>
      <c r="Y2840"/>
      <c r="Z2840"/>
      <c r="AA2840"/>
      <c r="AB2840"/>
      <c r="AC2840"/>
      <c r="AD2840"/>
      <c r="AE2840"/>
      <c r="AF2840"/>
      <c r="AG2840"/>
      <c r="AH2840"/>
      <c r="AI2840"/>
      <c r="AJ2840"/>
      <c r="AK2840"/>
      <c r="AL2840"/>
      <c r="AM2840"/>
      <c r="AN2840"/>
      <c r="AO2840"/>
    </row>
    <row r="2841" spans="1:41" ht="15">
      <c r="A2841"/>
      <c r="B2841"/>
      <c r="C2841" s="137"/>
      <c r="D2841" s="30"/>
      <c r="E2841" s="30"/>
      <c r="F2841" s="10"/>
      <c r="G2841" s="10"/>
      <c r="H2841" s="15"/>
      <c r="I2841" s="15"/>
      <c r="J2841" s="15"/>
      <c r="K2841" s="15"/>
      <c r="L2841" s="15"/>
      <c r="M2841" s="15"/>
      <c r="N2841" s="15"/>
      <c r="O2841" s="15"/>
      <c r="P2841" s="15"/>
      <c r="Q2841" s="71"/>
      <c r="R2841" s="84"/>
      <c r="S2841" s="10"/>
      <c r="T2841" s="10"/>
      <c r="U2841" s="10"/>
      <c r="V2841" s="10"/>
      <c r="W2841" s="138"/>
      <c r="Y2841"/>
      <c r="Z2841"/>
      <c r="AA2841"/>
      <c r="AB2841"/>
      <c r="AC2841"/>
      <c r="AD2841"/>
      <c r="AE2841"/>
      <c r="AF2841"/>
      <c r="AG2841"/>
      <c r="AH2841"/>
      <c r="AI2841"/>
      <c r="AJ2841"/>
      <c r="AK2841"/>
      <c r="AL2841"/>
      <c r="AM2841"/>
      <c r="AN2841"/>
      <c r="AO2841"/>
    </row>
    <row r="2842" spans="1:41" ht="15">
      <c r="A2842"/>
      <c r="B2842"/>
      <c r="C2842" s="137"/>
      <c r="D2842" s="30"/>
      <c r="E2842" s="30"/>
      <c r="F2842" s="10"/>
      <c r="G2842" s="10"/>
      <c r="H2842" s="15"/>
      <c r="I2842" s="15"/>
      <c r="J2842" s="15"/>
      <c r="K2842" s="15"/>
      <c r="L2842" s="15"/>
      <c r="M2842" s="15"/>
      <c r="N2842" s="15"/>
      <c r="O2842" s="15"/>
      <c r="P2842" s="15"/>
      <c r="Q2842" s="71"/>
      <c r="R2842" s="84"/>
      <c r="S2842" s="10"/>
      <c r="T2842" s="10"/>
      <c r="U2842" s="10"/>
      <c r="V2842" s="10"/>
      <c r="W2842" s="138"/>
      <c r="Y2842"/>
      <c r="Z2842"/>
      <c r="AA2842"/>
      <c r="AB2842"/>
      <c r="AC2842"/>
      <c r="AD2842"/>
      <c r="AE2842"/>
      <c r="AF2842"/>
      <c r="AG2842"/>
      <c r="AH2842"/>
      <c r="AI2842"/>
      <c r="AJ2842"/>
      <c r="AK2842"/>
      <c r="AL2842"/>
      <c r="AM2842"/>
      <c r="AN2842"/>
      <c r="AO2842"/>
    </row>
    <row r="2843" spans="1:41" ht="15">
      <c r="A2843"/>
      <c r="B2843"/>
      <c r="C2843" s="137"/>
      <c r="D2843" s="30"/>
      <c r="E2843" s="30"/>
      <c r="F2843" s="10"/>
      <c r="G2843" s="10"/>
      <c r="H2843" s="15"/>
      <c r="I2843" s="15"/>
      <c r="J2843" s="15"/>
      <c r="K2843" s="15"/>
      <c r="L2843" s="15"/>
      <c r="M2843" s="15"/>
      <c r="N2843" s="15"/>
      <c r="O2843" s="15"/>
      <c r="P2843" s="15"/>
      <c r="Q2843" s="71"/>
      <c r="R2843" s="84"/>
      <c r="S2843" s="10"/>
      <c r="T2843" s="10"/>
      <c r="U2843" s="10"/>
      <c r="V2843" s="10"/>
      <c r="W2843" s="138"/>
      <c r="Y2843"/>
      <c r="Z2843"/>
      <c r="AA2843"/>
      <c r="AB2843"/>
      <c r="AC2843"/>
      <c r="AD2843"/>
      <c r="AE2843"/>
      <c r="AF2843"/>
      <c r="AG2843"/>
      <c r="AH2843"/>
      <c r="AI2843"/>
      <c r="AJ2843"/>
      <c r="AK2843"/>
      <c r="AL2843"/>
      <c r="AM2843"/>
      <c r="AN2843"/>
      <c r="AO2843"/>
    </row>
    <row r="2844" spans="1:41" ht="15">
      <c r="A2844"/>
      <c r="B2844"/>
      <c r="C2844" s="137"/>
      <c r="D2844" s="30"/>
      <c r="E2844" s="30"/>
      <c r="F2844" s="10"/>
      <c r="G2844" s="10"/>
      <c r="H2844" s="15"/>
      <c r="I2844" s="15"/>
      <c r="J2844" s="15"/>
      <c r="K2844" s="15"/>
      <c r="L2844" s="15"/>
      <c r="M2844" s="15"/>
      <c r="N2844" s="15"/>
      <c r="O2844" s="15"/>
      <c r="P2844" s="15"/>
      <c r="Q2844" s="71"/>
      <c r="R2844" s="84"/>
      <c r="S2844" s="10"/>
      <c r="T2844" s="10"/>
      <c r="U2844" s="10"/>
      <c r="V2844" s="10"/>
      <c r="W2844" s="138"/>
      <c r="Y2844"/>
      <c r="Z2844"/>
      <c r="AA2844"/>
      <c r="AB2844"/>
      <c r="AC2844"/>
      <c r="AD2844"/>
      <c r="AE2844"/>
      <c r="AF2844"/>
      <c r="AG2844"/>
      <c r="AH2844"/>
      <c r="AI2844"/>
      <c r="AJ2844"/>
      <c r="AK2844"/>
      <c r="AL2844"/>
      <c r="AM2844"/>
      <c r="AN2844"/>
      <c r="AO2844"/>
    </row>
    <row r="2845" spans="1:41" ht="15">
      <c r="A2845"/>
      <c r="B2845"/>
      <c r="C2845" s="137"/>
      <c r="D2845" s="30"/>
      <c r="E2845" s="30"/>
      <c r="F2845" s="10"/>
      <c r="G2845" s="10"/>
      <c r="H2845" s="15"/>
      <c r="I2845" s="15"/>
      <c r="J2845" s="15"/>
      <c r="K2845" s="15"/>
      <c r="L2845" s="15"/>
      <c r="M2845" s="15"/>
      <c r="N2845" s="15"/>
      <c r="O2845" s="15"/>
      <c r="P2845" s="15"/>
      <c r="Q2845" s="71"/>
      <c r="R2845" s="84"/>
      <c r="S2845" s="10"/>
      <c r="T2845" s="10"/>
      <c r="U2845" s="10"/>
      <c r="V2845" s="10"/>
      <c r="W2845" s="138"/>
      <c r="Y2845"/>
      <c r="Z2845"/>
      <c r="AA2845"/>
      <c r="AB2845"/>
      <c r="AC2845"/>
      <c r="AD2845"/>
      <c r="AE2845"/>
      <c r="AF2845"/>
      <c r="AG2845"/>
      <c r="AH2845"/>
      <c r="AI2845"/>
      <c r="AJ2845"/>
      <c r="AK2845"/>
      <c r="AL2845"/>
      <c r="AM2845"/>
      <c r="AN2845"/>
      <c r="AO2845"/>
    </row>
    <row r="2846" spans="1:41" ht="15">
      <c r="A2846"/>
      <c r="B2846"/>
      <c r="C2846" s="137"/>
      <c r="D2846" s="30"/>
      <c r="E2846" s="30"/>
      <c r="F2846" s="10"/>
      <c r="G2846" s="10"/>
      <c r="H2846" s="15"/>
      <c r="I2846" s="15"/>
      <c r="J2846" s="15"/>
      <c r="K2846" s="15"/>
      <c r="L2846" s="15"/>
      <c r="M2846" s="15"/>
      <c r="N2846" s="15"/>
      <c r="O2846" s="15"/>
      <c r="P2846" s="15"/>
      <c r="Q2846" s="71"/>
      <c r="R2846" s="84"/>
      <c r="S2846" s="10"/>
      <c r="T2846" s="10"/>
      <c r="U2846" s="10"/>
      <c r="V2846" s="10"/>
      <c r="W2846" s="138"/>
      <c r="Y2846"/>
      <c r="Z2846"/>
      <c r="AA2846"/>
      <c r="AB2846"/>
      <c r="AC2846"/>
      <c r="AD2846"/>
      <c r="AE2846"/>
      <c r="AF2846"/>
      <c r="AG2846"/>
      <c r="AH2846"/>
      <c r="AI2846"/>
      <c r="AJ2846"/>
      <c r="AK2846"/>
      <c r="AL2846"/>
      <c r="AM2846"/>
      <c r="AN2846"/>
      <c r="AO2846"/>
    </row>
    <row r="2847" spans="1:41" ht="15">
      <c r="A2847"/>
      <c r="B2847"/>
      <c r="C2847" s="137"/>
      <c r="D2847" s="30"/>
      <c r="E2847" s="30"/>
      <c r="F2847" s="10"/>
      <c r="G2847" s="10"/>
      <c r="H2847" s="15"/>
      <c r="I2847" s="15"/>
      <c r="J2847" s="15"/>
      <c r="K2847" s="15"/>
      <c r="L2847" s="15"/>
      <c r="M2847" s="15"/>
      <c r="N2847" s="15"/>
      <c r="O2847" s="15"/>
      <c r="P2847" s="15"/>
      <c r="Q2847" s="71"/>
      <c r="R2847" s="84"/>
      <c r="S2847" s="10"/>
      <c r="T2847" s="10"/>
      <c r="U2847" s="10"/>
      <c r="V2847" s="10"/>
      <c r="W2847" s="138"/>
      <c r="Y2847"/>
      <c r="Z2847"/>
      <c r="AA2847"/>
      <c r="AB2847"/>
      <c r="AC2847"/>
      <c r="AD2847"/>
      <c r="AE2847"/>
      <c r="AF2847"/>
      <c r="AG2847"/>
      <c r="AH2847"/>
      <c r="AI2847"/>
      <c r="AJ2847"/>
      <c r="AK2847"/>
      <c r="AL2847"/>
      <c r="AM2847"/>
      <c r="AN2847"/>
      <c r="AO2847"/>
    </row>
    <row r="2848" spans="1:41" ht="15">
      <c r="A2848"/>
      <c r="B2848"/>
      <c r="C2848" s="137"/>
      <c r="D2848" s="30"/>
      <c r="E2848" s="30"/>
      <c r="F2848" s="10"/>
      <c r="G2848" s="10"/>
      <c r="H2848" s="15"/>
      <c r="I2848" s="15"/>
      <c r="J2848" s="15"/>
      <c r="K2848" s="15"/>
      <c r="L2848" s="15"/>
      <c r="M2848" s="15"/>
      <c r="N2848" s="15"/>
      <c r="O2848" s="15"/>
      <c r="P2848" s="15"/>
      <c r="Q2848" s="71"/>
      <c r="R2848" s="84"/>
      <c r="S2848" s="10"/>
      <c r="T2848" s="10"/>
      <c r="U2848" s="10"/>
      <c r="V2848" s="10"/>
      <c r="W2848" s="138"/>
      <c r="Y2848"/>
      <c r="Z2848"/>
      <c r="AA2848"/>
      <c r="AB2848"/>
      <c r="AC2848"/>
      <c r="AD2848"/>
      <c r="AE2848"/>
      <c r="AF2848"/>
      <c r="AG2848"/>
      <c r="AH2848"/>
      <c r="AI2848"/>
      <c r="AJ2848"/>
      <c r="AK2848"/>
      <c r="AL2848"/>
      <c r="AM2848"/>
      <c r="AN2848"/>
      <c r="AO2848"/>
    </row>
    <row r="2849" spans="1:41" ht="15">
      <c r="A2849"/>
      <c r="B2849"/>
      <c r="C2849" s="137"/>
      <c r="D2849" s="30"/>
      <c r="E2849" s="30"/>
      <c r="F2849" s="10"/>
      <c r="G2849" s="10"/>
      <c r="H2849" s="15"/>
      <c r="I2849" s="15"/>
      <c r="J2849" s="15"/>
      <c r="K2849" s="15"/>
      <c r="L2849" s="15"/>
      <c r="M2849" s="15"/>
      <c r="N2849" s="15"/>
      <c r="O2849" s="15"/>
      <c r="P2849" s="15"/>
      <c r="Q2849" s="71"/>
      <c r="R2849" s="84"/>
      <c r="S2849" s="10"/>
      <c r="T2849" s="10"/>
      <c r="U2849" s="10"/>
      <c r="V2849" s="10"/>
      <c r="W2849" s="138"/>
      <c r="Y2849"/>
      <c r="Z2849"/>
      <c r="AA2849"/>
      <c r="AB2849"/>
      <c r="AC2849"/>
      <c r="AD2849"/>
      <c r="AE2849"/>
      <c r="AF2849"/>
      <c r="AG2849"/>
      <c r="AH2849"/>
      <c r="AI2849"/>
      <c r="AJ2849"/>
      <c r="AK2849"/>
      <c r="AL2849"/>
      <c r="AM2849"/>
      <c r="AN2849"/>
      <c r="AO2849"/>
    </row>
    <row r="2850" spans="1:41" ht="15">
      <c r="A2850"/>
      <c r="B2850"/>
      <c r="C2850" s="137"/>
      <c r="D2850" s="30"/>
      <c r="E2850" s="30"/>
      <c r="F2850" s="10"/>
      <c r="G2850" s="10"/>
      <c r="H2850" s="15"/>
      <c r="I2850" s="15"/>
      <c r="J2850" s="15"/>
      <c r="K2850" s="15"/>
      <c r="L2850" s="15"/>
      <c r="M2850" s="15"/>
      <c r="N2850" s="15"/>
      <c r="O2850" s="15"/>
      <c r="P2850" s="15"/>
      <c r="Q2850" s="71"/>
      <c r="R2850" s="84"/>
      <c r="S2850" s="10"/>
      <c r="T2850" s="10"/>
      <c r="U2850" s="10"/>
      <c r="V2850" s="10"/>
      <c r="W2850" s="138"/>
      <c r="Y2850"/>
      <c r="Z2850"/>
      <c r="AA2850"/>
      <c r="AB2850"/>
      <c r="AC2850"/>
      <c r="AD2850"/>
      <c r="AE2850"/>
      <c r="AF2850"/>
      <c r="AG2850"/>
      <c r="AH2850"/>
      <c r="AI2850"/>
      <c r="AJ2850"/>
      <c r="AK2850"/>
      <c r="AL2850"/>
      <c r="AM2850"/>
      <c r="AN2850"/>
      <c r="AO2850"/>
    </row>
    <row r="2851" spans="1:41" ht="15">
      <c r="A2851"/>
      <c r="B2851"/>
      <c r="C2851" s="137"/>
      <c r="D2851" s="30"/>
      <c r="E2851" s="30"/>
      <c r="F2851" s="10"/>
      <c r="G2851" s="10"/>
      <c r="H2851" s="15"/>
      <c r="I2851" s="15"/>
      <c r="J2851" s="15"/>
      <c r="K2851" s="15"/>
      <c r="L2851" s="15"/>
      <c r="M2851" s="15"/>
      <c r="N2851" s="15"/>
      <c r="O2851" s="15"/>
      <c r="P2851" s="15"/>
      <c r="Q2851" s="71"/>
      <c r="R2851" s="84"/>
      <c r="S2851" s="10"/>
      <c r="T2851" s="10"/>
      <c r="U2851" s="10"/>
      <c r="V2851" s="10"/>
      <c r="W2851" s="138"/>
      <c r="Y2851"/>
      <c r="Z2851"/>
      <c r="AA2851"/>
      <c r="AB2851"/>
      <c r="AC2851"/>
      <c r="AD2851"/>
      <c r="AE2851"/>
      <c r="AF2851"/>
      <c r="AG2851"/>
      <c r="AH2851"/>
      <c r="AI2851"/>
      <c r="AJ2851"/>
      <c r="AK2851"/>
      <c r="AL2851"/>
      <c r="AM2851"/>
      <c r="AN2851"/>
      <c r="AO2851"/>
    </row>
    <row r="2852" spans="1:41" ht="15">
      <c r="A2852"/>
      <c r="B2852"/>
      <c r="C2852" s="137"/>
      <c r="D2852" s="30"/>
      <c r="E2852" s="30"/>
      <c r="F2852" s="10"/>
      <c r="G2852" s="10"/>
      <c r="H2852" s="15"/>
      <c r="I2852" s="15"/>
      <c r="J2852" s="15"/>
      <c r="K2852" s="15"/>
      <c r="L2852" s="15"/>
      <c r="M2852" s="15"/>
      <c r="N2852" s="15"/>
      <c r="O2852" s="15"/>
      <c r="P2852" s="15"/>
      <c r="Q2852" s="71"/>
      <c r="R2852" s="84"/>
      <c r="S2852" s="10"/>
      <c r="T2852" s="10"/>
      <c r="U2852" s="10"/>
      <c r="V2852" s="10"/>
      <c r="W2852" s="138"/>
      <c r="Y2852"/>
      <c r="Z2852"/>
      <c r="AA2852"/>
      <c r="AB2852"/>
      <c r="AC2852"/>
      <c r="AD2852"/>
      <c r="AE2852"/>
      <c r="AF2852"/>
      <c r="AG2852"/>
      <c r="AH2852"/>
      <c r="AI2852"/>
      <c r="AJ2852"/>
      <c r="AK2852"/>
      <c r="AL2852"/>
      <c r="AM2852"/>
      <c r="AN2852"/>
      <c r="AO2852"/>
    </row>
    <row r="2853" spans="1:41" ht="15">
      <c r="A2853"/>
      <c r="B2853"/>
      <c r="C2853" s="137"/>
      <c r="D2853" s="30"/>
      <c r="E2853" s="30"/>
      <c r="F2853" s="10"/>
      <c r="G2853" s="10"/>
      <c r="H2853" s="15"/>
      <c r="I2853" s="15"/>
      <c r="J2853" s="15"/>
      <c r="K2853" s="15"/>
      <c r="L2853" s="15"/>
      <c r="M2853" s="15"/>
      <c r="N2853" s="15"/>
      <c r="O2853" s="15"/>
      <c r="P2853" s="15"/>
      <c r="Q2853" s="71"/>
      <c r="R2853" s="84"/>
      <c r="S2853" s="10"/>
      <c r="T2853" s="10"/>
      <c r="U2853" s="10"/>
      <c r="V2853" s="10"/>
      <c r="W2853" s="138"/>
      <c r="Y2853"/>
      <c r="Z2853"/>
      <c r="AA2853"/>
      <c r="AB2853"/>
      <c r="AC2853"/>
      <c r="AD2853"/>
      <c r="AE2853"/>
      <c r="AF2853"/>
      <c r="AG2853"/>
      <c r="AH2853"/>
      <c r="AI2853"/>
      <c r="AJ2853"/>
      <c r="AK2853"/>
      <c r="AL2853"/>
      <c r="AM2853"/>
      <c r="AN2853"/>
      <c r="AO2853"/>
    </row>
    <row r="2854" spans="1:41" ht="15">
      <c r="A2854"/>
      <c r="B2854"/>
      <c r="C2854" s="137"/>
      <c r="D2854" s="30"/>
      <c r="E2854" s="30"/>
      <c r="F2854" s="10"/>
      <c r="G2854" s="10"/>
      <c r="H2854" s="15"/>
      <c r="I2854" s="15"/>
      <c r="J2854" s="15"/>
      <c r="K2854" s="15"/>
      <c r="L2854" s="15"/>
      <c r="M2854" s="15"/>
      <c r="N2854" s="15"/>
      <c r="O2854" s="15"/>
      <c r="P2854" s="15"/>
      <c r="Q2854" s="71"/>
      <c r="R2854" s="84"/>
      <c r="S2854" s="10"/>
      <c r="T2854" s="10"/>
      <c r="U2854" s="10"/>
      <c r="V2854" s="10"/>
      <c r="W2854" s="138"/>
      <c r="Y2854"/>
      <c r="Z2854"/>
      <c r="AA2854"/>
      <c r="AB2854"/>
      <c r="AC2854"/>
      <c r="AD2854"/>
      <c r="AE2854"/>
      <c r="AF2854"/>
      <c r="AG2854"/>
      <c r="AH2854"/>
      <c r="AI2854"/>
      <c r="AJ2854"/>
      <c r="AK2854"/>
      <c r="AL2854"/>
      <c r="AM2854"/>
      <c r="AN2854"/>
      <c r="AO2854"/>
    </row>
    <row r="2855" spans="1:41" ht="15">
      <c r="A2855"/>
      <c r="B2855"/>
      <c r="C2855" s="137"/>
      <c r="D2855" s="30"/>
      <c r="E2855" s="30"/>
      <c r="F2855" s="10"/>
      <c r="G2855" s="10"/>
      <c r="H2855" s="15"/>
      <c r="I2855" s="15"/>
      <c r="J2855" s="15"/>
      <c r="K2855" s="15"/>
      <c r="L2855" s="15"/>
      <c r="M2855" s="15"/>
      <c r="N2855" s="15"/>
      <c r="O2855" s="15"/>
      <c r="P2855" s="15"/>
      <c r="Q2855" s="71"/>
      <c r="R2855" s="84"/>
      <c r="S2855" s="10"/>
      <c r="T2855" s="10"/>
      <c r="U2855" s="10"/>
      <c r="V2855" s="10"/>
      <c r="W2855" s="138"/>
      <c r="Y2855"/>
      <c r="Z2855"/>
      <c r="AA2855"/>
      <c r="AB2855"/>
      <c r="AC2855"/>
      <c r="AD2855"/>
      <c r="AE2855"/>
      <c r="AF2855"/>
      <c r="AG2855"/>
      <c r="AH2855"/>
      <c r="AI2855"/>
      <c r="AJ2855"/>
      <c r="AK2855"/>
      <c r="AL2855"/>
      <c r="AM2855"/>
      <c r="AN2855"/>
      <c r="AO2855"/>
    </row>
    <row r="2856" spans="1:41" ht="15">
      <c r="A2856"/>
      <c r="B2856"/>
      <c r="C2856" s="137"/>
      <c r="D2856" s="30"/>
      <c r="E2856" s="30"/>
      <c r="F2856" s="10"/>
      <c r="G2856" s="10"/>
      <c r="H2856" s="15"/>
      <c r="I2856" s="15"/>
      <c r="J2856" s="15"/>
      <c r="K2856" s="15"/>
      <c r="L2856" s="15"/>
      <c r="M2856" s="15"/>
      <c r="N2856" s="15"/>
      <c r="O2856" s="15"/>
      <c r="P2856" s="15"/>
      <c r="Q2856" s="71"/>
      <c r="R2856" s="84"/>
      <c r="S2856" s="10"/>
      <c r="T2856" s="10"/>
      <c r="U2856" s="10"/>
      <c r="V2856" s="10"/>
      <c r="W2856" s="138"/>
      <c r="Y2856"/>
      <c r="Z2856"/>
      <c r="AA2856"/>
      <c r="AB2856"/>
      <c r="AC2856"/>
      <c r="AD2856"/>
      <c r="AE2856"/>
      <c r="AF2856"/>
      <c r="AG2856"/>
      <c r="AH2856"/>
      <c r="AI2856"/>
      <c r="AJ2856"/>
      <c r="AK2856"/>
      <c r="AL2856"/>
      <c r="AM2856"/>
      <c r="AN2856"/>
      <c r="AO2856"/>
    </row>
    <row r="2857" spans="1:41" ht="15">
      <c r="A2857"/>
      <c r="B2857"/>
      <c r="C2857" s="137"/>
      <c r="D2857" s="30"/>
      <c r="E2857" s="30"/>
      <c r="F2857" s="10"/>
      <c r="G2857" s="10"/>
      <c r="H2857" s="15"/>
      <c r="I2857" s="15"/>
      <c r="J2857" s="15"/>
      <c r="K2857" s="15"/>
      <c r="L2857" s="15"/>
      <c r="M2857" s="15"/>
      <c r="N2857" s="15"/>
      <c r="O2857" s="15"/>
      <c r="P2857" s="15"/>
      <c r="Q2857" s="71"/>
      <c r="R2857" s="84"/>
      <c r="S2857" s="10"/>
      <c r="T2857" s="10"/>
      <c r="U2857" s="10"/>
      <c r="V2857" s="10"/>
      <c r="W2857" s="138"/>
      <c r="Y2857"/>
      <c r="Z2857"/>
      <c r="AA2857"/>
      <c r="AB2857"/>
      <c r="AC2857"/>
      <c r="AD2857"/>
      <c r="AE2857"/>
      <c r="AF2857"/>
      <c r="AG2857"/>
      <c r="AH2857"/>
      <c r="AI2857"/>
      <c r="AJ2857"/>
      <c r="AK2857"/>
      <c r="AL2857"/>
      <c r="AM2857"/>
      <c r="AN2857"/>
      <c r="AO2857"/>
    </row>
    <row r="2858" spans="1:41" ht="15">
      <c r="A2858"/>
      <c r="B2858"/>
      <c r="C2858" s="137"/>
      <c r="D2858" s="30"/>
      <c r="E2858" s="30"/>
      <c r="F2858" s="10"/>
      <c r="G2858" s="10"/>
      <c r="H2858" s="15"/>
      <c r="I2858" s="15"/>
      <c r="J2858" s="15"/>
      <c r="K2858" s="15"/>
      <c r="L2858" s="15"/>
      <c r="M2858" s="15"/>
      <c r="N2858" s="15"/>
      <c r="O2858" s="15"/>
      <c r="P2858" s="15"/>
      <c r="Q2858" s="71"/>
      <c r="R2858" s="84"/>
      <c r="S2858" s="10"/>
      <c r="T2858" s="10"/>
      <c r="U2858" s="10"/>
      <c r="V2858" s="10"/>
      <c r="W2858" s="138"/>
      <c r="Y2858"/>
      <c r="Z2858"/>
      <c r="AA2858"/>
      <c r="AB2858"/>
      <c r="AC2858"/>
      <c r="AD2858"/>
      <c r="AE2858"/>
      <c r="AF2858"/>
      <c r="AG2858"/>
      <c r="AH2858"/>
      <c r="AI2858"/>
      <c r="AJ2858"/>
      <c r="AK2858"/>
      <c r="AL2858"/>
      <c r="AM2858"/>
      <c r="AN2858"/>
      <c r="AO2858"/>
    </row>
    <row r="2859" spans="1:41" ht="15">
      <c r="A2859"/>
      <c r="B2859"/>
      <c r="C2859" s="137"/>
      <c r="D2859" s="30"/>
      <c r="E2859" s="30"/>
      <c r="F2859" s="10"/>
      <c r="G2859" s="10"/>
      <c r="H2859" s="15"/>
      <c r="I2859" s="15"/>
      <c r="J2859" s="15"/>
      <c r="K2859" s="15"/>
      <c r="L2859" s="15"/>
      <c r="M2859" s="15"/>
      <c r="N2859" s="15"/>
      <c r="O2859" s="15"/>
      <c r="P2859" s="15"/>
      <c r="Q2859" s="71"/>
      <c r="R2859" s="84"/>
      <c r="S2859" s="10"/>
      <c r="T2859" s="10"/>
      <c r="U2859" s="10"/>
      <c r="V2859" s="10"/>
      <c r="W2859" s="138"/>
      <c r="Y2859"/>
      <c r="Z2859"/>
      <c r="AA2859"/>
      <c r="AB2859"/>
      <c r="AC2859"/>
      <c r="AD2859"/>
      <c r="AE2859"/>
      <c r="AF2859"/>
      <c r="AG2859"/>
      <c r="AH2859"/>
      <c r="AI2859"/>
      <c r="AJ2859"/>
      <c r="AK2859"/>
      <c r="AL2859"/>
      <c r="AM2859"/>
      <c r="AN2859"/>
      <c r="AO2859"/>
    </row>
    <row r="2860" spans="1:41" ht="15">
      <c r="A2860"/>
      <c r="B2860"/>
      <c r="C2860" s="137"/>
      <c r="D2860" s="30"/>
      <c r="E2860" s="30"/>
      <c r="F2860" s="10"/>
      <c r="G2860" s="10"/>
      <c r="H2860" s="15"/>
      <c r="I2860" s="15"/>
      <c r="J2860" s="15"/>
      <c r="K2860" s="15"/>
      <c r="L2860" s="15"/>
      <c r="M2860" s="15"/>
      <c r="N2860" s="15"/>
      <c r="O2860" s="15"/>
      <c r="P2860" s="15"/>
      <c r="Q2860" s="71"/>
      <c r="R2860" s="84"/>
      <c r="S2860" s="10"/>
      <c r="T2860" s="10"/>
      <c r="U2860" s="10"/>
      <c r="V2860" s="10"/>
      <c r="W2860" s="138"/>
      <c r="Y2860"/>
      <c r="Z2860"/>
      <c r="AA2860"/>
      <c r="AB2860"/>
      <c r="AC2860"/>
      <c r="AD2860"/>
      <c r="AE2860"/>
      <c r="AF2860"/>
      <c r="AG2860"/>
      <c r="AH2860"/>
      <c r="AI2860"/>
      <c r="AJ2860"/>
      <c r="AK2860"/>
      <c r="AL2860"/>
      <c r="AM2860"/>
      <c r="AN2860"/>
      <c r="AO2860"/>
    </row>
    <row r="2861" spans="1:41" ht="15">
      <c r="A2861"/>
      <c r="B2861"/>
      <c r="C2861" s="137"/>
      <c r="D2861" s="30"/>
      <c r="E2861" s="30"/>
      <c r="F2861" s="10"/>
      <c r="G2861" s="10"/>
      <c r="H2861" s="15"/>
      <c r="I2861" s="15"/>
      <c r="J2861" s="15"/>
      <c r="K2861" s="15"/>
      <c r="L2861" s="15"/>
      <c r="M2861" s="15"/>
      <c r="N2861" s="15"/>
      <c r="O2861" s="15"/>
      <c r="P2861" s="15"/>
      <c r="Q2861" s="71"/>
      <c r="R2861" s="84"/>
      <c r="S2861" s="10"/>
      <c r="T2861" s="10"/>
      <c r="U2861" s="10"/>
      <c r="V2861" s="10"/>
      <c r="W2861" s="138"/>
      <c r="Y2861"/>
      <c r="Z2861"/>
      <c r="AA2861"/>
      <c r="AB2861"/>
      <c r="AC2861"/>
      <c r="AD2861"/>
      <c r="AE2861"/>
      <c r="AF2861"/>
      <c r="AG2861"/>
      <c r="AH2861"/>
      <c r="AI2861"/>
      <c r="AJ2861"/>
      <c r="AK2861"/>
      <c r="AL2861"/>
      <c r="AM2861"/>
      <c r="AN2861"/>
      <c r="AO2861"/>
    </row>
    <row r="2862" spans="1:41" ht="15">
      <c r="A2862"/>
      <c r="B2862"/>
      <c r="C2862" s="137"/>
      <c r="D2862" s="30"/>
      <c r="E2862" s="30"/>
      <c r="F2862" s="10"/>
      <c r="G2862" s="10"/>
      <c r="H2862" s="15"/>
      <c r="I2862" s="15"/>
      <c r="J2862" s="15"/>
      <c r="K2862" s="15"/>
      <c r="L2862" s="15"/>
      <c r="M2862" s="15"/>
      <c r="N2862" s="15"/>
      <c r="O2862" s="15"/>
      <c r="P2862" s="15"/>
      <c r="Q2862" s="71"/>
      <c r="R2862" s="84"/>
      <c r="S2862" s="10"/>
      <c r="T2862" s="10"/>
      <c r="U2862" s="10"/>
      <c r="V2862" s="10"/>
      <c r="W2862" s="138"/>
      <c r="Y2862"/>
      <c r="Z2862"/>
      <c r="AA2862"/>
      <c r="AB2862"/>
      <c r="AC2862"/>
      <c r="AD2862"/>
      <c r="AE2862"/>
      <c r="AF2862"/>
      <c r="AG2862"/>
      <c r="AH2862"/>
      <c r="AI2862"/>
      <c r="AJ2862"/>
      <c r="AK2862"/>
      <c r="AL2862"/>
      <c r="AM2862"/>
      <c r="AN2862"/>
      <c r="AO2862"/>
    </row>
    <row r="2863" spans="1:41" ht="15">
      <c r="A2863"/>
      <c r="B2863"/>
      <c r="C2863" s="137"/>
      <c r="D2863" s="30"/>
      <c r="E2863" s="30"/>
      <c r="F2863" s="10"/>
      <c r="G2863" s="10"/>
      <c r="H2863" s="15"/>
      <c r="I2863" s="15"/>
      <c r="J2863" s="15"/>
      <c r="K2863" s="15"/>
      <c r="L2863" s="15"/>
      <c r="M2863" s="15"/>
      <c r="N2863" s="15"/>
      <c r="O2863" s="15"/>
      <c r="P2863" s="15"/>
      <c r="Q2863" s="71"/>
      <c r="R2863" s="84"/>
      <c r="S2863" s="10"/>
      <c r="T2863" s="10"/>
      <c r="U2863" s="10"/>
      <c r="V2863" s="10"/>
      <c r="W2863" s="138"/>
      <c r="Y2863"/>
      <c r="Z2863"/>
      <c r="AA2863"/>
      <c r="AB2863"/>
      <c r="AC2863"/>
      <c r="AD2863"/>
      <c r="AE2863"/>
      <c r="AF2863"/>
      <c r="AG2863"/>
      <c r="AH2863"/>
      <c r="AI2863"/>
      <c r="AJ2863"/>
      <c r="AK2863"/>
      <c r="AL2863"/>
      <c r="AM2863"/>
      <c r="AN2863"/>
      <c r="AO2863"/>
    </row>
    <row r="2864" spans="1:41" ht="15">
      <c r="A2864"/>
      <c r="B2864"/>
      <c r="C2864" s="137"/>
      <c r="D2864" s="30"/>
      <c r="E2864" s="30"/>
      <c r="F2864" s="10"/>
      <c r="G2864" s="10"/>
      <c r="H2864" s="15"/>
      <c r="I2864" s="15"/>
      <c r="J2864" s="15"/>
      <c r="K2864" s="15"/>
      <c r="L2864" s="15"/>
      <c r="M2864" s="15"/>
      <c r="N2864" s="15"/>
      <c r="O2864" s="15"/>
      <c r="P2864" s="15"/>
      <c r="Q2864" s="71"/>
      <c r="R2864" s="84"/>
      <c r="S2864" s="10"/>
      <c r="T2864" s="10"/>
      <c r="U2864" s="10"/>
      <c r="V2864" s="10"/>
      <c r="W2864" s="138"/>
      <c r="Y2864"/>
      <c r="Z2864"/>
      <c r="AA2864"/>
      <c r="AB2864"/>
      <c r="AC2864"/>
      <c r="AD2864"/>
      <c r="AE2864"/>
      <c r="AF2864"/>
      <c r="AG2864"/>
      <c r="AH2864"/>
      <c r="AI2864"/>
      <c r="AJ2864"/>
      <c r="AK2864"/>
      <c r="AL2864"/>
      <c r="AM2864"/>
      <c r="AN2864"/>
      <c r="AO2864"/>
    </row>
    <row r="2865" spans="1:41" ht="15">
      <c r="A2865"/>
      <c r="B2865"/>
      <c r="C2865" s="137"/>
      <c r="D2865" s="30"/>
      <c r="E2865" s="30"/>
      <c r="F2865" s="10"/>
      <c r="G2865" s="10"/>
      <c r="H2865" s="15"/>
      <c r="I2865" s="15"/>
      <c r="J2865" s="15"/>
      <c r="K2865" s="15"/>
      <c r="L2865" s="15"/>
      <c r="M2865" s="15"/>
      <c r="N2865" s="15"/>
      <c r="O2865" s="15"/>
      <c r="P2865" s="15"/>
      <c r="Q2865" s="71"/>
      <c r="R2865" s="84"/>
      <c r="S2865" s="10"/>
      <c r="T2865" s="10"/>
      <c r="U2865" s="10"/>
      <c r="V2865" s="10"/>
      <c r="W2865" s="138"/>
      <c r="Y2865"/>
      <c r="Z2865"/>
      <c r="AA2865"/>
      <c r="AB2865"/>
      <c r="AC2865"/>
      <c r="AD2865"/>
      <c r="AE2865"/>
      <c r="AF2865"/>
      <c r="AG2865"/>
      <c r="AH2865"/>
      <c r="AI2865"/>
      <c r="AJ2865"/>
      <c r="AK2865"/>
      <c r="AL2865"/>
      <c r="AM2865"/>
      <c r="AN2865"/>
      <c r="AO2865"/>
    </row>
    <row r="2866" spans="1:41" ht="15">
      <c r="A2866"/>
      <c r="B2866"/>
      <c r="C2866" s="137"/>
      <c r="D2866" s="30"/>
      <c r="E2866" s="30"/>
      <c r="F2866" s="10"/>
      <c r="G2866" s="10"/>
      <c r="H2866" s="15"/>
      <c r="I2866" s="15"/>
      <c r="J2866" s="15"/>
      <c r="K2866" s="15"/>
      <c r="L2866" s="15"/>
      <c r="M2866" s="15"/>
      <c r="N2866" s="15"/>
      <c r="O2866" s="15"/>
      <c r="P2866" s="15"/>
      <c r="Q2866" s="71"/>
      <c r="R2866" s="84"/>
      <c r="S2866" s="10"/>
      <c r="T2866" s="10"/>
      <c r="U2866" s="10"/>
      <c r="V2866" s="10"/>
      <c r="W2866" s="138"/>
      <c r="Y2866"/>
      <c r="Z2866"/>
      <c r="AA2866"/>
      <c r="AB2866"/>
      <c r="AC2866"/>
      <c r="AD2866"/>
      <c r="AE2866"/>
      <c r="AF2866"/>
      <c r="AG2866"/>
      <c r="AH2866"/>
      <c r="AI2866"/>
      <c r="AJ2866"/>
      <c r="AK2866"/>
      <c r="AL2866"/>
      <c r="AM2866"/>
      <c r="AN2866"/>
      <c r="AO2866"/>
    </row>
    <row r="2867" spans="1:41" ht="15">
      <c r="A2867"/>
      <c r="B2867"/>
      <c r="C2867" s="137"/>
      <c r="D2867" s="30"/>
      <c r="E2867" s="30"/>
      <c r="F2867" s="10"/>
      <c r="G2867" s="10"/>
      <c r="H2867" s="15"/>
      <c r="I2867" s="15"/>
      <c r="J2867" s="15"/>
      <c r="K2867" s="15"/>
      <c r="L2867" s="15"/>
      <c r="M2867" s="15"/>
      <c r="N2867" s="15"/>
      <c r="O2867" s="15"/>
      <c r="P2867" s="15"/>
      <c r="Q2867" s="71"/>
      <c r="R2867" s="84"/>
      <c r="S2867" s="10"/>
      <c r="T2867" s="10"/>
      <c r="U2867" s="10"/>
      <c r="V2867" s="10"/>
      <c r="W2867" s="138"/>
      <c r="Y2867"/>
      <c r="Z2867"/>
      <c r="AA2867"/>
      <c r="AB2867"/>
      <c r="AC2867"/>
      <c r="AD2867"/>
      <c r="AE2867"/>
      <c r="AF2867"/>
      <c r="AG2867"/>
      <c r="AH2867"/>
      <c r="AI2867"/>
      <c r="AJ2867"/>
      <c r="AK2867"/>
      <c r="AL2867"/>
      <c r="AM2867"/>
      <c r="AN2867"/>
      <c r="AO2867"/>
    </row>
    <row r="2868" spans="1:41" ht="15">
      <c r="A2868"/>
      <c r="B2868"/>
      <c r="C2868" s="137"/>
      <c r="D2868" s="30"/>
      <c r="E2868" s="30"/>
      <c r="F2868" s="10"/>
      <c r="G2868" s="10"/>
      <c r="H2868" s="15"/>
      <c r="I2868" s="15"/>
      <c r="J2868" s="15"/>
      <c r="K2868" s="15"/>
      <c r="L2868" s="15"/>
      <c r="M2868" s="15"/>
      <c r="N2868" s="15"/>
      <c r="O2868" s="15"/>
      <c r="P2868" s="15"/>
      <c r="Q2868" s="71"/>
      <c r="R2868" s="84"/>
      <c r="S2868" s="10"/>
      <c r="T2868" s="10"/>
      <c r="U2868" s="10"/>
      <c r="V2868" s="10"/>
      <c r="W2868" s="138"/>
      <c r="Y2868"/>
      <c r="Z2868"/>
      <c r="AA2868"/>
      <c r="AB2868"/>
      <c r="AC2868"/>
      <c r="AD2868"/>
      <c r="AE2868"/>
      <c r="AF2868"/>
      <c r="AG2868"/>
      <c r="AH2868"/>
      <c r="AI2868"/>
      <c r="AJ2868"/>
      <c r="AK2868"/>
      <c r="AL2868"/>
      <c r="AM2868"/>
      <c r="AN2868"/>
      <c r="AO2868"/>
    </row>
    <row r="2869" spans="1:41" ht="15">
      <c r="A2869"/>
      <c r="B2869"/>
      <c r="C2869" s="137"/>
      <c r="D2869" s="30"/>
      <c r="E2869" s="30"/>
      <c r="F2869" s="10"/>
      <c r="G2869" s="10"/>
      <c r="H2869" s="15"/>
      <c r="I2869" s="15"/>
      <c r="J2869" s="15"/>
      <c r="K2869" s="15"/>
      <c r="L2869" s="15"/>
      <c r="M2869" s="15"/>
      <c r="N2869" s="15"/>
      <c r="O2869" s="15"/>
      <c r="P2869" s="15"/>
      <c r="Q2869" s="71"/>
      <c r="R2869" s="84"/>
      <c r="S2869" s="10"/>
      <c r="T2869" s="10"/>
      <c r="U2869" s="10"/>
      <c r="V2869" s="10"/>
      <c r="W2869" s="138"/>
      <c r="Y2869"/>
      <c r="Z2869"/>
      <c r="AA2869"/>
      <c r="AB2869"/>
      <c r="AC2869"/>
      <c r="AD2869"/>
      <c r="AE2869"/>
      <c r="AF2869"/>
      <c r="AG2869"/>
      <c r="AH2869"/>
      <c r="AI2869"/>
      <c r="AJ2869"/>
      <c r="AK2869"/>
      <c r="AL2869"/>
      <c r="AM2869"/>
      <c r="AN2869"/>
      <c r="AO2869"/>
    </row>
    <row r="2870" spans="1:41" ht="15">
      <c r="A2870"/>
      <c r="B2870"/>
      <c r="C2870" s="137"/>
      <c r="D2870" s="30"/>
      <c r="E2870" s="30"/>
      <c r="F2870" s="10"/>
      <c r="G2870" s="10"/>
      <c r="H2870" s="15"/>
      <c r="I2870" s="15"/>
      <c r="J2870" s="15"/>
      <c r="K2870" s="15"/>
      <c r="L2870" s="15"/>
      <c r="M2870" s="15"/>
      <c r="N2870" s="15"/>
      <c r="O2870" s="15"/>
      <c r="P2870" s="15"/>
      <c r="Q2870" s="71"/>
      <c r="R2870" s="84"/>
      <c r="S2870" s="10"/>
      <c r="T2870" s="10"/>
      <c r="U2870" s="10"/>
      <c r="V2870" s="10"/>
      <c r="W2870" s="138"/>
      <c r="Y2870"/>
      <c r="Z2870"/>
      <c r="AA2870"/>
      <c r="AB2870"/>
      <c r="AC2870"/>
      <c r="AD2870"/>
      <c r="AE2870"/>
      <c r="AF2870"/>
      <c r="AG2870"/>
      <c r="AH2870"/>
      <c r="AI2870"/>
      <c r="AJ2870"/>
      <c r="AK2870"/>
      <c r="AL2870"/>
      <c r="AM2870"/>
      <c r="AN2870"/>
      <c r="AO2870"/>
    </row>
    <row r="2871" spans="1:41" ht="15">
      <c r="A2871"/>
      <c r="B2871"/>
      <c r="C2871" s="137"/>
      <c r="D2871" s="30"/>
      <c r="E2871" s="30"/>
      <c r="F2871" s="10"/>
      <c r="G2871" s="10"/>
      <c r="H2871" s="15"/>
      <c r="I2871" s="15"/>
      <c r="J2871" s="15"/>
      <c r="K2871" s="15"/>
      <c r="L2871" s="15"/>
      <c r="M2871" s="15"/>
      <c r="N2871" s="15"/>
      <c r="O2871" s="15"/>
      <c r="P2871" s="15"/>
      <c r="Q2871" s="71"/>
      <c r="R2871" s="84"/>
      <c r="S2871" s="10"/>
      <c r="T2871" s="10"/>
      <c r="U2871" s="10"/>
      <c r="V2871" s="10"/>
      <c r="W2871" s="138"/>
      <c r="Y2871"/>
      <c r="Z2871"/>
      <c r="AA2871"/>
      <c r="AB2871"/>
      <c r="AC2871"/>
      <c r="AD2871"/>
      <c r="AE2871"/>
      <c r="AF2871"/>
      <c r="AG2871"/>
      <c r="AH2871"/>
      <c r="AI2871"/>
      <c r="AJ2871"/>
      <c r="AK2871"/>
      <c r="AL2871"/>
      <c r="AM2871"/>
      <c r="AN2871"/>
      <c r="AO2871"/>
    </row>
    <row r="2872" spans="1:41" ht="15">
      <c r="A2872"/>
      <c r="B2872"/>
      <c r="C2872" s="137"/>
      <c r="D2872" s="30"/>
      <c r="E2872" s="30"/>
      <c r="F2872" s="10"/>
      <c r="G2872" s="10"/>
      <c r="H2872" s="15"/>
      <c r="I2872" s="15"/>
      <c r="J2872" s="15"/>
      <c r="K2872" s="15"/>
      <c r="L2872" s="15"/>
      <c r="M2872" s="15"/>
      <c r="N2872" s="15"/>
      <c r="O2872" s="15"/>
      <c r="P2872" s="15"/>
      <c r="Q2872" s="71"/>
      <c r="R2872" s="84"/>
      <c r="S2872" s="10"/>
      <c r="T2872" s="10"/>
      <c r="U2872" s="10"/>
      <c r="V2872" s="10"/>
      <c r="W2872" s="138"/>
      <c r="Y2872"/>
      <c r="Z2872"/>
      <c r="AA2872"/>
      <c r="AB2872"/>
      <c r="AC2872"/>
      <c r="AD2872"/>
      <c r="AE2872"/>
      <c r="AF2872"/>
      <c r="AG2872"/>
      <c r="AH2872"/>
      <c r="AI2872"/>
      <c r="AJ2872"/>
      <c r="AK2872"/>
      <c r="AL2872"/>
      <c r="AM2872"/>
      <c r="AN2872"/>
      <c r="AO2872"/>
    </row>
    <row r="2873" spans="1:41" ht="15">
      <c r="A2873"/>
      <c r="B2873"/>
      <c r="C2873" s="137"/>
      <c r="D2873" s="30"/>
      <c r="E2873" s="30"/>
      <c r="F2873" s="10"/>
      <c r="G2873" s="10"/>
      <c r="H2873" s="15"/>
      <c r="I2873" s="15"/>
      <c r="J2873" s="15"/>
      <c r="K2873" s="15"/>
      <c r="L2873" s="15"/>
      <c r="M2873" s="15"/>
      <c r="N2873" s="15"/>
      <c r="O2873" s="15"/>
      <c r="P2873" s="15"/>
      <c r="Q2873" s="71"/>
      <c r="R2873" s="84"/>
      <c r="S2873" s="10"/>
      <c r="T2873" s="10"/>
      <c r="U2873" s="10"/>
      <c r="V2873" s="10"/>
      <c r="W2873" s="138"/>
      <c r="Y2873"/>
      <c r="Z2873"/>
      <c r="AA2873"/>
      <c r="AB2873"/>
      <c r="AC2873"/>
      <c r="AD2873"/>
      <c r="AE2873"/>
      <c r="AF2873"/>
      <c r="AG2873"/>
      <c r="AH2873"/>
      <c r="AI2873"/>
      <c r="AJ2873"/>
      <c r="AK2873"/>
      <c r="AL2873"/>
      <c r="AM2873"/>
      <c r="AN2873"/>
      <c r="AO2873"/>
    </row>
    <row r="2874" spans="1:41" ht="15">
      <c r="A2874"/>
      <c r="B2874"/>
      <c r="C2874" s="137"/>
      <c r="D2874" s="30"/>
      <c r="E2874" s="30"/>
      <c r="F2874" s="10"/>
      <c r="G2874" s="10"/>
      <c r="H2874" s="15"/>
      <c r="I2874" s="15"/>
      <c r="J2874" s="15"/>
      <c r="K2874" s="15"/>
      <c r="L2874" s="15"/>
      <c r="M2874" s="15"/>
      <c r="N2874" s="15"/>
      <c r="O2874" s="15"/>
      <c r="P2874" s="15"/>
      <c r="Q2874" s="71"/>
      <c r="R2874" s="84"/>
      <c r="S2874" s="10"/>
      <c r="T2874" s="10"/>
      <c r="U2874" s="10"/>
      <c r="V2874" s="10"/>
      <c r="W2874" s="138"/>
      <c r="Y2874"/>
      <c r="Z2874"/>
      <c r="AA2874"/>
      <c r="AB2874"/>
      <c r="AC2874"/>
      <c r="AD2874"/>
      <c r="AE2874"/>
      <c r="AF2874"/>
      <c r="AG2874"/>
      <c r="AH2874"/>
      <c r="AI2874"/>
      <c r="AJ2874"/>
      <c r="AK2874"/>
      <c r="AL2874"/>
      <c r="AM2874"/>
      <c r="AN2874"/>
      <c r="AO2874"/>
    </row>
    <row r="2875" spans="1:41" ht="15">
      <c r="A2875"/>
      <c r="B2875"/>
      <c r="C2875" s="137"/>
      <c r="D2875" s="30"/>
      <c r="E2875" s="30"/>
      <c r="F2875" s="10"/>
      <c r="G2875" s="10"/>
      <c r="H2875" s="15"/>
      <c r="I2875" s="15"/>
      <c r="J2875" s="15"/>
      <c r="K2875" s="15"/>
      <c r="L2875" s="15"/>
      <c r="M2875" s="15"/>
      <c r="N2875" s="15"/>
      <c r="O2875" s="15"/>
      <c r="P2875" s="15"/>
      <c r="Q2875" s="71"/>
      <c r="R2875" s="84"/>
      <c r="S2875" s="10"/>
      <c r="T2875" s="10"/>
      <c r="U2875" s="10"/>
      <c r="V2875" s="10"/>
      <c r="W2875" s="138"/>
      <c r="Y2875"/>
      <c r="Z2875"/>
      <c r="AA2875"/>
      <c r="AB2875"/>
      <c r="AC2875"/>
      <c r="AD2875"/>
      <c r="AE2875"/>
      <c r="AF2875"/>
      <c r="AG2875"/>
      <c r="AH2875"/>
      <c r="AI2875"/>
      <c r="AJ2875"/>
      <c r="AK2875"/>
      <c r="AL2875"/>
      <c r="AM2875"/>
      <c r="AN2875"/>
      <c r="AO2875"/>
    </row>
    <row r="2876" spans="1:41" ht="15">
      <c r="A2876"/>
      <c r="B2876"/>
      <c r="C2876" s="137"/>
      <c r="D2876" s="30"/>
      <c r="E2876" s="30"/>
      <c r="F2876" s="10"/>
      <c r="G2876" s="10"/>
      <c r="H2876" s="15"/>
      <c r="I2876" s="15"/>
      <c r="J2876" s="15"/>
      <c r="K2876" s="15"/>
      <c r="L2876" s="15"/>
      <c r="M2876" s="15"/>
      <c r="N2876" s="15"/>
      <c r="O2876" s="15"/>
      <c r="P2876" s="15"/>
      <c r="Q2876" s="71"/>
      <c r="R2876" s="84"/>
      <c r="S2876" s="10"/>
      <c r="T2876" s="10"/>
      <c r="U2876" s="10"/>
      <c r="V2876" s="10"/>
      <c r="W2876" s="138"/>
      <c r="Y2876"/>
      <c r="Z2876"/>
      <c r="AA2876"/>
      <c r="AB2876"/>
      <c r="AC2876"/>
      <c r="AD2876"/>
      <c r="AE2876"/>
      <c r="AF2876"/>
      <c r="AG2876"/>
      <c r="AH2876"/>
      <c r="AI2876"/>
      <c r="AJ2876"/>
      <c r="AK2876"/>
      <c r="AL2876"/>
      <c r="AM2876"/>
      <c r="AN2876"/>
      <c r="AO2876"/>
    </row>
    <row r="2877" spans="1:41" ht="15">
      <c r="A2877"/>
      <c r="B2877"/>
      <c r="C2877" s="137"/>
      <c r="D2877" s="30"/>
      <c r="E2877" s="30"/>
      <c r="F2877" s="10"/>
      <c r="G2877" s="10"/>
      <c r="H2877" s="15"/>
      <c r="I2877" s="15"/>
      <c r="J2877" s="15"/>
      <c r="K2877" s="15"/>
      <c r="L2877" s="15"/>
      <c r="M2877" s="15"/>
      <c r="N2877" s="15"/>
      <c r="O2877" s="15"/>
      <c r="P2877" s="15"/>
      <c r="Q2877" s="71"/>
      <c r="R2877" s="84"/>
      <c r="S2877" s="10"/>
      <c r="T2877" s="10"/>
      <c r="U2877" s="10"/>
      <c r="V2877" s="10"/>
      <c r="W2877" s="138"/>
      <c r="Y2877"/>
      <c r="Z2877"/>
      <c r="AA2877"/>
      <c r="AB2877"/>
      <c r="AC2877"/>
      <c r="AD2877"/>
      <c r="AE2877"/>
      <c r="AF2877"/>
      <c r="AG2877"/>
      <c r="AH2877"/>
      <c r="AI2877"/>
      <c r="AJ2877"/>
      <c r="AK2877"/>
      <c r="AL2877"/>
      <c r="AM2877"/>
      <c r="AN2877"/>
      <c r="AO2877"/>
    </row>
    <row r="2878" spans="1:41" ht="15">
      <c r="A2878"/>
      <c r="B2878"/>
      <c r="C2878" s="137"/>
      <c r="D2878" s="30"/>
      <c r="E2878" s="30"/>
      <c r="F2878" s="10"/>
      <c r="G2878" s="10"/>
      <c r="H2878" s="15"/>
      <c r="I2878" s="15"/>
      <c r="J2878" s="15"/>
      <c r="K2878" s="15"/>
      <c r="L2878" s="15"/>
      <c r="M2878" s="15"/>
      <c r="N2878" s="15"/>
      <c r="O2878" s="15"/>
      <c r="P2878" s="15"/>
      <c r="Q2878" s="71"/>
      <c r="R2878" s="84"/>
      <c r="S2878" s="10"/>
      <c r="T2878" s="10"/>
      <c r="U2878" s="10"/>
      <c r="V2878" s="10"/>
      <c r="W2878" s="138"/>
      <c r="Y2878"/>
      <c r="Z2878"/>
      <c r="AA2878"/>
      <c r="AB2878"/>
      <c r="AC2878"/>
      <c r="AD2878"/>
      <c r="AE2878"/>
      <c r="AF2878"/>
      <c r="AG2878"/>
      <c r="AH2878"/>
      <c r="AI2878"/>
      <c r="AJ2878"/>
      <c r="AK2878"/>
      <c r="AL2878"/>
      <c r="AM2878"/>
      <c r="AN2878"/>
      <c r="AO2878"/>
    </row>
    <row r="2879" spans="1:41" ht="15">
      <c r="A2879"/>
      <c r="B2879"/>
      <c r="C2879" s="137"/>
      <c r="D2879" s="30"/>
      <c r="E2879" s="30"/>
      <c r="F2879" s="10"/>
      <c r="G2879" s="10"/>
      <c r="H2879" s="15"/>
      <c r="I2879" s="15"/>
      <c r="J2879" s="15"/>
      <c r="K2879" s="15"/>
      <c r="L2879" s="15"/>
      <c r="M2879" s="15"/>
      <c r="N2879" s="15"/>
      <c r="O2879" s="15"/>
      <c r="P2879" s="15"/>
      <c r="Q2879" s="71"/>
      <c r="R2879" s="84"/>
      <c r="S2879" s="10"/>
      <c r="T2879" s="10"/>
      <c r="U2879" s="10"/>
      <c r="V2879" s="10"/>
      <c r="W2879" s="138"/>
      <c r="Y2879"/>
      <c r="Z2879"/>
      <c r="AA2879"/>
      <c r="AB2879"/>
      <c r="AC2879"/>
      <c r="AD2879"/>
      <c r="AE2879"/>
      <c r="AF2879"/>
      <c r="AG2879"/>
      <c r="AH2879"/>
      <c r="AI2879"/>
      <c r="AJ2879"/>
      <c r="AK2879"/>
      <c r="AL2879"/>
      <c r="AM2879"/>
      <c r="AN2879"/>
      <c r="AO2879"/>
    </row>
    <row r="2880" spans="1:41" ht="15">
      <c r="A2880"/>
      <c r="B2880"/>
      <c r="C2880" s="137"/>
      <c r="D2880" s="30"/>
      <c r="E2880" s="30"/>
      <c r="F2880" s="10"/>
      <c r="G2880" s="10"/>
      <c r="H2880" s="15"/>
      <c r="I2880" s="15"/>
      <c r="J2880" s="15"/>
      <c r="K2880" s="15"/>
      <c r="L2880" s="15"/>
      <c r="M2880" s="15"/>
      <c r="N2880" s="15"/>
      <c r="O2880" s="15"/>
      <c r="P2880" s="15"/>
      <c r="Q2880" s="71"/>
      <c r="R2880" s="84"/>
      <c r="S2880" s="10"/>
      <c r="T2880" s="10"/>
      <c r="U2880" s="10"/>
      <c r="V2880" s="10"/>
      <c r="W2880" s="138"/>
      <c r="Y2880"/>
      <c r="Z2880"/>
      <c r="AA2880"/>
      <c r="AB2880"/>
      <c r="AC2880"/>
      <c r="AD2880"/>
      <c r="AE2880"/>
      <c r="AF2880"/>
      <c r="AG2880"/>
      <c r="AH2880"/>
      <c r="AI2880"/>
      <c r="AJ2880"/>
      <c r="AK2880"/>
      <c r="AL2880"/>
      <c r="AM2880"/>
      <c r="AN2880"/>
      <c r="AO2880"/>
    </row>
    <row r="2881" spans="1:41" ht="15">
      <c r="A2881"/>
      <c r="B2881"/>
      <c r="C2881" s="137"/>
      <c r="D2881" s="30"/>
      <c r="E2881" s="30"/>
      <c r="F2881" s="10"/>
      <c r="G2881" s="10"/>
      <c r="H2881" s="15"/>
      <c r="I2881" s="15"/>
      <c r="J2881" s="15"/>
      <c r="K2881" s="15"/>
      <c r="L2881" s="15"/>
      <c r="M2881" s="15"/>
      <c r="N2881" s="15"/>
      <c r="O2881" s="15"/>
      <c r="P2881" s="15"/>
      <c r="Q2881" s="71"/>
      <c r="R2881" s="84"/>
      <c r="S2881" s="10"/>
      <c r="T2881" s="10"/>
      <c r="U2881" s="10"/>
      <c r="V2881" s="10"/>
      <c r="W2881" s="138"/>
      <c r="Y2881"/>
      <c r="Z2881"/>
      <c r="AA2881"/>
      <c r="AB2881"/>
      <c r="AC2881"/>
      <c r="AD2881"/>
      <c r="AE2881"/>
      <c r="AF2881"/>
      <c r="AG2881"/>
      <c r="AH2881"/>
      <c r="AI2881"/>
      <c r="AJ2881"/>
      <c r="AK2881"/>
      <c r="AL2881"/>
      <c r="AM2881"/>
      <c r="AN2881"/>
      <c r="AO2881"/>
    </row>
    <row r="2882" spans="1:41" ht="15">
      <c r="A2882"/>
      <c r="B2882"/>
      <c r="C2882" s="137"/>
      <c r="D2882" s="30"/>
      <c r="E2882" s="30"/>
      <c r="F2882" s="10"/>
      <c r="G2882" s="10"/>
      <c r="H2882" s="15"/>
      <c r="I2882" s="15"/>
      <c r="J2882" s="15"/>
      <c r="K2882" s="15"/>
      <c r="L2882" s="15"/>
      <c r="M2882" s="15"/>
      <c r="N2882" s="15"/>
      <c r="O2882" s="15"/>
      <c r="P2882" s="15"/>
      <c r="Q2882" s="71"/>
      <c r="R2882" s="84"/>
      <c r="S2882" s="10"/>
      <c r="T2882" s="10"/>
      <c r="U2882" s="10"/>
      <c r="V2882" s="10"/>
      <c r="W2882" s="138"/>
      <c r="Y2882"/>
      <c r="Z2882"/>
      <c r="AA2882"/>
      <c r="AB2882"/>
      <c r="AC2882"/>
      <c r="AD2882"/>
      <c r="AE2882"/>
      <c r="AF2882"/>
      <c r="AG2882"/>
      <c r="AH2882"/>
      <c r="AI2882"/>
      <c r="AJ2882"/>
      <c r="AK2882"/>
      <c r="AL2882"/>
      <c r="AM2882"/>
      <c r="AN2882"/>
      <c r="AO2882"/>
    </row>
    <row r="2883" spans="1:41" ht="15">
      <c r="A2883"/>
      <c r="B2883"/>
      <c r="C2883" s="137"/>
      <c r="D2883" s="30"/>
      <c r="E2883" s="30"/>
      <c r="F2883" s="10"/>
      <c r="G2883" s="10"/>
      <c r="H2883" s="15"/>
      <c r="I2883" s="15"/>
      <c r="J2883" s="15"/>
      <c r="K2883" s="15"/>
      <c r="L2883" s="15"/>
      <c r="M2883" s="15"/>
      <c r="N2883" s="15"/>
      <c r="O2883" s="15"/>
      <c r="P2883" s="15"/>
      <c r="Q2883" s="71"/>
      <c r="R2883" s="84"/>
      <c r="S2883" s="10"/>
      <c r="T2883" s="10"/>
      <c r="U2883" s="10"/>
      <c r="V2883" s="10"/>
      <c r="W2883" s="138"/>
      <c r="Y2883"/>
      <c r="Z2883"/>
      <c r="AA2883"/>
      <c r="AB2883"/>
      <c r="AC2883"/>
      <c r="AD2883"/>
      <c r="AE2883"/>
      <c r="AF2883"/>
      <c r="AG2883"/>
      <c r="AH2883"/>
      <c r="AI2883"/>
      <c r="AJ2883"/>
      <c r="AK2883"/>
      <c r="AL2883"/>
      <c r="AM2883"/>
      <c r="AN2883"/>
      <c r="AO2883"/>
    </row>
    <row r="2884" spans="1:41" ht="15">
      <c r="A2884"/>
      <c r="B2884"/>
      <c r="C2884" s="137"/>
      <c r="D2884" s="30"/>
      <c r="E2884" s="30"/>
      <c r="F2884" s="10"/>
      <c r="G2884" s="10"/>
      <c r="H2884" s="15"/>
      <c r="I2884" s="15"/>
      <c r="J2884" s="15"/>
      <c r="K2884" s="15"/>
      <c r="L2884" s="15"/>
      <c r="M2884" s="15"/>
      <c r="N2884" s="15"/>
      <c r="O2884" s="15"/>
      <c r="P2884" s="15"/>
      <c r="Q2884" s="71"/>
      <c r="R2884" s="84"/>
      <c r="S2884" s="10"/>
      <c r="T2884" s="10"/>
      <c r="U2884" s="10"/>
      <c r="V2884" s="10"/>
      <c r="W2884" s="138"/>
      <c r="Y2884"/>
      <c r="Z2884"/>
      <c r="AA2884"/>
      <c r="AB2884"/>
      <c r="AC2884"/>
      <c r="AD2884"/>
      <c r="AE2884"/>
      <c r="AF2884"/>
      <c r="AG2884"/>
      <c r="AH2884"/>
      <c r="AI2884"/>
      <c r="AJ2884"/>
      <c r="AK2884"/>
      <c r="AL2884"/>
      <c r="AM2884"/>
      <c r="AN2884"/>
      <c r="AO2884"/>
    </row>
    <row r="2885" spans="1:41" ht="15">
      <c r="A2885"/>
      <c r="B2885"/>
      <c r="C2885" s="137"/>
      <c r="D2885" s="30"/>
      <c r="E2885" s="30"/>
      <c r="F2885" s="10"/>
      <c r="G2885" s="10"/>
      <c r="H2885" s="15"/>
      <c r="I2885" s="15"/>
      <c r="J2885" s="15"/>
      <c r="K2885" s="15"/>
      <c r="L2885" s="15"/>
      <c r="M2885" s="15"/>
      <c r="N2885" s="15"/>
      <c r="O2885" s="15"/>
      <c r="P2885" s="15"/>
      <c r="Q2885" s="71"/>
      <c r="R2885" s="84"/>
      <c r="S2885" s="10"/>
      <c r="T2885" s="10"/>
      <c r="U2885" s="10"/>
      <c r="V2885" s="10"/>
      <c r="W2885" s="138"/>
      <c r="Y2885"/>
      <c r="Z2885"/>
      <c r="AA2885"/>
      <c r="AB2885"/>
      <c r="AC2885"/>
      <c r="AD2885"/>
      <c r="AE2885"/>
      <c r="AF2885"/>
      <c r="AG2885"/>
      <c r="AH2885"/>
      <c r="AI2885"/>
      <c r="AJ2885"/>
      <c r="AK2885"/>
      <c r="AL2885"/>
      <c r="AM2885"/>
      <c r="AN2885"/>
      <c r="AO2885"/>
    </row>
    <row r="2886" spans="1:41" ht="15">
      <c r="A2886"/>
      <c r="B2886"/>
      <c r="C2886" s="137"/>
      <c r="D2886" s="30"/>
      <c r="E2886" s="30"/>
      <c r="F2886" s="10"/>
      <c r="G2886" s="10"/>
      <c r="H2886" s="15"/>
      <c r="I2886" s="15"/>
      <c r="J2886" s="15"/>
      <c r="K2886" s="15"/>
      <c r="L2886" s="15"/>
      <c r="M2886" s="15"/>
      <c r="N2886" s="15"/>
      <c r="O2886" s="15"/>
      <c r="P2886" s="15"/>
      <c r="Q2886" s="71"/>
      <c r="R2886" s="84"/>
      <c r="S2886" s="10"/>
      <c r="T2886" s="10"/>
      <c r="U2886" s="10"/>
      <c r="V2886" s="10"/>
      <c r="W2886" s="138"/>
      <c r="Y2886"/>
      <c r="Z2886"/>
      <c r="AA2886"/>
      <c r="AB2886"/>
      <c r="AC2886"/>
      <c r="AD2886"/>
      <c r="AE2886"/>
      <c r="AF2886"/>
      <c r="AG2886"/>
      <c r="AH2886"/>
      <c r="AI2886"/>
      <c r="AJ2886"/>
      <c r="AK2886"/>
      <c r="AL2886"/>
      <c r="AM2886"/>
      <c r="AN2886"/>
      <c r="AO2886"/>
    </row>
    <row r="2887" spans="1:41" ht="15">
      <c r="A2887"/>
      <c r="B2887"/>
      <c r="C2887" s="137"/>
      <c r="D2887" s="30"/>
      <c r="E2887" s="30"/>
      <c r="F2887" s="10"/>
      <c r="G2887" s="10"/>
      <c r="H2887" s="15"/>
      <c r="I2887" s="15"/>
      <c r="J2887" s="15"/>
      <c r="K2887" s="15"/>
      <c r="L2887" s="15"/>
      <c r="M2887" s="15"/>
      <c r="N2887" s="15"/>
      <c r="O2887" s="15"/>
      <c r="P2887" s="15"/>
      <c r="Q2887" s="71"/>
      <c r="R2887" s="84"/>
      <c r="S2887" s="10"/>
      <c r="T2887" s="10"/>
      <c r="U2887" s="10"/>
      <c r="V2887" s="10"/>
      <c r="W2887" s="138"/>
      <c r="Y2887"/>
      <c r="Z2887"/>
      <c r="AA2887"/>
      <c r="AB2887"/>
      <c r="AC2887"/>
      <c r="AD2887"/>
      <c r="AE2887"/>
      <c r="AF2887"/>
      <c r="AG2887"/>
      <c r="AH2887"/>
      <c r="AI2887"/>
      <c r="AJ2887"/>
      <c r="AK2887"/>
      <c r="AL2887"/>
      <c r="AM2887"/>
      <c r="AN2887"/>
      <c r="AO2887"/>
    </row>
    <row r="2888" spans="1:41" ht="15">
      <c r="A2888"/>
      <c r="B2888"/>
      <c r="C2888" s="137"/>
      <c r="D2888" s="30"/>
      <c r="E2888" s="30"/>
      <c r="F2888" s="10"/>
      <c r="G2888" s="10"/>
      <c r="H2888" s="15"/>
      <c r="I2888" s="15"/>
      <c r="J2888" s="15"/>
      <c r="K2888" s="15"/>
      <c r="L2888" s="15"/>
      <c r="M2888" s="15"/>
      <c r="N2888" s="15"/>
      <c r="O2888" s="15"/>
      <c r="P2888" s="15"/>
      <c r="Q2888" s="71"/>
      <c r="R2888" s="84"/>
      <c r="S2888" s="10"/>
      <c r="T2888" s="10"/>
      <c r="U2888" s="10"/>
      <c r="V2888" s="10"/>
      <c r="W2888" s="138"/>
      <c r="Y2888"/>
      <c r="Z2888"/>
      <c r="AA2888"/>
      <c r="AB2888"/>
      <c r="AC2888"/>
      <c r="AD2888"/>
      <c r="AE2888"/>
      <c r="AF2888"/>
      <c r="AG2888"/>
      <c r="AH2888"/>
      <c r="AI2888"/>
      <c r="AJ2888"/>
      <c r="AK2888"/>
      <c r="AL2888"/>
      <c r="AM2888"/>
      <c r="AN2888"/>
      <c r="AO2888"/>
    </row>
    <row r="2889" spans="1:41" ht="15">
      <c r="A2889"/>
      <c r="B2889"/>
      <c r="C2889" s="137"/>
      <c r="D2889" s="30"/>
      <c r="E2889" s="30"/>
      <c r="F2889" s="10"/>
      <c r="G2889" s="10"/>
      <c r="H2889" s="15"/>
      <c r="I2889" s="15"/>
      <c r="J2889" s="15"/>
      <c r="K2889" s="15"/>
      <c r="L2889" s="15"/>
      <c r="M2889" s="15"/>
      <c r="N2889" s="15"/>
      <c r="O2889" s="15"/>
      <c r="P2889" s="15"/>
      <c r="Q2889" s="71"/>
      <c r="R2889" s="84"/>
      <c r="S2889" s="10"/>
      <c r="T2889" s="10"/>
      <c r="U2889" s="10"/>
      <c r="V2889" s="10"/>
      <c r="W2889" s="138"/>
      <c r="Y2889"/>
      <c r="Z2889"/>
      <c r="AA2889"/>
      <c r="AB2889"/>
      <c r="AC2889"/>
      <c r="AD2889"/>
      <c r="AE2889"/>
      <c r="AF2889"/>
      <c r="AG2889"/>
      <c r="AH2889"/>
      <c r="AI2889"/>
      <c r="AJ2889"/>
      <c r="AK2889"/>
      <c r="AL2889"/>
      <c r="AM2889"/>
      <c r="AN2889"/>
      <c r="AO2889"/>
    </row>
    <row r="2890" spans="1:41" ht="15">
      <c r="A2890"/>
      <c r="B2890"/>
      <c r="C2890" s="137"/>
      <c r="D2890" s="30"/>
      <c r="E2890" s="30"/>
      <c r="F2890" s="10"/>
      <c r="G2890" s="10"/>
      <c r="H2890" s="15"/>
      <c r="I2890" s="15"/>
      <c r="J2890" s="15"/>
      <c r="K2890" s="15"/>
      <c r="L2890" s="15"/>
      <c r="M2890" s="15"/>
      <c r="N2890" s="15"/>
      <c r="O2890" s="15"/>
      <c r="P2890" s="15"/>
      <c r="Q2890" s="71"/>
      <c r="R2890" s="84"/>
      <c r="S2890" s="10"/>
      <c r="T2890" s="10"/>
      <c r="U2890" s="10"/>
      <c r="V2890" s="10"/>
      <c r="W2890" s="138"/>
      <c r="Y2890"/>
      <c r="Z2890"/>
      <c r="AA2890"/>
      <c r="AB2890"/>
      <c r="AC2890"/>
      <c r="AD2890"/>
      <c r="AE2890"/>
      <c r="AF2890"/>
      <c r="AG2890"/>
      <c r="AH2890"/>
      <c r="AI2890"/>
      <c r="AJ2890"/>
      <c r="AK2890"/>
      <c r="AL2890"/>
      <c r="AM2890"/>
      <c r="AN2890"/>
      <c r="AO2890"/>
    </row>
    <row r="2891" spans="1:41" ht="15">
      <c r="A2891"/>
      <c r="B2891"/>
      <c r="C2891" s="137"/>
      <c r="D2891" s="30"/>
      <c r="E2891" s="30"/>
      <c r="F2891" s="10"/>
      <c r="G2891" s="10"/>
      <c r="H2891" s="15"/>
      <c r="I2891" s="15"/>
      <c r="J2891" s="15"/>
      <c r="K2891" s="15"/>
      <c r="L2891" s="15"/>
      <c r="M2891" s="15"/>
      <c r="N2891" s="15"/>
      <c r="O2891" s="15"/>
      <c r="P2891" s="15"/>
      <c r="Q2891" s="71"/>
      <c r="R2891" s="84"/>
      <c r="S2891" s="10"/>
      <c r="T2891" s="10"/>
      <c r="U2891" s="10"/>
      <c r="V2891" s="10"/>
      <c r="W2891" s="138"/>
      <c r="Y2891"/>
      <c r="Z2891"/>
      <c r="AA2891"/>
      <c r="AB2891"/>
      <c r="AC2891"/>
      <c r="AD2891"/>
      <c r="AE2891"/>
      <c r="AF2891"/>
      <c r="AG2891"/>
      <c r="AH2891"/>
      <c r="AI2891"/>
      <c r="AJ2891"/>
      <c r="AK2891"/>
      <c r="AL2891"/>
      <c r="AM2891"/>
      <c r="AN2891"/>
      <c r="AO2891"/>
    </row>
    <row r="2892" spans="1:41" ht="15">
      <c r="A2892"/>
      <c r="B2892"/>
      <c r="C2892" s="137"/>
      <c r="D2892" s="30"/>
      <c r="E2892" s="30"/>
      <c r="F2892" s="10"/>
      <c r="G2892" s="10"/>
      <c r="H2892" s="15"/>
      <c r="I2892" s="15"/>
      <c r="J2892" s="15"/>
      <c r="K2892" s="15"/>
      <c r="L2892" s="15"/>
      <c r="M2892" s="15"/>
      <c r="N2892" s="15"/>
      <c r="O2892" s="15"/>
      <c r="P2892" s="15"/>
      <c r="Q2892" s="71"/>
      <c r="R2892" s="84"/>
      <c r="S2892" s="10"/>
      <c r="T2892" s="10"/>
      <c r="U2892" s="10"/>
      <c r="V2892" s="10"/>
      <c r="W2892" s="138"/>
      <c r="Y2892"/>
      <c r="Z2892"/>
      <c r="AA2892"/>
      <c r="AB2892"/>
      <c r="AC2892"/>
      <c r="AD2892"/>
      <c r="AE2892"/>
      <c r="AF2892"/>
      <c r="AG2892"/>
      <c r="AH2892"/>
      <c r="AI2892"/>
      <c r="AJ2892"/>
      <c r="AK2892"/>
      <c r="AL2892"/>
      <c r="AM2892"/>
      <c r="AN2892"/>
      <c r="AO2892"/>
    </row>
    <row r="2893" spans="1:41" ht="15">
      <c r="A2893"/>
      <c r="B2893"/>
      <c r="C2893" s="137"/>
      <c r="D2893" s="30"/>
      <c r="E2893" s="30"/>
      <c r="F2893" s="10"/>
      <c r="G2893" s="10"/>
      <c r="H2893" s="15"/>
      <c r="I2893" s="15"/>
      <c r="J2893" s="15"/>
      <c r="K2893" s="15"/>
      <c r="L2893" s="15"/>
      <c r="M2893" s="15"/>
      <c r="N2893" s="15"/>
      <c r="O2893" s="15"/>
      <c r="P2893" s="15"/>
      <c r="Q2893" s="71"/>
      <c r="R2893" s="84"/>
      <c r="S2893" s="10"/>
      <c r="T2893" s="10"/>
      <c r="U2893" s="10"/>
      <c r="V2893" s="10"/>
      <c r="W2893" s="138"/>
      <c r="Y2893"/>
      <c r="Z2893"/>
      <c r="AA2893"/>
      <c r="AB2893"/>
      <c r="AC2893"/>
      <c r="AD2893"/>
      <c r="AE2893"/>
      <c r="AF2893"/>
      <c r="AG2893"/>
      <c r="AH2893"/>
      <c r="AI2893"/>
      <c r="AJ2893"/>
      <c r="AK2893"/>
      <c r="AL2893"/>
      <c r="AM2893"/>
      <c r="AN2893"/>
      <c r="AO2893"/>
    </row>
    <row r="2894" spans="1:41" ht="15">
      <c r="A2894"/>
      <c r="B2894"/>
      <c r="C2894" s="137"/>
      <c r="D2894" s="30"/>
      <c r="E2894" s="30"/>
      <c r="F2894" s="10"/>
      <c r="G2894" s="10"/>
      <c r="H2894" s="15"/>
      <c r="I2894" s="15"/>
      <c r="J2894" s="15"/>
      <c r="K2894" s="15"/>
      <c r="L2894" s="15"/>
      <c r="M2894" s="15"/>
      <c r="N2894" s="15"/>
      <c r="O2894" s="15"/>
      <c r="P2894" s="15"/>
      <c r="Q2894" s="71"/>
      <c r="R2894" s="84"/>
      <c r="S2894" s="10"/>
      <c r="T2894" s="10"/>
      <c r="U2894" s="10"/>
      <c r="V2894" s="10"/>
      <c r="W2894" s="138"/>
      <c r="Y2894"/>
      <c r="Z2894"/>
      <c r="AA2894"/>
      <c r="AB2894"/>
      <c r="AC2894"/>
      <c r="AD2894"/>
      <c r="AE2894"/>
      <c r="AF2894"/>
      <c r="AG2894"/>
      <c r="AH2894"/>
      <c r="AI2894"/>
      <c r="AJ2894"/>
      <c r="AK2894"/>
      <c r="AL2894"/>
      <c r="AM2894"/>
      <c r="AN2894"/>
      <c r="AO2894"/>
    </row>
    <row r="2895" spans="1:41" ht="15">
      <c r="A2895"/>
      <c r="B2895"/>
      <c r="C2895" s="137"/>
      <c r="D2895" s="30"/>
      <c r="E2895" s="30"/>
      <c r="F2895" s="10"/>
      <c r="G2895" s="10"/>
      <c r="H2895" s="15"/>
      <c r="I2895" s="15"/>
      <c r="J2895" s="15"/>
      <c r="K2895" s="15"/>
      <c r="L2895" s="15"/>
      <c r="M2895" s="15"/>
      <c r="N2895" s="15"/>
      <c r="O2895" s="15"/>
      <c r="P2895" s="15"/>
      <c r="Q2895" s="71"/>
      <c r="R2895" s="84"/>
      <c r="S2895" s="10"/>
      <c r="T2895" s="10"/>
      <c r="U2895" s="10"/>
      <c r="V2895" s="10"/>
      <c r="W2895" s="138"/>
      <c r="Y2895"/>
      <c r="Z2895"/>
      <c r="AA2895"/>
      <c r="AB2895"/>
      <c r="AC2895"/>
      <c r="AD2895"/>
      <c r="AE2895"/>
      <c r="AF2895"/>
      <c r="AG2895"/>
      <c r="AH2895"/>
      <c r="AI2895"/>
      <c r="AJ2895"/>
      <c r="AK2895"/>
      <c r="AL2895"/>
      <c r="AM2895"/>
      <c r="AN2895"/>
      <c r="AO2895"/>
    </row>
    <row r="2896" spans="1:41" ht="15">
      <c r="A2896"/>
      <c r="B2896"/>
      <c r="C2896" s="137"/>
      <c r="D2896" s="30"/>
      <c r="E2896" s="30"/>
      <c r="F2896" s="10"/>
      <c r="G2896" s="10"/>
      <c r="H2896" s="15"/>
      <c r="I2896" s="15"/>
      <c r="J2896" s="15"/>
      <c r="K2896" s="15"/>
      <c r="L2896" s="15"/>
      <c r="M2896" s="15"/>
      <c r="N2896" s="15"/>
      <c r="O2896" s="15"/>
      <c r="P2896" s="15"/>
      <c r="Q2896" s="71"/>
      <c r="R2896" s="84"/>
      <c r="S2896" s="10"/>
      <c r="T2896" s="10"/>
      <c r="U2896" s="10"/>
      <c r="V2896" s="10"/>
      <c r="W2896" s="138"/>
      <c r="Y2896"/>
      <c r="Z2896"/>
      <c r="AA2896"/>
      <c r="AB2896"/>
      <c r="AC2896"/>
      <c r="AD2896"/>
      <c r="AE2896"/>
      <c r="AF2896"/>
      <c r="AG2896"/>
      <c r="AH2896"/>
      <c r="AI2896"/>
      <c r="AJ2896"/>
      <c r="AK2896"/>
      <c r="AL2896"/>
      <c r="AM2896"/>
      <c r="AN2896"/>
      <c r="AO2896"/>
    </row>
    <row r="2897" spans="1:41" ht="15">
      <c r="A2897"/>
      <c r="B2897"/>
      <c r="C2897" s="137"/>
      <c r="D2897" s="30"/>
      <c r="E2897" s="30"/>
      <c r="F2897" s="10"/>
      <c r="G2897" s="10"/>
      <c r="H2897" s="15"/>
      <c r="I2897" s="15"/>
      <c r="J2897" s="15"/>
      <c r="K2897" s="15"/>
      <c r="L2897" s="15"/>
      <c r="M2897" s="15"/>
      <c r="N2897" s="15"/>
      <c r="O2897" s="15"/>
      <c r="P2897" s="15"/>
      <c r="Q2897" s="71"/>
      <c r="R2897" s="84"/>
      <c r="S2897" s="10"/>
      <c r="T2897" s="10"/>
      <c r="U2897" s="10"/>
      <c r="V2897" s="10"/>
      <c r="W2897" s="138"/>
      <c r="Y2897"/>
      <c r="Z2897"/>
      <c r="AA2897"/>
      <c r="AB2897"/>
      <c r="AC2897"/>
      <c r="AD2897"/>
      <c r="AE2897"/>
      <c r="AF2897"/>
      <c r="AG2897"/>
      <c r="AH2897"/>
      <c r="AI2897"/>
      <c r="AJ2897"/>
      <c r="AK2897"/>
      <c r="AL2897"/>
      <c r="AM2897"/>
      <c r="AN2897"/>
      <c r="AO2897"/>
    </row>
    <row r="2898" spans="1:41" ht="15">
      <c r="A2898"/>
      <c r="B2898"/>
      <c r="C2898" s="137"/>
      <c r="D2898" s="30"/>
      <c r="E2898" s="30"/>
      <c r="F2898" s="10"/>
      <c r="G2898" s="10"/>
      <c r="H2898" s="15"/>
      <c r="I2898" s="15"/>
      <c r="J2898" s="15"/>
      <c r="K2898" s="15"/>
      <c r="L2898" s="15"/>
      <c r="M2898" s="15"/>
      <c r="N2898" s="15"/>
      <c r="O2898" s="15"/>
      <c r="P2898" s="15"/>
      <c r="Q2898" s="71"/>
      <c r="R2898" s="84"/>
      <c r="S2898" s="10"/>
      <c r="T2898" s="10"/>
      <c r="U2898" s="10"/>
      <c r="V2898" s="10"/>
      <c r="W2898" s="138"/>
      <c r="Y2898"/>
      <c r="Z2898"/>
      <c r="AA2898"/>
      <c r="AB2898"/>
      <c r="AC2898"/>
      <c r="AD2898"/>
      <c r="AE2898"/>
      <c r="AF2898"/>
      <c r="AG2898"/>
      <c r="AH2898"/>
      <c r="AI2898"/>
      <c r="AJ2898"/>
      <c r="AK2898"/>
      <c r="AL2898"/>
      <c r="AM2898"/>
      <c r="AN2898"/>
      <c r="AO2898"/>
    </row>
    <row r="2899" spans="1:41" ht="15">
      <c r="A2899"/>
      <c r="B2899"/>
      <c r="C2899" s="137"/>
      <c r="D2899" s="30"/>
      <c r="E2899" s="30"/>
      <c r="F2899" s="10"/>
      <c r="G2899" s="10"/>
      <c r="H2899" s="15"/>
      <c r="I2899" s="15"/>
      <c r="J2899" s="15"/>
      <c r="K2899" s="15"/>
      <c r="L2899" s="15"/>
      <c r="M2899" s="15"/>
      <c r="N2899" s="15"/>
      <c r="O2899" s="15"/>
      <c r="P2899" s="15"/>
      <c r="Q2899" s="71"/>
      <c r="R2899" s="84"/>
      <c r="S2899" s="10"/>
      <c r="T2899" s="10"/>
      <c r="U2899" s="10"/>
      <c r="V2899" s="10"/>
      <c r="W2899" s="138"/>
      <c r="Y2899"/>
      <c r="Z2899"/>
      <c r="AA2899"/>
      <c r="AB2899"/>
      <c r="AC2899"/>
      <c r="AD2899"/>
      <c r="AE2899"/>
      <c r="AF2899"/>
      <c r="AG2899"/>
      <c r="AH2899"/>
      <c r="AI2899"/>
      <c r="AJ2899"/>
      <c r="AK2899"/>
      <c r="AL2899"/>
      <c r="AM2899"/>
      <c r="AN2899"/>
      <c r="AO2899"/>
    </row>
    <row r="2900" spans="1:41" ht="15">
      <c r="A2900"/>
      <c r="B2900"/>
      <c r="C2900" s="137"/>
      <c r="D2900" s="30"/>
      <c r="E2900" s="30"/>
      <c r="F2900" s="10"/>
      <c r="G2900" s="10"/>
      <c r="H2900" s="15"/>
      <c r="I2900" s="15"/>
      <c r="J2900" s="15"/>
      <c r="K2900" s="15"/>
      <c r="L2900" s="15"/>
      <c r="M2900" s="15"/>
      <c r="N2900" s="15"/>
      <c r="O2900" s="15"/>
      <c r="P2900" s="15"/>
      <c r="Q2900" s="71"/>
      <c r="R2900" s="84"/>
      <c r="S2900" s="10"/>
      <c r="T2900" s="10"/>
      <c r="U2900" s="10"/>
      <c r="V2900" s="10"/>
      <c r="W2900" s="138"/>
      <c r="Y2900"/>
      <c r="Z2900"/>
      <c r="AA2900"/>
      <c r="AB2900"/>
      <c r="AC2900"/>
      <c r="AD2900"/>
      <c r="AE2900"/>
      <c r="AF2900"/>
      <c r="AG2900"/>
      <c r="AH2900"/>
      <c r="AI2900"/>
      <c r="AJ2900"/>
      <c r="AK2900"/>
      <c r="AL2900"/>
      <c r="AM2900"/>
      <c r="AN2900"/>
      <c r="AO2900"/>
    </row>
    <row r="2901" spans="1:41" ht="15">
      <c r="A2901"/>
      <c r="B2901"/>
      <c r="C2901" s="137"/>
      <c r="D2901" s="30"/>
      <c r="E2901" s="30"/>
      <c r="F2901" s="10"/>
      <c r="G2901" s="10"/>
      <c r="H2901" s="15"/>
      <c r="I2901" s="15"/>
      <c r="J2901" s="15"/>
      <c r="K2901" s="15"/>
      <c r="L2901" s="15"/>
      <c r="M2901" s="15"/>
      <c r="N2901" s="15"/>
      <c r="O2901" s="15"/>
      <c r="P2901" s="15"/>
      <c r="Q2901" s="71"/>
      <c r="R2901" s="84"/>
      <c r="S2901" s="10"/>
      <c r="T2901" s="10"/>
      <c r="U2901" s="10"/>
      <c r="V2901" s="10"/>
      <c r="W2901" s="138"/>
      <c r="Y2901"/>
      <c r="Z2901"/>
      <c r="AA2901"/>
      <c r="AB2901"/>
      <c r="AC2901"/>
      <c r="AD2901"/>
      <c r="AE2901"/>
      <c r="AF2901"/>
      <c r="AG2901"/>
      <c r="AH2901"/>
      <c r="AI2901"/>
      <c r="AJ2901"/>
      <c r="AK2901"/>
      <c r="AL2901"/>
      <c r="AM2901"/>
      <c r="AN2901"/>
      <c r="AO2901"/>
    </row>
    <row r="2902" spans="1:41" ht="15">
      <c r="A2902"/>
      <c r="B2902"/>
      <c r="C2902" s="137"/>
      <c r="D2902" s="30"/>
      <c r="E2902" s="30"/>
      <c r="F2902" s="10"/>
      <c r="G2902" s="10"/>
      <c r="H2902" s="15"/>
      <c r="I2902" s="15"/>
      <c r="J2902" s="15"/>
      <c r="K2902" s="15"/>
      <c r="L2902" s="15"/>
      <c r="M2902" s="15"/>
      <c r="N2902" s="15"/>
      <c r="O2902" s="15"/>
      <c r="P2902" s="15"/>
      <c r="Q2902" s="71"/>
      <c r="R2902" s="84"/>
      <c r="S2902" s="10"/>
      <c r="T2902" s="10"/>
      <c r="U2902" s="10"/>
      <c r="V2902" s="10"/>
      <c r="W2902" s="138"/>
      <c r="Y2902"/>
      <c r="Z2902"/>
      <c r="AA2902"/>
      <c r="AB2902"/>
      <c r="AC2902"/>
      <c r="AD2902"/>
      <c r="AE2902"/>
      <c r="AF2902"/>
      <c r="AG2902"/>
      <c r="AH2902"/>
      <c r="AI2902"/>
      <c r="AJ2902"/>
      <c r="AK2902"/>
      <c r="AL2902"/>
      <c r="AM2902"/>
      <c r="AN2902"/>
      <c r="AO2902"/>
    </row>
    <row r="2903" spans="1:41" ht="15">
      <c r="A2903"/>
      <c r="B2903"/>
      <c r="C2903" s="137"/>
      <c r="D2903" s="30"/>
      <c r="E2903" s="30"/>
      <c r="F2903" s="10"/>
      <c r="G2903" s="10"/>
      <c r="H2903" s="15"/>
      <c r="I2903" s="15"/>
      <c r="J2903" s="15"/>
      <c r="K2903" s="15"/>
      <c r="L2903" s="15"/>
      <c r="M2903" s="15"/>
      <c r="N2903" s="15"/>
      <c r="O2903" s="15"/>
      <c r="P2903" s="15"/>
      <c r="Q2903" s="71"/>
      <c r="R2903" s="84"/>
      <c r="S2903" s="10"/>
      <c r="T2903" s="10"/>
      <c r="U2903" s="10"/>
      <c r="V2903" s="10"/>
      <c r="W2903" s="138"/>
      <c r="Y2903"/>
      <c r="Z2903"/>
      <c r="AA2903"/>
      <c r="AB2903"/>
      <c r="AC2903"/>
      <c r="AD2903"/>
      <c r="AE2903"/>
      <c r="AF2903"/>
      <c r="AG2903"/>
      <c r="AH2903"/>
      <c r="AI2903"/>
      <c r="AJ2903"/>
      <c r="AK2903"/>
      <c r="AL2903"/>
      <c r="AM2903"/>
      <c r="AN2903"/>
      <c r="AO2903"/>
    </row>
    <row r="2904" spans="1:41" ht="15">
      <c r="A2904"/>
      <c r="B2904"/>
      <c r="C2904" s="137"/>
      <c r="D2904" s="30"/>
      <c r="E2904" s="30"/>
      <c r="F2904" s="10"/>
      <c r="G2904" s="10"/>
      <c r="H2904" s="15"/>
      <c r="I2904" s="15"/>
      <c r="J2904" s="15"/>
      <c r="K2904" s="15"/>
      <c r="L2904" s="15"/>
      <c r="M2904" s="15"/>
      <c r="N2904" s="15"/>
      <c r="O2904" s="15"/>
      <c r="P2904" s="15"/>
      <c r="Q2904" s="71"/>
      <c r="R2904" s="84"/>
      <c r="S2904" s="10"/>
      <c r="T2904" s="10"/>
      <c r="U2904" s="10"/>
      <c r="V2904" s="10"/>
      <c r="W2904" s="138"/>
      <c r="Y2904"/>
      <c r="Z2904"/>
      <c r="AA2904"/>
      <c r="AB2904"/>
      <c r="AC2904"/>
      <c r="AD2904"/>
      <c r="AE2904"/>
      <c r="AF2904"/>
      <c r="AG2904"/>
      <c r="AH2904"/>
      <c r="AI2904"/>
      <c r="AJ2904"/>
      <c r="AK2904"/>
      <c r="AL2904"/>
      <c r="AM2904"/>
      <c r="AN2904"/>
      <c r="AO2904"/>
    </row>
    <row r="2905" spans="1:41" ht="15">
      <c r="A2905"/>
      <c r="B2905"/>
      <c r="C2905" s="137"/>
      <c r="D2905" s="30"/>
      <c r="E2905" s="30"/>
      <c r="F2905" s="10"/>
      <c r="G2905" s="10"/>
      <c r="H2905" s="15"/>
      <c r="I2905" s="15"/>
      <c r="J2905" s="15"/>
      <c r="K2905" s="15"/>
      <c r="L2905" s="15"/>
      <c r="M2905" s="15"/>
      <c r="N2905" s="15"/>
      <c r="O2905" s="15"/>
      <c r="P2905" s="15"/>
      <c r="Q2905" s="71"/>
      <c r="R2905" s="84"/>
      <c r="S2905" s="10"/>
      <c r="T2905" s="10"/>
      <c r="U2905" s="10"/>
      <c r="V2905" s="10"/>
      <c r="W2905" s="138"/>
      <c r="Y2905"/>
      <c r="Z2905"/>
      <c r="AA2905"/>
      <c r="AB2905"/>
      <c r="AC2905"/>
      <c r="AD2905"/>
      <c r="AE2905"/>
      <c r="AF2905"/>
      <c r="AG2905"/>
      <c r="AH2905"/>
      <c r="AI2905"/>
      <c r="AJ2905"/>
      <c r="AK2905"/>
      <c r="AL2905"/>
      <c r="AM2905"/>
      <c r="AN2905"/>
      <c r="AO2905"/>
    </row>
    <row r="2906" spans="1:41" ht="15">
      <c r="A2906"/>
      <c r="B2906"/>
      <c r="C2906" s="137"/>
      <c r="D2906" s="30"/>
      <c r="E2906" s="30"/>
      <c r="F2906" s="10"/>
      <c r="G2906" s="10"/>
      <c r="H2906" s="15"/>
      <c r="I2906" s="15"/>
      <c r="J2906" s="15"/>
      <c r="K2906" s="15"/>
      <c r="L2906" s="15"/>
      <c r="M2906" s="15"/>
      <c r="N2906" s="15"/>
      <c r="O2906" s="15"/>
      <c r="P2906" s="15"/>
      <c r="Q2906" s="71"/>
      <c r="R2906" s="84"/>
      <c r="S2906" s="10"/>
      <c r="T2906" s="10"/>
      <c r="U2906" s="10"/>
      <c r="V2906" s="10"/>
      <c r="W2906" s="138"/>
      <c r="Y2906"/>
      <c r="Z2906"/>
      <c r="AA2906"/>
      <c r="AB2906"/>
      <c r="AC2906"/>
      <c r="AD2906"/>
      <c r="AE2906"/>
      <c r="AF2906"/>
      <c r="AG2906"/>
      <c r="AH2906"/>
      <c r="AI2906"/>
      <c r="AJ2906"/>
      <c r="AK2906"/>
      <c r="AL2906"/>
      <c r="AM2906"/>
      <c r="AN2906"/>
      <c r="AO2906"/>
    </row>
    <row r="2907" spans="1:41" ht="15">
      <c r="A2907"/>
      <c r="B2907"/>
      <c r="C2907" s="137"/>
      <c r="D2907" s="30"/>
      <c r="E2907" s="30"/>
      <c r="F2907" s="10"/>
      <c r="G2907" s="10"/>
      <c r="H2907" s="15"/>
      <c r="I2907" s="15"/>
      <c r="J2907" s="15"/>
      <c r="K2907" s="15"/>
      <c r="L2907" s="15"/>
      <c r="M2907" s="15"/>
      <c r="N2907" s="15"/>
      <c r="O2907" s="15"/>
      <c r="P2907" s="15"/>
      <c r="Q2907" s="71"/>
      <c r="R2907" s="84"/>
      <c r="S2907" s="10"/>
      <c r="T2907" s="10"/>
      <c r="U2907" s="10"/>
      <c r="V2907" s="10"/>
      <c r="W2907" s="138"/>
      <c r="Y2907"/>
      <c r="Z2907"/>
      <c r="AA2907"/>
      <c r="AB2907"/>
      <c r="AC2907"/>
      <c r="AD2907"/>
      <c r="AE2907"/>
      <c r="AF2907"/>
      <c r="AG2907"/>
      <c r="AH2907"/>
      <c r="AI2907"/>
      <c r="AJ2907"/>
      <c r="AK2907"/>
      <c r="AL2907"/>
      <c r="AM2907"/>
      <c r="AN2907"/>
      <c r="AO2907"/>
    </row>
    <row r="2908" spans="1:41" ht="15">
      <c r="A2908"/>
      <c r="B2908"/>
      <c r="C2908" s="137"/>
      <c r="D2908" s="30"/>
      <c r="E2908" s="30"/>
      <c r="F2908" s="10"/>
      <c r="G2908" s="10"/>
      <c r="H2908" s="15"/>
      <c r="I2908" s="15"/>
      <c r="J2908" s="15"/>
      <c r="K2908" s="15"/>
      <c r="L2908" s="15"/>
      <c r="M2908" s="15"/>
      <c r="N2908" s="15"/>
      <c r="O2908" s="15"/>
      <c r="P2908" s="15"/>
      <c r="Q2908" s="71"/>
      <c r="R2908" s="84"/>
      <c r="S2908" s="10"/>
      <c r="T2908" s="10"/>
      <c r="U2908" s="10"/>
      <c r="V2908" s="10"/>
      <c r="W2908" s="138"/>
      <c r="Y2908"/>
      <c r="Z2908"/>
      <c r="AA2908"/>
      <c r="AB2908"/>
      <c r="AC2908"/>
      <c r="AD2908"/>
      <c r="AE2908"/>
      <c r="AF2908"/>
      <c r="AG2908"/>
      <c r="AH2908"/>
      <c r="AI2908"/>
      <c r="AJ2908"/>
      <c r="AK2908"/>
      <c r="AL2908"/>
      <c r="AM2908"/>
      <c r="AN2908"/>
      <c r="AO2908"/>
    </row>
    <row r="2909" spans="1:41" ht="15">
      <c r="A2909"/>
      <c r="B2909"/>
      <c r="C2909" s="137"/>
      <c r="D2909" s="30"/>
      <c r="E2909" s="30"/>
      <c r="F2909" s="10"/>
      <c r="G2909" s="10"/>
      <c r="H2909" s="15"/>
      <c r="I2909" s="15"/>
      <c r="J2909" s="15"/>
      <c r="K2909" s="15"/>
      <c r="L2909" s="15"/>
      <c r="M2909" s="15"/>
      <c r="N2909" s="15"/>
      <c r="O2909" s="15"/>
      <c r="P2909" s="15"/>
      <c r="Q2909" s="71"/>
      <c r="R2909" s="84"/>
      <c r="S2909" s="10"/>
      <c r="T2909" s="10"/>
      <c r="U2909" s="10"/>
      <c r="V2909" s="10"/>
      <c r="W2909" s="138"/>
      <c r="Y2909"/>
      <c r="Z2909"/>
      <c r="AA2909"/>
      <c r="AB2909"/>
      <c r="AC2909"/>
      <c r="AD2909"/>
      <c r="AE2909"/>
      <c r="AF2909"/>
      <c r="AG2909"/>
      <c r="AH2909"/>
      <c r="AI2909"/>
      <c r="AJ2909"/>
      <c r="AK2909"/>
      <c r="AL2909"/>
      <c r="AM2909"/>
      <c r="AN2909"/>
      <c r="AO2909"/>
    </row>
    <row r="2910" spans="1:41" ht="15">
      <c r="A2910"/>
      <c r="B2910"/>
      <c r="C2910" s="137"/>
      <c r="D2910" s="30"/>
      <c r="E2910" s="30"/>
      <c r="F2910" s="10"/>
      <c r="G2910" s="10"/>
      <c r="H2910" s="15"/>
      <c r="I2910" s="15"/>
      <c r="J2910" s="15"/>
      <c r="K2910" s="15"/>
      <c r="L2910" s="15"/>
      <c r="M2910" s="15"/>
      <c r="N2910" s="15"/>
      <c r="O2910" s="15"/>
      <c r="P2910" s="15"/>
      <c r="Q2910" s="71"/>
      <c r="R2910" s="84"/>
      <c r="S2910" s="10"/>
      <c r="T2910" s="10"/>
      <c r="U2910" s="10"/>
      <c r="V2910" s="10"/>
      <c r="W2910" s="138"/>
      <c r="Y2910"/>
      <c r="Z2910"/>
      <c r="AA2910"/>
      <c r="AB2910"/>
      <c r="AC2910"/>
      <c r="AD2910"/>
      <c r="AE2910"/>
      <c r="AF2910"/>
      <c r="AG2910"/>
      <c r="AH2910"/>
      <c r="AI2910"/>
      <c r="AJ2910"/>
      <c r="AK2910"/>
      <c r="AL2910"/>
      <c r="AM2910"/>
      <c r="AN2910"/>
      <c r="AO2910"/>
    </row>
    <row r="2911" spans="1:41" ht="15">
      <c r="A2911"/>
      <c r="B2911"/>
      <c r="C2911" s="137"/>
      <c r="D2911" s="30"/>
      <c r="E2911" s="30"/>
      <c r="F2911" s="10"/>
      <c r="G2911" s="10"/>
      <c r="H2911" s="15"/>
      <c r="I2911" s="15"/>
      <c r="J2911" s="15"/>
      <c r="K2911" s="15"/>
      <c r="L2911" s="15"/>
      <c r="M2911" s="15"/>
      <c r="N2911" s="15"/>
      <c r="O2911" s="15"/>
      <c r="P2911" s="15"/>
      <c r="Q2911" s="71"/>
      <c r="R2911" s="84"/>
      <c r="S2911" s="10"/>
      <c r="T2911" s="10"/>
      <c r="U2911" s="10"/>
      <c r="V2911" s="10"/>
      <c r="W2911" s="138"/>
      <c r="Y2911"/>
      <c r="Z2911"/>
      <c r="AA2911"/>
      <c r="AB2911"/>
      <c r="AC2911"/>
      <c r="AD2911"/>
      <c r="AE2911"/>
      <c r="AF2911"/>
      <c r="AG2911"/>
      <c r="AH2911"/>
      <c r="AI2911"/>
      <c r="AJ2911"/>
      <c r="AK2911"/>
      <c r="AL2911"/>
      <c r="AM2911"/>
      <c r="AN2911"/>
      <c r="AO2911"/>
    </row>
    <row r="2912" spans="1:41" ht="15">
      <c r="A2912"/>
      <c r="B2912"/>
      <c r="C2912" s="137"/>
      <c r="D2912" s="30"/>
      <c r="E2912" s="30"/>
      <c r="F2912" s="10"/>
      <c r="G2912" s="10"/>
      <c r="H2912" s="15"/>
      <c r="I2912" s="15"/>
      <c r="J2912" s="15"/>
      <c r="K2912" s="15"/>
      <c r="L2912" s="15"/>
      <c r="M2912" s="15"/>
      <c r="N2912" s="15"/>
      <c r="O2912" s="15"/>
      <c r="P2912" s="15"/>
      <c r="Q2912" s="71"/>
      <c r="R2912" s="84"/>
      <c r="S2912" s="10"/>
      <c r="T2912" s="10"/>
      <c r="U2912" s="10"/>
      <c r="V2912" s="10"/>
      <c r="W2912" s="138"/>
      <c r="Y2912"/>
      <c r="Z2912"/>
      <c r="AA2912"/>
      <c r="AB2912"/>
      <c r="AC2912"/>
      <c r="AD2912"/>
      <c r="AE2912"/>
      <c r="AF2912"/>
      <c r="AG2912"/>
      <c r="AH2912"/>
      <c r="AI2912"/>
      <c r="AJ2912"/>
      <c r="AK2912"/>
      <c r="AL2912"/>
      <c r="AM2912"/>
      <c r="AN2912"/>
      <c r="AO2912"/>
    </row>
    <row r="2913" spans="1:41" ht="15">
      <c r="A2913"/>
      <c r="B2913"/>
      <c r="C2913" s="137"/>
      <c r="D2913" s="30"/>
      <c r="E2913" s="30"/>
      <c r="F2913" s="10"/>
      <c r="G2913" s="10"/>
      <c r="H2913" s="15"/>
      <c r="I2913" s="15"/>
      <c r="J2913" s="15"/>
      <c r="K2913" s="15"/>
      <c r="L2913" s="15"/>
      <c r="M2913" s="15"/>
      <c r="N2913" s="15"/>
      <c r="O2913" s="15"/>
      <c r="P2913" s="15"/>
      <c r="Q2913" s="71"/>
      <c r="R2913" s="84"/>
      <c r="S2913" s="10"/>
      <c r="T2913" s="10"/>
      <c r="U2913" s="10"/>
      <c r="V2913" s="10"/>
      <c r="W2913" s="138"/>
      <c r="Y2913"/>
      <c r="Z2913"/>
      <c r="AA2913"/>
      <c r="AB2913"/>
      <c r="AC2913"/>
      <c r="AD2913"/>
      <c r="AE2913"/>
      <c r="AF2913"/>
      <c r="AG2913"/>
      <c r="AH2913"/>
      <c r="AI2913"/>
      <c r="AJ2913"/>
      <c r="AK2913"/>
      <c r="AL2913"/>
      <c r="AM2913"/>
      <c r="AN2913"/>
      <c r="AO2913"/>
    </row>
    <row r="2914" spans="1:41" ht="15">
      <c r="A2914"/>
      <c r="B2914"/>
      <c r="C2914" s="137"/>
      <c r="D2914" s="30"/>
      <c r="E2914" s="30"/>
      <c r="F2914" s="10"/>
      <c r="G2914" s="10"/>
      <c r="H2914" s="15"/>
      <c r="I2914" s="15"/>
      <c r="J2914" s="15"/>
      <c r="K2914" s="15"/>
      <c r="L2914" s="15"/>
      <c r="M2914" s="15"/>
      <c r="N2914" s="15"/>
      <c r="O2914" s="15"/>
      <c r="P2914" s="15"/>
      <c r="Q2914" s="71"/>
      <c r="R2914" s="84"/>
      <c r="S2914" s="10"/>
      <c r="T2914" s="10"/>
      <c r="U2914" s="10"/>
      <c r="V2914" s="10"/>
      <c r="W2914" s="138"/>
      <c r="Y2914"/>
      <c r="Z2914"/>
      <c r="AA2914"/>
      <c r="AB2914"/>
      <c r="AC2914"/>
      <c r="AD2914"/>
      <c r="AE2914"/>
      <c r="AF2914"/>
      <c r="AG2914"/>
      <c r="AH2914"/>
      <c r="AI2914"/>
      <c r="AJ2914"/>
      <c r="AK2914"/>
      <c r="AL2914"/>
      <c r="AM2914"/>
      <c r="AN2914"/>
      <c r="AO2914"/>
    </row>
    <row r="2915" spans="1:41" ht="15">
      <c r="A2915"/>
      <c r="B2915"/>
      <c r="C2915" s="137"/>
      <c r="D2915" s="30"/>
      <c r="E2915" s="30"/>
      <c r="F2915" s="10"/>
      <c r="G2915" s="10"/>
      <c r="H2915" s="15"/>
      <c r="I2915" s="15"/>
      <c r="J2915" s="15"/>
      <c r="K2915" s="15"/>
      <c r="L2915" s="15"/>
      <c r="M2915" s="15"/>
      <c r="N2915" s="15"/>
      <c r="O2915" s="15"/>
      <c r="P2915" s="15"/>
      <c r="Q2915" s="71"/>
      <c r="R2915" s="84"/>
      <c r="S2915" s="10"/>
      <c r="T2915" s="10"/>
      <c r="U2915" s="10"/>
      <c r="V2915" s="10"/>
      <c r="W2915" s="138"/>
      <c r="Y2915"/>
      <c r="Z2915"/>
      <c r="AA2915"/>
      <c r="AB2915"/>
      <c r="AC2915"/>
      <c r="AD2915"/>
      <c r="AE2915"/>
      <c r="AF2915"/>
      <c r="AG2915"/>
      <c r="AH2915"/>
      <c r="AI2915"/>
      <c r="AJ2915"/>
      <c r="AK2915"/>
      <c r="AL2915"/>
      <c r="AM2915"/>
      <c r="AN2915"/>
      <c r="AO2915"/>
    </row>
    <row r="2916" spans="1:41" ht="15">
      <c r="A2916"/>
      <c r="B2916"/>
      <c r="C2916" s="137"/>
      <c r="D2916" s="30"/>
      <c r="E2916" s="30"/>
      <c r="F2916" s="10"/>
      <c r="G2916" s="10"/>
      <c r="H2916" s="15"/>
      <c r="I2916" s="15"/>
      <c r="J2916" s="15"/>
      <c r="K2916" s="15"/>
      <c r="L2916" s="15"/>
      <c r="M2916" s="15"/>
      <c r="N2916" s="15"/>
      <c r="O2916" s="15"/>
      <c r="P2916" s="15"/>
      <c r="Q2916" s="71"/>
      <c r="R2916" s="84"/>
      <c r="S2916" s="10"/>
      <c r="T2916" s="10"/>
      <c r="U2916" s="10"/>
      <c r="V2916" s="10"/>
      <c r="W2916" s="138"/>
      <c r="Y2916"/>
      <c r="Z2916"/>
      <c r="AA2916"/>
      <c r="AB2916"/>
      <c r="AC2916"/>
      <c r="AD2916"/>
      <c r="AE2916"/>
      <c r="AF2916"/>
      <c r="AG2916"/>
      <c r="AH2916"/>
      <c r="AI2916"/>
      <c r="AJ2916"/>
      <c r="AK2916"/>
      <c r="AL2916"/>
      <c r="AM2916"/>
      <c r="AN2916"/>
      <c r="AO2916"/>
    </row>
    <row r="2917" spans="1:41" ht="15">
      <c r="A2917"/>
      <c r="B2917"/>
      <c r="C2917" s="137"/>
      <c r="D2917" s="30"/>
      <c r="E2917" s="30"/>
      <c r="F2917" s="10"/>
      <c r="G2917" s="10"/>
      <c r="H2917" s="15"/>
      <c r="I2917" s="15"/>
      <c r="J2917" s="15"/>
      <c r="K2917" s="15"/>
      <c r="L2917" s="15"/>
      <c r="M2917" s="15"/>
      <c r="N2917" s="15"/>
      <c r="O2917" s="15"/>
      <c r="P2917" s="15"/>
      <c r="Q2917" s="71"/>
      <c r="R2917" s="84"/>
      <c r="S2917" s="10"/>
      <c r="T2917" s="10"/>
      <c r="U2917" s="10"/>
      <c r="V2917" s="10"/>
      <c r="W2917" s="138"/>
      <c r="Y2917"/>
      <c r="Z2917"/>
      <c r="AA2917"/>
      <c r="AB2917"/>
      <c r="AC2917"/>
      <c r="AD2917"/>
      <c r="AE2917"/>
      <c r="AF2917"/>
      <c r="AG2917"/>
      <c r="AH2917"/>
      <c r="AI2917"/>
      <c r="AJ2917"/>
      <c r="AK2917"/>
      <c r="AL2917"/>
      <c r="AM2917"/>
      <c r="AN2917"/>
      <c r="AO2917"/>
    </row>
    <row r="2918" spans="1:41" ht="15">
      <c r="A2918"/>
      <c r="B2918"/>
      <c r="C2918" s="137"/>
      <c r="D2918" s="30"/>
      <c r="E2918" s="30"/>
      <c r="F2918" s="10"/>
      <c r="G2918" s="10"/>
      <c r="H2918" s="15"/>
      <c r="I2918" s="15"/>
      <c r="J2918" s="15"/>
      <c r="K2918" s="15"/>
      <c r="L2918" s="15"/>
      <c r="M2918" s="15"/>
      <c r="N2918" s="15"/>
      <c r="O2918" s="15"/>
      <c r="P2918" s="15"/>
      <c r="Q2918" s="71"/>
      <c r="R2918" s="84"/>
      <c r="S2918" s="10"/>
      <c r="T2918" s="10"/>
      <c r="U2918" s="10"/>
      <c r="V2918" s="10"/>
      <c r="W2918" s="138"/>
      <c r="Y2918"/>
      <c r="Z2918"/>
      <c r="AA2918"/>
      <c r="AB2918"/>
      <c r="AC2918"/>
      <c r="AD2918"/>
      <c r="AE2918"/>
      <c r="AF2918"/>
      <c r="AG2918"/>
      <c r="AH2918"/>
      <c r="AI2918"/>
      <c r="AJ2918"/>
      <c r="AK2918"/>
      <c r="AL2918"/>
      <c r="AM2918"/>
      <c r="AN2918"/>
      <c r="AO2918"/>
    </row>
    <row r="2919" spans="1:41" ht="15">
      <c r="A2919"/>
      <c r="B2919"/>
      <c r="C2919" s="137"/>
      <c r="D2919" s="30"/>
      <c r="E2919" s="30"/>
      <c r="F2919" s="10"/>
      <c r="G2919" s="10"/>
      <c r="H2919" s="15"/>
      <c r="I2919" s="15"/>
      <c r="J2919" s="15"/>
      <c r="K2919" s="15"/>
      <c r="L2919" s="15"/>
      <c r="M2919" s="15"/>
      <c r="N2919" s="15"/>
      <c r="O2919" s="15"/>
      <c r="P2919" s="15"/>
      <c r="Q2919" s="71"/>
      <c r="R2919" s="84"/>
      <c r="S2919" s="10"/>
      <c r="T2919" s="10"/>
      <c r="U2919" s="10"/>
      <c r="V2919" s="10"/>
      <c r="W2919" s="138"/>
      <c r="Y2919"/>
      <c r="Z2919"/>
      <c r="AA2919"/>
      <c r="AB2919"/>
      <c r="AC2919"/>
      <c r="AD2919"/>
      <c r="AE2919"/>
      <c r="AF2919"/>
      <c r="AG2919"/>
      <c r="AH2919"/>
      <c r="AI2919"/>
      <c r="AJ2919"/>
      <c r="AK2919"/>
      <c r="AL2919"/>
      <c r="AM2919"/>
      <c r="AN2919"/>
      <c r="AO2919"/>
    </row>
    <row r="2920" spans="1:41" ht="15">
      <c r="A2920"/>
      <c r="B2920"/>
      <c r="C2920" s="137"/>
      <c r="D2920" s="30"/>
      <c r="E2920" s="30"/>
      <c r="F2920" s="10"/>
      <c r="G2920" s="10"/>
      <c r="H2920" s="15"/>
      <c r="I2920" s="15"/>
      <c r="J2920" s="15"/>
      <c r="K2920" s="15"/>
      <c r="L2920" s="15"/>
      <c r="M2920" s="15"/>
      <c r="N2920" s="15"/>
      <c r="O2920" s="15"/>
      <c r="P2920" s="15"/>
      <c r="Q2920" s="71"/>
      <c r="R2920" s="84"/>
      <c r="S2920" s="10"/>
      <c r="T2920" s="10"/>
      <c r="U2920" s="10"/>
      <c r="V2920" s="10"/>
      <c r="W2920" s="138"/>
      <c r="Y2920"/>
      <c r="Z2920"/>
      <c r="AA2920"/>
      <c r="AB2920"/>
      <c r="AC2920"/>
      <c r="AD2920"/>
      <c r="AE2920"/>
      <c r="AF2920"/>
      <c r="AG2920"/>
      <c r="AH2920"/>
      <c r="AI2920"/>
      <c r="AJ2920"/>
      <c r="AK2920"/>
      <c r="AL2920"/>
      <c r="AM2920"/>
      <c r="AN2920"/>
      <c r="AO2920"/>
    </row>
    <row r="2921" spans="1:41" ht="15">
      <c r="A2921"/>
      <c r="B2921"/>
      <c r="C2921" s="137"/>
      <c r="D2921" s="30"/>
      <c r="E2921" s="30"/>
      <c r="F2921" s="10"/>
      <c r="G2921" s="10"/>
      <c r="H2921" s="15"/>
      <c r="I2921" s="15"/>
      <c r="J2921" s="15"/>
      <c r="K2921" s="15"/>
      <c r="L2921" s="15"/>
      <c r="M2921" s="15"/>
      <c r="N2921" s="15"/>
      <c r="O2921" s="15"/>
      <c r="P2921" s="15"/>
      <c r="Q2921" s="71"/>
      <c r="R2921" s="84"/>
      <c r="S2921" s="10"/>
      <c r="T2921" s="10"/>
      <c r="U2921" s="10"/>
      <c r="V2921" s="10"/>
      <c r="W2921" s="138"/>
      <c r="Y2921"/>
      <c r="Z2921"/>
      <c r="AA2921"/>
      <c r="AB2921"/>
      <c r="AC2921"/>
      <c r="AD2921"/>
      <c r="AE2921"/>
      <c r="AF2921"/>
      <c r="AG2921"/>
      <c r="AH2921"/>
      <c r="AI2921"/>
      <c r="AJ2921"/>
      <c r="AK2921"/>
      <c r="AL2921"/>
      <c r="AM2921"/>
      <c r="AN2921"/>
      <c r="AO2921"/>
    </row>
    <row r="2922" spans="1:41" ht="15">
      <c r="A2922"/>
      <c r="B2922"/>
      <c r="C2922" s="137"/>
      <c r="D2922" s="30"/>
      <c r="E2922" s="30"/>
      <c r="F2922" s="10"/>
      <c r="G2922" s="10"/>
      <c r="H2922" s="15"/>
      <c r="I2922" s="15"/>
      <c r="J2922" s="15"/>
      <c r="K2922" s="15"/>
      <c r="L2922" s="15"/>
      <c r="M2922" s="15"/>
      <c r="N2922" s="15"/>
      <c r="O2922" s="15"/>
      <c r="P2922" s="15"/>
      <c r="Q2922" s="71"/>
      <c r="R2922" s="84"/>
      <c r="S2922" s="10"/>
      <c r="T2922" s="10"/>
      <c r="U2922" s="10"/>
      <c r="V2922" s="10"/>
      <c r="W2922" s="138"/>
      <c r="Y2922"/>
      <c r="Z2922"/>
      <c r="AA2922"/>
      <c r="AB2922"/>
      <c r="AC2922"/>
      <c r="AD2922"/>
      <c r="AE2922"/>
      <c r="AF2922"/>
      <c r="AG2922"/>
      <c r="AH2922"/>
      <c r="AI2922"/>
      <c r="AJ2922"/>
      <c r="AK2922"/>
      <c r="AL2922"/>
      <c r="AM2922"/>
      <c r="AN2922"/>
      <c r="AO2922"/>
    </row>
    <row r="2923" spans="1:41" ht="15">
      <c r="A2923"/>
      <c r="B2923"/>
      <c r="C2923" s="137"/>
      <c r="D2923" s="30"/>
      <c r="E2923" s="30"/>
      <c r="F2923" s="10"/>
      <c r="G2923" s="10"/>
      <c r="H2923" s="15"/>
      <c r="I2923" s="15"/>
      <c r="J2923" s="15"/>
      <c r="K2923" s="15"/>
      <c r="L2923" s="15"/>
      <c r="M2923" s="15"/>
      <c r="N2923" s="15"/>
      <c r="O2923" s="15"/>
      <c r="P2923" s="15"/>
      <c r="Q2923" s="71"/>
      <c r="R2923" s="84"/>
      <c r="S2923" s="10"/>
      <c r="T2923" s="10"/>
      <c r="U2923" s="10"/>
      <c r="V2923" s="10"/>
      <c r="W2923" s="138"/>
      <c r="Y2923"/>
      <c r="Z2923"/>
      <c r="AA2923"/>
      <c r="AB2923"/>
      <c r="AC2923"/>
      <c r="AD2923"/>
      <c r="AE2923"/>
      <c r="AF2923"/>
      <c r="AG2923"/>
      <c r="AH2923"/>
      <c r="AI2923"/>
      <c r="AJ2923"/>
      <c r="AK2923"/>
      <c r="AL2923"/>
      <c r="AM2923"/>
      <c r="AN2923"/>
      <c r="AO2923"/>
    </row>
    <row r="2924" spans="1:41" ht="15">
      <c r="A2924"/>
      <c r="B2924"/>
      <c r="C2924" s="137"/>
      <c r="D2924" s="30"/>
      <c r="E2924" s="30"/>
      <c r="F2924" s="10"/>
      <c r="G2924" s="10"/>
      <c r="H2924" s="15"/>
      <c r="I2924" s="15"/>
      <c r="J2924" s="15"/>
      <c r="K2924" s="15"/>
      <c r="L2924" s="15"/>
      <c r="M2924" s="15"/>
      <c r="N2924" s="15"/>
      <c r="O2924" s="15"/>
      <c r="P2924" s="15"/>
      <c r="Q2924" s="71"/>
      <c r="R2924" s="84"/>
      <c r="S2924" s="10"/>
      <c r="T2924" s="10"/>
      <c r="U2924" s="10"/>
      <c r="V2924" s="10"/>
      <c r="W2924" s="138"/>
      <c r="Y2924"/>
      <c r="Z2924"/>
      <c r="AA2924"/>
      <c r="AB2924"/>
      <c r="AC2924"/>
      <c r="AD2924"/>
      <c r="AE2924"/>
      <c r="AF2924"/>
      <c r="AG2924"/>
      <c r="AH2924"/>
      <c r="AI2924"/>
      <c r="AJ2924"/>
      <c r="AK2924"/>
      <c r="AL2924"/>
      <c r="AM2924"/>
      <c r="AN2924"/>
      <c r="AO2924"/>
    </row>
    <row r="2925" spans="1:41" ht="15">
      <c r="A2925"/>
      <c r="B2925"/>
      <c r="C2925" s="137"/>
      <c r="D2925" s="30"/>
      <c r="E2925" s="30"/>
      <c r="F2925" s="10"/>
      <c r="G2925" s="10"/>
      <c r="H2925" s="15"/>
      <c r="I2925" s="15"/>
      <c r="J2925" s="15"/>
      <c r="K2925" s="15"/>
      <c r="L2925" s="15"/>
      <c r="M2925" s="15"/>
      <c r="N2925" s="15"/>
      <c r="O2925" s="15"/>
      <c r="P2925" s="15"/>
      <c r="Q2925" s="71"/>
      <c r="R2925" s="84"/>
      <c r="S2925" s="10"/>
      <c r="T2925" s="10"/>
      <c r="U2925" s="10"/>
      <c r="V2925" s="10"/>
      <c r="W2925" s="138"/>
      <c r="Y2925"/>
      <c r="Z2925"/>
      <c r="AA2925"/>
      <c r="AB2925"/>
      <c r="AC2925"/>
      <c r="AD2925"/>
      <c r="AE2925"/>
      <c r="AF2925"/>
      <c r="AG2925"/>
      <c r="AH2925"/>
      <c r="AI2925"/>
      <c r="AJ2925"/>
      <c r="AK2925"/>
      <c r="AL2925"/>
      <c r="AM2925"/>
      <c r="AN2925"/>
      <c r="AO2925"/>
    </row>
    <row r="2926" spans="1:41" ht="15">
      <c r="A2926"/>
      <c r="B2926"/>
      <c r="C2926" s="137"/>
      <c r="D2926" s="30"/>
      <c r="E2926" s="30"/>
      <c r="F2926" s="10"/>
      <c r="G2926" s="10"/>
      <c r="H2926" s="15"/>
      <c r="I2926" s="15"/>
      <c r="J2926" s="15"/>
      <c r="K2926" s="15"/>
      <c r="L2926" s="15"/>
      <c r="M2926" s="15"/>
      <c r="N2926" s="15"/>
      <c r="O2926" s="15"/>
      <c r="P2926" s="15"/>
      <c r="Q2926" s="71"/>
      <c r="R2926" s="84"/>
      <c r="S2926" s="10"/>
      <c r="T2926" s="10"/>
      <c r="U2926" s="10"/>
      <c r="V2926" s="10"/>
      <c r="W2926" s="138"/>
      <c r="Y2926"/>
      <c r="Z2926"/>
      <c r="AA2926"/>
      <c r="AB2926"/>
      <c r="AC2926"/>
      <c r="AD2926"/>
      <c r="AE2926"/>
      <c r="AF2926"/>
      <c r="AG2926"/>
      <c r="AH2926"/>
      <c r="AI2926"/>
      <c r="AJ2926"/>
      <c r="AK2926"/>
      <c r="AL2926"/>
      <c r="AM2926"/>
      <c r="AN2926"/>
      <c r="AO2926"/>
    </row>
    <row r="2927" spans="1:41" ht="15">
      <c r="A2927"/>
      <c r="B2927"/>
      <c r="C2927" s="137"/>
      <c r="D2927" s="30"/>
      <c r="E2927" s="30"/>
      <c r="F2927" s="10"/>
      <c r="G2927" s="10"/>
      <c r="H2927" s="15"/>
      <c r="I2927" s="15"/>
      <c r="J2927" s="15"/>
      <c r="K2927" s="15"/>
      <c r="L2927" s="15"/>
      <c r="M2927" s="15"/>
      <c r="N2927" s="15"/>
      <c r="O2927" s="15"/>
      <c r="P2927" s="15"/>
      <c r="Q2927" s="71"/>
      <c r="R2927" s="84"/>
      <c r="S2927" s="10"/>
      <c r="T2927" s="10"/>
      <c r="U2927" s="10"/>
      <c r="V2927" s="10"/>
      <c r="W2927" s="138"/>
      <c r="Y2927"/>
      <c r="Z2927"/>
      <c r="AA2927"/>
      <c r="AB2927"/>
      <c r="AC2927"/>
      <c r="AD2927"/>
      <c r="AE2927"/>
      <c r="AF2927"/>
      <c r="AG2927"/>
      <c r="AH2927"/>
      <c r="AI2927"/>
      <c r="AJ2927"/>
      <c r="AK2927"/>
      <c r="AL2927"/>
      <c r="AM2927"/>
      <c r="AN2927"/>
      <c r="AO2927"/>
    </row>
    <row r="2928" spans="1:41" ht="15">
      <c r="A2928"/>
      <c r="B2928"/>
      <c r="C2928" s="137"/>
      <c r="D2928" s="30"/>
      <c r="E2928" s="30"/>
      <c r="F2928" s="10"/>
      <c r="G2928" s="10"/>
      <c r="H2928" s="15"/>
      <c r="I2928" s="15"/>
      <c r="J2928" s="15"/>
      <c r="K2928" s="15"/>
      <c r="L2928" s="15"/>
      <c r="M2928" s="15"/>
      <c r="N2928" s="15"/>
      <c r="O2928" s="15"/>
      <c r="P2928" s="15"/>
      <c r="Q2928" s="71"/>
      <c r="R2928" s="84"/>
      <c r="S2928" s="10"/>
      <c r="T2928" s="10"/>
      <c r="U2928" s="10"/>
      <c r="V2928" s="10"/>
      <c r="W2928" s="138"/>
      <c r="Y2928"/>
      <c r="Z2928"/>
      <c r="AA2928"/>
      <c r="AB2928"/>
      <c r="AC2928"/>
      <c r="AD2928"/>
      <c r="AE2928"/>
      <c r="AF2928"/>
      <c r="AG2928"/>
      <c r="AH2928"/>
      <c r="AI2928"/>
      <c r="AJ2928"/>
      <c r="AK2928"/>
      <c r="AL2928"/>
      <c r="AM2928"/>
      <c r="AN2928"/>
      <c r="AO2928"/>
    </row>
    <row r="2929" spans="1:41" ht="15">
      <c r="A2929"/>
      <c r="B2929"/>
      <c r="C2929" s="137"/>
      <c r="D2929" s="30"/>
      <c r="E2929" s="30"/>
      <c r="F2929" s="10"/>
      <c r="G2929" s="10"/>
      <c r="H2929" s="15"/>
      <c r="I2929" s="15"/>
      <c r="J2929" s="15"/>
      <c r="K2929" s="15"/>
      <c r="L2929" s="15"/>
      <c r="M2929" s="15"/>
      <c r="N2929" s="15"/>
      <c r="O2929" s="15"/>
      <c r="P2929" s="15"/>
      <c r="Q2929" s="71"/>
      <c r="R2929" s="84"/>
      <c r="S2929" s="10"/>
      <c r="T2929" s="10"/>
      <c r="U2929" s="10"/>
      <c r="V2929" s="10"/>
      <c r="W2929" s="138"/>
      <c r="Y2929"/>
      <c r="Z2929"/>
      <c r="AA2929"/>
      <c r="AB2929"/>
      <c r="AC2929"/>
      <c r="AD2929"/>
      <c r="AE2929"/>
      <c r="AF2929"/>
      <c r="AG2929"/>
      <c r="AH2929"/>
      <c r="AI2929"/>
      <c r="AJ2929"/>
      <c r="AK2929"/>
      <c r="AL2929"/>
      <c r="AM2929"/>
      <c r="AN2929"/>
      <c r="AO2929"/>
    </row>
    <row r="2930" spans="1:41" ht="15">
      <c r="A2930"/>
      <c r="B2930"/>
      <c r="C2930" s="137"/>
      <c r="D2930" s="30"/>
      <c r="E2930" s="30"/>
      <c r="F2930" s="10"/>
      <c r="G2930" s="10"/>
      <c r="H2930" s="15"/>
      <c r="I2930" s="15"/>
      <c r="J2930" s="15"/>
      <c r="K2930" s="15"/>
      <c r="L2930" s="15"/>
      <c r="M2930" s="15"/>
      <c r="N2930" s="15"/>
      <c r="O2930" s="15"/>
      <c r="P2930" s="15"/>
      <c r="Q2930" s="71"/>
      <c r="R2930" s="84"/>
      <c r="S2930" s="10"/>
      <c r="T2930" s="10"/>
      <c r="U2930" s="10"/>
      <c r="V2930" s="10"/>
      <c r="W2930" s="138"/>
      <c r="Y2930"/>
      <c r="Z2930"/>
      <c r="AA2930"/>
      <c r="AB2930"/>
      <c r="AC2930"/>
      <c r="AD2930"/>
      <c r="AE2930"/>
      <c r="AF2930"/>
      <c r="AG2930"/>
      <c r="AH2930"/>
      <c r="AI2930"/>
      <c r="AJ2930"/>
      <c r="AK2930"/>
      <c r="AL2930"/>
      <c r="AM2930"/>
      <c r="AN2930"/>
      <c r="AO2930"/>
    </row>
    <row r="2931" spans="1:41" ht="15">
      <c r="A2931"/>
      <c r="B2931"/>
      <c r="C2931" s="137"/>
      <c r="D2931" s="30"/>
      <c r="E2931" s="30"/>
      <c r="F2931" s="10"/>
      <c r="G2931" s="10"/>
      <c r="H2931" s="15"/>
      <c r="I2931" s="15"/>
      <c r="J2931" s="15"/>
      <c r="K2931" s="15"/>
      <c r="L2931" s="15"/>
      <c r="M2931" s="15"/>
      <c r="N2931" s="15"/>
      <c r="O2931" s="15"/>
      <c r="P2931" s="15"/>
      <c r="Q2931" s="71"/>
      <c r="R2931" s="84"/>
      <c r="S2931" s="10"/>
      <c r="T2931" s="10"/>
      <c r="U2931" s="10"/>
      <c r="V2931" s="10"/>
      <c r="W2931" s="138"/>
      <c r="Y2931"/>
      <c r="Z2931"/>
      <c r="AA2931"/>
      <c r="AB2931"/>
      <c r="AC2931"/>
      <c r="AD2931"/>
      <c r="AE2931"/>
      <c r="AF2931"/>
      <c r="AG2931"/>
      <c r="AH2931"/>
      <c r="AI2931"/>
      <c r="AJ2931"/>
      <c r="AK2931"/>
      <c r="AL2931"/>
      <c r="AM2931"/>
      <c r="AN2931"/>
      <c r="AO2931"/>
    </row>
    <row r="2932" spans="1:41" ht="15">
      <c r="A2932"/>
      <c r="B2932"/>
      <c r="C2932" s="137"/>
      <c r="D2932" s="30"/>
      <c r="E2932" s="30"/>
      <c r="F2932" s="10"/>
      <c r="G2932" s="10"/>
      <c r="H2932" s="15"/>
      <c r="I2932" s="15"/>
      <c r="J2932" s="15"/>
      <c r="K2932" s="15"/>
      <c r="L2932" s="15"/>
      <c r="M2932" s="15"/>
      <c r="N2932" s="15"/>
      <c r="O2932" s="15"/>
      <c r="P2932" s="15"/>
      <c r="Q2932" s="71"/>
      <c r="R2932" s="84"/>
      <c r="S2932" s="10"/>
      <c r="T2932" s="10"/>
      <c r="U2932" s="10"/>
      <c r="V2932" s="10"/>
      <c r="W2932" s="138"/>
      <c r="Y2932"/>
      <c r="Z2932"/>
      <c r="AA2932"/>
      <c r="AB2932"/>
      <c r="AC2932"/>
      <c r="AD2932"/>
      <c r="AE2932"/>
      <c r="AF2932"/>
      <c r="AG2932"/>
      <c r="AH2932"/>
      <c r="AI2932"/>
      <c r="AJ2932"/>
      <c r="AK2932"/>
      <c r="AL2932"/>
      <c r="AM2932"/>
      <c r="AN2932"/>
      <c r="AO2932"/>
    </row>
    <row r="2933" spans="1:41" ht="15">
      <c r="A2933"/>
      <c r="B2933"/>
      <c r="C2933" s="137"/>
      <c r="D2933" s="30"/>
      <c r="E2933" s="30"/>
      <c r="F2933" s="10"/>
      <c r="G2933" s="10"/>
      <c r="H2933" s="15"/>
      <c r="I2933" s="15"/>
      <c r="J2933" s="15"/>
      <c r="K2933" s="15"/>
      <c r="L2933" s="15"/>
      <c r="M2933" s="15"/>
      <c r="N2933" s="15"/>
      <c r="O2933" s="15"/>
      <c r="P2933" s="15"/>
      <c r="Q2933" s="71"/>
      <c r="R2933" s="84"/>
      <c r="S2933" s="10"/>
      <c r="T2933" s="10"/>
      <c r="U2933" s="10"/>
      <c r="V2933" s="10"/>
      <c r="W2933" s="138"/>
      <c r="Y2933"/>
      <c r="Z2933"/>
      <c r="AA2933"/>
      <c r="AB2933"/>
      <c r="AC2933"/>
      <c r="AD2933"/>
      <c r="AE2933"/>
      <c r="AF2933"/>
      <c r="AG2933"/>
      <c r="AH2933"/>
      <c r="AI2933"/>
      <c r="AJ2933"/>
      <c r="AK2933"/>
      <c r="AL2933"/>
      <c r="AM2933"/>
      <c r="AN2933"/>
      <c r="AO2933"/>
    </row>
    <row r="2934" spans="1:41" ht="15">
      <c r="A2934"/>
      <c r="B2934"/>
      <c r="C2934" s="137"/>
      <c r="D2934" s="30"/>
      <c r="E2934" s="30"/>
      <c r="F2934" s="10"/>
      <c r="G2934" s="10"/>
      <c r="H2934" s="15"/>
      <c r="I2934" s="15"/>
      <c r="J2934" s="15"/>
      <c r="K2934" s="15"/>
      <c r="L2934" s="15"/>
      <c r="M2934" s="15"/>
      <c r="N2934" s="15"/>
      <c r="O2934" s="15"/>
      <c r="P2934" s="15"/>
      <c r="Q2934" s="71"/>
      <c r="R2934" s="84"/>
      <c r="S2934" s="10"/>
      <c r="T2934" s="10"/>
      <c r="U2934" s="10"/>
      <c r="V2934" s="10"/>
      <c r="W2934" s="138"/>
      <c r="Y2934"/>
      <c r="Z2934"/>
      <c r="AA2934"/>
      <c r="AB2934"/>
      <c r="AC2934"/>
      <c r="AD2934"/>
      <c r="AE2934"/>
      <c r="AF2934"/>
      <c r="AG2934"/>
      <c r="AH2934"/>
      <c r="AI2934"/>
      <c r="AJ2934"/>
      <c r="AK2934"/>
      <c r="AL2934"/>
      <c r="AM2934"/>
      <c r="AN2934"/>
      <c r="AO2934"/>
    </row>
    <row r="2935" spans="1:41" ht="15">
      <c r="A2935"/>
      <c r="B2935"/>
      <c r="C2935" s="137"/>
      <c r="D2935" s="30"/>
      <c r="E2935" s="30"/>
      <c r="F2935" s="10"/>
      <c r="G2935" s="10"/>
      <c r="H2935" s="15"/>
      <c r="I2935" s="15"/>
      <c r="J2935" s="15"/>
      <c r="K2935" s="15"/>
      <c r="L2935" s="15"/>
      <c r="M2935" s="15"/>
      <c r="N2935" s="15"/>
      <c r="O2935" s="15"/>
      <c r="P2935" s="15"/>
      <c r="Q2935" s="71"/>
      <c r="R2935" s="84"/>
      <c r="S2935" s="10"/>
      <c r="T2935" s="10"/>
      <c r="U2935" s="10"/>
      <c r="V2935" s="10"/>
      <c r="W2935" s="138"/>
      <c r="Y2935"/>
      <c r="Z2935"/>
      <c r="AA2935"/>
      <c r="AB2935"/>
      <c r="AC2935"/>
      <c r="AD2935"/>
      <c r="AE2935"/>
      <c r="AF2935"/>
      <c r="AG2935"/>
      <c r="AH2935"/>
      <c r="AI2935"/>
      <c r="AJ2935"/>
      <c r="AK2935"/>
      <c r="AL2935"/>
      <c r="AM2935"/>
      <c r="AN2935"/>
      <c r="AO2935"/>
    </row>
    <row r="2936" spans="1:41" ht="15">
      <c r="A2936"/>
      <c r="B2936"/>
      <c r="C2936" s="137"/>
      <c r="D2936" s="30"/>
      <c r="E2936" s="30"/>
      <c r="F2936" s="10"/>
      <c r="G2936" s="10"/>
      <c r="H2936" s="15"/>
      <c r="I2936" s="15"/>
      <c r="J2936" s="15"/>
      <c r="K2936" s="15"/>
      <c r="L2936" s="15"/>
      <c r="M2936" s="15"/>
      <c r="N2936" s="15"/>
      <c r="O2936" s="15"/>
      <c r="P2936" s="15"/>
      <c r="Q2936" s="71"/>
      <c r="R2936" s="84"/>
      <c r="S2936" s="10"/>
      <c r="T2936" s="10"/>
      <c r="U2936" s="10"/>
      <c r="V2936" s="10"/>
      <c r="W2936" s="138"/>
      <c r="Y2936"/>
      <c r="Z2936"/>
      <c r="AA2936"/>
      <c r="AB2936"/>
      <c r="AC2936"/>
      <c r="AD2936"/>
      <c r="AE2936"/>
      <c r="AF2936"/>
      <c r="AG2936"/>
      <c r="AH2936"/>
      <c r="AI2936"/>
      <c r="AJ2936"/>
      <c r="AK2936"/>
      <c r="AL2936"/>
      <c r="AM2936"/>
      <c r="AN2936"/>
      <c r="AO2936"/>
    </row>
    <row r="2937" spans="1:41" ht="15">
      <c r="A2937"/>
      <c r="B2937"/>
      <c r="C2937" s="137"/>
      <c r="D2937" s="30"/>
      <c r="E2937" s="30"/>
      <c r="F2937" s="10"/>
      <c r="G2937" s="10"/>
      <c r="H2937" s="15"/>
      <c r="I2937" s="15"/>
      <c r="J2937" s="15"/>
      <c r="K2937" s="15"/>
      <c r="L2937" s="15"/>
      <c r="M2937" s="15"/>
      <c r="N2937" s="15"/>
      <c r="O2937" s="15"/>
      <c r="P2937" s="15"/>
      <c r="Q2937" s="71"/>
      <c r="R2937" s="84"/>
      <c r="S2937" s="10"/>
      <c r="T2937" s="10"/>
      <c r="U2937" s="10"/>
      <c r="V2937" s="10"/>
      <c r="W2937" s="138"/>
      <c r="Y2937"/>
      <c r="Z2937"/>
      <c r="AA2937"/>
      <c r="AB2937"/>
      <c r="AC2937"/>
      <c r="AD2937"/>
      <c r="AE2937"/>
      <c r="AF2937"/>
      <c r="AG2937"/>
      <c r="AH2937"/>
      <c r="AI2937"/>
      <c r="AJ2937"/>
      <c r="AK2937"/>
      <c r="AL2937"/>
      <c r="AM2937"/>
      <c r="AN2937"/>
      <c r="AO2937"/>
    </row>
    <row r="2938" spans="1:41" ht="15">
      <c r="A2938"/>
      <c r="B2938"/>
      <c r="C2938" s="137"/>
      <c r="D2938" s="30"/>
      <c r="E2938" s="30"/>
      <c r="F2938" s="10"/>
      <c r="G2938" s="10"/>
      <c r="H2938" s="15"/>
      <c r="I2938" s="15"/>
      <c r="J2938" s="15"/>
      <c r="K2938" s="15"/>
      <c r="L2938" s="15"/>
      <c r="M2938" s="15"/>
      <c r="N2938" s="15"/>
      <c r="O2938" s="15"/>
      <c r="P2938" s="15"/>
      <c r="Q2938" s="71"/>
      <c r="R2938" s="84"/>
      <c r="S2938" s="10"/>
      <c r="T2938" s="10"/>
      <c r="U2938" s="10"/>
      <c r="V2938" s="10"/>
      <c r="W2938" s="138"/>
      <c r="Y2938"/>
      <c r="Z2938"/>
      <c r="AA2938"/>
      <c r="AB2938"/>
      <c r="AC2938"/>
      <c r="AD2938"/>
      <c r="AE2938"/>
      <c r="AF2938"/>
      <c r="AG2938"/>
      <c r="AH2938"/>
      <c r="AI2938"/>
      <c r="AJ2938"/>
      <c r="AK2938"/>
      <c r="AL2938"/>
      <c r="AM2938"/>
      <c r="AN2938"/>
      <c r="AO2938"/>
    </row>
    <row r="2939" spans="1:41" ht="15">
      <c r="A2939"/>
      <c r="B2939"/>
      <c r="C2939" s="137"/>
      <c r="D2939" s="30"/>
      <c r="E2939" s="30"/>
      <c r="F2939" s="10"/>
      <c r="G2939" s="10"/>
      <c r="H2939" s="15"/>
      <c r="I2939" s="15"/>
      <c r="J2939" s="15"/>
      <c r="K2939" s="15"/>
      <c r="L2939" s="15"/>
      <c r="M2939" s="15"/>
      <c r="N2939" s="15"/>
      <c r="O2939" s="15"/>
      <c r="P2939" s="15"/>
      <c r="Q2939" s="71"/>
      <c r="R2939" s="84"/>
      <c r="S2939" s="10"/>
      <c r="T2939" s="10"/>
      <c r="U2939" s="10"/>
      <c r="V2939" s="10"/>
      <c r="W2939" s="138"/>
      <c r="Y2939"/>
      <c r="Z2939"/>
      <c r="AA2939"/>
      <c r="AB2939"/>
      <c r="AC2939"/>
      <c r="AD2939"/>
      <c r="AE2939"/>
      <c r="AF2939"/>
      <c r="AG2939"/>
      <c r="AH2939"/>
      <c r="AI2939"/>
      <c r="AJ2939"/>
      <c r="AK2939"/>
      <c r="AL2939"/>
      <c r="AM2939"/>
      <c r="AN2939"/>
      <c r="AO2939"/>
    </row>
    <row r="2940" spans="1:41" ht="15">
      <c r="A2940"/>
      <c r="B2940"/>
      <c r="C2940" s="137"/>
      <c r="D2940" s="30"/>
      <c r="E2940" s="30"/>
      <c r="F2940" s="10"/>
      <c r="G2940" s="10"/>
      <c r="H2940" s="15"/>
      <c r="I2940" s="15"/>
      <c r="J2940" s="15"/>
      <c r="K2940" s="15"/>
      <c r="L2940" s="15"/>
      <c r="M2940" s="15"/>
      <c r="N2940" s="15"/>
      <c r="O2940" s="15"/>
      <c r="P2940" s="15"/>
      <c r="Q2940" s="71"/>
      <c r="R2940" s="84"/>
      <c r="S2940" s="10"/>
      <c r="T2940" s="10"/>
      <c r="U2940" s="10"/>
      <c r="V2940" s="10"/>
      <c r="W2940" s="138"/>
      <c r="Y2940"/>
      <c r="Z2940"/>
      <c r="AA2940"/>
      <c r="AB2940"/>
      <c r="AC2940"/>
      <c r="AD2940"/>
      <c r="AE2940"/>
      <c r="AF2940"/>
      <c r="AG2940"/>
      <c r="AH2940"/>
      <c r="AI2940"/>
      <c r="AJ2940"/>
      <c r="AK2940"/>
      <c r="AL2940"/>
      <c r="AM2940"/>
      <c r="AN2940"/>
      <c r="AO2940"/>
    </row>
    <row r="2941" spans="1:41" ht="15">
      <c r="A2941"/>
      <c r="B2941"/>
      <c r="C2941" s="137"/>
      <c r="D2941" s="30"/>
      <c r="E2941" s="30"/>
      <c r="F2941" s="10"/>
      <c r="G2941" s="10"/>
      <c r="H2941" s="15"/>
      <c r="I2941" s="15"/>
      <c r="J2941" s="15"/>
      <c r="K2941" s="15"/>
      <c r="L2941" s="15"/>
      <c r="M2941" s="15"/>
      <c r="N2941" s="15"/>
      <c r="O2941" s="15"/>
      <c r="P2941" s="15"/>
      <c r="Q2941" s="71"/>
      <c r="R2941" s="84"/>
      <c r="S2941" s="10"/>
      <c r="T2941" s="10"/>
      <c r="U2941" s="10"/>
      <c r="V2941" s="10"/>
      <c r="W2941" s="138"/>
      <c r="Y2941"/>
      <c r="Z2941"/>
      <c r="AA2941"/>
      <c r="AB2941"/>
      <c r="AC2941"/>
      <c r="AD2941"/>
      <c r="AE2941"/>
      <c r="AF2941"/>
      <c r="AG2941"/>
      <c r="AH2941"/>
      <c r="AI2941"/>
      <c r="AJ2941"/>
      <c r="AK2941"/>
      <c r="AL2941"/>
      <c r="AM2941"/>
      <c r="AN2941"/>
      <c r="AO2941"/>
    </row>
    <row r="2942" spans="1:41" ht="15">
      <c r="A2942"/>
      <c r="B2942"/>
      <c r="C2942" s="137"/>
      <c r="D2942" s="30"/>
      <c r="E2942" s="30"/>
      <c r="F2942" s="10"/>
      <c r="G2942" s="10"/>
      <c r="H2942" s="15"/>
      <c r="I2942" s="15"/>
      <c r="J2942" s="15"/>
      <c r="K2942" s="15"/>
      <c r="L2942" s="15"/>
      <c r="M2942" s="15"/>
      <c r="N2942" s="15"/>
      <c r="O2942" s="15"/>
      <c r="P2942" s="15"/>
      <c r="Q2942" s="71"/>
      <c r="R2942" s="84"/>
      <c r="S2942" s="10"/>
      <c r="T2942" s="10"/>
      <c r="U2942" s="10"/>
      <c r="V2942" s="10"/>
      <c r="W2942" s="138"/>
      <c r="Y2942"/>
      <c r="Z2942"/>
      <c r="AA2942"/>
      <c r="AB2942"/>
      <c r="AC2942"/>
      <c r="AD2942"/>
      <c r="AE2942"/>
      <c r="AF2942"/>
      <c r="AG2942"/>
      <c r="AH2942"/>
      <c r="AI2942"/>
      <c r="AJ2942"/>
      <c r="AK2942"/>
      <c r="AL2942"/>
      <c r="AM2942"/>
      <c r="AN2942"/>
      <c r="AO2942"/>
    </row>
    <row r="2943" spans="1:41" ht="15">
      <c r="A2943"/>
      <c r="B2943"/>
      <c r="C2943" s="137"/>
      <c r="D2943" s="30"/>
      <c r="E2943" s="30"/>
      <c r="F2943" s="10"/>
      <c r="G2943" s="10"/>
      <c r="H2943" s="15"/>
      <c r="I2943" s="15"/>
      <c r="J2943" s="15"/>
      <c r="K2943" s="15"/>
      <c r="L2943" s="15"/>
      <c r="M2943" s="15"/>
      <c r="N2943" s="15"/>
      <c r="O2943" s="15"/>
      <c r="P2943" s="15"/>
      <c r="Q2943" s="71"/>
      <c r="R2943" s="84"/>
      <c r="S2943" s="10"/>
      <c r="T2943" s="10"/>
      <c r="U2943" s="10"/>
      <c r="V2943" s="10"/>
      <c r="W2943" s="138"/>
      <c r="Y2943"/>
      <c r="Z2943"/>
      <c r="AA2943"/>
      <c r="AB2943"/>
      <c r="AC2943"/>
      <c r="AD2943"/>
      <c r="AE2943"/>
      <c r="AF2943"/>
      <c r="AG2943"/>
      <c r="AH2943"/>
      <c r="AI2943"/>
      <c r="AJ2943"/>
      <c r="AK2943"/>
      <c r="AL2943"/>
      <c r="AM2943"/>
      <c r="AN2943"/>
      <c r="AO2943"/>
    </row>
    <row r="2944" spans="1:41" ht="15">
      <c r="A2944"/>
      <c r="B2944"/>
      <c r="C2944" s="137"/>
      <c r="D2944" s="30"/>
      <c r="E2944" s="30"/>
      <c r="F2944" s="10"/>
      <c r="G2944" s="10"/>
      <c r="H2944" s="15"/>
      <c r="I2944" s="15"/>
      <c r="J2944" s="15"/>
      <c r="K2944" s="15"/>
      <c r="L2944" s="15"/>
      <c r="M2944" s="15"/>
      <c r="N2944" s="15"/>
      <c r="O2944" s="15"/>
      <c r="P2944" s="15"/>
      <c r="Q2944" s="71"/>
      <c r="R2944" s="84"/>
      <c r="S2944" s="10"/>
      <c r="T2944" s="10"/>
      <c r="U2944" s="10"/>
      <c r="V2944" s="10"/>
      <c r="W2944" s="138"/>
      <c r="Y2944"/>
      <c r="Z2944"/>
      <c r="AA2944"/>
      <c r="AB2944"/>
      <c r="AC2944"/>
      <c r="AD2944"/>
      <c r="AE2944"/>
      <c r="AF2944"/>
      <c r="AG2944"/>
      <c r="AH2944"/>
      <c r="AI2944"/>
      <c r="AJ2944"/>
      <c r="AK2944"/>
      <c r="AL2944"/>
      <c r="AM2944"/>
      <c r="AN2944"/>
      <c r="AO2944"/>
    </row>
    <row r="2945" spans="1:41" ht="15">
      <c r="A2945"/>
      <c r="B2945"/>
      <c r="C2945" s="137"/>
      <c r="D2945" s="30"/>
      <c r="E2945" s="30"/>
      <c r="F2945" s="10"/>
      <c r="G2945" s="10"/>
      <c r="H2945" s="15"/>
      <c r="I2945" s="15"/>
      <c r="J2945" s="15"/>
      <c r="K2945" s="15"/>
      <c r="L2945" s="15"/>
      <c r="M2945" s="15"/>
      <c r="N2945" s="15"/>
      <c r="O2945" s="15"/>
      <c r="P2945" s="15"/>
      <c r="Q2945" s="71"/>
      <c r="R2945" s="84"/>
      <c r="S2945" s="10"/>
      <c r="T2945" s="10"/>
      <c r="U2945" s="10"/>
      <c r="V2945" s="10"/>
      <c r="W2945" s="138"/>
      <c r="Y2945"/>
      <c r="Z2945"/>
      <c r="AA2945"/>
      <c r="AB2945"/>
      <c r="AC2945"/>
      <c r="AD2945"/>
      <c r="AE2945"/>
      <c r="AF2945"/>
      <c r="AG2945"/>
      <c r="AH2945"/>
      <c r="AI2945"/>
      <c r="AJ2945"/>
      <c r="AK2945"/>
      <c r="AL2945"/>
      <c r="AM2945"/>
      <c r="AN2945"/>
      <c r="AO2945"/>
    </row>
    <row r="2946" spans="1:41" ht="15">
      <c r="A2946"/>
      <c r="B2946"/>
      <c r="C2946" s="137"/>
      <c r="D2946" s="30"/>
      <c r="E2946" s="30"/>
      <c r="F2946" s="10"/>
      <c r="G2946" s="10"/>
      <c r="H2946" s="15"/>
      <c r="I2946" s="15"/>
      <c r="J2946" s="15"/>
      <c r="K2946" s="15"/>
      <c r="L2946" s="15"/>
      <c r="M2946" s="15"/>
      <c r="N2946" s="15"/>
      <c r="O2946" s="15"/>
      <c r="P2946" s="15"/>
      <c r="Q2946" s="71"/>
      <c r="R2946" s="84"/>
      <c r="S2946" s="10"/>
      <c r="T2946" s="10"/>
      <c r="U2946" s="10"/>
      <c r="V2946" s="10"/>
      <c r="W2946" s="138"/>
      <c r="Y2946"/>
      <c r="Z2946"/>
      <c r="AA2946"/>
      <c r="AB2946"/>
      <c r="AC2946"/>
      <c r="AD2946"/>
      <c r="AE2946"/>
      <c r="AF2946"/>
      <c r="AG2946"/>
      <c r="AH2946"/>
      <c r="AI2946"/>
      <c r="AJ2946"/>
      <c r="AK2946"/>
      <c r="AL2946"/>
      <c r="AM2946"/>
      <c r="AN2946"/>
      <c r="AO2946"/>
    </row>
    <row r="2947" spans="1:41" ht="15">
      <c r="A2947"/>
      <c r="B2947"/>
      <c r="C2947" s="137"/>
      <c r="D2947" s="30"/>
      <c r="E2947" s="30"/>
      <c r="F2947" s="10"/>
      <c r="G2947" s="10"/>
      <c r="H2947" s="15"/>
      <c r="I2947" s="15"/>
      <c r="J2947" s="15"/>
      <c r="K2947" s="15"/>
      <c r="L2947" s="15"/>
      <c r="M2947" s="15"/>
      <c r="N2947" s="15"/>
      <c r="O2947" s="15"/>
      <c r="P2947" s="15"/>
      <c r="Q2947" s="71"/>
      <c r="R2947" s="84"/>
      <c r="S2947" s="10"/>
      <c r="T2947" s="10"/>
      <c r="U2947" s="10"/>
      <c r="V2947" s="10"/>
      <c r="W2947" s="138"/>
      <c r="Y2947"/>
      <c r="Z2947"/>
      <c r="AA2947"/>
      <c r="AB2947"/>
      <c r="AC2947"/>
      <c r="AD2947"/>
      <c r="AE2947"/>
      <c r="AF2947"/>
      <c r="AG2947"/>
      <c r="AH2947"/>
      <c r="AI2947"/>
      <c r="AJ2947"/>
      <c r="AK2947"/>
      <c r="AL2947"/>
      <c r="AM2947"/>
      <c r="AN2947"/>
      <c r="AO2947"/>
    </row>
    <row r="2948" spans="1:41" ht="15">
      <c r="A2948"/>
      <c r="B2948"/>
      <c r="C2948" s="137"/>
      <c r="D2948" s="30"/>
      <c r="E2948" s="30"/>
      <c r="F2948" s="10"/>
      <c r="G2948" s="10"/>
      <c r="H2948" s="15"/>
      <c r="I2948" s="15"/>
      <c r="J2948" s="15"/>
      <c r="K2948" s="15"/>
      <c r="L2948" s="15"/>
      <c r="M2948" s="15"/>
      <c r="N2948" s="15"/>
      <c r="O2948" s="15"/>
      <c r="P2948" s="15"/>
      <c r="Q2948" s="71"/>
      <c r="R2948" s="84"/>
      <c r="S2948" s="10"/>
      <c r="T2948" s="10"/>
      <c r="U2948" s="10"/>
      <c r="V2948" s="10"/>
      <c r="W2948" s="138"/>
      <c r="Y2948"/>
      <c r="Z2948"/>
      <c r="AA2948"/>
      <c r="AB2948"/>
      <c r="AC2948"/>
      <c r="AD2948"/>
      <c r="AE2948"/>
      <c r="AF2948"/>
      <c r="AG2948"/>
      <c r="AH2948"/>
      <c r="AI2948"/>
      <c r="AJ2948"/>
      <c r="AK2948"/>
      <c r="AL2948"/>
      <c r="AM2948"/>
      <c r="AN2948"/>
      <c r="AO2948"/>
    </row>
    <row r="2949" spans="1:41" ht="15">
      <c r="A2949"/>
      <c r="B2949"/>
      <c r="C2949" s="137"/>
      <c r="D2949" s="30"/>
      <c r="E2949" s="30"/>
      <c r="F2949" s="10"/>
      <c r="G2949" s="10"/>
      <c r="H2949" s="15"/>
      <c r="I2949" s="15"/>
      <c r="J2949" s="15"/>
      <c r="K2949" s="15"/>
      <c r="L2949" s="15"/>
      <c r="M2949" s="15"/>
      <c r="N2949" s="15"/>
      <c r="O2949" s="15"/>
      <c r="P2949" s="15"/>
      <c r="Q2949" s="71"/>
      <c r="R2949" s="84"/>
      <c r="S2949" s="10"/>
      <c r="T2949" s="10"/>
      <c r="U2949" s="10"/>
      <c r="V2949" s="10"/>
      <c r="W2949" s="138"/>
      <c r="Y2949"/>
      <c r="Z2949"/>
      <c r="AA2949"/>
      <c r="AB2949"/>
      <c r="AC2949"/>
      <c r="AD2949"/>
      <c r="AE2949"/>
      <c r="AF2949"/>
      <c r="AG2949"/>
      <c r="AH2949"/>
      <c r="AI2949"/>
      <c r="AJ2949"/>
      <c r="AK2949"/>
      <c r="AL2949"/>
      <c r="AM2949"/>
      <c r="AN2949"/>
      <c r="AO2949"/>
    </row>
    <row r="2950" spans="1:41" ht="15">
      <c r="A2950"/>
      <c r="B2950"/>
      <c r="C2950" s="137"/>
      <c r="D2950" s="30"/>
      <c r="E2950" s="30"/>
      <c r="F2950" s="10"/>
      <c r="G2950" s="10"/>
      <c r="H2950" s="15"/>
      <c r="I2950" s="15"/>
      <c r="J2950" s="15"/>
      <c r="K2950" s="15"/>
      <c r="L2950" s="15"/>
      <c r="M2950" s="15"/>
      <c r="N2950" s="15"/>
      <c r="O2950" s="15"/>
      <c r="P2950" s="15"/>
      <c r="Q2950" s="71"/>
      <c r="R2950" s="84"/>
      <c r="S2950" s="10"/>
      <c r="T2950" s="10"/>
      <c r="U2950" s="10"/>
      <c r="V2950" s="10"/>
      <c r="W2950" s="138"/>
      <c r="Y2950"/>
      <c r="Z2950"/>
      <c r="AA2950"/>
      <c r="AB2950"/>
      <c r="AC2950"/>
      <c r="AD2950"/>
      <c r="AE2950"/>
      <c r="AF2950"/>
      <c r="AG2950"/>
      <c r="AH2950"/>
      <c r="AI2950"/>
      <c r="AJ2950"/>
      <c r="AK2950"/>
      <c r="AL2950"/>
      <c r="AM2950"/>
      <c r="AN2950"/>
      <c r="AO2950"/>
    </row>
    <row r="2951" spans="1:41" ht="15">
      <c r="A2951"/>
      <c r="B2951"/>
      <c r="C2951" s="137"/>
      <c r="D2951" s="30"/>
      <c r="E2951" s="30"/>
      <c r="F2951" s="10"/>
      <c r="G2951" s="10"/>
      <c r="H2951" s="15"/>
      <c r="I2951" s="15"/>
      <c r="J2951" s="15"/>
      <c r="K2951" s="15"/>
      <c r="L2951" s="15"/>
      <c r="M2951" s="15"/>
      <c r="N2951" s="15"/>
      <c r="O2951" s="15"/>
      <c r="P2951" s="15"/>
      <c r="Q2951" s="71"/>
      <c r="R2951" s="84"/>
      <c r="S2951" s="10"/>
      <c r="T2951" s="10"/>
      <c r="U2951" s="10"/>
      <c r="V2951" s="10"/>
      <c r="W2951" s="138"/>
      <c r="Y2951"/>
      <c r="Z2951"/>
      <c r="AA2951"/>
      <c r="AB2951"/>
      <c r="AC2951"/>
      <c r="AD2951"/>
      <c r="AE2951"/>
      <c r="AF2951"/>
      <c r="AG2951"/>
      <c r="AH2951"/>
      <c r="AI2951"/>
      <c r="AJ2951"/>
      <c r="AK2951"/>
      <c r="AL2951"/>
      <c r="AM2951"/>
      <c r="AN2951"/>
      <c r="AO2951"/>
    </row>
    <row r="2952" spans="1:41" ht="15">
      <c r="A2952"/>
      <c r="B2952"/>
      <c r="C2952" s="137"/>
      <c r="D2952" s="30"/>
      <c r="E2952" s="30"/>
      <c r="F2952" s="10"/>
      <c r="G2952" s="10"/>
      <c r="H2952" s="15"/>
      <c r="I2952" s="15"/>
      <c r="J2952" s="15"/>
      <c r="K2952" s="15"/>
      <c r="L2952" s="15"/>
      <c r="M2952" s="15"/>
      <c r="N2952" s="15"/>
      <c r="O2952" s="15"/>
      <c r="P2952" s="15"/>
      <c r="Q2952" s="71"/>
      <c r="R2952" s="84"/>
      <c r="S2952" s="10"/>
      <c r="T2952" s="10"/>
      <c r="U2952" s="10"/>
      <c r="V2952" s="10"/>
      <c r="W2952" s="138"/>
      <c r="Y2952"/>
      <c r="Z2952"/>
      <c r="AA2952"/>
      <c r="AB2952"/>
      <c r="AC2952"/>
      <c r="AD2952"/>
      <c r="AE2952"/>
      <c r="AF2952"/>
      <c r="AG2952"/>
      <c r="AH2952"/>
      <c r="AI2952"/>
      <c r="AJ2952"/>
      <c r="AK2952"/>
      <c r="AL2952"/>
      <c r="AM2952"/>
      <c r="AN2952"/>
      <c r="AO2952"/>
    </row>
    <row r="2953" spans="1:41" ht="15">
      <c r="A2953"/>
      <c r="B2953"/>
      <c r="C2953" s="137"/>
      <c r="D2953" s="30"/>
      <c r="E2953" s="30"/>
      <c r="F2953" s="10"/>
      <c r="G2953" s="10"/>
      <c r="H2953" s="15"/>
      <c r="I2953" s="15"/>
      <c r="J2953" s="15"/>
      <c r="K2953" s="15"/>
      <c r="L2953" s="15"/>
      <c r="M2953" s="15"/>
      <c r="N2953" s="15"/>
      <c r="O2953" s="15"/>
      <c r="P2953" s="15"/>
      <c r="Q2953" s="71"/>
      <c r="R2953" s="84"/>
      <c r="S2953" s="10"/>
      <c r="T2953" s="10"/>
      <c r="U2953" s="10"/>
      <c r="V2953" s="10"/>
      <c r="W2953" s="138"/>
      <c r="Y2953"/>
      <c r="Z2953"/>
      <c r="AA2953"/>
      <c r="AB2953"/>
      <c r="AC2953"/>
      <c r="AD2953"/>
      <c r="AE2953"/>
      <c r="AF2953"/>
      <c r="AG2953"/>
      <c r="AH2953"/>
      <c r="AI2953"/>
      <c r="AJ2953"/>
      <c r="AK2953"/>
      <c r="AL2953"/>
      <c r="AM2953"/>
      <c r="AN2953"/>
      <c r="AO2953"/>
    </row>
    <row r="2954" spans="1:41" ht="15">
      <c r="A2954"/>
      <c r="B2954"/>
      <c r="C2954" s="137"/>
      <c r="D2954" s="30"/>
      <c r="E2954" s="30"/>
      <c r="F2954" s="10"/>
      <c r="G2954" s="10"/>
      <c r="H2954" s="15"/>
      <c r="I2954" s="15"/>
      <c r="J2954" s="15"/>
      <c r="K2954" s="15"/>
      <c r="L2954" s="15"/>
      <c r="M2954" s="15"/>
      <c r="N2954" s="15"/>
      <c r="O2954" s="15"/>
      <c r="P2954" s="15"/>
      <c r="Q2954" s="71"/>
      <c r="R2954" s="84"/>
      <c r="S2954" s="10"/>
      <c r="T2954" s="10"/>
      <c r="U2954" s="10"/>
      <c r="V2954" s="10"/>
      <c r="W2954" s="138"/>
      <c r="Y2954"/>
      <c r="Z2954"/>
      <c r="AA2954"/>
      <c r="AB2954"/>
      <c r="AC2954"/>
      <c r="AD2954"/>
      <c r="AE2954"/>
      <c r="AF2954"/>
      <c r="AG2954"/>
      <c r="AH2954"/>
      <c r="AI2954"/>
      <c r="AJ2954"/>
      <c r="AK2954"/>
      <c r="AL2954"/>
      <c r="AM2954"/>
      <c r="AN2954"/>
      <c r="AO2954"/>
    </row>
    <row r="2955" spans="1:41" ht="15">
      <c r="A2955"/>
      <c r="B2955"/>
      <c r="C2955" s="137"/>
      <c r="D2955" s="30"/>
      <c r="E2955" s="30"/>
      <c r="F2955" s="10"/>
      <c r="G2955" s="10"/>
      <c r="H2955" s="15"/>
      <c r="I2955" s="15"/>
      <c r="J2955" s="15"/>
      <c r="K2955" s="15"/>
      <c r="L2955" s="15"/>
      <c r="M2955" s="15"/>
      <c r="N2955" s="15"/>
      <c r="O2955" s="15"/>
      <c r="P2955" s="15"/>
      <c r="Q2955" s="71"/>
      <c r="R2955" s="84"/>
      <c r="S2955" s="10"/>
      <c r="T2955" s="10"/>
      <c r="U2955" s="10"/>
      <c r="V2955" s="10"/>
      <c r="W2955" s="138"/>
      <c r="Y2955"/>
      <c r="Z2955"/>
      <c r="AA2955"/>
      <c r="AB2955"/>
      <c r="AC2955"/>
      <c r="AD2955"/>
      <c r="AE2955"/>
      <c r="AF2955"/>
      <c r="AG2955"/>
      <c r="AH2955"/>
      <c r="AI2955"/>
      <c r="AJ2955"/>
      <c r="AK2955"/>
      <c r="AL2955"/>
      <c r="AM2955"/>
      <c r="AN2955"/>
      <c r="AO2955"/>
    </row>
    <row r="2956" spans="1:41" ht="15">
      <c r="A2956"/>
      <c r="B2956"/>
      <c r="C2956" s="137"/>
      <c r="D2956" s="30"/>
      <c r="E2956" s="30"/>
      <c r="F2956" s="10"/>
      <c r="G2956" s="10"/>
      <c r="H2956" s="15"/>
      <c r="I2956" s="15"/>
      <c r="J2956" s="15"/>
      <c r="K2956" s="15"/>
      <c r="L2956" s="15"/>
      <c r="M2956" s="15"/>
      <c r="N2956" s="15"/>
      <c r="O2956" s="15"/>
      <c r="P2956" s="15"/>
      <c r="Q2956" s="71"/>
      <c r="R2956" s="84"/>
      <c r="S2956" s="10"/>
      <c r="T2956" s="10"/>
      <c r="U2956" s="10"/>
      <c r="V2956" s="10"/>
      <c r="W2956" s="138"/>
      <c r="Y2956"/>
      <c r="Z2956"/>
      <c r="AA2956"/>
      <c r="AB2956"/>
      <c r="AC2956"/>
      <c r="AD2956"/>
      <c r="AE2956"/>
      <c r="AF2956"/>
      <c r="AG2956"/>
      <c r="AH2956"/>
      <c r="AI2956"/>
      <c r="AJ2956"/>
      <c r="AK2956"/>
      <c r="AL2956"/>
      <c r="AM2956"/>
      <c r="AN2956"/>
      <c r="AO2956"/>
    </row>
    <row r="2957" spans="1:41" ht="15">
      <c r="A2957"/>
      <c r="B2957"/>
      <c r="C2957" s="137"/>
      <c r="D2957" s="30"/>
      <c r="E2957" s="30"/>
      <c r="F2957" s="10"/>
      <c r="G2957" s="10"/>
      <c r="H2957" s="15"/>
      <c r="I2957" s="15"/>
      <c r="J2957" s="15"/>
      <c r="K2957" s="15"/>
      <c r="L2957" s="15"/>
      <c r="M2957" s="15"/>
      <c r="N2957" s="15"/>
      <c r="O2957" s="15"/>
      <c r="P2957" s="15"/>
      <c r="Q2957" s="71"/>
      <c r="R2957" s="84"/>
      <c r="S2957" s="10"/>
      <c r="T2957" s="10"/>
      <c r="U2957" s="10"/>
      <c r="V2957" s="10"/>
      <c r="W2957" s="138"/>
      <c r="Y2957"/>
      <c r="Z2957"/>
      <c r="AA2957"/>
      <c r="AB2957"/>
      <c r="AC2957"/>
      <c r="AD2957"/>
      <c r="AE2957"/>
      <c r="AF2957"/>
      <c r="AG2957"/>
      <c r="AH2957"/>
      <c r="AI2957"/>
      <c r="AJ2957"/>
      <c r="AK2957"/>
      <c r="AL2957"/>
      <c r="AM2957"/>
      <c r="AN2957"/>
      <c r="AO2957"/>
    </row>
    <row r="2958" spans="1:41" ht="15">
      <c r="A2958"/>
      <c r="B2958"/>
      <c r="C2958" s="137"/>
      <c r="D2958" s="30"/>
      <c r="E2958" s="30"/>
      <c r="F2958" s="10"/>
      <c r="G2958" s="10"/>
      <c r="H2958" s="15"/>
      <c r="I2958" s="15"/>
      <c r="J2958" s="15"/>
      <c r="K2958" s="15"/>
      <c r="L2958" s="15"/>
      <c r="M2958" s="15"/>
      <c r="N2958" s="15"/>
      <c r="O2958" s="15"/>
      <c r="P2958" s="15"/>
      <c r="Q2958" s="71"/>
      <c r="R2958" s="84"/>
      <c r="S2958" s="10"/>
      <c r="T2958" s="10"/>
      <c r="U2958" s="10"/>
      <c r="V2958" s="10"/>
      <c r="W2958" s="138"/>
      <c r="Y2958"/>
      <c r="Z2958"/>
      <c r="AA2958"/>
      <c r="AB2958"/>
      <c r="AC2958"/>
      <c r="AD2958"/>
      <c r="AE2958"/>
      <c r="AF2958"/>
      <c r="AG2958"/>
      <c r="AH2958"/>
      <c r="AI2958"/>
      <c r="AJ2958"/>
      <c r="AK2958"/>
      <c r="AL2958"/>
      <c r="AM2958"/>
      <c r="AN2958"/>
      <c r="AO2958"/>
    </row>
    <row r="2959" spans="1:41" ht="15">
      <c r="A2959"/>
      <c r="B2959"/>
      <c r="C2959" s="137"/>
      <c r="D2959" s="30"/>
      <c r="E2959" s="30"/>
      <c r="F2959" s="10"/>
      <c r="G2959" s="10"/>
      <c r="H2959" s="15"/>
      <c r="I2959" s="15"/>
      <c r="J2959" s="15"/>
      <c r="K2959" s="15"/>
      <c r="L2959" s="15"/>
      <c r="M2959" s="15"/>
      <c r="N2959" s="15"/>
      <c r="O2959" s="15"/>
      <c r="P2959" s="15"/>
      <c r="Q2959" s="71"/>
      <c r="R2959" s="84"/>
      <c r="S2959" s="10"/>
      <c r="T2959" s="10"/>
      <c r="U2959" s="10"/>
      <c r="V2959" s="10"/>
      <c r="W2959" s="138"/>
      <c r="Y2959"/>
      <c r="Z2959"/>
      <c r="AA2959"/>
      <c r="AB2959"/>
      <c r="AC2959"/>
      <c r="AD2959"/>
      <c r="AE2959"/>
      <c r="AF2959"/>
      <c r="AG2959"/>
      <c r="AH2959"/>
      <c r="AI2959"/>
      <c r="AJ2959"/>
      <c r="AK2959"/>
      <c r="AL2959"/>
      <c r="AM2959"/>
      <c r="AN2959"/>
      <c r="AO2959"/>
    </row>
    <row r="2960" spans="1:41" ht="15">
      <c r="A2960"/>
      <c r="B2960"/>
      <c r="C2960" s="137"/>
      <c r="D2960" s="30"/>
      <c r="E2960" s="30"/>
      <c r="F2960" s="10"/>
      <c r="G2960" s="10"/>
      <c r="H2960" s="15"/>
      <c r="I2960" s="15"/>
      <c r="J2960" s="15"/>
      <c r="K2960" s="15"/>
      <c r="L2960" s="15"/>
      <c r="M2960" s="15"/>
      <c r="N2960" s="15"/>
      <c r="O2960" s="15"/>
      <c r="P2960" s="15"/>
      <c r="Q2960" s="71"/>
      <c r="R2960" s="84"/>
      <c r="S2960" s="10"/>
      <c r="T2960" s="10"/>
      <c r="U2960" s="10"/>
      <c r="V2960" s="10"/>
      <c r="W2960" s="138"/>
      <c r="Y2960"/>
      <c r="Z2960"/>
      <c r="AA2960"/>
      <c r="AB2960"/>
      <c r="AC2960"/>
      <c r="AD2960"/>
      <c r="AE2960"/>
      <c r="AF2960"/>
      <c r="AG2960"/>
      <c r="AH2960"/>
      <c r="AI2960"/>
      <c r="AJ2960"/>
      <c r="AK2960"/>
      <c r="AL2960"/>
      <c r="AM2960"/>
      <c r="AN2960"/>
      <c r="AO2960"/>
    </row>
    <row r="2961" spans="1:41" ht="15">
      <c r="A2961"/>
      <c r="B2961"/>
      <c r="C2961" s="137"/>
      <c r="D2961" s="30"/>
      <c r="E2961" s="30"/>
      <c r="F2961" s="10"/>
      <c r="G2961" s="10"/>
      <c r="H2961" s="15"/>
      <c r="I2961" s="15"/>
      <c r="J2961" s="15"/>
      <c r="K2961" s="15"/>
      <c r="L2961" s="15"/>
      <c r="M2961" s="15"/>
      <c r="N2961" s="15"/>
      <c r="O2961" s="15"/>
      <c r="P2961" s="15"/>
      <c r="Q2961" s="71"/>
      <c r="R2961" s="84"/>
      <c r="S2961" s="10"/>
      <c r="T2961" s="10"/>
      <c r="U2961" s="10"/>
      <c r="V2961" s="10"/>
      <c r="W2961" s="138"/>
      <c r="Y2961"/>
      <c r="Z2961"/>
      <c r="AA2961"/>
      <c r="AB2961"/>
      <c r="AC2961"/>
      <c r="AD2961"/>
      <c r="AE2961"/>
      <c r="AF2961"/>
      <c r="AG2961"/>
      <c r="AH2961"/>
      <c r="AI2961"/>
      <c r="AJ2961"/>
      <c r="AK2961"/>
      <c r="AL2961"/>
      <c r="AM2961"/>
      <c r="AN2961"/>
      <c r="AO2961"/>
    </row>
    <row r="2962" spans="1:41" ht="15">
      <c r="A2962"/>
      <c r="B2962"/>
      <c r="C2962" s="137"/>
      <c r="D2962" s="30"/>
      <c r="E2962" s="30"/>
      <c r="F2962" s="10"/>
      <c r="G2962" s="10"/>
      <c r="H2962" s="15"/>
      <c r="I2962" s="15"/>
      <c r="J2962" s="15"/>
      <c r="K2962" s="15"/>
      <c r="L2962" s="15"/>
      <c r="M2962" s="15"/>
      <c r="N2962" s="15"/>
      <c r="O2962" s="15"/>
      <c r="P2962" s="15"/>
      <c r="Q2962" s="71"/>
      <c r="R2962" s="84"/>
      <c r="S2962" s="10"/>
      <c r="T2962" s="10"/>
      <c r="U2962" s="10"/>
      <c r="V2962" s="10"/>
      <c r="W2962" s="138"/>
      <c r="Y2962"/>
      <c r="Z2962"/>
      <c r="AA2962"/>
      <c r="AB2962"/>
      <c r="AC2962"/>
      <c r="AD2962"/>
      <c r="AE2962"/>
      <c r="AF2962"/>
      <c r="AG2962"/>
      <c r="AH2962"/>
      <c r="AI2962"/>
      <c r="AJ2962"/>
      <c r="AK2962"/>
      <c r="AL2962"/>
      <c r="AM2962"/>
      <c r="AN2962"/>
      <c r="AO2962"/>
    </row>
    <row r="2963" spans="1:41" ht="15">
      <c r="A2963"/>
      <c r="B2963"/>
      <c r="C2963" s="137"/>
      <c r="D2963" s="30"/>
      <c r="E2963" s="30"/>
      <c r="F2963" s="10"/>
      <c r="G2963" s="10"/>
      <c r="H2963" s="15"/>
      <c r="I2963" s="15"/>
      <c r="J2963" s="15"/>
      <c r="K2963" s="15"/>
      <c r="L2963" s="15"/>
      <c r="M2963" s="15"/>
      <c r="N2963" s="15"/>
      <c r="O2963" s="15"/>
      <c r="P2963" s="15"/>
      <c r="Q2963" s="71"/>
      <c r="R2963" s="84"/>
      <c r="S2963" s="10"/>
      <c r="T2963" s="10"/>
      <c r="U2963" s="10"/>
      <c r="V2963" s="10"/>
      <c r="W2963" s="138"/>
      <c r="Y2963"/>
      <c r="Z2963"/>
      <c r="AA2963"/>
      <c r="AB2963"/>
      <c r="AC2963"/>
      <c r="AD2963"/>
      <c r="AE2963"/>
      <c r="AF2963"/>
      <c r="AG2963"/>
      <c r="AH2963"/>
      <c r="AI2963"/>
      <c r="AJ2963"/>
      <c r="AK2963"/>
      <c r="AL2963"/>
      <c r="AM2963"/>
      <c r="AN2963"/>
      <c r="AO2963"/>
    </row>
    <row r="2964" spans="1:41" ht="15">
      <c r="A2964"/>
      <c r="B2964"/>
      <c r="C2964" s="137"/>
      <c r="D2964" s="30"/>
      <c r="E2964" s="30"/>
      <c r="F2964" s="10"/>
      <c r="G2964" s="10"/>
      <c r="H2964" s="15"/>
      <c r="I2964" s="15"/>
      <c r="J2964" s="15"/>
      <c r="K2964" s="15"/>
      <c r="L2964" s="15"/>
      <c r="M2964" s="15"/>
      <c r="N2964" s="15"/>
      <c r="O2964" s="15"/>
      <c r="P2964" s="15"/>
      <c r="Q2964" s="71"/>
      <c r="R2964" s="84"/>
      <c r="S2964" s="10"/>
      <c r="T2964" s="10"/>
      <c r="U2964" s="10"/>
      <c r="V2964" s="10"/>
      <c r="W2964" s="138"/>
      <c r="Y2964"/>
      <c r="Z2964"/>
      <c r="AA2964"/>
      <c r="AB2964"/>
      <c r="AC2964"/>
      <c r="AD2964"/>
      <c r="AE2964"/>
      <c r="AF2964"/>
      <c r="AG2964"/>
      <c r="AH2964"/>
      <c r="AI2964"/>
      <c r="AJ2964"/>
      <c r="AK2964"/>
      <c r="AL2964"/>
      <c r="AM2964"/>
      <c r="AN2964"/>
      <c r="AO2964"/>
    </row>
    <row r="2965" spans="1:41" ht="15">
      <c r="A2965"/>
      <c r="B2965"/>
      <c r="C2965" s="137"/>
      <c r="D2965" s="30"/>
      <c r="E2965" s="30"/>
      <c r="F2965" s="10"/>
      <c r="G2965" s="10"/>
      <c r="H2965" s="15"/>
      <c r="I2965" s="15"/>
      <c r="J2965" s="15"/>
      <c r="K2965" s="15"/>
      <c r="L2965" s="15"/>
      <c r="M2965" s="15"/>
      <c r="N2965" s="15"/>
      <c r="O2965" s="15"/>
      <c r="P2965" s="15"/>
      <c r="Q2965" s="71"/>
      <c r="R2965" s="84"/>
      <c r="S2965" s="10"/>
      <c r="T2965" s="10"/>
      <c r="U2965" s="10"/>
      <c r="V2965" s="10"/>
      <c r="W2965" s="138"/>
      <c r="Y2965"/>
      <c r="Z2965"/>
      <c r="AA2965"/>
      <c r="AB2965"/>
      <c r="AC2965"/>
      <c r="AD2965"/>
      <c r="AE2965"/>
      <c r="AF2965"/>
      <c r="AG2965"/>
      <c r="AH2965"/>
      <c r="AI2965"/>
      <c r="AJ2965"/>
      <c r="AK2965"/>
      <c r="AL2965"/>
      <c r="AM2965"/>
      <c r="AN2965"/>
      <c r="AO2965"/>
    </row>
    <row r="2966" spans="1:41" ht="15">
      <c r="A2966"/>
      <c r="B2966"/>
      <c r="C2966" s="137"/>
      <c r="D2966" s="30"/>
      <c r="E2966" s="30"/>
      <c r="F2966" s="10"/>
      <c r="G2966" s="10"/>
      <c r="H2966" s="15"/>
      <c r="I2966" s="15"/>
      <c r="J2966" s="15"/>
      <c r="K2966" s="15"/>
      <c r="L2966" s="15"/>
      <c r="M2966" s="15"/>
      <c r="N2966" s="15"/>
      <c r="O2966" s="15"/>
      <c r="P2966" s="15"/>
      <c r="Q2966" s="71"/>
      <c r="R2966" s="84"/>
      <c r="S2966" s="10"/>
      <c r="T2966" s="10"/>
      <c r="U2966" s="10"/>
      <c r="V2966" s="10"/>
      <c r="W2966" s="138"/>
      <c r="Y2966"/>
      <c r="Z2966"/>
      <c r="AA2966"/>
      <c r="AB2966"/>
      <c r="AC2966"/>
      <c r="AD2966"/>
      <c r="AE2966"/>
      <c r="AF2966"/>
      <c r="AG2966"/>
      <c r="AH2966"/>
      <c r="AI2966"/>
      <c r="AJ2966"/>
      <c r="AK2966"/>
      <c r="AL2966"/>
      <c r="AM2966"/>
      <c r="AN2966"/>
      <c r="AO2966"/>
    </row>
    <row r="2967" spans="1:41" ht="15">
      <c r="A2967"/>
      <c r="B2967"/>
      <c r="C2967" s="137"/>
      <c r="D2967" s="30"/>
      <c r="E2967" s="30"/>
      <c r="F2967" s="10"/>
      <c r="G2967" s="10"/>
      <c r="H2967" s="15"/>
      <c r="I2967" s="15"/>
      <c r="J2967" s="15"/>
      <c r="K2967" s="15"/>
      <c r="L2967" s="15"/>
      <c r="M2967" s="15"/>
      <c r="N2967" s="15"/>
      <c r="O2967" s="15"/>
      <c r="P2967" s="15"/>
      <c r="Q2967" s="71"/>
      <c r="R2967" s="84"/>
      <c r="S2967" s="10"/>
      <c r="T2967" s="10"/>
      <c r="U2967" s="10"/>
      <c r="V2967" s="10"/>
      <c r="W2967" s="138"/>
      <c r="Y2967"/>
      <c r="Z2967"/>
      <c r="AA2967"/>
      <c r="AB2967"/>
      <c r="AC2967"/>
      <c r="AD2967"/>
      <c r="AE2967"/>
      <c r="AF2967"/>
      <c r="AG2967"/>
      <c r="AH2967"/>
      <c r="AI2967"/>
      <c r="AJ2967"/>
      <c r="AK2967"/>
      <c r="AL2967"/>
      <c r="AM2967"/>
      <c r="AN2967"/>
      <c r="AO2967"/>
    </row>
    <row r="2968" spans="1:41" ht="15">
      <c r="A2968"/>
      <c r="B2968"/>
      <c r="C2968" s="137"/>
      <c r="D2968" s="30"/>
      <c r="E2968" s="30"/>
      <c r="F2968" s="10"/>
      <c r="G2968" s="10"/>
      <c r="H2968" s="15"/>
      <c r="I2968" s="15"/>
      <c r="J2968" s="15"/>
      <c r="K2968" s="15"/>
      <c r="L2968" s="15"/>
      <c r="M2968" s="15"/>
      <c r="N2968" s="15"/>
      <c r="O2968" s="15"/>
      <c r="P2968" s="15"/>
      <c r="Q2968" s="71"/>
      <c r="R2968" s="84"/>
      <c r="S2968" s="10"/>
      <c r="T2968" s="10"/>
      <c r="U2968" s="10"/>
      <c r="V2968" s="10"/>
      <c r="W2968" s="138"/>
      <c r="Y2968"/>
      <c r="Z2968"/>
      <c r="AA2968"/>
      <c r="AB2968"/>
      <c r="AC2968"/>
      <c r="AD2968"/>
      <c r="AE2968"/>
      <c r="AF2968"/>
      <c r="AG2968"/>
      <c r="AH2968"/>
      <c r="AI2968"/>
      <c r="AJ2968"/>
      <c r="AK2968"/>
      <c r="AL2968"/>
      <c r="AM2968"/>
      <c r="AN2968"/>
      <c r="AO2968"/>
    </row>
    <row r="2969" spans="1:41" ht="15">
      <c r="A2969"/>
      <c r="B2969"/>
      <c r="C2969" s="137"/>
      <c r="D2969" s="30"/>
      <c r="E2969" s="30"/>
      <c r="F2969" s="10"/>
      <c r="G2969" s="10"/>
      <c r="H2969" s="15"/>
      <c r="I2969" s="15"/>
      <c r="J2969" s="15"/>
      <c r="K2969" s="15"/>
      <c r="L2969" s="15"/>
      <c r="M2969" s="15"/>
      <c r="N2969" s="15"/>
      <c r="O2969" s="15"/>
      <c r="P2969" s="15"/>
      <c r="Q2969" s="71"/>
      <c r="R2969" s="84"/>
      <c r="S2969" s="10"/>
      <c r="T2969" s="10"/>
      <c r="U2969" s="10"/>
      <c r="V2969" s="10"/>
      <c r="W2969" s="138"/>
      <c r="Y2969"/>
      <c r="Z2969"/>
      <c r="AA2969"/>
      <c r="AB2969"/>
      <c r="AC2969"/>
      <c r="AD2969"/>
      <c r="AE2969"/>
      <c r="AF2969"/>
      <c r="AG2969"/>
      <c r="AH2969"/>
      <c r="AI2969"/>
      <c r="AJ2969"/>
      <c r="AK2969"/>
      <c r="AL2969"/>
      <c r="AM2969"/>
      <c r="AN2969"/>
      <c r="AO2969"/>
    </row>
    <row r="2970" spans="1:41" ht="15">
      <c r="A2970"/>
      <c r="B2970"/>
      <c r="C2970" s="137"/>
      <c r="D2970" s="30"/>
      <c r="E2970" s="30"/>
      <c r="F2970" s="10"/>
      <c r="G2970" s="10"/>
      <c r="H2970" s="15"/>
      <c r="I2970" s="15"/>
      <c r="J2970" s="15"/>
      <c r="K2970" s="15"/>
      <c r="L2970" s="15"/>
      <c r="M2970" s="15"/>
      <c r="N2970" s="15"/>
      <c r="O2970" s="15"/>
      <c r="P2970" s="15"/>
      <c r="Q2970" s="71"/>
      <c r="R2970" s="84"/>
      <c r="S2970" s="10"/>
      <c r="T2970" s="10"/>
      <c r="U2970" s="10"/>
      <c r="V2970" s="10"/>
      <c r="W2970" s="138"/>
      <c r="Y2970"/>
      <c r="Z2970"/>
      <c r="AA2970"/>
      <c r="AB2970"/>
      <c r="AC2970"/>
      <c r="AD2970"/>
      <c r="AE2970"/>
      <c r="AF2970"/>
      <c r="AG2970"/>
      <c r="AH2970"/>
      <c r="AI2970"/>
      <c r="AJ2970"/>
      <c r="AK2970"/>
      <c r="AL2970"/>
      <c r="AM2970"/>
      <c r="AN2970"/>
      <c r="AO2970"/>
    </row>
    <row r="2971" spans="1:41" ht="15">
      <c r="A2971"/>
      <c r="B2971"/>
      <c r="C2971" s="137"/>
      <c r="D2971" s="30"/>
      <c r="E2971" s="30"/>
      <c r="F2971" s="10"/>
      <c r="G2971" s="10"/>
      <c r="H2971" s="15"/>
      <c r="I2971" s="15"/>
      <c r="J2971" s="15"/>
      <c r="K2971" s="15"/>
      <c r="L2971" s="15"/>
      <c r="M2971" s="15"/>
      <c r="N2971" s="15"/>
      <c r="O2971" s="15"/>
      <c r="P2971" s="15"/>
      <c r="Q2971" s="71"/>
      <c r="R2971" s="84"/>
      <c r="S2971" s="10"/>
      <c r="T2971" s="10"/>
      <c r="U2971" s="10"/>
      <c r="V2971" s="10"/>
      <c r="W2971" s="138"/>
      <c r="Y2971"/>
      <c r="Z2971"/>
      <c r="AA2971"/>
      <c r="AB2971"/>
      <c r="AC2971"/>
      <c r="AD2971"/>
      <c r="AE2971"/>
      <c r="AF2971"/>
      <c r="AG2971"/>
      <c r="AH2971"/>
      <c r="AI2971"/>
      <c r="AJ2971"/>
      <c r="AK2971"/>
      <c r="AL2971"/>
      <c r="AM2971"/>
      <c r="AN2971"/>
      <c r="AO2971"/>
    </row>
    <row r="2972" spans="1:41" ht="15">
      <c r="A2972"/>
      <c r="B2972"/>
      <c r="C2972" s="137"/>
      <c r="D2972" s="30"/>
      <c r="E2972" s="30"/>
      <c r="F2972" s="10"/>
      <c r="G2972" s="10"/>
      <c r="H2972" s="15"/>
      <c r="I2972" s="15"/>
      <c r="J2972" s="15"/>
      <c r="K2972" s="15"/>
      <c r="L2972" s="15"/>
      <c r="M2972" s="15"/>
      <c r="N2972" s="15"/>
      <c r="O2972" s="15"/>
      <c r="P2972" s="15"/>
      <c r="Q2972" s="71"/>
      <c r="R2972" s="84"/>
      <c r="S2972" s="10"/>
      <c r="T2972" s="10"/>
      <c r="U2972" s="10"/>
      <c r="V2972" s="10"/>
      <c r="W2972" s="138"/>
      <c r="Y2972"/>
      <c r="Z2972"/>
      <c r="AA2972"/>
      <c r="AB2972"/>
      <c r="AC2972"/>
      <c r="AD2972"/>
      <c r="AE2972"/>
      <c r="AF2972"/>
      <c r="AG2972"/>
      <c r="AH2972"/>
      <c r="AI2972"/>
      <c r="AJ2972"/>
      <c r="AK2972"/>
      <c r="AL2972"/>
      <c r="AM2972"/>
      <c r="AN2972"/>
      <c r="AO2972"/>
    </row>
    <row r="2973" spans="1:41" ht="15">
      <c r="A2973"/>
      <c r="B2973"/>
      <c r="C2973" s="137"/>
      <c r="D2973" s="30"/>
      <c r="E2973" s="30"/>
      <c r="F2973" s="10"/>
      <c r="G2973" s="10"/>
      <c r="H2973" s="15"/>
      <c r="I2973" s="15"/>
      <c r="J2973" s="15"/>
      <c r="K2973" s="15"/>
      <c r="L2973" s="15"/>
      <c r="M2973" s="15"/>
      <c r="N2973" s="15"/>
      <c r="O2973" s="15"/>
      <c r="P2973" s="15"/>
      <c r="Q2973" s="71"/>
      <c r="R2973" s="84"/>
      <c r="S2973" s="10"/>
      <c r="T2973" s="10"/>
      <c r="U2973" s="10"/>
      <c r="V2973" s="10"/>
      <c r="W2973" s="138"/>
      <c r="Y2973"/>
      <c r="Z2973"/>
      <c r="AA2973"/>
      <c r="AB2973"/>
      <c r="AC2973"/>
      <c r="AD2973"/>
      <c r="AE2973"/>
      <c r="AF2973"/>
      <c r="AG2973"/>
      <c r="AH2973"/>
      <c r="AI2973"/>
      <c r="AJ2973"/>
      <c r="AK2973"/>
      <c r="AL2973"/>
      <c r="AM2973"/>
      <c r="AN2973"/>
      <c r="AO2973"/>
    </row>
    <row r="2974" spans="1:41" ht="15">
      <c r="A2974"/>
      <c r="B2974"/>
      <c r="C2974" s="137"/>
      <c r="D2974" s="30"/>
      <c r="E2974" s="30"/>
      <c r="F2974" s="10"/>
      <c r="G2974" s="10"/>
      <c r="H2974" s="15"/>
      <c r="I2974" s="15"/>
      <c r="J2974" s="15"/>
      <c r="K2974" s="15"/>
      <c r="L2974" s="15"/>
      <c r="M2974" s="15"/>
      <c r="N2974" s="15"/>
      <c r="O2974" s="15"/>
      <c r="P2974" s="15"/>
      <c r="Q2974" s="71"/>
      <c r="R2974" s="84"/>
      <c r="S2974" s="10"/>
      <c r="T2974" s="10"/>
      <c r="U2974" s="10"/>
      <c r="V2974" s="10"/>
      <c r="W2974" s="138"/>
      <c r="Y2974"/>
      <c r="Z2974"/>
      <c r="AA2974"/>
      <c r="AB2974"/>
      <c r="AC2974"/>
      <c r="AD2974"/>
      <c r="AE2974"/>
      <c r="AF2974"/>
      <c r="AG2974"/>
      <c r="AH2974"/>
      <c r="AI2974"/>
      <c r="AJ2974"/>
      <c r="AK2974"/>
      <c r="AL2974"/>
      <c r="AM2974"/>
      <c r="AN2974"/>
      <c r="AO2974"/>
    </row>
    <row r="2975" spans="1:41" ht="15">
      <c r="A2975"/>
      <c r="B2975"/>
      <c r="C2975" s="137"/>
      <c r="D2975" s="30"/>
      <c r="E2975" s="30"/>
      <c r="F2975" s="10"/>
      <c r="G2975" s="10"/>
      <c r="H2975" s="15"/>
      <c r="I2975" s="15"/>
      <c r="J2975" s="15"/>
      <c r="K2975" s="15"/>
      <c r="L2975" s="15"/>
      <c r="M2975" s="15"/>
      <c r="N2975" s="15"/>
      <c r="O2975" s="15"/>
      <c r="P2975" s="15"/>
      <c r="Q2975" s="71"/>
      <c r="R2975" s="84"/>
      <c r="S2975" s="10"/>
      <c r="T2975" s="10"/>
      <c r="U2975" s="10"/>
      <c r="V2975" s="10"/>
      <c r="W2975" s="138"/>
      <c r="Y2975"/>
      <c r="Z2975"/>
      <c r="AA2975"/>
      <c r="AB2975"/>
      <c r="AC2975"/>
      <c r="AD2975"/>
      <c r="AE2975"/>
      <c r="AF2975"/>
      <c r="AG2975"/>
      <c r="AH2975"/>
      <c r="AI2975"/>
      <c r="AJ2975"/>
      <c r="AK2975"/>
      <c r="AL2975"/>
      <c r="AM2975"/>
      <c r="AN2975"/>
      <c r="AO2975"/>
    </row>
    <row r="2976" spans="1:41" ht="15">
      <c r="A2976"/>
      <c r="B2976"/>
      <c r="C2976" s="137"/>
      <c r="D2976" s="30"/>
      <c r="E2976" s="30"/>
      <c r="F2976" s="10"/>
      <c r="G2976" s="10"/>
      <c r="H2976" s="15"/>
      <c r="I2976" s="15"/>
      <c r="J2976" s="15"/>
      <c r="K2976" s="15"/>
      <c r="L2976" s="15"/>
      <c r="M2976" s="15"/>
      <c r="N2976" s="15"/>
      <c r="O2976" s="15"/>
      <c r="P2976" s="15"/>
      <c r="Q2976" s="71"/>
      <c r="R2976" s="84"/>
      <c r="S2976" s="10"/>
      <c r="T2976" s="10"/>
      <c r="U2976" s="10"/>
      <c r="V2976" s="10"/>
      <c r="W2976" s="138"/>
      <c r="Y2976"/>
      <c r="Z2976"/>
      <c r="AA2976"/>
      <c r="AB2976"/>
      <c r="AC2976"/>
      <c r="AD2976"/>
      <c r="AE2976"/>
      <c r="AF2976"/>
      <c r="AG2976"/>
      <c r="AH2976"/>
      <c r="AI2976"/>
      <c r="AJ2976"/>
      <c r="AK2976"/>
      <c r="AL2976"/>
      <c r="AM2976"/>
      <c r="AN2976"/>
      <c r="AO2976"/>
    </row>
    <row r="2977" spans="1:41" ht="15">
      <c r="A2977"/>
      <c r="B2977"/>
      <c r="C2977" s="137"/>
      <c r="D2977" s="30"/>
      <c r="E2977" s="30"/>
      <c r="F2977" s="10"/>
      <c r="G2977" s="10"/>
      <c r="H2977" s="15"/>
      <c r="I2977" s="15"/>
      <c r="J2977" s="15"/>
      <c r="K2977" s="15"/>
      <c r="L2977" s="15"/>
      <c r="M2977" s="15"/>
      <c r="N2977" s="15"/>
      <c r="O2977" s="15"/>
      <c r="P2977" s="15"/>
      <c r="Q2977" s="71"/>
      <c r="R2977" s="84"/>
      <c r="S2977" s="10"/>
      <c r="T2977" s="10"/>
      <c r="U2977" s="10"/>
      <c r="V2977" s="10"/>
      <c r="W2977" s="138"/>
      <c r="Y2977"/>
      <c r="Z2977"/>
      <c r="AA2977"/>
      <c r="AB2977"/>
      <c r="AC2977"/>
      <c r="AD2977"/>
      <c r="AE2977"/>
      <c r="AF2977"/>
      <c r="AG2977"/>
      <c r="AH2977"/>
      <c r="AI2977"/>
      <c r="AJ2977"/>
      <c r="AK2977"/>
      <c r="AL2977"/>
      <c r="AM2977"/>
      <c r="AN2977"/>
      <c r="AO2977"/>
    </row>
    <row r="2978" spans="1:41" ht="15">
      <c r="A2978"/>
      <c r="B2978"/>
      <c r="C2978" s="137"/>
      <c r="D2978" s="30"/>
      <c r="E2978" s="30"/>
      <c r="F2978" s="10"/>
      <c r="G2978" s="10"/>
      <c r="H2978" s="15"/>
      <c r="I2978" s="15"/>
      <c r="J2978" s="15"/>
      <c r="K2978" s="15"/>
      <c r="L2978" s="15"/>
      <c r="M2978" s="15"/>
      <c r="N2978" s="15"/>
      <c r="O2978" s="15"/>
      <c r="P2978" s="15"/>
      <c r="Q2978" s="71"/>
      <c r="R2978" s="84"/>
      <c r="S2978" s="10"/>
      <c r="T2978" s="10"/>
      <c r="U2978" s="10"/>
      <c r="V2978" s="10"/>
      <c r="W2978" s="138"/>
      <c r="Y2978"/>
      <c r="Z2978"/>
      <c r="AA2978"/>
      <c r="AB2978"/>
      <c r="AC2978"/>
      <c r="AD2978"/>
      <c r="AE2978"/>
      <c r="AF2978"/>
      <c r="AG2978"/>
      <c r="AH2978"/>
      <c r="AI2978"/>
      <c r="AJ2978"/>
      <c r="AK2978"/>
      <c r="AL2978"/>
      <c r="AM2978"/>
      <c r="AN2978"/>
      <c r="AO2978"/>
    </row>
    <row r="2979" spans="1:41" ht="15">
      <c r="A2979"/>
      <c r="B2979"/>
      <c r="C2979" s="137"/>
      <c r="D2979" s="30"/>
      <c r="E2979" s="30"/>
      <c r="F2979" s="10"/>
      <c r="G2979" s="10"/>
      <c r="H2979" s="15"/>
      <c r="I2979" s="15"/>
      <c r="J2979" s="15"/>
      <c r="K2979" s="15"/>
      <c r="L2979" s="15"/>
      <c r="M2979" s="15"/>
      <c r="N2979" s="15"/>
      <c r="O2979" s="15"/>
      <c r="P2979" s="15"/>
      <c r="Q2979" s="71"/>
      <c r="R2979" s="84"/>
      <c r="S2979" s="10"/>
      <c r="T2979" s="10"/>
      <c r="U2979" s="10"/>
      <c r="V2979" s="10"/>
      <c r="W2979" s="138"/>
      <c r="Y2979"/>
      <c r="Z2979"/>
      <c r="AA2979"/>
      <c r="AB2979"/>
      <c r="AC2979"/>
      <c r="AD2979"/>
      <c r="AE2979"/>
      <c r="AF2979"/>
      <c r="AG2979"/>
      <c r="AH2979"/>
      <c r="AI2979"/>
      <c r="AJ2979"/>
      <c r="AK2979"/>
      <c r="AL2979"/>
      <c r="AM2979"/>
      <c r="AN2979"/>
      <c r="AO2979"/>
    </row>
    <row r="2980" spans="1:41" ht="15">
      <c r="A2980"/>
      <c r="B2980"/>
      <c r="C2980" s="137"/>
      <c r="D2980" s="30"/>
      <c r="E2980" s="30"/>
      <c r="F2980" s="10"/>
      <c r="G2980" s="10"/>
      <c r="H2980" s="15"/>
      <c r="I2980" s="15"/>
      <c r="J2980" s="15"/>
      <c r="K2980" s="15"/>
      <c r="L2980" s="15"/>
      <c r="M2980" s="15"/>
      <c r="N2980" s="15"/>
      <c r="O2980" s="15"/>
      <c r="P2980" s="15"/>
      <c r="Q2980" s="71"/>
      <c r="R2980" s="84"/>
      <c r="S2980" s="10"/>
      <c r="T2980" s="10"/>
      <c r="U2980" s="10"/>
      <c r="V2980" s="10"/>
      <c r="W2980" s="138"/>
      <c r="Y2980"/>
      <c r="Z2980"/>
      <c r="AA2980"/>
      <c r="AB2980"/>
      <c r="AC2980"/>
      <c r="AD2980"/>
      <c r="AE2980"/>
      <c r="AF2980"/>
      <c r="AG2980"/>
      <c r="AH2980"/>
      <c r="AI2980"/>
      <c r="AJ2980"/>
      <c r="AK2980"/>
      <c r="AL2980"/>
      <c r="AM2980"/>
      <c r="AN2980"/>
      <c r="AO2980"/>
    </row>
    <row r="2981" spans="1:41" ht="15">
      <c r="A2981"/>
      <c r="B2981"/>
      <c r="C2981" s="137"/>
      <c r="D2981" s="30"/>
      <c r="E2981" s="30"/>
      <c r="F2981" s="10"/>
      <c r="G2981" s="10"/>
      <c r="H2981" s="15"/>
      <c r="I2981" s="15"/>
      <c r="J2981" s="15"/>
      <c r="K2981" s="15"/>
      <c r="L2981" s="15"/>
      <c r="M2981" s="15"/>
      <c r="N2981" s="15"/>
      <c r="O2981" s="15"/>
      <c r="P2981" s="15"/>
      <c r="Q2981" s="71"/>
      <c r="R2981" s="84"/>
      <c r="S2981" s="10"/>
      <c r="T2981" s="10"/>
      <c r="U2981" s="10"/>
      <c r="V2981" s="10"/>
      <c r="W2981" s="138"/>
      <c r="Y2981"/>
      <c r="Z2981"/>
      <c r="AA2981"/>
      <c r="AB2981"/>
      <c r="AC2981"/>
      <c r="AD2981"/>
      <c r="AE2981"/>
      <c r="AF2981"/>
      <c r="AG2981"/>
      <c r="AH2981"/>
      <c r="AI2981"/>
      <c r="AJ2981"/>
      <c r="AK2981"/>
      <c r="AL2981"/>
      <c r="AM2981"/>
      <c r="AN2981"/>
      <c r="AO2981"/>
    </row>
    <row r="2982" spans="1:41" ht="15">
      <c r="A2982"/>
      <c r="B2982"/>
      <c r="C2982" s="137"/>
      <c r="D2982" s="30"/>
      <c r="E2982" s="30"/>
      <c r="F2982" s="10"/>
      <c r="G2982" s="10"/>
      <c r="H2982" s="15"/>
      <c r="I2982" s="15"/>
      <c r="J2982" s="15"/>
      <c r="K2982" s="15"/>
      <c r="L2982" s="15"/>
      <c r="M2982" s="15"/>
      <c r="N2982" s="15"/>
      <c r="O2982" s="15"/>
      <c r="P2982" s="15"/>
      <c r="Q2982" s="71"/>
      <c r="R2982" s="84"/>
      <c r="S2982" s="10"/>
      <c r="T2982" s="10"/>
      <c r="U2982" s="10"/>
      <c r="V2982" s="10"/>
      <c r="W2982" s="138"/>
      <c r="Y2982"/>
      <c r="Z2982"/>
      <c r="AA2982"/>
      <c r="AB2982"/>
      <c r="AC2982"/>
      <c r="AD2982"/>
      <c r="AE2982"/>
      <c r="AF2982"/>
      <c r="AG2982"/>
      <c r="AH2982"/>
      <c r="AI2982"/>
      <c r="AJ2982"/>
      <c r="AK2982"/>
      <c r="AL2982"/>
      <c r="AM2982"/>
      <c r="AN2982"/>
      <c r="AO2982"/>
    </row>
    <row r="2983" spans="1:41" ht="15">
      <c r="A2983"/>
      <c r="B2983"/>
      <c r="C2983" s="137"/>
      <c r="D2983" s="30"/>
      <c r="E2983" s="30"/>
      <c r="F2983" s="10"/>
      <c r="G2983" s="10"/>
      <c r="H2983" s="15"/>
      <c r="I2983" s="15"/>
      <c r="J2983" s="15"/>
      <c r="K2983" s="15"/>
      <c r="L2983" s="15"/>
      <c r="M2983" s="15"/>
      <c r="N2983" s="15"/>
      <c r="O2983" s="15"/>
      <c r="P2983" s="15"/>
      <c r="Q2983" s="71"/>
      <c r="R2983" s="84"/>
      <c r="S2983" s="10"/>
      <c r="T2983" s="10"/>
      <c r="U2983" s="10"/>
      <c r="V2983" s="10"/>
      <c r="W2983" s="138"/>
      <c r="Y2983"/>
      <c r="Z2983"/>
      <c r="AA2983"/>
      <c r="AB2983"/>
      <c r="AC2983"/>
      <c r="AD2983"/>
      <c r="AE2983"/>
      <c r="AF2983"/>
      <c r="AG2983"/>
      <c r="AH2983"/>
      <c r="AI2983"/>
      <c r="AJ2983"/>
      <c r="AK2983"/>
      <c r="AL2983"/>
      <c r="AM2983"/>
      <c r="AN2983"/>
      <c r="AO2983"/>
    </row>
    <row r="2984" spans="1:41" ht="15">
      <c r="A2984"/>
      <c r="B2984"/>
      <c r="C2984" s="137"/>
      <c r="D2984" s="30"/>
      <c r="E2984" s="30"/>
      <c r="F2984" s="10"/>
      <c r="G2984" s="10"/>
      <c r="H2984" s="15"/>
      <c r="I2984" s="15"/>
      <c r="J2984" s="15"/>
      <c r="K2984" s="15"/>
      <c r="L2984" s="15"/>
      <c r="M2984" s="15"/>
      <c r="N2984" s="15"/>
      <c r="O2984" s="15"/>
      <c r="P2984" s="15"/>
      <c r="Q2984" s="71"/>
      <c r="R2984" s="84"/>
      <c r="S2984" s="10"/>
      <c r="T2984" s="10"/>
      <c r="U2984" s="10"/>
      <c r="V2984" s="10"/>
      <c r="W2984" s="138"/>
      <c r="Y2984"/>
      <c r="Z2984"/>
      <c r="AA2984"/>
      <c r="AB2984"/>
      <c r="AC2984"/>
      <c r="AD2984"/>
      <c r="AE2984"/>
      <c r="AF2984"/>
      <c r="AG2984"/>
      <c r="AH2984"/>
      <c r="AI2984"/>
      <c r="AJ2984"/>
      <c r="AK2984"/>
      <c r="AL2984"/>
      <c r="AM2984"/>
      <c r="AN2984"/>
      <c r="AO2984"/>
    </row>
    <row r="2985" spans="1:41" ht="15">
      <c r="A2985"/>
      <c r="B2985"/>
      <c r="C2985" s="137"/>
      <c r="D2985" s="30"/>
      <c r="E2985" s="30"/>
      <c r="F2985" s="10"/>
      <c r="G2985" s="10"/>
      <c r="H2985" s="15"/>
      <c r="I2985" s="15"/>
      <c r="J2985" s="15"/>
      <c r="K2985" s="15"/>
      <c r="L2985" s="15"/>
      <c r="M2985" s="15"/>
      <c r="N2985" s="15"/>
      <c r="O2985" s="15"/>
      <c r="P2985" s="15"/>
      <c r="Q2985" s="71"/>
      <c r="R2985" s="84"/>
      <c r="S2985" s="10"/>
      <c r="T2985" s="10"/>
      <c r="U2985" s="10"/>
      <c r="V2985" s="10"/>
      <c r="W2985" s="138"/>
      <c r="Y2985"/>
      <c r="Z2985"/>
      <c r="AA2985"/>
      <c r="AB2985"/>
      <c r="AC2985"/>
      <c r="AD2985"/>
      <c r="AE2985"/>
      <c r="AF2985"/>
      <c r="AG2985"/>
      <c r="AH2985"/>
      <c r="AI2985"/>
      <c r="AJ2985"/>
      <c r="AK2985"/>
      <c r="AL2985"/>
      <c r="AM2985"/>
      <c r="AN2985"/>
      <c r="AO2985"/>
    </row>
    <row r="2986" spans="1:41" ht="15">
      <c r="A2986"/>
      <c r="B2986"/>
      <c r="C2986" s="137"/>
      <c r="D2986" s="30"/>
      <c r="E2986" s="30"/>
      <c r="F2986" s="10"/>
      <c r="G2986" s="10"/>
      <c r="H2986" s="15"/>
      <c r="I2986" s="15"/>
      <c r="J2986" s="15"/>
      <c r="K2986" s="15"/>
      <c r="L2986" s="15"/>
      <c r="M2986" s="15"/>
      <c r="N2986" s="15"/>
      <c r="O2986" s="15"/>
      <c r="P2986" s="15"/>
      <c r="Q2986" s="71"/>
      <c r="R2986" s="84"/>
      <c r="S2986" s="10"/>
      <c r="T2986" s="10"/>
      <c r="U2986" s="10"/>
      <c r="V2986" s="10"/>
      <c r="W2986" s="138"/>
      <c r="Y2986"/>
      <c r="Z2986"/>
      <c r="AA2986"/>
      <c r="AB2986"/>
      <c r="AC2986"/>
      <c r="AD2986"/>
      <c r="AE2986"/>
      <c r="AF2986"/>
      <c r="AG2986"/>
      <c r="AH2986"/>
      <c r="AI2986"/>
      <c r="AJ2986"/>
      <c r="AK2986"/>
      <c r="AL2986"/>
      <c r="AM2986"/>
      <c r="AN2986"/>
      <c r="AO2986"/>
    </row>
    <row r="2987" spans="1:41" ht="15">
      <c r="A2987"/>
      <c r="B2987"/>
      <c r="C2987" s="137"/>
      <c r="D2987" s="30"/>
      <c r="E2987" s="30"/>
      <c r="F2987" s="10"/>
      <c r="G2987" s="10"/>
      <c r="H2987" s="15"/>
      <c r="I2987" s="15"/>
      <c r="J2987" s="15"/>
      <c r="K2987" s="15"/>
      <c r="L2987" s="15"/>
      <c r="M2987" s="15"/>
      <c r="N2987" s="15"/>
      <c r="O2987" s="15"/>
      <c r="P2987" s="15"/>
      <c r="Q2987" s="71"/>
      <c r="R2987" s="84"/>
      <c r="S2987" s="10"/>
      <c r="T2987" s="10"/>
      <c r="U2987" s="10"/>
      <c r="V2987" s="10"/>
      <c r="W2987" s="138"/>
      <c r="Y2987"/>
      <c r="Z2987"/>
      <c r="AA2987"/>
      <c r="AB2987"/>
      <c r="AC2987"/>
      <c r="AD2987"/>
      <c r="AE2987"/>
      <c r="AF2987"/>
      <c r="AG2987"/>
      <c r="AH2987"/>
      <c r="AI2987"/>
      <c r="AJ2987"/>
      <c r="AK2987"/>
      <c r="AL2987"/>
      <c r="AM2987"/>
      <c r="AN2987"/>
      <c r="AO2987"/>
    </row>
    <row r="2988" spans="1:41" ht="15">
      <c r="A2988"/>
      <c r="B2988"/>
      <c r="C2988" s="137"/>
      <c r="D2988" s="30"/>
      <c r="E2988" s="30"/>
      <c r="F2988" s="10"/>
      <c r="G2988" s="10"/>
      <c r="H2988" s="15"/>
      <c r="I2988" s="15"/>
      <c r="J2988" s="15"/>
      <c r="K2988" s="15"/>
      <c r="L2988" s="15"/>
      <c r="M2988" s="15"/>
      <c r="N2988" s="15"/>
      <c r="O2988" s="15"/>
      <c r="P2988" s="15"/>
      <c r="Q2988" s="71"/>
      <c r="R2988" s="84"/>
      <c r="S2988" s="10"/>
      <c r="T2988" s="10"/>
      <c r="U2988" s="10"/>
      <c r="V2988" s="10"/>
      <c r="W2988" s="138"/>
      <c r="Y2988"/>
      <c r="Z2988"/>
      <c r="AA2988"/>
      <c r="AB2988"/>
      <c r="AC2988"/>
      <c r="AD2988"/>
      <c r="AE2988"/>
      <c r="AF2988"/>
      <c r="AG2988"/>
      <c r="AH2988"/>
      <c r="AI2988"/>
      <c r="AJ2988"/>
      <c r="AK2988"/>
      <c r="AL2988"/>
      <c r="AM2988"/>
      <c r="AN2988"/>
      <c r="AO2988"/>
    </row>
    <row r="2989" spans="1:41" ht="15">
      <c r="A2989"/>
      <c r="B2989"/>
      <c r="C2989" s="137"/>
      <c r="D2989" s="30"/>
      <c r="E2989" s="30"/>
      <c r="F2989" s="10"/>
      <c r="G2989" s="10"/>
      <c r="H2989" s="15"/>
      <c r="I2989" s="15"/>
      <c r="J2989" s="15"/>
      <c r="K2989" s="15"/>
      <c r="L2989" s="15"/>
      <c r="M2989" s="15"/>
      <c r="N2989" s="15"/>
      <c r="O2989" s="15"/>
      <c r="P2989" s="15"/>
      <c r="Q2989" s="71"/>
      <c r="R2989" s="84"/>
      <c r="S2989" s="10"/>
      <c r="T2989" s="10"/>
      <c r="U2989" s="10"/>
      <c r="V2989" s="10"/>
      <c r="W2989" s="138"/>
      <c r="Y2989"/>
      <c r="Z2989"/>
      <c r="AA2989"/>
      <c r="AB2989"/>
      <c r="AC2989"/>
      <c r="AD2989"/>
      <c r="AE2989"/>
      <c r="AF2989"/>
      <c r="AG2989"/>
      <c r="AH2989"/>
      <c r="AI2989"/>
      <c r="AJ2989"/>
      <c r="AK2989"/>
      <c r="AL2989"/>
      <c r="AM2989"/>
      <c r="AN2989"/>
      <c r="AO2989"/>
    </row>
    <row r="2990" spans="1:41" ht="15">
      <c r="A2990"/>
      <c r="B2990"/>
      <c r="C2990" s="137"/>
      <c r="D2990" s="30"/>
      <c r="E2990" s="30"/>
      <c r="F2990" s="10"/>
      <c r="G2990" s="10"/>
      <c r="H2990" s="15"/>
      <c r="I2990" s="15"/>
      <c r="J2990" s="15"/>
      <c r="K2990" s="15"/>
      <c r="L2990" s="15"/>
      <c r="M2990" s="15"/>
      <c r="N2990" s="15"/>
      <c r="O2990" s="15"/>
      <c r="P2990" s="15"/>
      <c r="Q2990" s="71"/>
      <c r="R2990" s="84"/>
      <c r="S2990" s="10"/>
      <c r="T2990" s="10"/>
      <c r="U2990" s="10"/>
      <c r="V2990" s="10"/>
      <c r="W2990" s="138"/>
      <c r="Y2990"/>
      <c r="Z2990"/>
      <c r="AA2990"/>
      <c r="AB2990"/>
      <c r="AC2990"/>
      <c r="AD2990"/>
      <c r="AE2990"/>
      <c r="AF2990"/>
      <c r="AG2990"/>
      <c r="AH2990"/>
      <c r="AI2990"/>
      <c r="AJ2990"/>
      <c r="AK2990"/>
      <c r="AL2990"/>
      <c r="AM2990"/>
      <c r="AN2990"/>
      <c r="AO2990"/>
    </row>
    <row r="2991" spans="1:41" ht="15">
      <c r="A2991"/>
      <c r="B2991"/>
      <c r="C2991" s="137"/>
      <c r="D2991" s="30"/>
      <c r="E2991" s="30"/>
      <c r="F2991" s="10"/>
      <c r="G2991" s="10"/>
      <c r="H2991" s="15"/>
      <c r="I2991" s="15"/>
      <c r="J2991" s="15"/>
      <c r="K2991" s="15"/>
      <c r="L2991" s="15"/>
      <c r="M2991" s="15"/>
      <c r="N2991" s="15"/>
      <c r="O2991" s="15"/>
      <c r="P2991" s="15"/>
      <c r="Q2991" s="71"/>
      <c r="R2991" s="84"/>
      <c r="S2991" s="10"/>
      <c r="T2991" s="10"/>
      <c r="U2991" s="10"/>
      <c r="V2991" s="10"/>
      <c r="W2991" s="138"/>
      <c r="Y2991"/>
      <c r="Z2991"/>
      <c r="AA2991"/>
      <c r="AB2991"/>
      <c r="AC2991"/>
      <c r="AD2991"/>
      <c r="AE2991"/>
      <c r="AF2991"/>
      <c r="AG2991"/>
      <c r="AH2991"/>
      <c r="AI2991"/>
      <c r="AJ2991"/>
      <c r="AK2991"/>
      <c r="AL2991"/>
      <c r="AM2991"/>
      <c r="AN2991"/>
      <c r="AO2991"/>
    </row>
    <row r="2992" spans="1:41" ht="15">
      <c r="A2992"/>
      <c r="B2992"/>
      <c r="C2992" s="137"/>
      <c r="D2992" s="30"/>
      <c r="E2992" s="30"/>
      <c r="F2992" s="10"/>
      <c r="G2992" s="10"/>
      <c r="H2992" s="15"/>
      <c r="I2992" s="15"/>
      <c r="J2992" s="15"/>
      <c r="K2992" s="15"/>
      <c r="L2992" s="15"/>
      <c r="M2992" s="15"/>
      <c r="N2992" s="15"/>
      <c r="O2992" s="15"/>
      <c r="P2992" s="15"/>
      <c r="Q2992" s="71"/>
      <c r="R2992" s="84"/>
      <c r="S2992" s="10"/>
      <c r="T2992" s="10"/>
      <c r="U2992" s="10"/>
      <c r="V2992" s="10"/>
      <c r="W2992" s="138"/>
      <c r="Y2992"/>
      <c r="Z2992"/>
      <c r="AA2992"/>
      <c r="AB2992"/>
      <c r="AC2992"/>
      <c r="AD2992"/>
      <c r="AE2992"/>
      <c r="AF2992"/>
      <c r="AG2992"/>
      <c r="AH2992"/>
      <c r="AI2992"/>
      <c r="AJ2992"/>
      <c r="AK2992"/>
      <c r="AL2992"/>
      <c r="AM2992"/>
      <c r="AN2992"/>
      <c r="AO2992"/>
    </row>
    <row r="2993" spans="1:41" ht="15">
      <c r="A2993"/>
      <c r="B2993"/>
      <c r="C2993" s="137"/>
      <c r="D2993" s="30"/>
      <c r="E2993" s="30"/>
      <c r="F2993" s="10"/>
      <c r="G2993" s="10"/>
      <c r="H2993" s="15"/>
      <c r="I2993" s="15"/>
      <c r="J2993" s="15"/>
      <c r="K2993" s="15"/>
      <c r="L2993" s="15"/>
      <c r="M2993" s="15"/>
      <c r="N2993" s="15"/>
      <c r="O2993" s="15"/>
      <c r="P2993" s="15"/>
      <c r="Q2993" s="71"/>
      <c r="R2993" s="84"/>
      <c r="S2993" s="10"/>
      <c r="T2993" s="10"/>
      <c r="U2993" s="10"/>
      <c r="V2993" s="10"/>
      <c r="W2993" s="138"/>
      <c r="Y2993"/>
      <c r="Z2993"/>
      <c r="AA2993"/>
      <c r="AB2993"/>
      <c r="AC2993"/>
      <c r="AD2993"/>
      <c r="AE2993"/>
      <c r="AF2993"/>
      <c r="AG2993"/>
      <c r="AH2993"/>
      <c r="AI2993"/>
      <c r="AJ2993"/>
      <c r="AK2993"/>
      <c r="AL2993"/>
      <c r="AM2993"/>
      <c r="AN2993"/>
      <c r="AO2993"/>
    </row>
    <row r="2994" spans="1:41" ht="15">
      <c r="A2994"/>
      <c r="B2994"/>
      <c r="C2994" s="137"/>
      <c r="D2994" s="30"/>
      <c r="E2994" s="30"/>
      <c r="F2994" s="10"/>
      <c r="G2994" s="10"/>
      <c r="H2994" s="15"/>
      <c r="I2994" s="15"/>
      <c r="J2994" s="15"/>
      <c r="K2994" s="15"/>
      <c r="L2994" s="15"/>
      <c r="M2994" s="15"/>
      <c r="N2994" s="15"/>
      <c r="O2994" s="15"/>
      <c r="P2994" s="15"/>
      <c r="Q2994" s="71"/>
      <c r="R2994" s="84"/>
      <c r="S2994" s="10"/>
      <c r="T2994" s="10"/>
      <c r="U2994" s="10"/>
      <c r="V2994" s="10"/>
      <c r="W2994" s="138"/>
      <c r="Y2994"/>
      <c r="Z2994"/>
      <c r="AA2994"/>
      <c r="AB2994"/>
      <c r="AC2994"/>
      <c r="AD2994"/>
      <c r="AE2994"/>
      <c r="AF2994"/>
      <c r="AG2994"/>
      <c r="AH2994"/>
      <c r="AI2994"/>
      <c r="AJ2994"/>
      <c r="AK2994"/>
      <c r="AL2994"/>
      <c r="AM2994"/>
      <c r="AN2994"/>
      <c r="AO2994"/>
    </row>
    <row r="2995" spans="1:41" ht="15">
      <c r="A2995"/>
      <c r="B2995"/>
      <c r="C2995" s="137"/>
      <c r="D2995" s="30"/>
      <c r="E2995" s="30"/>
      <c r="F2995" s="10"/>
      <c r="G2995" s="10"/>
      <c r="H2995" s="15"/>
      <c r="I2995" s="15"/>
      <c r="J2995" s="15"/>
      <c r="K2995" s="15"/>
      <c r="L2995" s="15"/>
      <c r="M2995" s="15"/>
      <c r="N2995" s="15"/>
      <c r="O2995" s="15"/>
      <c r="P2995" s="15"/>
      <c r="Q2995" s="71"/>
      <c r="R2995" s="84"/>
      <c r="S2995" s="10"/>
      <c r="T2995" s="10"/>
      <c r="U2995" s="10"/>
      <c r="V2995" s="10"/>
      <c r="W2995" s="138"/>
      <c r="Y2995"/>
      <c r="Z2995"/>
      <c r="AA2995"/>
      <c r="AB2995"/>
      <c r="AC2995"/>
      <c r="AD2995"/>
      <c r="AE2995"/>
      <c r="AF2995"/>
      <c r="AG2995"/>
      <c r="AH2995"/>
      <c r="AI2995"/>
      <c r="AJ2995"/>
      <c r="AK2995"/>
      <c r="AL2995"/>
      <c r="AM2995"/>
      <c r="AN2995"/>
      <c r="AO2995"/>
    </row>
    <row r="2996" spans="1:41" ht="15">
      <c r="A2996"/>
      <c r="B2996"/>
      <c r="C2996" s="137"/>
      <c r="D2996" s="30"/>
      <c r="E2996" s="30"/>
      <c r="F2996" s="10"/>
      <c r="G2996" s="10"/>
      <c r="H2996" s="15"/>
      <c r="I2996" s="15"/>
      <c r="J2996" s="15"/>
      <c r="K2996" s="15"/>
      <c r="L2996" s="15"/>
      <c r="M2996" s="15"/>
      <c r="N2996" s="15"/>
      <c r="O2996" s="15"/>
      <c r="P2996" s="15"/>
      <c r="Q2996" s="71"/>
      <c r="R2996" s="84"/>
      <c r="S2996" s="10"/>
      <c r="T2996" s="10"/>
      <c r="U2996" s="10"/>
      <c r="V2996" s="10"/>
      <c r="W2996" s="138"/>
      <c r="Y2996"/>
      <c r="Z2996"/>
      <c r="AA2996"/>
      <c r="AB2996"/>
      <c r="AC2996"/>
      <c r="AD2996"/>
      <c r="AE2996"/>
      <c r="AF2996"/>
      <c r="AG2996"/>
      <c r="AH2996"/>
      <c r="AI2996"/>
      <c r="AJ2996"/>
      <c r="AK2996"/>
      <c r="AL2996"/>
      <c r="AM2996"/>
      <c r="AN2996"/>
      <c r="AO2996"/>
    </row>
    <row r="2997" spans="1:41" ht="15">
      <c r="A2997"/>
      <c r="B2997"/>
      <c r="C2997" s="137"/>
      <c r="D2997" s="30"/>
      <c r="E2997" s="30"/>
      <c r="F2997" s="10"/>
      <c r="G2997" s="10"/>
      <c r="H2997" s="15"/>
      <c r="I2997" s="15"/>
      <c r="J2997" s="15"/>
      <c r="K2997" s="15"/>
      <c r="L2997" s="15"/>
      <c r="M2997" s="15"/>
      <c r="N2997" s="15"/>
      <c r="O2997" s="15"/>
      <c r="P2997" s="15"/>
      <c r="Q2997" s="71"/>
      <c r="R2997" s="84"/>
      <c r="S2997" s="10"/>
      <c r="T2997" s="10"/>
      <c r="U2997" s="10"/>
      <c r="V2997" s="10"/>
      <c r="W2997" s="138"/>
      <c r="Y2997"/>
      <c r="Z2997"/>
      <c r="AA2997"/>
      <c r="AB2997"/>
      <c r="AC2997"/>
      <c r="AD2997"/>
      <c r="AE2997"/>
      <c r="AF2997"/>
      <c r="AG2997"/>
      <c r="AH2997"/>
      <c r="AI2997"/>
      <c r="AJ2997"/>
      <c r="AK2997"/>
      <c r="AL2997"/>
      <c r="AM2997"/>
      <c r="AN2997"/>
      <c r="AO2997"/>
    </row>
    <row r="2998" spans="1:41" ht="15">
      <c r="A2998"/>
      <c r="B2998"/>
      <c r="C2998" s="137"/>
      <c r="D2998" s="30"/>
      <c r="E2998" s="30"/>
      <c r="F2998" s="10"/>
      <c r="G2998" s="10"/>
      <c r="H2998" s="15"/>
      <c r="I2998" s="15"/>
      <c r="J2998" s="15"/>
      <c r="K2998" s="15"/>
      <c r="L2998" s="15"/>
      <c r="M2998" s="15"/>
      <c r="N2998" s="15"/>
      <c r="O2998" s="15"/>
      <c r="P2998" s="15"/>
      <c r="Q2998" s="71"/>
      <c r="R2998" s="84"/>
      <c r="S2998" s="10"/>
      <c r="T2998" s="10"/>
      <c r="U2998" s="10"/>
      <c r="V2998" s="10"/>
      <c r="W2998" s="138"/>
      <c r="Y2998"/>
      <c r="Z2998"/>
      <c r="AA2998"/>
      <c r="AB2998"/>
      <c r="AC2998"/>
      <c r="AD2998"/>
      <c r="AE2998"/>
      <c r="AF2998"/>
      <c r="AG2998"/>
      <c r="AH2998"/>
      <c r="AI2998"/>
      <c r="AJ2998"/>
      <c r="AK2998"/>
      <c r="AL2998"/>
      <c r="AM2998"/>
      <c r="AN2998"/>
      <c r="AO2998"/>
    </row>
    <row r="2999" spans="1:41" ht="15">
      <c r="A2999"/>
      <c r="B2999"/>
      <c r="C2999" s="137"/>
      <c r="D2999" s="30"/>
      <c r="E2999" s="30"/>
      <c r="F2999" s="10"/>
      <c r="G2999" s="10"/>
      <c r="H2999" s="15"/>
      <c r="I2999" s="15"/>
      <c r="J2999" s="15"/>
      <c r="K2999" s="15"/>
      <c r="L2999" s="15"/>
      <c r="M2999" s="15"/>
      <c r="N2999" s="15"/>
      <c r="O2999" s="15"/>
      <c r="P2999" s="15"/>
      <c r="Q2999" s="71"/>
      <c r="R2999" s="84"/>
      <c r="S2999" s="10"/>
      <c r="T2999" s="10"/>
      <c r="U2999" s="10"/>
      <c r="V2999" s="10"/>
      <c r="W2999" s="138"/>
      <c r="Y2999"/>
      <c r="Z2999"/>
      <c r="AA2999"/>
      <c r="AB2999"/>
      <c r="AC2999"/>
      <c r="AD2999"/>
      <c r="AE2999"/>
      <c r="AF2999"/>
      <c r="AG2999"/>
      <c r="AH2999"/>
      <c r="AI2999"/>
      <c r="AJ2999"/>
      <c r="AK2999"/>
      <c r="AL2999"/>
      <c r="AM2999"/>
      <c r="AN2999"/>
      <c r="AO2999"/>
    </row>
    <row r="3000" spans="1:41" ht="15">
      <c r="A3000"/>
      <c r="B3000"/>
      <c r="C3000" s="137"/>
      <c r="D3000" s="30"/>
      <c r="E3000" s="30"/>
      <c r="F3000" s="10"/>
      <c r="G3000" s="10"/>
      <c r="H3000" s="15"/>
      <c r="I3000" s="15"/>
      <c r="J3000" s="15"/>
      <c r="K3000" s="15"/>
      <c r="L3000" s="15"/>
      <c r="M3000" s="15"/>
      <c r="N3000" s="15"/>
      <c r="O3000" s="15"/>
      <c r="P3000" s="15"/>
      <c r="Q3000" s="71"/>
      <c r="R3000" s="84"/>
      <c r="S3000" s="10"/>
      <c r="T3000" s="10"/>
      <c r="U3000" s="10"/>
      <c r="V3000" s="10"/>
      <c r="W3000" s="138"/>
      <c r="Y3000"/>
      <c r="Z3000"/>
      <c r="AA3000"/>
      <c r="AB3000"/>
      <c r="AC3000"/>
      <c r="AD3000"/>
      <c r="AE3000"/>
      <c r="AF3000"/>
      <c r="AG3000"/>
      <c r="AH3000"/>
      <c r="AI3000"/>
      <c r="AJ3000"/>
      <c r="AK3000"/>
      <c r="AL3000"/>
      <c r="AM3000"/>
      <c r="AN3000"/>
      <c r="AO3000"/>
    </row>
    <row r="3001" spans="1:41" ht="15">
      <c r="A3001"/>
      <c r="B3001"/>
      <c r="C3001" s="137"/>
      <c r="D3001" s="30"/>
      <c r="E3001" s="30"/>
      <c r="F3001" s="10"/>
      <c r="G3001" s="10"/>
      <c r="H3001" s="15"/>
      <c r="I3001" s="15"/>
      <c r="J3001" s="15"/>
      <c r="K3001" s="15"/>
      <c r="L3001" s="15"/>
      <c r="M3001" s="15"/>
      <c r="N3001" s="15"/>
      <c r="O3001" s="15"/>
      <c r="P3001" s="15"/>
      <c r="Q3001" s="71"/>
      <c r="R3001" s="84"/>
      <c r="S3001" s="10"/>
      <c r="T3001" s="10"/>
      <c r="U3001" s="10"/>
      <c r="V3001" s="10"/>
      <c r="W3001" s="138"/>
      <c r="Y3001"/>
      <c r="Z3001"/>
      <c r="AA3001"/>
      <c r="AB3001"/>
      <c r="AC3001"/>
      <c r="AD3001"/>
      <c r="AE3001"/>
      <c r="AF3001"/>
      <c r="AG3001"/>
      <c r="AH3001"/>
      <c r="AI3001"/>
      <c r="AJ3001"/>
      <c r="AK3001"/>
      <c r="AL3001"/>
      <c r="AM3001"/>
      <c r="AN3001"/>
      <c r="AO3001"/>
    </row>
    <row r="3002" spans="1:41" ht="15">
      <c r="A3002"/>
      <c r="B3002"/>
      <c r="C3002" s="137"/>
      <c r="D3002" s="30"/>
      <c r="E3002" s="30"/>
      <c r="F3002" s="10"/>
      <c r="G3002" s="10"/>
      <c r="H3002" s="15"/>
      <c r="I3002" s="15"/>
      <c r="J3002" s="15"/>
      <c r="K3002" s="15"/>
      <c r="L3002" s="15"/>
      <c r="M3002" s="15"/>
      <c r="N3002" s="15"/>
      <c r="O3002" s="15"/>
      <c r="P3002" s="15"/>
      <c r="Q3002" s="71"/>
      <c r="R3002" s="84"/>
      <c r="S3002" s="10"/>
      <c r="T3002" s="10"/>
      <c r="U3002" s="10"/>
      <c r="V3002" s="10"/>
      <c r="W3002" s="138"/>
      <c r="Y3002"/>
      <c r="Z3002"/>
      <c r="AA3002"/>
      <c r="AB3002"/>
      <c r="AC3002"/>
      <c r="AD3002"/>
      <c r="AE3002"/>
      <c r="AF3002"/>
      <c r="AG3002"/>
      <c r="AH3002"/>
      <c r="AI3002"/>
      <c r="AJ3002"/>
      <c r="AK3002"/>
      <c r="AL3002"/>
      <c r="AM3002"/>
      <c r="AN3002"/>
      <c r="AO3002"/>
    </row>
    <row r="3003" spans="1:41" ht="15">
      <c r="A3003"/>
      <c r="B3003"/>
      <c r="C3003" s="137"/>
      <c r="D3003" s="30"/>
      <c r="E3003" s="30"/>
      <c r="F3003" s="10"/>
      <c r="G3003" s="10"/>
      <c r="H3003" s="15"/>
      <c r="I3003" s="15"/>
      <c r="J3003" s="15"/>
      <c r="K3003" s="15"/>
      <c r="L3003" s="15"/>
      <c r="M3003" s="15"/>
      <c r="N3003" s="15"/>
      <c r="O3003" s="15"/>
      <c r="P3003" s="15"/>
      <c r="Q3003" s="71"/>
      <c r="R3003" s="84"/>
      <c r="S3003" s="10"/>
      <c r="T3003" s="10"/>
      <c r="U3003" s="10"/>
      <c r="V3003" s="10"/>
      <c r="W3003" s="138"/>
      <c r="Y3003"/>
      <c r="Z3003"/>
      <c r="AA3003"/>
      <c r="AB3003"/>
      <c r="AC3003"/>
      <c r="AD3003"/>
      <c r="AE3003"/>
      <c r="AF3003"/>
      <c r="AG3003"/>
      <c r="AH3003"/>
      <c r="AI3003"/>
      <c r="AJ3003"/>
      <c r="AK3003"/>
      <c r="AL3003"/>
      <c r="AM3003"/>
      <c r="AN3003"/>
      <c r="AO3003"/>
    </row>
    <row r="3004" spans="1:41" ht="15">
      <c r="A3004"/>
      <c r="B3004"/>
      <c r="C3004" s="137"/>
      <c r="D3004" s="30"/>
      <c r="E3004" s="30"/>
      <c r="F3004" s="10"/>
      <c r="G3004" s="10"/>
      <c r="H3004" s="15"/>
      <c r="I3004" s="15"/>
      <c r="J3004" s="15"/>
      <c r="K3004" s="15"/>
      <c r="L3004" s="15"/>
      <c r="M3004" s="15"/>
      <c r="N3004" s="15"/>
      <c r="O3004" s="15"/>
      <c r="P3004" s="15"/>
      <c r="Q3004" s="71"/>
      <c r="R3004" s="84"/>
      <c r="S3004" s="10"/>
      <c r="T3004" s="10"/>
      <c r="U3004" s="10"/>
      <c r="V3004" s="10"/>
      <c r="W3004" s="138"/>
      <c r="Y3004"/>
      <c r="Z3004"/>
      <c r="AA3004"/>
      <c r="AB3004"/>
      <c r="AC3004"/>
      <c r="AD3004"/>
      <c r="AE3004"/>
      <c r="AF3004"/>
      <c r="AG3004"/>
      <c r="AH3004"/>
      <c r="AI3004"/>
      <c r="AJ3004"/>
      <c r="AK3004"/>
      <c r="AL3004"/>
      <c r="AM3004"/>
      <c r="AN3004"/>
      <c r="AO3004"/>
    </row>
    <row r="3005" spans="1:41" ht="15">
      <c r="A3005"/>
      <c r="B3005"/>
      <c r="C3005" s="137"/>
      <c r="D3005" s="30"/>
      <c r="E3005" s="30"/>
      <c r="F3005" s="10"/>
      <c r="G3005" s="10"/>
      <c r="H3005" s="15"/>
      <c r="I3005" s="15"/>
      <c r="J3005" s="15"/>
      <c r="K3005" s="15"/>
      <c r="L3005" s="15"/>
      <c r="M3005" s="15"/>
      <c r="N3005" s="15"/>
      <c r="O3005" s="15"/>
      <c r="P3005" s="15"/>
      <c r="Q3005" s="71"/>
      <c r="R3005" s="84"/>
      <c r="S3005" s="10"/>
      <c r="T3005" s="10"/>
      <c r="U3005" s="10"/>
      <c r="V3005" s="10"/>
      <c r="W3005" s="138"/>
      <c r="Y3005"/>
      <c r="Z3005"/>
      <c r="AA3005"/>
      <c r="AB3005"/>
      <c r="AC3005"/>
      <c r="AD3005"/>
      <c r="AE3005"/>
      <c r="AF3005"/>
      <c r="AG3005"/>
      <c r="AH3005"/>
      <c r="AI3005"/>
      <c r="AJ3005"/>
      <c r="AK3005"/>
      <c r="AL3005"/>
      <c r="AM3005"/>
      <c r="AN3005"/>
      <c r="AO3005"/>
    </row>
    <row r="3006" spans="1:41" ht="15">
      <c r="A3006"/>
      <c r="B3006"/>
      <c r="C3006" s="137"/>
      <c r="D3006" s="30"/>
      <c r="E3006" s="30"/>
      <c r="F3006" s="10"/>
      <c r="G3006" s="10"/>
      <c r="H3006" s="15"/>
      <c r="I3006" s="15"/>
      <c r="J3006" s="15"/>
      <c r="K3006" s="15"/>
      <c r="L3006" s="15"/>
      <c r="M3006" s="15"/>
      <c r="N3006" s="15"/>
      <c r="O3006" s="15"/>
      <c r="P3006" s="15"/>
      <c r="Q3006" s="71"/>
      <c r="R3006" s="84"/>
      <c r="S3006" s="10"/>
      <c r="T3006" s="10"/>
      <c r="U3006" s="10"/>
      <c r="V3006" s="10"/>
      <c r="W3006" s="138"/>
      <c r="Y3006"/>
      <c r="Z3006"/>
      <c r="AA3006"/>
      <c r="AB3006"/>
      <c r="AC3006"/>
      <c r="AD3006"/>
      <c r="AE3006"/>
      <c r="AF3006"/>
      <c r="AG3006"/>
      <c r="AH3006"/>
      <c r="AI3006"/>
      <c r="AJ3006"/>
      <c r="AK3006"/>
      <c r="AL3006"/>
      <c r="AM3006"/>
      <c r="AN3006"/>
      <c r="AO3006"/>
    </row>
    <row r="3007" spans="1:41" ht="15">
      <c r="A3007"/>
      <c r="B3007"/>
      <c r="C3007" s="137"/>
      <c r="D3007" s="30"/>
      <c r="E3007" s="30"/>
      <c r="F3007" s="10"/>
      <c r="G3007" s="10"/>
      <c r="H3007" s="15"/>
      <c r="I3007" s="15"/>
      <c r="J3007" s="15"/>
      <c r="K3007" s="15"/>
      <c r="L3007" s="15"/>
      <c r="M3007" s="15"/>
      <c r="N3007" s="15"/>
      <c r="O3007" s="15"/>
      <c r="P3007" s="15"/>
      <c r="Q3007" s="71"/>
      <c r="R3007" s="84"/>
      <c r="S3007" s="10"/>
      <c r="T3007" s="10"/>
      <c r="U3007" s="10"/>
      <c r="V3007" s="10"/>
      <c r="W3007" s="138"/>
      <c r="Y3007"/>
      <c r="Z3007"/>
      <c r="AA3007"/>
      <c r="AB3007"/>
      <c r="AC3007"/>
      <c r="AD3007"/>
      <c r="AE3007"/>
      <c r="AF3007"/>
      <c r="AG3007"/>
      <c r="AH3007"/>
      <c r="AI3007"/>
      <c r="AJ3007"/>
      <c r="AK3007"/>
      <c r="AL3007"/>
      <c r="AM3007"/>
      <c r="AN3007"/>
      <c r="AO3007"/>
    </row>
    <row r="3008" spans="1:41" ht="15">
      <c r="A3008"/>
      <c r="B3008"/>
      <c r="C3008" s="137"/>
      <c r="D3008" s="30"/>
      <c r="E3008" s="30"/>
      <c r="F3008" s="10"/>
      <c r="G3008" s="10"/>
      <c r="H3008" s="15"/>
      <c r="I3008" s="15"/>
      <c r="J3008" s="15"/>
      <c r="K3008" s="15"/>
      <c r="L3008" s="15"/>
      <c r="M3008" s="15"/>
      <c r="N3008" s="15"/>
      <c r="O3008" s="15"/>
      <c r="P3008" s="15"/>
      <c r="Q3008" s="71"/>
      <c r="R3008" s="84"/>
      <c r="S3008" s="10"/>
      <c r="T3008" s="10"/>
      <c r="U3008" s="10"/>
      <c r="V3008" s="10"/>
      <c r="W3008" s="138"/>
      <c r="Y3008"/>
      <c r="Z3008"/>
      <c r="AA3008"/>
      <c r="AB3008"/>
      <c r="AC3008"/>
      <c r="AD3008"/>
      <c r="AE3008"/>
      <c r="AF3008"/>
      <c r="AG3008"/>
      <c r="AH3008"/>
      <c r="AI3008"/>
      <c r="AJ3008"/>
      <c r="AK3008"/>
      <c r="AL3008"/>
      <c r="AM3008"/>
      <c r="AN3008"/>
      <c r="AO3008"/>
    </row>
    <row r="3009" spans="1:41" ht="15">
      <c r="A3009"/>
      <c r="B3009"/>
      <c r="C3009" s="137"/>
      <c r="D3009" s="30"/>
      <c r="E3009" s="30"/>
      <c r="F3009" s="10"/>
      <c r="G3009" s="10"/>
      <c r="H3009" s="15"/>
      <c r="I3009" s="15"/>
      <c r="J3009" s="15"/>
      <c r="K3009" s="15"/>
      <c r="L3009" s="15"/>
      <c r="M3009" s="15"/>
      <c r="N3009" s="15"/>
      <c r="O3009" s="15"/>
      <c r="P3009" s="15"/>
      <c r="Q3009" s="71"/>
      <c r="R3009" s="84"/>
      <c r="S3009" s="10"/>
      <c r="T3009" s="10"/>
      <c r="U3009" s="10"/>
      <c r="V3009" s="10"/>
      <c r="W3009" s="138"/>
      <c r="Y3009"/>
      <c r="Z3009"/>
      <c r="AA3009"/>
      <c r="AB3009"/>
      <c r="AC3009"/>
      <c r="AD3009"/>
      <c r="AE3009"/>
      <c r="AF3009"/>
      <c r="AG3009"/>
      <c r="AH3009"/>
      <c r="AI3009"/>
      <c r="AJ3009"/>
      <c r="AK3009"/>
      <c r="AL3009"/>
      <c r="AM3009"/>
      <c r="AN3009"/>
      <c r="AO3009"/>
    </row>
    <row r="3010" spans="1:41" ht="15">
      <c r="A3010"/>
      <c r="B3010"/>
      <c r="C3010" s="137"/>
      <c r="D3010" s="30"/>
      <c r="E3010" s="30"/>
      <c r="F3010" s="10"/>
      <c r="G3010" s="10"/>
      <c r="H3010" s="15"/>
      <c r="I3010" s="15"/>
      <c r="J3010" s="15"/>
      <c r="K3010" s="15"/>
      <c r="L3010" s="15"/>
      <c r="M3010" s="15"/>
      <c r="N3010" s="15"/>
      <c r="O3010" s="15"/>
      <c r="P3010" s="15"/>
      <c r="Q3010" s="71"/>
      <c r="R3010" s="84"/>
      <c r="S3010" s="10"/>
      <c r="T3010" s="10"/>
      <c r="U3010" s="10"/>
      <c r="V3010" s="10"/>
      <c r="W3010" s="138"/>
      <c r="Y3010"/>
      <c r="Z3010"/>
      <c r="AA3010"/>
      <c r="AB3010"/>
      <c r="AC3010"/>
      <c r="AD3010"/>
      <c r="AE3010"/>
      <c r="AF3010"/>
      <c r="AG3010"/>
      <c r="AH3010"/>
      <c r="AI3010"/>
      <c r="AJ3010"/>
      <c r="AK3010"/>
      <c r="AL3010"/>
      <c r="AM3010"/>
      <c r="AN3010"/>
      <c r="AO3010"/>
    </row>
    <row r="3011" spans="1:41" ht="15">
      <c r="A3011"/>
      <c r="B3011"/>
      <c r="C3011" s="137"/>
      <c r="D3011" s="30"/>
      <c r="E3011" s="30"/>
      <c r="F3011" s="10"/>
      <c r="G3011" s="10"/>
      <c r="H3011" s="15"/>
      <c r="I3011" s="15"/>
      <c r="J3011" s="15"/>
      <c r="K3011" s="15"/>
      <c r="L3011" s="15"/>
      <c r="M3011" s="15"/>
      <c r="N3011" s="15"/>
      <c r="O3011" s="15"/>
      <c r="P3011" s="15"/>
      <c r="Q3011" s="71"/>
      <c r="R3011" s="84"/>
      <c r="S3011" s="10"/>
      <c r="T3011" s="10"/>
      <c r="U3011" s="10"/>
      <c r="V3011" s="10"/>
      <c r="W3011" s="138"/>
      <c r="Y3011"/>
      <c r="Z3011"/>
      <c r="AA3011"/>
      <c r="AB3011"/>
      <c r="AC3011"/>
      <c r="AD3011"/>
      <c r="AE3011"/>
      <c r="AF3011"/>
      <c r="AG3011"/>
      <c r="AH3011"/>
      <c r="AI3011"/>
      <c r="AJ3011"/>
      <c r="AK3011"/>
      <c r="AL3011"/>
      <c r="AM3011"/>
      <c r="AN3011"/>
      <c r="AO3011"/>
    </row>
    <row r="3012" spans="1:41" ht="15">
      <c r="A3012"/>
      <c r="B3012"/>
      <c r="C3012" s="137"/>
      <c r="D3012" s="30"/>
      <c r="E3012" s="30"/>
      <c r="F3012" s="10"/>
      <c r="G3012" s="10"/>
      <c r="H3012" s="15"/>
      <c r="I3012" s="15"/>
      <c r="J3012" s="15"/>
      <c r="K3012" s="15"/>
      <c r="L3012" s="15"/>
      <c r="M3012" s="15"/>
      <c r="N3012" s="15"/>
      <c r="O3012" s="15"/>
      <c r="P3012" s="15"/>
      <c r="Q3012" s="71"/>
      <c r="R3012" s="84"/>
      <c r="S3012" s="10"/>
      <c r="T3012" s="10"/>
      <c r="U3012" s="10"/>
      <c r="V3012" s="10"/>
      <c r="W3012" s="138"/>
      <c r="Y3012"/>
      <c r="Z3012"/>
      <c r="AA3012"/>
      <c r="AB3012"/>
      <c r="AC3012"/>
      <c r="AD3012"/>
      <c r="AE3012"/>
      <c r="AF3012"/>
      <c r="AG3012"/>
      <c r="AH3012"/>
      <c r="AI3012"/>
      <c r="AJ3012"/>
      <c r="AK3012"/>
      <c r="AL3012"/>
      <c r="AM3012"/>
      <c r="AN3012"/>
      <c r="AO3012"/>
    </row>
    <row r="3013" spans="1:41" ht="15">
      <c r="A3013"/>
      <c r="B3013"/>
      <c r="C3013" s="137"/>
      <c r="D3013" s="30"/>
      <c r="E3013" s="30"/>
      <c r="F3013" s="10"/>
      <c r="G3013" s="10"/>
      <c r="H3013" s="15"/>
      <c r="I3013" s="15"/>
      <c r="J3013" s="15"/>
      <c r="K3013" s="15"/>
      <c r="L3013" s="15"/>
      <c r="M3013" s="15"/>
      <c r="N3013" s="15"/>
      <c r="O3013" s="15"/>
      <c r="P3013" s="15"/>
      <c r="Q3013" s="71"/>
      <c r="R3013" s="84"/>
      <c r="S3013" s="10"/>
      <c r="T3013" s="10"/>
      <c r="U3013" s="10"/>
      <c r="V3013" s="10"/>
      <c r="W3013" s="138"/>
      <c r="Y3013"/>
      <c r="Z3013"/>
      <c r="AA3013"/>
      <c r="AB3013"/>
      <c r="AC3013"/>
      <c r="AD3013"/>
      <c r="AE3013"/>
      <c r="AF3013"/>
      <c r="AG3013"/>
      <c r="AH3013"/>
      <c r="AI3013"/>
      <c r="AJ3013"/>
      <c r="AK3013"/>
      <c r="AL3013"/>
      <c r="AM3013"/>
      <c r="AN3013"/>
      <c r="AO3013"/>
    </row>
    <row r="3014" spans="1:41" ht="15">
      <c r="A3014"/>
      <c r="B3014"/>
      <c r="C3014" s="137"/>
      <c r="D3014" s="30"/>
      <c r="E3014" s="30"/>
      <c r="F3014" s="10"/>
      <c r="G3014" s="10"/>
      <c r="H3014" s="15"/>
      <c r="I3014" s="15"/>
      <c r="J3014" s="15"/>
      <c r="K3014" s="15"/>
      <c r="L3014" s="15"/>
      <c r="M3014" s="15"/>
      <c r="N3014" s="15"/>
      <c r="O3014" s="15"/>
      <c r="P3014" s="15"/>
      <c r="Q3014" s="71"/>
      <c r="R3014" s="84"/>
      <c r="S3014" s="10"/>
      <c r="T3014" s="10"/>
      <c r="U3014" s="10"/>
      <c r="V3014" s="10"/>
      <c r="W3014" s="138"/>
      <c r="Y3014"/>
      <c r="Z3014"/>
      <c r="AA3014"/>
      <c r="AB3014"/>
      <c r="AC3014"/>
      <c r="AD3014"/>
      <c r="AE3014"/>
      <c r="AF3014"/>
      <c r="AG3014"/>
      <c r="AH3014"/>
      <c r="AI3014"/>
      <c r="AJ3014"/>
      <c r="AK3014"/>
      <c r="AL3014"/>
      <c r="AM3014"/>
      <c r="AN3014"/>
      <c r="AO3014"/>
    </row>
    <row r="3015" spans="1:41" ht="15">
      <c r="A3015"/>
      <c r="B3015"/>
      <c r="C3015" s="137"/>
      <c r="D3015" s="30"/>
      <c r="E3015" s="30"/>
      <c r="F3015" s="10"/>
      <c r="G3015" s="10"/>
      <c r="H3015" s="15"/>
      <c r="I3015" s="15"/>
      <c r="J3015" s="15"/>
      <c r="K3015" s="15"/>
      <c r="L3015" s="15"/>
      <c r="M3015" s="15"/>
      <c r="N3015" s="15"/>
      <c r="O3015" s="15"/>
      <c r="P3015" s="15"/>
      <c r="Q3015" s="71"/>
      <c r="R3015" s="84"/>
      <c r="S3015" s="10"/>
      <c r="T3015" s="10"/>
      <c r="U3015" s="10"/>
      <c r="V3015" s="10"/>
      <c r="W3015" s="138"/>
      <c r="Y3015"/>
      <c r="Z3015"/>
      <c r="AA3015"/>
      <c r="AB3015"/>
      <c r="AC3015"/>
      <c r="AD3015"/>
      <c r="AE3015"/>
      <c r="AF3015"/>
      <c r="AG3015"/>
      <c r="AH3015"/>
      <c r="AI3015"/>
      <c r="AJ3015"/>
      <c r="AK3015"/>
      <c r="AL3015"/>
      <c r="AM3015"/>
      <c r="AN3015"/>
      <c r="AO3015"/>
    </row>
    <row r="3016" spans="1:41" ht="15">
      <c r="A3016"/>
      <c r="B3016"/>
      <c r="C3016" s="137"/>
      <c r="D3016" s="30"/>
      <c r="E3016" s="30"/>
      <c r="F3016" s="10"/>
      <c r="G3016" s="10"/>
      <c r="H3016" s="15"/>
      <c r="I3016" s="15"/>
      <c r="J3016" s="15"/>
      <c r="K3016" s="15"/>
      <c r="L3016" s="15"/>
      <c r="M3016" s="15"/>
      <c r="N3016" s="15"/>
      <c r="O3016" s="15"/>
      <c r="P3016" s="15"/>
      <c r="Q3016" s="71"/>
      <c r="R3016" s="84"/>
      <c r="S3016" s="10"/>
      <c r="T3016" s="10"/>
      <c r="U3016" s="10"/>
      <c r="V3016" s="10"/>
      <c r="W3016" s="138"/>
      <c r="Y3016"/>
      <c r="Z3016"/>
      <c r="AA3016"/>
      <c r="AB3016"/>
      <c r="AC3016"/>
      <c r="AD3016"/>
      <c r="AE3016"/>
      <c r="AF3016"/>
      <c r="AG3016"/>
      <c r="AH3016"/>
      <c r="AI3016"/>
      <c r="AJ3016"/>
      <c r="AK3016"/>
      <c r="AL3016"/>
      <c r="AM3016"/>
      <c r="AN3016"/>
      <c r="AO3016"/>
    </row>
    <row r="3017" spans="1:41" ht="15">
      <c r="A3017"/>
      <c r="B3017"/>
      <c r="C3017" s="137"/>
      <c r="D3017" s="30"/>
      <c r="E3017" s="30"/>
      <c r="F3017" s="10"/>
      <c r="G3017" s="10"/>
      <c r="H3017" s="15"/>
      <c r="I3017" s="15"/>
      <c r="J3017" s="15"/>
      <c r="K3017" s="15"/>
      <c r="L3017" s="15"/>
      <c r="M3017" s="15"/>
      <c r="N3017" s="15"/>
      <c r="O3017" s="15"/>
      <c r="P3017" s="15"/>
      <c r="Q3017" s="71"/>
      <c r="R3017" s="84"/>
      <c r="S3017" s="10"/>
      <c r="T3017" s="10"/>
      <c r="U3017" s="10"/>
      <c r="V3017" s="10"/>
      <c r="W3017" s="138"/>
      <c r="Y3017"/>
      <c r="Z3017"/>
      <c r="AA3017"/>
      <c r="AB3017"/>
      <c r="AC3017"/>
      <c r="AD3017"/>
      <c r="AE3017"/>
      <c r="AF3017"/>
      <c r="AG3017"/>
      <c r="AH3017"/>
      <c r="AI3017"/>
      <c r="AJ3017"/>
      <c r="AK3017"/>
      <c r="AL3017"/>
      <c r="AM3017"/>
      <c r="AN3017"/>
      <c r="AO3017"/>
    </row>
    <row r="3018" spans="1:41" ht="15">
      <c r="A3018"/>
      <c r="B3018"/>
      <c r="C3018" s="137"/>
      <c r="D3018" s="30"/>
      <c r="E3018" s="30"/>
      <c r="F3018" s="10"/>
      <c r="G3018" s="10"/>
      <c r="H3018" s="15"/>
      <c r="I3018" s="15"/>
      <c r="J3018" s="15"/>
      <c r="K3018" s="15"/>
      <c r="L3018" s="15"/>
      <c r="M3018" s="15"/>
      <c r="N3018" s="15"/>
      <c r="O3018" s="15"/>
      <c r="P3018" s="15"/>
      <c r="Q3018" s="71"/>
      <c r="R3018" s="84"/>
      <c r="S3018" s="10"/>
      <c r="T3018" s="10"/>
      <c r="U3018" s="10"/>
      <c r="V3018" s="10"/>
      <c r="W3018" s="138"/>
      <c r="Y3018"/>
      <c r="Z3018"/>
      <c r="AA3018"/>
      <c r="AB3018"/>
      <c r="AC3018"/>
      <c r="AD3018"/>
      <c r="AE3018"/>
      <c r="AF3018"/>
      <c r="AG3018"/>
      <c r="AH3018"/>
      <c r="AI3018"/>
      <c r="AJ3018"/>
      <c r="AK3018"/>
      <c r="AL3018"/>
      <c r="AM3018"/>
      <c r="AN3018"/>
      <c r="AO3018"/>
    </row>
    <row r="3019" spans="1:41" ht="15">
      <c r="A3019"/>
      <c r="B3019"/>
      <c r="C3019" s="137"/>
      <c r="D3019" s="30"/>
      <c r="E3019" s="30"/>
      <c r="F3019" s="10"/>
      <c r="G3019" s="10"/>
      <c r="H3019" s="15"/>
      <c r="I3019" s="15"/>
      <c r="J3019" s="15"/>
      <c r="K3019" s="15"/>
      <c r="L3019" s="15"/>
      <c r="M3019" s="15"/>
      <c r="N3019" s="15"/>
      <c r="O3019" s="15"/>
      <c r="P3019" s="15"/>
      <c r="Q3019" s="71"/>
      <c r="R3019" s="84"/>
      <c r="S3019" s="10"/>
      <c r="T3019" s="10"/>
      <c r="U3019" s="10"/>
      <c r="V3019" s="10"/>
      <c r="W3019" s="138"/>
      <c r="Y3019"/>
      <c r="Z3019"/>
      <c r="AA3019"/>
      <c r="AB3019"/>
      <c r="AC3019"/>
      <c r="AD3019"/>
      <c r="AE3019"/>
      <c r="AF3019"/>
      <c r="AG3019"/>
      <c r="AH3019"/>
      <c r="AI3019"/>
      <c r="AJ3019"/>
      <c r="AK3019"/>
      <c r="AL3019"/>
      <c r="AM3019"/>
      <c r="AN3019"/>
      <c r="AO3019"/>
    </row>
    <row r="3020" spans="1:41" ht="15">
      <c r="A3020"/>
      <c r="B3020"/>
      <c r="C3020" s="137"/>
      <c r="D3020" s="30"/>
      <c r="E3020" s="30"/>
      <c r="F3020" s="10"/>
      <c r="G3020" s="10"/>
      <c r="H3020" s="15"/>
      <c r="I3020" s="15"/>
      <c r="J3020" s="15"/>
      <c r="K3020" s="15"/>
      <c r="L3020" s="15"/>
      <c r="M3020" s="15"/>
      <c r="N3020" s="15"/>
      <c r="O3020" s="15"/>
      <c r="P3020" s="15"/>
      <c r="Q3020" s="71"/>
      <c r="R3020" s="84"/>
      <c r="S3020" s="10"/>
      <c r="T3020" s="10"/>
      <c r="U3020" s="10"/>
      <c r="V3020" s="10"/>
      <c r="W3020" s="138"/>
      <c r="Y3020"/>
      <c r="Z3020"/>
      <c r="AA3020"/>
      <c r="AB3020"/>
      <c r="AC3020"/>
      <c r="AD3020"/>
      <c r="AE3020"/>
      <c r="AF3020"/>
      <c r="AG3020"/>
      <c r="AH3020"/>
      <c r="AI3020"/>
      <c r="AJ3020"/>
      <c r="AK3020"/>
      <c r="AL3020"/>
      <c r="AM3020"/>
      <c r="AN3020"/>
      <c r="AO3020"/>
    </row>
    <row r="3021" spans="1:41" ht="15">
      <c r="A3021"/>
      <c r="B3021"/>
      <c r="C3021" s="137"/>
      <c r="D3021" s="30"/>
      <c r="E3021" s="30"/>
      <c r="F3021" s="10"/>
      <c r="G3021" s="10"/>
      <c r="H3021" s="15"/>
      <c r="I3021" s="15"/>
      <c r="J3021" s="15"/>
      <c r="K3021" s="15"/>
      <c r="L3021" s="15"/>
      <c r="M3021" s="15"/>
      <c r="N3021" s="15"/>
      <c r="O3021" s="15"/>
      <c r="P3021" s="15"/>
      <c r="Q3021" s="71"/>
      <c r="R3021" s="84"/>
      <c r="S3021" s="10"/>
      <c r="T3021" s="10"/>
      <c r="U3021" s="10"/>
      <c r="V3021" s="10"/>
      <c r="W3021" s="138"/>
      <c r="Y3021"/>
      <c r="Z3021"/>
      <c r="AA3021"/>
      <c r="AB3021"/>
      <c r="AC3021"/>
      <c r="AD3021"/>
      <c r="AE3021"/>
      <c r="AF3021"/>
      <c r="AG3021"/>
      <c r="AH3021"/>
      <c r="AI3021"/>
      <c r="AJ3021"/>
      <c r="AK3021"/>
      <c r="AL3021"/>
      <c r="AM3021"/>
      <c r="AN3021"/>
      <c r="AO3021"/>
    </row>
    <row r="3022" spans="1:41" ht="15">
      <c r="A3022"/>
      <c r="B3022"/>
      <c r="C3022" s="137"/>
      <c r="D3022" s="30"/>
      <c r="E3022" s="30"/>
      <c r="F3022" s="10"/>
      <c r="G3022" s="10"/>
      <c r="H3022" s="15"/>
      <c r="I3022" s="15"/>
      <c r="J3022" s="15"/>
      <c r="K3022" s="15"/>
      <c r="L3022" s="15"/>
      <c r="M3022" s="15"/>
      <c r="N3022" s="15"/>
      <c r="O3022" s="15"/>
      <c r="P3022" s="15"/>
      <c r="Q3022" s="71"/>
      <c r="R3022" s="84"/>
      <c r="S3022" s="10"/>
      <c r="T3022" s="10"/>
      <c r="U3022" s="10"/>
      <c r="V3022" s="10"/>
      <c r="W3022" s="138"/>
      <c r="Y3022"/>
      <c r="Z3022"/>
      <c r="AA3022"/>
      <c r="AB3022"/>
      <c r="AC3022"/>
      <c r="AD3022"/>
      <c r="AE3022"/>
      <c r="AF3022"/>
      <c r="AG3022"/>
      <c r="AH3022"/>
      <c r="AI3022"/>
      <c r="AJ3022"/>
      <c r="AK3022"/>
      <c r="AL3022"/>
      <c r="AM3022"/>
      <c r="AN3022"/>
      <c r="AO3022"/>
    </row>
    <row r="3023" spans="1:41" ht="15">
      <c r="A3023"/>
      <c r="B3023"/>
      <c r="C3023" s="137"/>
      <c r="D3023" s="30"/>
      <c r="E3023" s="30"/>
      <c r="F3023" s="10"/>
      <c r="G3023" s="10"/>
      <c r="H3023" s="15"/>
      <c r="I3023" s="15"/>
      <c r="J3023" s="15"/>
      <c r="K3023" s="15"/>
      <c r="L3023" s="15"/>
      <c r="M3023" s="15"/>
      <c r="N3023" s="15"/>
      <c r="O3023" s="15"/>
      <c r="P3023" s="15"/>
      <c r="Q3023" s="71"/>
      <c r="R3023" s="84"/>
      <c r="S3023" s="10"/>
      <c r="T3023" s="10"/>
      <c r="U3023" s="10"/>
      <c r="V3023" s="10"/>
      <c r="W3023" s="138"/>
      <c r="Y3023"/>
      <c r="Z3023"/>
      <c r="AA3023"/>
      <c r="AB3023"/>
      <c r="AC3023"/>
      <c r="AD3023"/>
      <c r="AE3023"/>
      <c r="AF3023"/>
      <c r="AG3023"/>
      <c r="AH3023"/>
      <c r="AI3023"/>
      <c r="AJ3023"/>
      <c r="AK3023"/>
      <c r="AL3023"/>
      <c r="AM3023"/>
      <c r="AN3023"/>
      <c r="AO3023"/>
    </row>
    <row r="3024" spans="1:41" ht="15">
      <c r="A3024"/>
      <c r="B3024"/>
      <c r="C3024" s="137"/>
      <c r="D3024" s="30"/>
      <c r="E3024" s="30"/>
      <c r="F3024" s="10"/>
      <c r="G3024" s="10"/>
      <c r="H3024" s="15"/>
      <c r="I3024" s="15"/>
      <c r="J3024" s="15"/>
      <c r="K3024" s="15"/>
      <c r="L3024" s="15"/>
      <c r="M3024" s="15"/>
      <c r="N3024" s="15"/>
      <c r="O3024" s="15"/>
      <c r="P3024" s="15"/>
      <c r="Q3024" s="71"/>
      <c r="R3024" s="84"/>
      <c r="S3024" s="10"/>
      <c r="T3024" s="10"/>
      <c r="U3024" s="10"/>
      <c r="V3024" s="10"/>
      <c r="W3024" s="138"/>
      <c r="Y3024"/>
      <c r="Z3024"/>
      <c r="AA3024"/>
      <c r="AB3024"/>
      <c r="AC3024"/>
      <c r="AD3024"/>
      <c r="AE3024"/>
      <c r="AF3024"/>
      <c r="AG3024"/>
      <c r="AH3024"/>
      <c r="AI3024"/>
      <c r="AJ3024"/>
      <c r="AK3024"/>
      <c r="AL3024"/>
      <c r="AM3024"/>
      <c r="AN3024"/>
      <c r="AO3024"/>
    </row>
    <row r="3025" spans="1:41" ht="15">
      <c r="A3025"/>
      <c r="B3025"/>
      <c r="C3025" s="137"/>
      <c r="D3025" s="30"/>
      <c r="E3025" s="30"/>
      <c r="F3025" s="10"/>
      <c r="G3025" s="10"/>
      <c r="H3025" s="15"/>
      <c r="I3025" s="15"/>
      <c r="J3025" s="15"/>
      <c r="K3025" s="15"/>
      <c r="L3025" s="15"/>
      <c r="M3025" s="15"/>
      <c r="N3025" s="15"/>
      <c r="O3025" s="15"/>
      <c r="P3025" s="15"/>
      <c r="Q3025" s="71"/>
      <c r="R3025" s="84"/>
      <c r="S3025" s="10"/>
      <c r="T3025" s="10"/>
      <c r="U3025" s="10"/>
      <c r="V3025" s="10"/>
      <c r="W3025" s="138"/>
      <c r="Y3025"/>
      <c r="Z3025"/>
      <c r="AA3025"/>
      <c r="AB3025"/>
      <c r="AC3025"/>
      <c r="AD3025"/>
      <c r="AE3025"/>
      <c r="AF3025"/>
      <c r="AG3025"/>
      <c r="AH3025"/>
      <c r="AI3025"/>
      <c r="AJ3025"/>
      <c r="AK3025"/>
      <c r="AL3025"/>
      <c r="AM3025"/>
      <c r="AN3025"/>
      <c r="AO3025"/>
    </row>
    <row r="3026" spans="1:41" ht="15">
      <c r="A3026"/>
      <c r="B3026"/>
      <c r="C3026" s="137"/>
      <c r="D3026" s="30"/>
      <c r="E3026" s="30"/>
      <c r="F3026" s="10"/>
      <c r="G3026" s="10"/>
      <c r="H3026" s="15"/>
      <c r="I3026" s="15"/>
      <c r="J3026" s="15"/>
      <c r="K3026" s="15"/>
      <c r="L3026" s="15"/>
      <c r="M3026" s="15"/>
      <c r="N3026" s="15"/>
      <c r="O3026" s="15"/>
      <c r="P3026" s="15"/>
      <c r="Q3026" s="71"/>
      <c r="R3026" s="84"/>
      <c r="S3026" s="10"/>
      <c r="T3026" s="10"/>
      <c r="U3026" s="10"/>
      <c r="V3026" s="10"/>
      <c r="W3026" s="138"/>
      <c r="Y3026"/>
      <c r="Z3026"/>
      <c r="AA3026"/>
      <c r="AB3026"/>
      <c r="AC3026"/>
      <c r="AD3026"/>
      <c r="AE3026"/>
      <c r="AF3026"/>
      <c r="AG3026"/>
      <c r="AH3026"/>
      <c r="AI3026"/>
      <c r="AJ3026"/>
      <c r="AK3026"/>
      <c r="AL3026"/>
      <c r="AM3026"/>
      <c r="AN3026"/>
      <c r="AO3026"/>
    </row>
    <row r="3027" spans="1:41" ht="15">
      <c r="A3027"/>
      <c r="B3027"/>
      <c r="C3027" s="137"/>
      <c r="D3027" s="30"/>
      <c r="E3027" s="30"/>
      <c r="F3027" s="10"/>
      <c r="G3027" s="10"/>
      <c r="H3027" s="15"/>
      <c r="I3027" s="15"/>
      <c r="J3027" s="15"/>
      <c r="K3027" s="15"/>
      <c r="L3027" s="15"/>
      <c r="M3027" s="15"/>
      <c r="N3027" s="15"/>
      <c r="O3027" s="15"/>
      <c r="P3027" s="15"/>
      <c r="Q3027" s="71"/>
      <c r="R3027" s="84"/>
      <c r="S3027" s="10"/>
      <c r="T3027" s="10"/>
      <c r="U3027" s="10"/>
      <c r="V3027" s="10"/>
      <c r="W3027" s="138"/>
      <c r="Y3027"/>
      <c r="Z3027"/>
      <c r="AA3027"/>
      <c r="AB3027"/>
      <c r="AC3027"/>
      <c r="AD3027"/>
      <c r="AE3027"/>
      <c r="AF3027"/>
      <c r="AG3027"/>
      <c r="AH3027"/>
      <c r="AI3027"/>
      <c r="AJ3027"/>
      <c r="AK3027"/>
      <c r="AL3027"/>
      <c r="AM3027"/>
      <c r="AN3027"/>
      <c r="AO3027"/>
    </row>
    <row r="3028" spans="1:41" ht="15">
      <c r="A3028"/>
      <c r="B3028"/>
      <c r="C3028" s="137"/>
      <c r="D3028" s="30"/>
      <c r="E3028" s="30"/>
      <c r="F3028" s="10"/>
      <c r="G3028" s="10"/>
      <c r="H3028" s="15"/>
      <c r="I3028" s="15"/>
      <c r="J3028" s="15"/>
      <c r="K3028" s="15"/>
      <c r="L3028" s="15"/>
      <c r="M3028" s="15"/>
      <c r="N3028" s="15"/>
      <c r="O3028" s="15"/>
      <c r="P3028" s="15"/>
      <c r="Q3028" s="71"/>
      <c r="R3028" s="84"/>
      <c r="S3028" s="10"/>
      <c r="T3028" s="10"/>
      <c r="U3028" s="10"/>
      <c r="V3028" s="10"/>
      <c r="W3028" s="138"/>
      <c r="Y3028"/>
      <c r="Z3028"/>
      <c r="AA3028"/>
      <c r="AB3028"/>
      <c r="AC3028"/>
      <c r="AD3028"/>
      <c r="AE3028"/>
      <c r="AF3028"/>
      <c r="AG3028"/>
      <c r="AH3028"/>
      <c r="AI3028"/>
      <c r="AJ3028"/>
      <c r="AK3028"/>
      <c r="AL3028"/>
      <c r="AM3028"/>
      <c r="AN3028"/>
      <c r="AO3028"/>
    </row>
    <row r="3029" spans="1:41" ht="15">
      <c r="A3029"/>
      <c r="B3029"/>
      <c r="C3029" s="137"/>
      <c r="D3029" s="30"/>
      <c r="E3029" s="30"/>
      <c r="F3029" s="10"/>
      <c r="G3029" s="10"/>
      <c r="H3029" s="15"/>
      <c r="I3029" s="15"/>
      <c r="J3029" s="15"/>
      <c r="K3029" s="15"/>
      <c r="L3029" s="15"/>
      <c r="M3029" s="15"/>
      <c r="N3029" s="15"/>
      <c r="O3029" s="15"/>
      <c r="P3029" s="15"/>
      <c r="Q3029" s="71"/>
      <c r="R3029" s="84"/>
      <c r="S3029" s="10"/>
      <c r="T3029" s="10"/>
      <c r="U3029" s="10"/>
      <c r="V3029" s="10"/>
      <c r="W3029" s="138"/>
      <c r="Y3029"/>
      <c r="Z3029"/>
      <c r="AA3029"/>
      <c r="AB3029"/>
      <c r="AC3029"/>
      <c r="AD3029"/>
      <c r="AE3029"/>
      <c r="AF3029"/>
      <c r="AG3029"/>
      <c r="AH3029"/>
      <c r="AI3029"/>
      <c r="AJ3029"/>
      <c r="AK3029"/>
      <c r="AL3029"/>
      <c r="AM3029"/>
      <c r="AN3029"/>
      <c r="AO3029"/>
    </row>
    <row r="3030" spans="1:41" ht="15">
      <c r="A3030"/>
      <c r="B3030"/>
      <c r="C3030" s="137"/>
      <c r="D3030" s="30"/>
      <c r="E3030" s="30"/>
      <c r="F3030" s="10"/>
      <c r="G3030" s="10"/>
      <c r="H3030" s="15"/>
      <c r="I3030" s="15"/>
      <c r="J3030" s="15"/>
      <c r="K3030" s="15"/>
      <c r="L3030" s="15"/>
      <c r="M3030" s="15"/>
      <c r="N3030" s="15"/>
      <c r="O3030" s="15"/>
      <c r="P3030" s="15"/>
      <c r="Q3030" s="71"/>
      <c r="R3030" s="84"/>
      <c r="S3030" s="10"/>
      <c r="T3030" s="10"/>
      <c r="U3030" s="10"/>
      <c r="V3030" s="10"/>
      <c r="W3030" s="138"/>
      <c r="Y3030"/>
      <c r="Z3030"/>
      <c r="AA3030"/>
      <c r="AB3030"/>
      <c r="AC3030"/>
      <c r="AD3030"/>
      <c r="AE3030"/>
      <c r="AF3030"/>
      <c r="AG3030"/>
      <c r="AH3030"/>
      <c r="AI3030"/>
      <c r="AJ3030"/>
      <c r="AK3030"/>
      <c r="AL3030"/>
      <c r="AM3030"/>
      <c r="AN3030"/>
      <c r="AO3030"/>
    </row>
    <row r="3031" spans="1:41" ht="15">
      <c r="A3031"/>
      <c r="B3031"/>
      <c r="C3031" s="137"/>
      <c r="D3031" s="30"/>
      <c r="E3031" s="30"/>
      <c r="F3031" s="10"/>
      <c r="G3031" s="10"/>
      <c r="H3031" s="15"/>
      <c r="I3031" s="15"/>
      <c r="J3031" s="15"/>
      <c r="K3031" s="15"/>
      <c r="L3031" s="15"/>
      <c r="M3031" s="15"/>
      <c r="N3031" s="15"/>
      <c r="O3031" s="15"/>
      <c r="P3031" s="15"/>
      <c r="Q3031" s="71"/>
      <c r="R3031" s="84"/>
      <c r="S3031" s="10"/>
      <c r="T3031" s="10"/>
      <c r="U3031" s="10"/>
      <c r="V3031" s="10"/>
      <c r="W3031" s="138"/>
      <c r="Y3031"/>
      <c r="Z3031"/>
      <c r="AA3031"/>
      <c r="AB3031"/>
      <c r="AC3031"/>
      <c r="AD3031"/>
      <c r="AE3031"/>
      <c r="AF3031"/>
      <c r="AG3031"/>
      <c r="AH3031"/>
      <c r="AI3031"/>
      <c r="AJ3031"/>
      <c r="AK3031"/>
      <c r="AL3031"/>
      <c r="AM3031"/>
      <c r="AN3031"/>
      <c r="AO3031"/>
    </row>
    <row r="3032" spans="1:41" ht="15">
      <c r="A3032"/>
      <c r="B3032"/>
      <c r="C3032" s="137"/>
      <c r="D3032" s="30"/>
      <c r="E3032" s="30"/>
      <c r="F3032" s="10"/>
      <c r="G3032" s="10"/>
      <c r="H3032" s="15"/>
      <c r="I3032" s="15"/>
      <c r="J3032" s="15"/>
      <c r="K3032" s="15"/>
      <c r="L3032" s="15"/>
      <c r="M3032" s="15"/>
      <c r="N3032" s="15"/>
      <c r="O3032" s="15"/>
      <c r="P3032" s="15"/>
      <c r="Q3032" s="71"/>
      <c r="R3032" s="84"/>
      <c r="S3032" s="10"/>
      <c r="T3032" s="10"/>
      <c r="U3032" s="10"/>
      <c r="V3032" s="10"/>
      <c r="W3032" s="138"/>
      <c r="Y3032"/>
      <c r="Z3032"/>
      <c r="AA3032"/>
      <c r="AB3032"/>
      <c r="AC3032"/>
      <c r="AD3032"/>
      <c r="AE3032"/>
      <c r="AF3032"/>
      <c r="AG3032"/>
      <c r="AH3032"/>
      <c r="AI3032"/>
      <c r="AJ3032"/>
      <c r="AK3032"/>
      <c r="AL3032"/>
      <c r="AM3032"/>
      <c r="AN3032"/>
      <c r="AO3032"/>
    </row>
    <row r="3033" spans="1:41" ht="15">
      <c r="A3033"/>
      <c r="B3033"/>
      <c r="C3033" s="137"/>
      <c r="D3033" s="30"/>
      <c r="E3033" s="30"/>
      <c r="F3033" s="10"/>
      <c r="G3033" s="10"/>
      <c r="H3033" s="15"/>
      <c r="I3033" s="15"/>
      <c r="J3033" s="15"/>
      <c r="K3033" s="15"/>
      <c r="L3033" s="15"/>
      <c r="M3033" s="15"/>
      <c r="N3033" s="15"/>
      <c r="O3033" s="15"/>
      <c r="P3033" s="15"/>
      <c r="Q3033" s="71"/>
      <c r="R3033" s="84"/>
      <c r="S3033" s="10"/>
      <c r="T3033" s="10"/>
      <c r="U3033" s="10"/>
      <c r="V3033" s="10"/>
      <c r="W3033" s="138"/>
      <c r="Y3033"/>
      <c r="Z3033"/>
      <c r="AA3033"/>
      <c r="AB3033"/>
      <c r="AC3033"/>
      <c r="AD3033"/>
      <c r="AE3033"/>
      <c r="AF3033"/>
      <c r="AG3033"/>
      <c r="AH3033"/>
      <c r="AI3033"/>
      <c r="AJ3033"/>
      <c r="AK3033"/>
      <c r="AL3033"/>
      <c r="AM3033"/>
      <c r="AN3033"/>
      <c r="AO3033"/>
    </row>
    <row r="3034" spans="1:41" ht="15">
      <c r="A3034"/>
      <c r="B3034"/>
      <c r="C3034" s="137"/>
      <c r="D3034" s="30"/>
      <c r="E3034" s="30"/>
      <c r="F3034" s="10"/>
      <c r="G3034" s="10"/>
      <c r="H3034" s="15"/>
      <c r="I3034" s="15"/>
      <c r="J3034" s="15"/>
      <c r="K3034" s="15"/>
      <c r="L3034" s="15"/>
      <c r="M3034" s="15"/>
      <c r="N3034" s="15"/>
      <c r="O3034" s="15"/>
      <c r="P3034" s="15"/>
      <c r="Q3034" s="71"/>
      <c r="R3034" s="84"/>
      <c r="S3034" s="10"/>
      <c r="T3034" s="10"/>
      <c r="U3034" s="10"/>
      <c r="V3034" s="10"/>
      <c r="W3034" s="138"/>
      <c r="Y3034"/>
      <c r="Z3034"/>
      <c r="AA3034"/>
      <c r="AB3034"/>
      <c r="AC3034"/>
      <c r="AD3034"/>
      <c r="AE3034"/>
      <c r="AF3034"/>
      <c r="AG3034"/>
      <c r="AH3034"/>
      <c r="AI3034"/>
      <c r="AJ3034"/>
      <c r="AK3034"/>
      <c r="AL3034"/>
      <c r="AM3034"/>
      <c r="AN3034"/>
      <c r="AO3034"/>
    </row>
    <row r="3035" spans="1:41" ht="15">
      <c r="A3035"/>
      <c r="B3035"/>
      <c r="C3035" s="137"/>
      <c r="D3035" s="30"/>
      <c r="E3035" s="30"/>
      <c r="F3035" s="10"/>
      <c r="G3035" s="10"/>
      <c r="H3035" s="15"/>
      <c r="I3035" s="15"/>
      <c r="J3035" s="15"/>
      <c r="K3035" s="15"/>
      <c r="L3035" s="15"/>
      <c r="M3035" s="15"/>
      <c r="N3035" s="15"/>
      <c r="O3035" s="15"/>
      <c r="P3035" s="15"/>
      <c r="Q3035" s="71"/>
      <c r="R3035" s="84"/>
      <c r="S3035" s="10"/>
      <c r="T3035" s="10"/>
      <c r="U3035" s="10"/>
      <c r="V3035" s="10"/>
      <c r="W3035" s="138"/>
      <c r="Y3035"/>
      <c r="Z3035"/>
      <c r="AA3035"/>
      <c r="AB3035"/>
      <c r="AC3035"/>
      <c r="AD3035"/>
      <c r="AE3035"/>
      <c r="AF3035"/>
      <c r="AG3035"/>
      <c r="AH3035"/>
      <c r="AI3035"/>
      <c r="AJ3035"/>
      <c r="AK3035"/>
      <c r="AL3035"/>
      <c r="AM3035"/>
      <c r="AN3035"/>
      <c r="AO3035"/>
    </row>
    <row r="3036" spans="1:41" ht="15">
      <c r="A3036"/>
      <c r="B3036"/>
      <c r="C3036" s="137"/>
      <c r="D3036" s="30"/>
      <c r="E3036" s="30"/>
      <c r="F3036" s="10"/>
      <c r="G3036" s="10"/>
      <c r="H3036" s="15"/>
      <c r="I3036" s="15"/>
      <c r="J3036" s="15"/>
      <c r="K3036" s="15"/>
      <c r="L3036" s="15"/>
      <c r="M3036" s="15"/>
      <c r="N3036" s="15"/>
      <c r="O3036" s="15"/>
      <c r="P3036" s="15"/>
      <c r="Q3036" s="71"/>
      <c r="R3036" s="84"/>
      <c r="S3036" s="10"/>
      <c r="T3036" s="10"/>
      <c r="U3036" s="10"/>
      <c r="V3036" s="10"/>
      <c r="W3036" s="138"/>
      <c r="Y3036"/>
      <c r="Z3036"/>
      <c r="AA3036"/>
      <c r="AB3036"/>
      <c r="AC3036"/>
      <c r="AD3036"/>
      <c r="AE3036"/>
      <c r="AF3036"/>
      <c r="AG3036"/>
      <c r="AH3036"/>
      <c r="AI3036"/>
      <c r="AJ3036"/>
      <c r="AK3036"/>
      <c r="AL3036"/>
      <c r="AM3036"/>
      <c r="AN3036"/>
      <c r="AO3036"/>
    </row>
    <row r="3037" spans="1:41" ht="15">
      <c r="A3037"/>
      <c r="B3037"/>
      <c r="C3037" s="137"/>
      <c r="D3037" s="30"/>
      <c r="E3037" s="30"/>
      <c r="F3037" s="10"/>
      <c r="G3037" s="10"/>
      <c r="H3037" s="15"/>
      <c r="I3037" s="15"/>
      <c r="J3037" s="15"/>
      <c r="K3037" s="15"/>
      <c r="L3037" s="15"/>
      <c r="M3037" s="15"/>
      <c r="N3037" s="15"/>
      <c r="O3037" s="15"/>
      <c r="P3037" s="15"/>
      <c r="Q3037" s="71"/>
      <c r="R3037" s="84"/>
      <c r="S3037" s="10"/>
      <c r="T3037" s="10"/>
      <c r="U3037" s="10"/>
      <c r="V3037" s="10"/>
      <c r="W3037" s="138"/>
      <c r="Y3037"/>
      <c r="Z3037"/>
      <c r="AA3037"/>
      <c r="AB3037"/>
      <c r="AC3037"/>
      <c r="AD3037"/>
      <c r="AE3037"/>
      <c r="AF3037"/>
      <c r="AG3037"/>
      <c r="AH3037"/>
      <c r="AI3037"/>
      <c r="AJ3037"/>
      <c r="AK3037"/>
      <c r="AL3037"/>
      <c r="AM3037"/>
      <c r="AN3037"/>
      <c r="AO3037"/>
    </row>
    <row r="3038" spans="1:41" ht="15">
      <c r="A3038"/>
      <c r="B3038"/>
      <c r="C3038" s="137"/>
      <c r="D3038" s="30"/>
      <c r="E3038" s="30"/>
      <c r="F3038" s="10"/>
      <c r="G3038" s="10"/>
      <c r="H3038" s="15"/>
      <c r="I3038" s="15"/>
      <c r="J3038" s="15"/>
      <c r="K3038" s="15"/>
      <c r="L3038" s="15"/>
      <c r="M3038" s="15"/>
      <c r="N3038" s="15"/>
      <c r="O3038" s="15"/>
      <c r="P3038" s="15"/>
      <c r="Q3038" s="71"/>
      <c r="R3038" s="84"/>
      <c r="S3038" s="10"/>
      <c r="T3038" s="10"/>
      <c r="U3038" s="10"/>
      <c r="V3038" s="10"/>
      <c r="W3038" s="138"/>
      <c r="Y3038"/>
      <c r="Z3038"/>
      <c r="AA3038"/>
      <c r="AB3038"/>
      <c r="AC3038"/>
      <c r="AD3038"/>
      <c r="AE3038"/>
      <c r="AF3038"/>
      <c r="AG3038"/>
      <c r="AH3038"/>
      <c r="AI3038"/>
      <c r="AJ3038"/>
      <c r="AK3038"/>
      <c r="AL3038"/>
      <c r="AM3038"/>
      <c r="AN3038"/>
      <c r="AO3038"/>
    </row>
    <row r="3039" spans="1:41" ht="15">
      <c r="A3039"/>
      <c r="B3039"/>
      <c r="C3039" s="137"/>
      <c r="D3039" s="30"/>
      <c r="E3039" s="30"/>
      <c r="F3039" s="10"/>
      <c r="G3039" s="10"/>
      <c r="H3039" s="15"/>
      <c r="I3039" s="15"/>
      <c r="J3039" s="15"/>
      <c r="K3039" s="15"/>
      <c r="L3039" s="15"/>
      <c r="M3039" s="15"/>
      <c r="N3039" s="15"/>
      <c r="O3039" s="15"/>
      <c r="P3039" s="15"/>
      <c r="Q3039" s="71"/>
      <c r="R3039" s="84"/>
      <c r="S3039" s="10"/>
      <c r="T3039" s="10"/>
      <c r="U3039" s="10"/>
      <c r="V3039" s="10"/>
      <c r="W3039" s="138"/>
      <c r="Y3039"/>
      <c r="Z3039"/>
      <c r="AA3039"/>
      <c r="AB3039"/>
      <c r="AC3039"/>
      <c r="AD3039"/>
      <c r="AE3039"/>
      <c r="AF3039"/>
      <c r="AG3039"/>
      <c r="AH3039"/>
      <c r="AI3039"/>
      <c r="AJ3039"/>
      <c r="AK3039"/>
      <c r="AL3039"/>
      <c r="AM3039"/>
      <c r="AN3039"/>
      <c r="AO3039"/>
    </row>
    <row r="3040" spans="1:41" ht="15">
      <c r="A3040"/>
      <c r="B3040"/>
      <c r="C3040" s="137"/>
      <c r="D3040" s="30"/>
      <c r="E3040" s="30"/>
      <c r="F3040" s="10"/>
      <c r="G3040" s="10"/>
      <c r="H3040" s="15"/>
      <c r="I3040" s="15"/>
      <c r="J3040" s="15"/>
      <c r="K3040" s="15"/>
      <c r="L3040" s="15"/>
      <c r="M3040" s="15"/>
      <c r="N3040" s="15"/>
      <c r="O3040" s="15"/>
      <c r="P3040" s="15"/>
      <c r="Q3040" s="71"/>
      <c r="R3040" s="84"/>
      <c r="S3040" s="10"/>
      <c r="T3040" s="10"/>
      <c r="U3040" s="10"/>
      <c r="V3040" s="10"/>
      <c r="W3040" s="138"/>
      <c r="Y3040"/>
      <c r="Z3040"/>
      <c r="AA3040"/>
      <c r="AB3040"/>
      <c r="AC3040"/>
      <c r="AD3040"/>
      <c r="AE3040"/>
      <c r="AF3040"/>
      <c r="AG3040"/>
      <c r="AH3040"/>
      <c r="AI3040"/>
      <c r="AJ3040"/>
      <c r="AK3040"/>
      <c r="AL3040"/>
      <c r="AM3040"/>
      <c r="AN3040"/>
      <c r="AO3040"/>
    </row>
    <row r="3041" spans="1:41" ht="15">
      <c r="A3041"/>
      <c r="B3041"/>
      <c r="C3041" s="137"/>
      <c r="D3041" s="30"/>
      <c r="E3041" s="30"/>
      <c r="F3041" s="10"/>
      <c r="G3041" s="10"/>
      <c r="H3041" s="15"/>
      <c r="I3041" s="15"/>
      <c r="J3041" s="15"/>
      <c r="K3041" s="15"/>
      <c r="L3041" s="15"/>
      <c r="M3041" s="15"/>
      <c r="N3041" s="15"/>
      <c r="O3041" s="15"/>
      <c r="P3041" s="15"/>
      <c r="Q3041" s="71"/>
      <c r="R3041" s="84"/>
      <c r="S3041" s="10"/>
      <c r="T3041" s="10"/>
      <c r="U3041" s="10"/>
      <c r="V3041" s="10"/>
      <c r="W3041" s="138"/>
      <c r="Y3041"/>
      <c r="Z3041"/>
      <c r="AA3041"/>
      <c r="AB3041"/>
      <c r="AC3041"/>
      <c r="AD3041"/>
      <c r="AE3041"/>
      <c r="AF3041"/>
      <c r="AG3041"/>
      <c r="AH3041"/>
      <c r="AI3041"/>
      <c r="AJ3041"/>
      <c r="AK3041"/>
      <c r="AL3041"/>
      <c r="AM3041"/>
      <c r="AN3041"/>
      <c r="AO3041"/>
    </row>
    <row r="3042" spans="1:41" ht="15">
      <c r="A3042"/>
      <c r="B3042"/>
      <c r="C3042" s="137"/>
      <c r="D3042" s="30"/>
      <c r="E3042" s="30"/>
      <c r="F3042" s="10"/>
      <c r="G3042" s="10"/>
      <c r="H3042" s="15"/>
      <c r="I3042" s="15"/>
      <c r="J3042" s="15"/>
      <c r="K3042" s="15"/>
      <c r="L3042" s="15"/>
      <c r="M3042" s="15"/>
      <c r="N3042" s="15"/>
      <c r="O3042" s="15"/>
      <c r="P3042" s="15"/>
      <c r="Q3042" s="71"/>
      <c r="R3042" s="84"/>
      <c r="S3042" s="10"/>
      <c r="T3042" s="10"/>
      <c r="U3042" s="10"/>
      <c r="V3042" s="10"/>
      <c r="W3042" s="138"/>
      <c r="Y3042"/>
      <c r="Z3042"/>
      <c r="AA3042"/>
      <c r="AB3042"/>
      <c r="AC3042"/>
      <c r="AD3042"/>
      <c r="AE3042"/>
      <c r="AF3042"/>
      <c r="AG3042"/>
      <c r="AH3042"/>
      <c r="AI3042"/>
      <c r="AJ3042"/>
      <c r="AK3042"/>
      <c r="AL3042"/>
      <c r="AM3042"/>
      <c r="AN3042"/>
      <c r="AO3042"/>
    </row>
    <row r="3043" spans="1:41" ht="15">
      <c r="A3043"/>
      <c r="B3043"/>
      <c r="C3043" s="137"/>
      <c r="D3043" s="30"/>
      <c r="E3043" s="30"/>
      <c r="F3043" s="10"/>
      <c r="G3043" s="10"/>
      <c r="H3043" s="15"/>
      <c r="I3043" s="15"/>
      <c r="J3043" s="15"/>
      <c r="K3043" s="15"/>
      <c r="L3043" s="15"/>
      <c r="M3043" s="15"/>
      <c r="N3043" s="15"/>
      <c r="O3043" s="15"/>
      <c r="P3043" s="15"/>
      <c r="Q3043" s="71"/>
      <c r="R3043" s="84"/>
      <c r="S3043" s="10"/>
      <c r="T3043" s="10"/>
      <c r="U3043" s="10"/>
      <c r="V3043" s="10"/>
      <c r="W3043" s="138"/>
      <c r="Y3043"/>
      <c r="Z3043"/>
      <c r="AA3043"/>
      <c r="AB3043"/>
      <c r="AC3043"/>
      <c r="AD3043"/>
      <c r="AE3043"/>
      <c r="AF3043"/>
      <c r="AG3043"/>
      <c r="AH3043"/>
      <c r="AI3043"/>
      <c r="AJ3043"/>
      <c r="AK3043"/>
      <c r="AL3043"/>
      <c r="AM3043"/>
      <c r="AN3043"/>
      <c r="AO3043"/>
    </row>
    <row r="3044" spans="1:41" ht="15">
      <c r="A3044"/>
      <c r="B3044"/>
      <c r="C3044" s="137"/>
      <c r="D3044" s="30"/>
      <c r="E3044" s="30"/>
      <c r="F3044" s="10"/>
      <c r="G3044" s="10"/>
      <c r="H3044" s="15"/>
      <c r="I3044" s="15"/>
      <c r="J3044" s="15"/>
      <c r="K3044" s="15"/>
      <c r="L3044" s="15"/>
      <c r="M3044" s="15"/>
      <c r="N3044" s="15"/>
      <c r="O3044" s="15"/>
      <c r="P3044" s="15"/>
      <c r="Q3044" s="71"/>
      <c r="R3044" s="84"/>
      <c r="S3044" s="10"/>
      <c r="T3044" s="10"/>
      <c r="U3044" s="10"/>
      <c r="V3044" s="10"/>
      <c r="W3044" s="138"/>
      <c r="Y3044"/>
      <c r="Z3044"/>
      <c r="AA3044"/>
      <c r="AB3044"/>
      <c r="AC3044"/>
      <c r="AD3044"/>
      <c r="AE3044"/>
      <c r="AF3044"/>
      <c r="AG3044"/>
      <c r="AH3044"/>
      <c r="AI3044"/>
      <c r="AJ3044"/>
      <c r="AK3044"/>
      <c r="AL3044"/>
      <c r="AM3044"/>
      <c r="AN3044"/>
      <c r="AO3044"/>
    </row>
    <row r="3045" spans="1:41" ht="15">
      <c r="A3045"/>
      <c r="B3045"/>
      <c r="C3045" s="137"/>
      <c r="D3045" s="30"/>
      <c r="E3045" s="30"/>
      <c r="F3045" s="10"/>
      <c r="G3045" s="10"/>
      <c r="H3045" s="15"/>
      <c r="I3045" s="15"/>
      <c r="J3045" s="15"/>
      <c r="K3045" s="15"/>
      <c r="L3045" s="15"/>
      <c r="M3045" s="15"/>
      <c r="N3045" s="15"/>
      <c r="O3045" s="15"/>
      <c r="P3045" s="15"/>
      <c r="Q3045" s="71"/>
      <c r="R3045" s="84"/>
      <c r="S3045" s="10"/>
      <c r="T3045" s="10"/>
      <c r="U3045" s="10"/>
      <c r="V3045" s="10"/>
      <c r="W3045" s="138"/>
      <c r="Y3045"/>
      <c r="Z3045"/>
      <c r="AA3045"/>
      <c r="AB3045"/>
      <c r="AC3045"/>
      <c r="AD3045"/>
      <c r="AE3045"/>
      <c r="AF3045"/>
      <c r="AG3045"/>
      <c r="AH3045"/>
      <c r="AI3045"/>
      <c r="AJ3045"/>
      <c r="AK3045"/>
      <c r="AL3045"/>
      <c r="AM3045"/>
      <c r="AN3045"/>
      <c r="AO3045"/>
    </row>
    <row r="3046" spans="1:41" ht="15">
      <c r="A3046"/>
      <c r="B3046"/>
      <c r="C3046" s="137"/>
      <c r="D3046" s="30"/>
      <c r="E3046" s="30"/>
      <c r="F3046" s="10"/>
      <c r="G3046" s="10"/>
      <c r="H3046" s="15"/>
      <c r="I3046" s="15"/>
      <c r="J3046" s="15"/>
      <c r="K3046" s="15"/>
      <c r="L3046" s="15"/>
      <c r="M3046" s="15"/>
      <c r="N3046" s="15"/>
      <c r="O3046" s="15"/>
      <c r="P3046" s="15"/>
      <c r="Q3046" s="71"/>
      <c r="R3046" s="84"/>
      <c r="S3046" s="10"/>
      <c r="T3046" s="10"/>
      <c r="U3046" s="10"/>
      <c r="V3046" s="10"/>
      <c r="W3046" s="138"/>
      <c r="Y3046"/>
      <c r="Z3046"/>
      <c r="AA3046"/>
      <c r="AB3046"/>
      <c r="AC3046"/>
      <c r="AD3046"/>
      <c r="AE3046"/>
      <c r="AF3046"/>
      <c r="AG3046"/>
      <c r="AH3046"/>
      <c r="AI3046"/>
      <c r="AJ3046"/>
      <c r="AK3046"/>
      <c r="AL3046"/>
      <c r="AM3046"/>
      <c r="AN3046"/>
      <c r="AO3046"/>
    </row>
    <row r="3047" spans="1:41" ht="15">
      <c r="A3047"/>
      <c r="B3047"/>
      <c r="C3047" s="137"/>
      <c r="D3047" s="30"/>
      <c r="E3047" s="30"/>
      <c r="F3047" s="10"/>
      <c r="G3047" s="10"/>
      <c r="H3047" s="15"/>
      <c r="I3047" s="15"/>
      <c r="J3047" s="15"/>
      <c r="K3047" s="15"/>
      <c r="L3047" s="15"/>
      <c r="M3047" s="15"/>
      <c r="N3047" s="15"/>
      <c r="O3047" s="15"/>
      <c r="P3047" s="15"/>
      <c r="Q3047" s="71"/>
      <c r="R3047" s="84"/>
      <c r="S3047" s="10"/>
      <c r="T3047" s="10"/>
      <c r="U3047" s="10"/>
      <c r="V3047" s="10"/>
      <c r="W3047" s="138"/>
      <c r="Y3047"/>
      <c r="Z3047"/>
      <c r="AA3047"/>
      <c r="AB3047"/>
      <c r="AC3047"/>
      <c r="AD3047"/>
      <c r="AE3047"/>
      <c r="AF3047"/>
      <c r="AG3047"/>
      <c r="AH3047"/>
      <c r="AI3047"/>
      <c r="AJ3047"/>
      <c r="AK3047"/>
      <c r="AL3047"/>
      <c r="AM3047"/>
      <c r="AN3047"/>
      <c r="AO3047"/>
    </row>
    <row r="3048" spans="1:41" ht="15">
      <c r="A3048"/>
      <c r="B3048"/>
      <c r="C3048" s="137"/>
      <c r="D3048" s="30"/>
      <c r="E3048" s="30"/>
      <c r="F3048" s="10"/>
      <c r="G3048" s="10"/>
      <c r="H3048" s="15"/>
      <c r="I3048" s="15"/>
      <c r="J3048" s="15"/>
      <c r="K3048" s="15"/>
      <c r="L3048" s="15"/>
      <c r="M3048" s="15"/>
      <c r="N3048" s="15"/>
      <c r="O3048" s="15"/>
      <c r="P3048" s="15"/>
      <c r="Q3048" s="71"/>
      <c r="R3048" s="84"/>
      <c r="S3048" s="10"/>
      <c r="T3048" s="10"/>
      <c r="U3048" s="10"/>
      <c r="V3048" s="10"/>
      <c r="W3048" s="138"/>
      <c r="Y3048"/>
      <c r="Z3048"/>
      <c r="AA3048"/>
      <c r="AB3048"/>
      <c r="AC3048"/>
      <c r="AD3048"/>
      <c r="AE3048"/>
      <c r="AF3048"/>
      <c r="AG3048"/>
      <c r="AH3048"/>
      <c r="AI3048"/>
      <c r="AJ3048"/>
      <c r="AK3048"/>
      <c r="AL3048"/>
      <c r="AM3048"/>
      <c r="AN3048"/>
      <c r="AO3048"/>
    </row>
    <row r="3049" spans="1:41" ht="15">
      <c r="A3049"/>
      <c r="B3049"/>
      <c r="C3049" s="137"/>
      <c r="D3049" s="30"/>
      <c r="E3049" s="30"/>
      <c r="F3049" s="10"/>
      <c r="G3049" s="10"/>
      <c r="H3049" s="15"/>
      <c r="I3049" s="15"/>
      <c r="J3049" s="15"/>
      <c r="K3049" s="15"/>
      <c r="L3049" s="15"/>
      <c r="M3049" s="15"/>
      <c r="N3049" s="15"/>
      <c r="O3049" s="15"/>
      <c r="P3049" s="15"/>
      <c r="Q3049" s="71"/>
      <c r="R3049" s="84"/>
      <c r="S3049" s="10"/>
      <c r="T3049" s="10"/>
      <c r="U3049" s="10"/>
      <c r="V3049" s="10"/>
      <c r="W3049" s="138"/>
      <c r="Y3049"/>
      <c r="Z3049"/>
      <c r="AA3049"/>
      <c r="AB3049"/>
      <c r="AC3049"/>
      <c r="AD3049"/>
      <c r="AE3049"/>
      <c r="AF3049"/>
      <c r="AG3049"/>
      <c r="AH3049"/>
      <c r="AI3049"/>
      <c r="AJ3049"/>
      <c r="AK3049"/>
      <c r="AL3049"/>
      <c r="AM3049"/>
      <c r="AN3049"/>
      <c r="AO3049"/>
    </row>
    <row r="3050" spans="1:41" ht="15">
      <c r="A3050"/>
      <c r="B3050"/>
      <c r="C3050" s="137"/>
      <c r="D3050" s="30"/>
      <c r="E3050" s="30"/>
      <c r="F3050" s="10"/>
      <c r="G3050" s="10"/>
      <c r="H3050" s="15"/>
      <c r="I3050" s="15"/>
      <c r="J3050" s="15"/>
      <c r="K3050" s="15"/>
      <c r="L3050" s="15"/>
      <c r="M3050" s="15"/>
      <c r="N3050" s="15"/>
      <c r="O3050" s="15"/>
      <c r="P3050" s="15"/>
      <c r="Q3050" s="71"/>
      <c r="R3050" s="84"/>
      <c r="S3050" s="10"/>
      <c r="T3050" s="10"/>
      <c r="U3050" s="10"/>
      <c r="V3050" s="10"/>
      <c r="W3050" s="138"/>
      <c r="Y3050"/>
      <c r="Z3050"/>
      <c r="AA3050"/>
      <c r="AB3050"/>
      <c r="AC3050"/>
      <c r="AD3050"/>
      <c r="AE3050"/>
      <c r="AF3050"/>
      <c r="AG3050"/>
      <c r="AH3050"/>
      <c r="AI3050"/>
      <c r="AJ3050"/>
      <c r="AK3050"/>
      <c r="AL3050"/>
      <c r="AM3050"/>
      <c r="AN3050"/>
      <c r="AO3050"/>
    </row>
    <row r="3051" spans="1:41" ht="15">
      <c r="A3051"/>
      <c r="B3051"/>
      <c r="C3051" s="137"/>
      <c r="D3051" s="30"/>
      <c r="E3051" s="30"/>
      <c r="F3051" s="10"/>
      <c r="G3051" s="10"/>
      <c r="H3051" s="15"/>
      <c r="I3051" s="15"/>
      <c r="J3051" s="15"/>
      <c r="K3051" s="15"/>
      <c r="L3051" s="15"/>
      <c r="M3051" s="15"/>
      <c r="N3051" s="15"/>
      <c r="O3051" s="15"/>
      <c r="P3051" s="15"/>
      <c r="Q3051" s="71"/>
      <c r="R3051" s="84"/>
      <c r="S3051" s="10"/>
      <c r="T3051" s="10"/>
      <c r="U3051" s="10"/>
      <c r="V3051" s="10"/>
      <c r="W3051" s="138"/>
      <c r="Y3051"/>
      <c r="Z3051"/>
      <c r="AA3051"/>
      <c r="AB3051"/>
      <c r="AC3051"/>
      <c r="AD3051"/>
      <c r="AE3051"/>
      <c r="AF3051"/>
      <c r="AG3051"/>
      <c r="AH3051"/>
      <c r="AI3051"/>
      <c r="AJ3051"/>
      <c r="AK3051"/>
      <c r="AL3051"/>
      <c r="AM3051"/>
      <c r="AN3051"/>
      <c r="AO3051"/>
    </row>
    <row r="3052" spans="1:41" ht="15">
      <c r="A3052"/>
      <c r="B3052"/>
      <c r="C3052" s="137"/>
      <c r="D3052" s="30"/>
      <c r="E3052" s="30"/>
      <c r="F3052" s="10"/>
      <c r="G3052" s="10"/>
      <c r="H3052" s="15"/>
      <c r="I3052" s="15"/>
      <c r="J3052" s="15"/>
      <c r="K3052" s="15"/>
      <c r="L3052" s="15"/>
      <c r="M3052" s="15"/>
      <c r="N3052" s="15"/>
      <c r="O3052" s="15"/>
      <c r="P3052" s="15"/>
      <c r="Q3052" s="71"/>
      <c r="R3052" s="84"/>
      <c r="S3052" s="10"/>
      <c r="T3052" s="10"/>
      <c r="U3052" s="10"/>
      <c r="V3052" s="10"/>
      <c r="W3052" s="138"/>
      <c r="Y3052"/>
      <c r="Z3052"/>
      <c r="AA3052"/>
      <c r="AB3052"/>
      <c r="AC3052"/>
      <c r="AD3052"/>
      <c r="AE3052"/>
      <c r="AF3052"/>
      <c r="AG3052"/>
      <c r="AH3052"/>
      <c r="AI3052"/>
      <c r="AJ3052"/>
      <c r="AK3052"/>
      <c r="AL3052"/>
      <c r="AM3052"/>
      <c r="AN3052"/>
      <c r="AO3052"/>
    </row>
    <row r="3053" spans="1:41" ht="15">
      <c r="A3053"/>
      <c r="B3053"/>
      <c r="C3053" s="137"/>
      <c r="D3053" s="30"/>
      <c r="E3053" s="30"/>
      <c r="F3053" s="10"/>
      <c r="G3053" s="10"/>
      <c r="H3053" s="15"/>
      <c r="I3053" s="15"/>
      <c r="J3053" s="15"/>
      <c r="K3053" s="15"/>
      <c r="L3053" s="15"/>
      <c r="M3053" s="15"/>
      <c r="N3053" s="15"/>
      <c r="O3053" s="15"/>
      <c r="P3053" s="15"/>
      <c r="Q3053" s="71"/>
      <c r="R3053" s="84"/>
      <c r="S3053" s="10"/>
      <c r="T3053" s="10"/>
      <c r="U3053" s="10"/>
      <c r="V3053" s="10"/>
      <c r="W3053" s="138"/>
      <c r="Y3053"/>
      <c r="Z3053"/>
      <c r="AA3053"/>
      <c r="AB3053"/>
      <c r="AC3053"/>
      <c r="AD3053"/>
      <c r="AE3053"/>
      <c r="AF3053"/>
      <c r="AG3053"/>
      <c r="AH3053"/>
      <c r="AI3053"/>
      <c r="AJ3053"/>
      <c r="AK3053"/>
      <c r="AL3053"/>
      <c r="AM3053"/>
      <c r="AN3053"/>
      <c r="AO3053"/>
    </row>
    <row r="3054" spans="1:41" ht="15">
      <c r="A3054"/>
      <c r="B3054"/>
      <c r="C3054" s="137"/>
      <c r="D3054" s="30"/>
      <c r="E3054" s="30"/>
      <c r="F3054" s="10"/>
      <c r="G3054" s="10"/>
      <c r="H3054" s="15"/>
      <c r="I3054" s="15"/>
      <c r="J3054" s="15"/>
      <c r="K3054" s="15"/>
      <c r="L3054" s="15"/>
      <c r="M3054" s="15"/>
      <c r="N3054" s="15"/>
      <c r="O3054" s="15"/>
      <c r="P3054" s="15"/>
      <c r="Q3054" s="71"/>
      <c r="R3054" s="84"/>
      <c r="S3054" s="10"/>
      <c r="T3054" s="10"/>
      <c r="U3054" s="10"/>
      <c r="V3054" s="10"/>
      <c r="W3054" s="138"/>
      <c r="Y3054"/>
      <c r="Z3054"/>
      <c r="AA3054"/>
      <c r="AB3054"/>
      <c r="AC3054"/>
      <c r="AD3054"/>
      <c r="AE3054"/>
      <c r="AF3054"/>
      <c r="AG3054"/>
      <c r="AH3054"/>
      <c r="AI3054"/>
      <c r="AJ3054"/>
      <c r="AK3054"/>
      <c r="AL3054"/>
      <c r="AM3054"/>
      <c r="AN3054"/>
      <c r="AO3054"/>
    </row>
    <row r="3055" spans="1:41" ht="15">
      <c r="A3055"/>
      <c r="B3055"/>
      <c r="C3055" s="137"/>
      <c r="D3055" s="30"/>
      <c r="E3055" s="30"/>
      <c r="F3055" s="10"/>
      <c r="G3055" s="10"/>
      <c r="H3055" s="15"/>
      <c r="I3055" s="15"/>
      <c r="J3055" s="15"/>
      <c r="K3055" s="15"/>
      <c r="L3055" s="15"/>
      <c r="M3055" s="15"/>
      <c r="N3055" s="15"/>
      <c r="O3055" s="15"/>
      <c r="P3055" s="15"/>
      <c r="Q3055" s="71"/>
      <c r="R3055" s="84"/>
      <c r="S3055" s="10"/>
      <c r="T3055" s="10"/>
      <c r="U3055" s="10"/>
      <c r="V3055" s="10"/>
      <c r="W3055" s="138"/>
      <c r="Y3055"/>
      <c r="Z3055"/>
      <c r="AA3055"/>
      <c r="AB3055"/>
      <c r="AC3055"/>
      <c r="AD3055"/>
      <c r="AE3055"/>
      <c r="AF3055"/>
      <c r="AG3055"/>
      <c r="AH3055"/>
      <c r="AI3055"/>
      <c r="AJ3055"/>
      <c r="AK3055"/>
      <c r="AL3055"/>
      <c r="AM3055"/>
      <c r="AN3055"/>
      <c r="AO3055"/>
    </row>
    <row r="3056" spans="1:41" ht="15">
      <c r="A3056"/>
      <c r="B3056"/>
      <c r="C3056" s="137"/>
      <c r="D3056" s="30"/>
      <c r="E3056" s="30"/>
      <c r="F3056" s="10"/>
      <c r="G3056" s="10"/>
      <c r="H3056" s="15"/>
      <c r="I3056" s="15"/>
      <c r="J3056" s="15"/>
      <c r="K3056" s="15"/>
      <c r="L3056" s="15"/>
      <c r="M3056" s="15"/>
      <c r="N3056" s="15"/>
      <c r="O3056" s="15"/>
      <c r="P3056" s="15"/>
      <c r="Q3056" s="71"/>
      <c r="R3056" s="84"/>
      <c r="S3056" s="10"/>
      <c r="T3056" s="10"/>
      <c r="U3056" s="10"/>
      <c r="V3056" s="10"/>
      <c r="W3056" s="138"/>
      <c r="Y3056"/>
      <c r="Z3056"/>
      <c r="AA3056"/>
      <c r="AB3056"/>
      <c r="AC3056"/>
      <c r="AD3056"/>
      <c r="AE3056"/>
      <c r="AF3056"/>
      <c r="AG3056"/>
      <c r="AH3056"/>
      <c r="AI3056"/>
      <c r="AJ3056"/>
      <c r="AK3056"/>
      <c r="AL3056"/>
      <c r="AM3056"/>
      <c r="AN3056"/>
      <c r="AO3056"/>
    </row>
    <row r="3057" spans="1:41" ht="15">
      <c r="A3057"/>
      <c r="B3057"/>
      <c r="C3057" s="137"/>
      <c r="D3057" s="30"/>
      <c r="E3057" s="30"/>
      <c r="F3057" s="10"/>
      <c r="G3057" s="10"/>
      <c r="H3057" s="15"/>
      <c r="I3057" s="15"/>
      <c r="J3057" s="15"/>
      <c r="K3057" s="15"/>
      <c r="L3057" s="15"/>
      <c r="M3057" s="15"/>
      <c r="N3057" s="15"/>
      <c r="O3057" s="15"/>
      <c r="P3057" s="15"/>
      <c r="Q3057" s="71"/>
      <c r="R3057" s="84"/>
      <c r="S3057" s="10"/>
      <c r="T3057" s="10"/>
      <c r="U3057" s="10"/>
      <c r="V3057" s="10"/>
      <c r="W3057" s="138"/>
      <c r="Y3057"/>
      <c r="Z3057"/>
      <c r="AA3057"/>
      <c r="AB3057"/>
      <c r="AC3057"/>
      <c r="AD3057"/>
      <c r="AE3057"/>
      <c r="AF3057"/>
      <c r="AG3057"/>
      <c r="AH3057"/>
      <c r="AI3057"/>
      <c r="AJ3057"/>
      <c r="AK3057"/>
      <c r="AL3057"/>
      <c r="AM3057"/>
      <c r="AN3057"/>
      <c r="AO3057"/>
    </row>
    <row r="3058" spans="1:41" ht="15">
      <c r="A3058"/>
      <c r="B3058"/>
      <c r="C3058" s="137"/>
      <c r="D3058" s="30"/>
      <c r="E3058" s="30"/>
      <c r="F3058" s="10"/>
      <c r="G3058" s="10"/>
      <c r="H3058" s="15"/>
      <c r="I3058" s="15"/>
      <c r="J3058" s="15"/>
      <c r="K3058" s="15"/>
      <c r="L3058" s="15"/>
      <c r="M3058" s="15"/>
      <c r="N3058" s="15"/>
      <c r="O3058" s="15"/>
      <c r="P3058" s="15"/>
      <c r="Q3058" s="71"/>
      <c r="R3058" s="84"/>
      <c r="S3058" s="10"/>
      <c r="T3058" s="10"/>
      <c r="U3058" s="10"/>
      <c r="V3058" s="10"/>
      <c r="W3058" s="138"/>
      <c r="Y3058"/>
      <c r="Z3058"/>
      <c r="AA3058"/>
      <c r="AB3058"/>
      <c r="AC3058"/>
      <c r="AD3058"/>
      <c r="AE3058"/>
      <c r="AF3058"/>
      <c r="AG3058"/>
      <c r="AH3058"/>
      <c r="AI3058"/>
      <c r="AJ3058"/>
      <c r="AK3058"/>
      <c r="AL3058"/>
      <c r="AM3058"/>
      <c r="AN3058"/>
      <c r="AO3058"/>
    </row>
    <row r="3059" spans="1:41" ht="15">
      <c r="A3059"/>
      <c r="B3059"/>
      <c r="C3059" s="137"/>
      <c r="D3059" s="30"/>
      <c r="E3059" s="30"/>
      <c r="F3059" s="10"/>
      <c r="G3059" s="10"/>
      <c r="H3059" s="15"/>
      <c r="I3059" s="15"/>
      <c r="J3059" s="15"/>
      <c r="K3059" s="15"/>
      <c r="L3059" s="15"/>
      <c r="M3059" s="15"/>
      <c r="N3059" s="15"/>
      <c r="O3059" s="15"/>
      <c r="P3059" s="15"/>
      <c r="Q3059" s="71"/>
      <c r="R3059" s="84"/>
      <c r="S3059" s="10"/>
      <c r="T3059" s="10"/>
      <c r="U3059" s="10"/>
      <c r="V3059" s="10"/>
      <c r="W3059" s="138"/>
      <c r="Y3059"/>
      <c r="Z3059"/>
      <c r="AA3059"/>
      <c r="AB3059"/>
      <c r="AC3059"/>
      <c r="AD3059"/>
      <c r="AE3059"/>
      <c r="AF3059"/>
      <c r="AG3059"/>
      <c r="AH3059"/>
      <c r="AI3059"/>
      <c r="AJ3059"/>
      <c r="AK3059"/>
      <c r="AL3059"/>
      <c r="AM3059"/>
      <c r="AN3059"/>
      <c r="AO3059"/>
    </row>
    <row r="3060" spans="1:41" ht="15">
      <c r="A3060"/>
      <c r="B3060"/>
      <c r="C3060" s="137"/>
      <c r="D3060" s="30"/>
      <c r="E3060" s="30"/>
      <c r="F3060" s="10"/>
      <c r="G3060" s="10"/>
      <c r="H3060" s="15"/>
      <c r="I3060" s="15"/>
      <c r="J3060" s="15"/>
      <c r="K3060" s="15"/>
      <c r="L3060" s="15"/>
      <c r="M3060" s="15"/>
      <c r="N3060" s="15"/>
      <c r="O3060" s="15"/>
      <c r="P3060" s="15"/>
      <c r="Q3060" s="71"/>
      <c r="R3060" s="84"/>
      <c r="S3060" s="10"/>
      <c r="T3060" s="10"/>
      <c r="U3060" s="10"/>
      <c r="V3060" s="10"/>
      <c r="W3060" s="138"/>
      <c r="Y3060"/>
      <c r="Z3060"/>
      <c r="AA3060"/>
      <c r="AB3060"/>
      <c r="AC3060"/>
      <c r="AD3060"/>
      <c r="AE3060"/>
      <c r="AF3060"/>
      <c r="AG3060"/>
      <c r="AH3060"/>
      <c r="AI3060"/>
      <c r="AJ3060"/>
      <c r="AK3060"/>
      <c r="AL3060"/>
      <c r="AM3060"/>
      <c r="AN3060"/>
      <c r="AO3060"/>
    </row>
    <row r="3061" spans="1:41" ht="15">
      <c r="A3061"/>
      <c r="B3061"/>
      <c r="C3061" s="137"/>
      <c r="D3061" s="30"/>
      <c r="E3061" s="30"/>
      <c r="F3061" s="10"/>
      <c r="G3061" s="10"/>
      <c r="H3061" s="15"/>
      <c r="I3061" s="15"/>
      <c r="J3061" s="15"/>
      <c r="K3061" s="15"/>
      <c r="L3061" s="15"/>
      <c r="M3061" s="15"/>
      <c r="N3061" s="15"/>
      <c r="O3061" s="15"/>
      <c r="P3061" s="15"/>
      <c r="Q3061" s="71"/>
      <c r="R3061" s="84"/>
      <c r="S3061" s="10"/>
      <c r="T3061" s="10"/>
      <c r="U3061" s="10"/>
      <c r="V3061" s="10"/>
      <c r="W3061" s="138"/>
      <c r="Y3061"/>
      <c r="Z3061"/>
      <c r="AA3061"/>
      <c r="AB3061"/>
      <c r="AC3061"/>
      <c r="AD3061"/>
      <c r="AE3061"/>
      <c r="AF3061"/>
      <c r="AG3061"/>
      <c r="AH3061"/>
      <c r="AI3061"/>
      <c r="AJ3061"/>
      <c r="AK3061"/>
      <c r="AL3061"/>
      <c r="AM3061"/>
      <c r="AN3061"/>
      <c r="AO3061"/>
    </row>
    <row r="3062" spans="1:41" ht="15">
      <c r="A3062"/>
      <c r="B3062"/>
      <c r="C3062" s="137"/>
      <c r="D3062" s="30"/>
      <c r="E3062" s="30"/>
      <c r="F3062" s="10"/>
      <c r="G3062" s="10"/>
      <c r="H3062" s="15"/>
      <c r="I3062" s="15"/>
      <c r="J3062" s="15"/>
      <c r="K3062" s="15"/>
      <c r="L3062" s="15"/>
      <c r="M3062" s="15"/>
      <c r="N3062" s="15"/>
      <c r="O3062" s="15"/>
      <c r="P3062" s="15"/>
      <c r="Q3062" s="71"/>
      <c r="R3062" s="84"/>
      <c r="S3062" s="10"/>
      <c r="T3062" s="10"/>
      <c r="U3062" s="10"/>
      <c r="V3062" s="10"/>
      <c r="W3062" s="138"/>
      <c r="Y3062"/>
      <c r="Z3062"/>
      <c r="AA3062"/>
      <c r="AB3062"/>
      <c r="AC3062"/>
      <c r="AD3062"/>
      <c r="AE3062"/>
      <c r="AF3062"/>
      <c r="AG3062"/>
      <c r="AH3062"/>
      <c r="AI3062"/>
      <c r="AJ3062"/>
      <c r="AK3062"/>
      <c r="AL3062"/>
      <c r="AM3062"/>
      <c r="AN3062"/>
      <c r="AO3062"/>
    </row>
    <row r="3063" spans="1:41" ht="15">
      <c r="A3063"/>
      <c r="B3063"/>
      <c r="C3063" s="137"/>
      <c r="D3063" s="30"/>
      <c r="E3063" s="30"/>
      <c r="F3063" s="10"/>
      <c r="G3063" s="10"/>
      <c r="H3063" s="15"/>
      <c r="I3063" s="15"/>
      <c r="J3063" s="15"/>
      <c r="K3063" s="15"/>
      <c r="L3063" s="15"/>
      <c r="M3063" s="15"/>
      <c r="N3063" s="15"/>
      <c r="O3063" s="15"/>
      <c r="P3063" s="15"/>
      <c r="Q3063" s="71"/>
      <c r="R3063" s="84"/>
      <c r="S3063" s="10"/>
      <c r="T3063" s="10"/>
      <c r="U3063" s="10"/>
      <c r="V3063" s="10"/>
      <c r="W3063" s="138"/>
      <c r="Y3063"/>
      <c r="Z3063"/>
      <c r="AA3063"/>
      <c r="AB3063"/>
      <c r="AC3063"/>
      <c r="AD3063"/>
      <c r="AE3063"/>
      <c r="AF3063"/>
      <c r="AG3063"/>
      <c r="AH3063"/>
      <c r="AI3063"/>
      <c r="AJ3063"/>
      <c r="AK3063"/>
      <c r="AL3063"/>
      <c r="AM3063"/>
      <c r="AN3063"/>
      <c r="AO3063"/>
    </row>
    <row r="3064" spans="1:41" ht="15">
      <c r="A3064"/>
      <c r="B3064"/>
      <c r="C3064" s="137"/>
      <c r="D3064" s="30"/>
      <c r="E3064" s="30"/>
      <c r="F3064" s="10"/>
      <c r="G3064" s="10"/>
      <c r="H3064" s="15"/>
      <c r="I3064" s="15"/>
      <c r="J3064" s="15"/>
      <c r="K3064" s="15"/>
      <c r="L3064" s="15"/>
      <c r="M3064" s="15"/>
      <c r="N3064" s="15"/>
      <c r="O3064" s="15"/>
      <c r="P3064" s="15"/>
      <c r="Q3064" s="71"/>
      <c r="R3064" s="84"/>
      <c r="S3064" s="10"/>
      <c r="T3064" s="10"/>
      <c r="U3064" s="10"/>
      <c r="V3064" s="10"/>
      <c r="W3064" s="138"/>
      <c r="Y3064"/>
      <c r="Z3064"/>
      <c r="AA3064"/>
      <c r="AB3064"/>
      <c r="AC3064"/>
      <c r="AD3064"/>
      <c r="AE3064"/>
      <c r="AF3064"/>
      <c r="AG3064"/>
      <c r="AH3064"/>
      <c r="AI3064"/>
      <c r="AJ3064"/>
      <c r="AK3064"/>
      <c r="AL3064"/>
      <c r="AM3064"/>
      <c r="AN3064"/>
      <c r="AO3064"/>
    </row>
    <row r="3065" spans="1:41" ht="15">
      <c r="A3065"/>
      <c r="B3065"/>
      <c r="C3065" s="137"/>
      <c r="D3065" s="30"/>
      <c r="E3065" s="30"/>
      <c r="F3065" s="10"/>
      <c r="G3065" s="10"/>
      <c r="H3065" s="15"/>
      <c r="I3065" s="15"/>
      <c r="J3065" s="15"/>
      <c r="K3065" s="15"/>
      <c r="L3065" s="15"/>
      <c r="M3065" s="15"/>
      <c r="N3065" s="15"/>
      <c r="O3065" s="15"/>
      <c r="P3065" s="15"/>
      <c r="Q3065" s="71"/>
      <c r="R3065" s="84"/>
      <c r="S3065" s="10"/>
      <c r="T3065" s="10"/>
      <c r="U3065" s="10"/>
      <c r="V3065" s="10"/>
      <c r="W3065" s="138"/>
      <c r="Y3065"/>
      <c r="Z3065"/>
      <c r="AA3065"/>
      <c r="AB3065"/>
      <c r="AC3065"/>
      <c r="AD3065"/>
      <c r="AE3065"/>
      <c r="AF3065"/>
      <c r="AG3065"/>
      <c r="AH3065"/>
      <c r="AI3065"/>
      <c r="AJ3065"/>
      <c r="AK3065"/>
      <c r="AL3065"/>
      <c r="AM3065"/>
      <c r="AN3065"/>
      <c r="AO3065"/>
    </row>
    <row r="3066" spans="1:41" ht="15">
      <c r="A3066"/>
      <c r="B3066"/>
      <c r="C3066" s="137"/>
      <c r="D3066" s="30"/>
      <c r="E3066" s="30"/>
      <c r="F3066" s="10"/>
      <c r="G3066" s="10"/>
      <c r="H3066" s="15"/>
      <c r="I3066" s="15"/>
      <c r="J3066" s="15"/>
      <c r="K3066" s="15"/>
      <c r="L3066" s="15"/>
      <c r="M3066" s="15"/>
      <c r="N3066" s="15"/>
      <c r="O3066" s="15"/>
      <c r="P3066" s="15"/>
      <c r="Q3066" s="71"/>
      <c r="R3066" s="84"/>
      <c r="S3066" s="10"/>
      <c r="T3066" s="10"/>
      <c r="U3066" s="10"/>
      <c r="V3066" s="10"/>
      <c r="W3066" s="138"/>
      <c r="Y3066"/>
      <c r="Z3066"/>
      <c r="AA3066"/>
      <c r="AB3066"/>
      <c r="AC3066"/>
      <c r="AD3066"/>
      <c r="AE3066"/>
      <c r="AF3066"/>
      <c r="AG3066"/>
      <c r="AH3066"/>
      <c r="AI3066"/>
      <c r="AJ3066"/>
      <c r="AK3066"/>
      <c r="AL3066"/>
      <c r="AM3066"/>
      <c r="AN3066"/>
      <c r="AO3066"/>
    </row>
    <row r="3067" spans="1:41" ht="15">
      <c r="A3067"/>
      <c r="B3067"/>
      <c r="C3067" s="137"/>
      <c r="D3067" s="30"/>
      <c r="E3067" s="30"/>
      <c r="F3067" s="10"/>
      <c r="G3067" s="10"/>
      <c r="H3067" s="15"/>
      <c r="I3067" s="15"/>
      <c r="J3067" s="15"/>
      <c r="K3067" s="15"/>
      <c r="L3067" s="15"/>
      <c r="M3067" s="15"/>
      <c r="N3067" s="15"/>
      <c r="O3067" s="15"/>
      <c r="P3067" s="15"/>
      <c r="Q3067" s="71"/>
      <c r="R3067" s="84"/>
      <c r="S3067" s="10"/>
      <c r="T3067" s="10"/>
      <c r="U3067" s="10"/>
      <c r="V3067" s="10"/>
      <c r="W3067" s="138"/>
      <c r="Y3067"/>
      <c r="Z3067"/>
      <c r="AA3067"/>
      <c r="AB3067"/>
      <c r="AC3067"/>
      <c r="AD3067"/>
      <c r="AE3067"/>
      <c r="AF3067"/>
      <c r="AG3067"/>
      <c r="AH3067"/>
      <c r="AI3067"/>
      <c r="AJ3067"/>
      <c r="AK3067"/>
      <c r="AL3067"/>
      <c r="AM3067"/>
      <c r="AN3067"/>
      <c r="AO3067"/>
    </row>
    <row r="3068" spans="1:41" ht="15">
      <c r="A3068"/>
      <c r="B3068"/>
      <c r="C3068" s="137"/>
      <c r="D3068" s="30"/>
      <c r="E3068" s="30"/>
      <c r="F3068" s="10"/>
      <c r="G3068" s="10"/>
      <c r="H3068" s="15"/>
      <c r="I3068" s="15"/>
      <c r="J3068" s="15"/>
      <c r="K3068" s="15"/>
      <c r="L3068" s="15"/>
      <c r="M3068" s="15"/>
      <c r="N3068" s="15"/>
      <c r="O3068" s="15"/>
      <c r="P3068" s="15"/>
      <c r="Q3068" s="71"/>
      <c r="R3068" s="84"/>
      <c r="S3068" s="10"/>
      <c r="T3068" s="10"/>
      <c r="U3068" s="10"/>
      <c r="V3068" s="10"/>
      <c r="W3068" s="138"/>
      <c r="Y3068"/>
      <c r="Z3068"/>
      <c r="AA3068"/>
      <c r="AB3068"/>
      <c r="AC3068"/>
      <c r="AD3068"/>
      <c r="AE3068"/>
      <c r="AF3068"/>
      <c r="AG3068"/>
      <c r="AH3068"/>
      <c r="AI3068"/>
      <c r="AJ3068"/>
      <c r="AK3068"/>
      <c r="AL3068"/>
      <c r="AM3068"/>
      <c r="AN3068"/>
      <c r="AO3068"/>
    </row>
    <row r="3069" spans="1:41" ht="15">
      <c r="A3069"/>
      <c r="B3069"/>
      <c r="C3069" s="137"/>
      <c r="D3069" s="30"/>
      <c r="E3069" s="30"/>
      <c r="F3069" s="10"/>
      <c r="G3069" s="10"/>
      <c r="H3069" s="15"/>
      <c r="I3069" s="15"/>
      <c r="J3069" s="15"/>
      <c r="K3069" s="15"/>
      <c r="L3069" s="15"/>
      <c r="M3069" s="15"/>
      <c r="N3069" s="15"/>
      <c r="O3069" s="15"/>
      <c r="P3069" s="15"/>
      <c r="Q3069" s="71"/>
      <c r="R3069" s="84"/>
      <c r="S3069" s="10"/>
      <c r="T3069" s="10"/>
      <c r="U3069" s="10"/>
      <c r="V3069" s="10"/>
      <c r="W3069" s="138"/>
      <c r="Y3069"/>
      <c r="Z3069"/>
      <c r="AA3069"/>
      <c r="AB3069"/>
      <c r="AC3069"/>
      <c r="AD3069"/>
      <c r="AE3069"/>
      <c r="AF3069"/>
      <c r="AG3069"/>
      <c r="AH3069"/>
      <c r="AI3069"/>
      <c r="AJ3069"/>
      <c r="AK3069"/>
      <c r="AL3069"/>
      <c r="AM3069"/>
      <c r="AN3069"/>
      <c r="AO3069"/>
    </row>
    <row r="3070" spans="1:41" ht="15">
      <c r="A3070"/>
      <c r="B3070"/>
      <c r="C3070" s="137"/>
      <c r="D3070" s="30"/>
      <c r="E3070" s="30"/>
      <c r="F3070" s="10"/>
      <c r="G3070" s="10"/>
      <c r="H3070" s="15"/>
      <c r="I3070" s="15"/>
      <c r="J3070" s="15"/>
      <c r="K3070" s="15"/>
      <c r="L3070" s="15"/>
      <c r="M3070" s="15"/>
      <c r="N3070" s="15"/>
      <c r="O3070" s="15"/>
      <c r="P3070" s="15"/>
      <c r="Q3070" s="71"/>
      <c r="R3070" s="84"/>
      <c r="S3070" s="10"/>
      <c r="T3070" s="10"/>
      <c r="U3070" s="10"/>
      <c r="V3070" s="10"/>
      <c r="W3070" s="138"/>
      <c r="Y3070"/>
      <c r="Z3070"/>
      <c r="AA3070"/>
      <c r="AB3070"/>
      <c r="AC3070"/>
      <c r="AD3070"/>
      <c r="AE3070"/>
      <c r="AF3070"/>
      <c r="AG3070"/>
      <c r="AH3070"/>
      <c r="AI3070"/>
      <c r="AJ3070"/>
      <c r="AK3070"/>
      <c r="AL3070"/>
      <c r="AM3070"/>
      <c r="AN3070"/>
      <c r="AO3070"/>
    </row>
    <row r="3071" spans="1:41" ht="15">
      <c r="A3071"/>
      <c r="B3071"/>
      <c r="C3071" s="137"/>
      <c r="D3071" s="30"/>
      <c r="E3071" s="30"/>
      <c r="F3071" s="10"/>
      <c r="G3071" s="10"/>
      <c r="H3071" s="15"/>
      <c r="I3071" s="15"/>
      <c r="J3071" s="15"/>
      <c r="K3071" s="15"/>
      <c r="L3071" s="15"/>
      <c r="M3071" s="15"/>
      <c r="N3071" s="15"/>
      <c r="O3071" s="15"/>
      <c r="P3071" s="15"/>
      <c r="Q3071" s="71"/>
      <c r="R3071" s="84"/>
      <c r="S3071" s="10"/>
      <c r="T3071" s="10"/>
      <c r="U3071" s="10"/>
      <c r="V3071" s="10"/>
      <c r="W3071" s="138"/>
      <c r="Y3071"/>
      <c r="Z3071"/>
      <c r="AA3071"/>
      <c r="AB3071"/>
      <c r="AC3071"/>
      <c r="AD3071"/>
      <c r="AE3071"/>
      <c r="AF3071"/>
      <c r="AG3071"/>
      <c r="AH3071"/>
      <c r="AI3071"/>
      <c r="AJ3071"/>
      <c r="AK3071"/>
      <c r="AL3071"/>
      <c r="AM3071"/>
      <c r="AN3071"/>
      <c r="AO3071"/>
    </row>
    <row r="3072" spans="1:41" ht="15">
      <c r="A3072"/>
      <c r="B3072"/>
      <c r="C3072" s="137"/>
      <c r="D3072" s="30"/>
      <c r="E3072" s="30"/>
      <c r="F3072" s="10"/>
      <c r="G3072" s="10"/>
      <c r="H3072" s="15"/>
      <c r="I3072" s="15"/>
      <c r="J3072" s="15"/>
      <c r="K3072" s="15"/>
      <c r="L3072" s="15"/>
      <c r="M3072" s="15"/>
      <c r="N3072" s="15"/>
      <c r="O3072" s="15"/>
      <c r="P3072" s="15"/>
      <c r="Q3072" s="71"/>
      <c r="R3072" s="84"/>
      <c r="S3072" s="10"/>
      <c r="T3072" s="10"/>
      <c r="U3072" s="10"/>
      <c r="V3072" s="10"/>
      <c r="W3072" s="138"/>
      <c r="Y3072"/>
      <c r="Z3072"/>
      <c r="AA3072"/>
      <c r="AB3072"/>
      <c r="AC3072"/>
      <c r="AD3072"/>
      <c r="AE3072"/>
      <c r="AF3072"/>
      <c r="AG3072"/>
      <c r="AH3072"/>
      <c r="AI3072"/>
      <c r="AJ3072"/>
      <c r="AK3072"/>
      <c r="AL3072"/>
      <c r="AM3072"/>
      <c r="AN3072"/>
      <c r="AO3072"/>
    </row>
    <row r="3073" spans="1:41" ht="15">
      <c r="A3073"/>
      <c r="B3073"/>
      <c r="C3073" s="137"/>
      <c r="D3073" s="30"/>
      <c r="E3073" s="30"/>
      <c r="F3073" s="10"/>
      <c r="G3073" s="10"/>
      <c r="H3073" s="15"/>
      <c r="I3073" s="15"/>
      <c r="J3073" s="15"/>
      <c r="K3073" s="15"/>
      <c r="L3073" s="15"/>
      <c r="M3073" s="15"/>
      <c r="N3073" s="15"/>
      <c r="O3073" s="15"/>
      <c r="P3073" s="15"/>
      <c r="Q3073" s="71"/>
      <c r="R3073" s="84"/>
      <c r="S3073" s="10"/>
      <c r="T3073" s="10"/>
      <c r="U3073" s="10"/>
      <c r="V3073" s="10"/>
      <c r="W3073" s="138"/>
      <c r="Y3073"/>
      <c r="Z3073"/>
      <c r="AA3073"/>
      <c r="AB3073"/>
      <c r="AC3073"/>
      <c r="AD3073"/>
      <c r="AE3073"/>
      <c r="AF3073"/>
      <c r="AG3073"/>
      <c r="AH3073"/>
      <c r="AI3073"/>
      <c r="AJ3073"/>
      <c r="AK3073"/>
      <c r="AL3073"/>
      <c r="AM3073"/>
      <c r="AN3073"/>
      <c r="AO3073"/>
    </row>
    <row r="3074" spans="1:41" ht="15">
      <c r="A3074"/>
      <c r="B3074"/>
      <c r="C3074" s="137"/>
      <c r="D3074" s="30"/>
      <c r="E3074" s="30"/>
      <c r="F3074" s="10"/>
      <c r="G3074" s="10"/>
      <c r="H3074" s="15"/>
      <c r="I3074" s="15"/>
      <c r="J3074" s="15"/>
      <c r="K3074" s="15"/>
      <c r="L3074" s="15"/>
      <c r="M3074" s="15"/>
      <c r="N3074" s="15"/>
      <c r="O3074" s="15"/>
      <c r="P3074" s="15"/>
      <c r="Q3074" s="71"/>
      <c r="R3074" s="84"/>
      <c r="S3074" s="10"/>
      <c r="T3074" s="10"/>
      <c r="U3074" s="10"/>
      <c r="V3074" s="10"/>
      <c r="W3074" s="138"/>
      <c r="Y3074"/>
      <c r="Z3074"/>
      <c r="AA3074"/>
      <c r="AB3074"/>
      <c r="AC3074"/>
      <c r="AD3074"/>
      <c r="AE3074"/>
      <c r="AF3074"/>
      <c r="AG3074"/>
      <c r="AH3074"/>
      <c r="AI3074"/>
      <c r="AJ3074"/>
      <c r="AK3074"/>
      <c r="AL3074"/>
      <c r="AM3074"/>
      <c r="AN3074"/>
      <c r="AO3074"/>
    </row>
    <row r="3075" spans="1:41" ht="15">
      <c r="A3075"/>
      <c r="B3075"/>
      <c r="C3075" s="137"/>
      <c r="D3075" s="30"/>
      <c r="E3075" s="30"/>
      <c r="F3075" s="10"/>
      <c r="G3075" s="10"/>
      <c r="H3075" s="15"/>
      <c r="I3075" s="15"/>
      <c r="J3075" s="15"/>
      <c r="K3075" s="15"/>
      <c r="L3075" s="15"/>
      <c r="M3075" s="15"/>
      <c r="N3075" s="15"/>
      <c r="O3075" s="15"/>
      <c r="P3075" s="15"/>
      <c r="Q3075" s="71"/>
      <c r="R3075" s="84"/>
      <c r="S3075" s="10"/>
      <c r="T3075" s="10"/>
      <c r="U3075" s="10"/>
      <c r="V3075" s="10"/>
      <c r="W3075" s="138"/>
      <c r="Y3075"/>
      <c r="Z3075"/>
      <c r="AA3075"/>
      <c r="AB3075"/>
      <c r="AC3075"/>
      <c r="AD3075"/>
      <c r="AE3075"/>
      <c r="AF3075"/>
      <c r="AG3075"/>
      <c r="AH3075"/>
      <c r="AI3075"/>
      <c r="AJ3075"/>
      <c r="AK3075"/>
      <c r="AL3075"/>
      <c r="AM3075"/>
      <c r="AN3075"/>
      <c r="AO3075"/>
    </row>
    <row r="3076" spans="1:41" ht="15">
      <c r="A3076"/>
      <c r="B3076"/>
      <c r="C3076" s="137"/>
      <c r="D3076" s="30"/>
      <c r="E3076" s="30"/>
      <c r="F3076" s="10"/>
      <c r="G3076" s="10"/>
      <c r="H3076" s="15"/>
      <c r="I3076" s="15"/>
      <c r="J3076" s="15"/>
      <c r="K3076" s="15"/>
      <c r="L3076" s="15"/>
      <c r="M3076" s="15"/>
      <c r="N3076" s="15"/>
      <c r="O3076" s="15"/>
      <c r="P3076" s="15"/>
      <c r="Q3076" s="71"/>
      <c r="R3076" s="84"/>
      <c r="S3076" s="10"/>
      <c r="T3076" s="10"/>
      <c r="U3076" s="10"/>
      <c r="V3076" s="10"/>
      <c r="W3076" s="138"/>
      <c r="Y3076"/>
      <c r="Z3076"/>
      <c r="AA3076"/>
      <c r="AB3076"/>
      <c r="AC3076"/>
      <c r="AD3076"/>
      <c r="AE3076"/>
      <c r="AF3076"/>
      <c r="AG3076"/>
      <c r="AH3076"/>
      <c r="AI3076"/>
      <c r="AJ3076"/>
      <c r="AK3076"/>
      <c r="AL3076"/>
      <c r="AM3076"/>
      <c r="AN3076"/>
      <c r="AO3076"/>
    </row>
    <row r="3077" spans="1:41" ht="15">
      <c r="A3077"/>
      <c r="B3077"/>
      <c r="C3077" s="137"/>
      <c r="D3077" s="30"/>
      <c r="E3077" s="30"/>
      <c r="F3077" s="10"/>
      <c r="G3077" s="10"/>
      <c r="H3077" s="15"/>
      <c r="I3077" s="15"/>
      <c r="J3077" s="15"/>
      <c r="K3077" s="15"/>
      <c r="L3077" s="15"/>
      <c r="M3077" s="15"/>
      <c r="N3077" s="15"/>
      <c r="O3077" s="15"/>
      <c r="P3077" s="15"/>
      <c r="Q3077" s="71"/>
      <c r="R3077" s="84"/>
      <c r="S3077" s="10"/>
      <c r="T3077" s="10"/>
      <c r="U3077" s="10"/>
      <c r="V3077" s="10"/>
      <c r="W3077" s="138"/>
      <c r="Y3077"/>
      <c r="Z3077"/>
      <c r="AA3077"/>
      <c r="AB3077"/>
      <c r="AC3077"/>
      <c r="AD3077"/>
      <c r="AE3077"/>
      <c r="AF3077"/>
      <c r="AG3077"/>
      <c r="AH3077"/>
      <c r="AI3077"/>
      <c r="AJ3077"/>
      <c r="AK3077"/>
      <c r="AL3077"/>
      <c r="AM3077"/>
      <c r="AN3077"/>
      <c r="AO3077"/>
    </row>
    <row r="3078" spans="1:41" ht="15">
      <c r="A3078"/>
      <c r="B3078"/>
      <c r="C3078" s="137"/>
      <c r="D3078" s="30"/>
      <c r="E3078" s="30"/>
      <c r="F3078" s="10"/>
      <c r="G3078" s="10"/>
      <c r="H3078" s="15"/>
      <c r="I3078" s="15"/>
      <c r="J3078" s="15"/>
      <c r="K3078" s="15"/>
      <c r="L3078" s="15"/>
      <c r="M3078" s="15"/>
      <c r="N3078" s="15"/>
      <c r="O3078" s="15"/>
      <c r="P3078" s="15"/>
      <c r="Q3078" s="71"/>
      <c r="R3078" s="84"/>
      <c r="S3078" s="10"/>
      <c r="T3078" s="10"/>
      <c r="U3078" s="10"/>
      <c r="V3078" s="10"/>
      <c r="W3078" s="138"/>
      <c r="Y3078"/>
      <c r="Z3078"/>
      <c r="AA3078"/>
      <c r="AB3078"/>
      <c r="AC3078"/>
      <c r="AD3078"/>
      <c r="AE3078"/>
      <c r="AF3078"/>
      <c r="AG3078"/>
      <c r="AH3078"/>
      <c r="AI3078"/>
      <c r="AJ3078"/>
      <c r="AK3078"/>
      <c r="AL3078"/>
      <c r="AM3078"/>
      <c r="AN3078"/>
      <c r="AO3078"/>
    </row>
    <row r="3079" spans="1:41" ht="15">
      <c r="A3079"/>
      <c r="B3079"/>
      <c r="C3079" s="137"/>
      <c r="D3079" s="30"/>
      <c r="E3079" s="30"/>
      <c r="F3079" s="10"/>
      <c r="G3079" s="10"/>
      <c r="H3079" s="15"/>
      <c r="I3079" s="15"/>
      <c r="J3079" s="15"/>
      <c r="K3079" s="15"/>
      <c r="L3079" s="15"/>
      <c r="M3079" s="15"/>
      <c r="N3079" s="15"/>
      <c r="O3079" s="15"/>
      <c r="P3079" s="15"/>
      <c r="Q3079" s="71"/>
      <c r="R3079" s="84"/>
      <c r="S3079" s="10"/>
      <c r="T3079" s="10"/>
      <c r="U3079" s="10"/>
      <c r="V3079" s="10"/>
      <c r="W3079" s="138"/>
      <c r="Y3079"/>
      <c r="Z3079"/>
      <c r="AA3079"/>
      <c r="AB3079"/>
      <c r="AC3079"/>
      <c r="AD3079"/>
      <c r="AE3079"/>
      <c r="AF3079"/>
      <c r="AG3079"/>
      <c r="AH3079"/>
      <c r="AI3079"/>
      <c r="AJ3079"/>
      <c r="AK3079"/>
      <c r="AL3079"/>
      <c r="AM3079"/>
      <c r="AN3079"/>
      <c r="AO3079"/>
    </row>
    <row r="3080" spans="1:41" ht="15">
      <c r="A3080"/>
      <c r="B3080"/>
      <c r="C3080" s="137"/>
      <c r="D3080" s="30"/>
      <c r="E3080" s="30"/>
      <c r="F3080" s="10"/>
      <c r="G3080" s="10"/>
      <c r="H3080" s="15"/>
      <c r="I3080" s="15"/>
      <c r="J3080" s="15"/>
      <c r="K3080" s="15"/>
      <c r="L3080" s="15"/>
      <c r="M3080" s="15"/>
      <c r="N3080" s="15"/>
      <c r="O3080" s="15"/>
      <c r="P3080" s="15"/>
      <c r="Q3080" s="71"/>
      <c r="R3080" s="84"/>
      <c r="S3080" s="10"/>
      <c r="T3080" s="10"/>
      <c r="U3080" s="10"/>
      <c r="V3080" s="10"/>
      <c r="W3080" s="138"/>
      <c r="Y3080"/>
      <c r="Z3080"/>
      <c r="AA3080"/>
      <c r="AB3080"/>
      <c r="AC3080"/>
      <c r="AD3080"/>
      <c r="AE3080"/>
      <c r="AF3080"/>
      <c r="AG3080"/>
      <c r="AH3080"/>
      <c r="AI3080"/>
      <c r="AJ3080"/>
      <c r="AK3080"/>
      <c r="AL3080"/>
      <c r="AM3080"/>
      <c r="AN3080"/>
      <c r="AO3080"/>
    </row>
    <row r="3081" spans="1:41" ht="15">
      <c r="A3081"/>
      <c r="B3081"/>
      <c r="C3081" s="137"/>
      <c r="D3081" s="30"/>
      <c r="E3081" s="30"/>
      <c r="F3081" s="10"/>
      <c r="G3081" s="10"/>
      <c r="H3081" s="15"/>
      <c r="I3081" s="15"/>
      <c r="J3081" s="15"/>
      <c r="K3081" s="15"/>
      <c r="L3081" s="15"/>
      <c r="M3081" s="15"/>
      <c r="N3081" s="15"/>
      <c r="O3081" s="15"/>
      <c r="P3081" s="15"/>
      <c r="Q3081" s="71"/>
      <c r="R3081" s="84"/>
      <c r="S3081" s="10"/>
      <c r="T3081" s="10"/>
      <c r="U3081" s="10"/>
      <c r="V3081" s="10"/>
      <c r="W3081" s="138"/>
      <c r="Y3081"/>
      <c r="Z3081"/>
      <c r="AA3081"/>
      <c r="AB3081"/>
      <c r="AC3081"/>
      <c r="AD3081"/>
      <c r="AE3081"/>
      <c r="AF3081"/>
      <c r="AG3081"/>
      <c r="AH3081"/>
      <c r="AI3081"/>
      <c r="AJ3081"/>
      <c r="AK3081"/>
      <c r="AL3081"/>
      <c r="AM3081"/>
      <c r="AN3081"/>
      <c r="AO3081"/>
    </row>
    <row r="3082" spans="1:41" ht="15">
      <c r="A3082"/>
      <c r="B3082"/>
      <c r="C3082" s="137"/>
      <c r="D3082" s="30"/>
      <c r="E3082" s="30"/>
      <c r="F3082" s="10"/>
      <c r="G3082" s="10"/>
      <c r="H3082" s="15"/>
      <c r="I3082" s="15"/>
      <c r="J3082" s="15"/>
      <c r="K3082" s="15"/>
      <c r="L3082" s="15"/>
      <c r="M3082" s="15"/>
      <c r="N3082" s="15"/>
      <c r="O3082" s="15"/>
      <c r="P3082" s="15"/>
      <c r="Q3082" s="71"/>
      <c r="R3082" s="84"/>
      <c r="S3082" s="10"/>
      <c r="T3082" s="10"/>
      <c r="U3082" s="10"/>
      <c r="V3082" s="10"/>
      <c r="W3082" s="138"/>
      <c r="Y3082"/>
      <c r="Z3082"/>
      <c r="AA3082"/>
      <c r="AB3082"/>
      <c r="AC3082"/>
      <c r="AD3082"/>
      <c r="AE3082"/>
      <c r="AF3082"/>
      <c r="AG3082"/>
      <c r="AH3082"/>
      <c r="AI3082"/>
      <c r="AJ3082"/>
      <c r="AK3082"/>
      <c r="AL3082"/>
      <c r="AM3082"/>
      <c r="AN3082"/>
      <c r="AO3082"/>
    </row>
    <row r="3083" spans="1:41" ht="15">
      <c r="A3083"/>
      <c r="B3083"/>
      <c r="C3083" s="137"/>
      <c r="D3083" s="30"/>
      <c r="E3083" s="30"/>
      <c r="F3083" s="10"/>
      <c r="G3083" s="10"/>
      <c r="H3083" s="15"/>
      <c r="I3083" s="15"/>
      <c r="J3083" s="15"/>
      <c r="K3083" s="15"/>
      <c r="L3083" s="15"/>
      <c r="M3083" s="15"/>
      <c r="N3083" s="15"/>
      <c r="O3083" s="15"/>
      <c r="P3083" s="15"/>
      <c r="Q3083" s="71"/>
      <c r="R3083" s="84"/>
      <c r="S3083" s="10"/>
      <c r="T3083" s="10"/>
      <c r="U3083" s="10"/>
      <c r="V3083" s="10"/>
      <c r="W3083" s="138"/>
      <c r="Y3083"/>
      <c r="Z3083"/>
      <c r="AA3083"/>
      <c r="AB3083"/>
      <c r="AC3083"/>
      <c r="AD3083"/>
      <c r="AE3083"/>
      <c r="AF3083"/>
      <c r="AG3083"/>
      <c r="AH3083"/>
      <c r="AI3083"/>
      <c r="AJ3083"/>
      <c r="AK3083"/>
      <c r="AL3083"/>
      <c r="AM3083"/>
      <c r="AN3083"/>
      <c r="AO3083"/>
    </row>
    <row r="3084" spans="1:41" ht="15">
      <c r="A3084"/>
      <c r="B3084"/>
      <c r="C3084" s="137"/>
      <c r="D3084" s="30"/>
      <c r="E3084" s="30"/>
      <c r="F3084" s="10"/>
      <c r="G3084" s="10"/>
      <c r="H3084" s="15"/>
      <c r="I3084" s="15"/>
      <c r="J3084" s="15"/>
      <c r="K3084" s="15"/>
      <c r="L3084" s="15"/>
      <c r="M3084" s="15"/>
      <c r="N3084" s="15"/>
      <c r="O3084" s="15"/>
      <c r="P3084" s="15"/>
      <c r="Q3084" s="71"/>
      <c r="R3084" s="84"/>
      <c r="S3084" s="10"/>
      <c r="T3084" s="10"/>
      <c r="U3084" s="10"/>
      <c r="V3084" s="10"/>
      <c r="W3084" s="138"/>
      <c r="Y3084"/>
      <c r="Z3084"/>
      <c r="AA3084"/>
      <c r="AB3084"/>
      <c r="AC3084"/>
      <c r="AD3084"/>
      <c r="AE3084"/>
      <c r="AF3084"/>
      <c r="AG3084"/>
      <c r="AH3084"/>
      <c r="AI3084"/>
      <c r="AJ3084"/>
      <c r="AK3084"/>
      <c r="AL3084"/>
      <c r="AM3084"/>
      <c r="AN3084"/>
      <c r="AO3084"/>
    </row>
    <row r="3085" spans="1:41" ht="15">
      <c r="A3085"/>
      <c r="B3085"/>
      <c r="C3085" s="137"/>
      <c r="D3085" s="30"/>
      <c r="E3085" s="30"/>
      <c r="F3085" s="10"/>
      <c r="G3085" s="10"/>
      <c r="H3085" s="15"/>
      <c r="I3085" s="15"/>
      <c r="J3085" s="15"/>
      <c r="K3085" s="15"/>
      <c r="L3085" s="15"/>
      <c r="M3085" s="15"/>
      <c r="N3085" s="15"/>
      <c r="O3085" s="15"/>
      <c r="P3085" s="15"/>
      <c r="Q3085" s="71"/>
      <c r="R3085" s="84"/>
      <c r="S3085" s="10"/>
      <c r="T3085" s="10"/>
      <c r="U3085" s="10"/>
      <c r="V3085" s="10"/>
      <c r="W3085" s="138"/>
      <c r="Y3085"/>
      <c r="Z3085"/>
      <c r="AA3085"/>
      <c r="AB3085"/>
      <c r="AC3085"/>
      <c r="AD3085"/>
      <c r="AE3085"/>
      <c r="AF3085"/>
      <c r="AG3085"/>
      <c r="AH3085"/>
      <c r="AI3085"/>
      <c r="AJ3085"/>
      <c r="AK3085"/>
      <c r="AL3085"/>
      <c r="AM3085"/>
      <c r="AN3085"/>
      <c r="AO3085"/>
    </row>
    <row r="3086" spans="1:41" ht="15">
      <c r="A3086"/>
      <c r="B3086"/>
      <c r="C3086" s="137"/>
      <c r="D3086" s="30"/>
      <c r="E3086" s="30"/>
      <c r="F3086" s="10"/>
      <c r="G3086" s="10"/>
      <c r="H3086" s="15"/>
      <c r="I3086" s="15"/>
      <c r="J3086" s="15"/>
      <c r="K3086" s="15"/>
      <c r="L3086" s="15"/>
      <c r="M3086" s="15"/>
      <c r="N3086" s="15"/>
      <c r="O3086" s="15"/>
      <c r="P3086" s="15"/>
      <c r="Q3086" s="71"/>
      <c r="R3086" s="84"/>
      <c r="S3086" s="10"/>
      <c r="T3086" s="10"/>
      <c r="U3086" s="10"/>
      <c r="V3086" s="10"/>
      <c r="W3086" s="138"/>
      <c r="Y3086"/>
      <c r="Z3086"/>
      <c r="AA3086"/>
      <c r="AB3086"/>
      <c r="AC3086"/>
      <c r="AD3086"/>
      <c r="AE3086"/>
      <c r="AF3086"/>
      <c r="AG3086"/>
      <c r="AH3086"/>
      <c r="AI3086"/>
      <c r="AJ3086"/>
      <c r="AK3086"/>
      <c r="AL3086"/>
      <c r="AM3086"/>
      <c r="AN3086"/>
      <c r="AO3086"/>
    </row>
    <row r="3087" spans="1:41" ht="15">
      <c r="A3087"/>
      <c r="B3087"/>
      <c r="C3087" s="137"/>
      <c r="D3087" s="30"/>
      <c r="E3087" s="30"/>
      <c r="F3087" s="10"/>
      <c r="G3087" s="10"/>
      <c r="H3087" s="15"/>
      <c r="I3087" s="15"/>
      <c r="J3087" s="15"/>
      <c r="K3087" s="15"/>
      <c r="L3087" s="15"/>
      <c r="M3087" s="15"/>
      <c r="N3087" s="15"/>
      <c r="O3087" s="15"/>
      <c r="P3087" s="15"/>
      <c r="Q3087" s="71"/>
      <c r="R3087" s="84"/>
      <c r="S3087" s="10"/>
      <c r="T3087" s="10"/>
      <c r="U3087" s="10"/>
      <c r="V3087" s="10"/>
      <c r="W3087" s="138"/>
      <c r="Y3087"/>
      <c r="Z3087"/>
      <c r="AA3087"/>
      <c r="AB3087"/>
      <c r="AC3087"/>
      <c r="AD3087"/>
      <c r="AE3087"/>
      <c r="AF3087"/>
      <c r="AG3087"/>
      <c r="AH3087"/>
      <c r="AI3087"/>
      <c r="AJ3087"/>
      <c r="AK3087"/>
      <c r="AL3087"/>
      <c r="AM3087"/>
      <c r="AN3087"/>
      <c r="AO3087"/>
    </row>
    <row r="3088" spans="1:41" ht="15">
      <c r="A3088"/>
      <c r="B3088"/>
      <c r="C3088" s="137"/>
      <c r="D3088" s="30"/>
      <c r="E3088" s="30"/>
      <c r="F3088" s="10"/>
      <c r="G3088" s="10"/>
      <c r="H3088" s="15"/>
      <c r="I3088" s="15"/>
      <c r="J3088" s="15"/>
      <c r="K3088" s="15"/>
      <c r="L3088" s="15"/>
      <c r="M3088" s="15"/>
      <c r="N3088" s="15"/>
      <c r="O3088" s="15"/>
      <c r="P3088" s="15"/>
      <c r="Q3088" s="71"/>
      <c r="R3088" s="84"/>
      <c r="S3088" s="10"/>
      <c r="T3088" s="10"/>
      <c r="U3088" s="10"/>
      <c r="V3088" s="10"/>
      <c r="W3088" s="138"/>
      <c r="Y3088"/>
      <c r="Z3088"/>
      <c r="AA3088"/>
      <c r="AB3088"/>
      <c r="AC3088"/>
      <c r="AD3088"/>
      <c r="AE3088"/>
      <c r="AF3088"/>
      <c r="AG3088"/>
      <c r="AH3088"/>
      <c r="AI3088"/>
      <c r="AJ3088"/>
      <c r="AK3088"/>
      <c r="AL3088"/>
      <c r="AM3088"/>
      <c r="AN3088"/>
      <c r="AO3088"/>
    </row>
    <row r="3089" spans="1:41" ht="15">
      <c r="A3089"/>
      <c r="B3089"/>
      <c r="C3089" s="137"/>
      <c r="D3089" s="30"/>
      <c r="E3089" s="30"/>
      <c r="F3089" s="10"/>
      <c r="G3089" s="10"/>
      <c r="H3089" s="15"/>
      <c r="I3089" s="15"/>
      <c r="J3089" s="15"/>
      <c r="K3089" s="15"/>
      <c r="L3089" s="15"/>
      <c r="M3089" s="15"/>
      <c r="N3089" s="15"/>
      <c r="O3089" s="15"/>
      <c r="P3089" s="15"/>
      <c r="Q3089" s="71"/>
      <c r="R3089" s="84"/>
      <c r="S3089" s="10"/>
      <c r="T3089" s="10"/>
      <c r="U3089" s="10"/>
      <c r="V3089" s="10"/>
      <c r="W3089" s="138"/>
      <c r="Y3089"/>
      <c r="Z3089"/>
      <c r="AA3089"/>
      <c r="AB3089"/>
      <c r="AC3089"/>
      <c r="AD3089"/>
      <c r="AE3089"/>
      <c r="AF3089"/>
      <c r="AG3089"/>
      <c r="AH3089"/>
      <c r="AI3089"/>
      <c r="AJ3089"/>
      <c r="AK3089"/>
      <c r="AL3089"/>
      <c r="AM3089"/>
      <c r="AN3089"/>
      <c r="AO3089"/>
    </row>
    <row r="3090" spans="1:41" ht="15">
      <c r="A3090"/>
      <c r="B3090"/>
      <c r="C3090" s="137"/>
      <c r="D3090" s="30"/>
      <c r="E3090" s="30"/>
      <c r="F3090" s="10"/>
      <c r="G3090" s="10"/>
      <c r="H3090" s="15"/>
      <c r="I3090" s="15"/>
      <c r="J3090" s="15"/>
      <c r="K3090" s="15"/>
      <c r="L3090" s="15"/>
      <c r="M3090" s="15"/>
      <c r="N3090" s="15"/>
      <c r="O3090" s="15"/>
      <c r="P3090" s="15"/>
      <c r="Q3090" s="71"/>
      <c r="R3090" s="84"/>
      <c r="S3090" s="10"/>
      <c r="T3090" s="10"/>
      <c r="U3090" s="10"/>
      <c r="V3090" s="10"/>
      <c r="W3090" s="138"/>
      <c r="Y3090"/>
      <c r="Z3090"/>
      <c r="AA3090"/>
      <c r="AB3090"/>
      <c r="AC3090"/>
      <c r="AD3090"/>
      <c r="AE3090"/>
      <c r="AF3090"/>
      <c r="AG3090"/>
      <c r="AH3090"/>
      <c r="AI3090"/>
      <c r="AJ3090"/>
      <c r="AK3090"/>
      <c r="AL3090"/>
      <c r="AM3090"/>
      <c r="AN3090"/>
      <c r="AO3090"/>
    </row>
    <row r="3091" spans="1:41" ht="15">
      <c r="A3091"/>
      <c r="B3091"/>
      <c r="C3091" s="137"/>
      <c r="D3091" s="30"/>
      <c r="E3091" s="30"/>
      <c r="F3091" s="10"/>
      <c r="G3091" s="10"/>
      <c r="H3091" s="15"/>
      <c r="I3091" s="15"/>
      <c r="J3091" s="15"/>
      <c r="K3091" s="15"/>
      <c r="L3091" s="15"/>
      <c r="M3091" s="15"/>
      <c r="N3091" s="15"/>
      <c r="O3091" s="15"/>
      <c r="P3091" s="15"/>
      <c r="Q3091" s="71"/>
      <c r="R3091" s="84"/>
      <c r="S3091" s="10"/>
      <c r="T3091" s="10"/>
      <c r="U3091" s="10"/>
      <c r="V3091" s="10"/>
      <c r="W3091" s="138"/>
      <c r="Y3091"/>
      <c r="Z3091"/>
      <c r="AA3091"/>
      <c r="AB3091"/>
      <c r="AC3091"/>
      <c r="AD3091"/>
      <c r="AE3091"/>
      <c r="AF3091"/>
      <c r="AG3091"/>
      <c r="AH3091"/>
      <c r="AI3091"/>
      <c r="AJ3091"/>
      <c r="AK3091"/>
      <c r="AL3091"/>
      <c r="AM3091"/>
      <c r="AN3091"/>
      <c r="AO3091"/>
    </row>
    <row r="3092" spans="1:41" ht="15">
      <c r="A3092"/>
      <c r="B3092"/>
      <c r="C3092" s="137"/>
      <c r="D3092" s="30"/>
      <c r="E3092" s="30"/>
      <c r="F3092" s="10"/>
      <c r="G3092" s="10"/>
      <c r="H3092" s="15"/>
      <c r="I3092" s="15"/>
      <c r="J3092" s="15"/>
      <c r="K3092" s="15"/>
      <c r="L3092" s="15"/>
      <c r="M3092" s="15"/>
      <c r="N3092" s="15"/>
      <c r="O3092" s="15"/>
      <c r="P3092" s="15"/>
      <c r="Q3092" s="71"/>
      <c r="R3092" s="84"/>
      <c r="S3092" s="10"/>
      <c r="T3092" s="10"/>
      <c r="U3092" s="10"/>
      <c r="V3092" s="10"/>
      <c r="W3092" s="138"/>
      <c r="Y3092"/>
      <c r="Z3092"/>
      <c r="AA3092"/>
      <c r="AB3092"/>
      <c r="AC3092"/>
      <c r="AD3092"/>
      <c r="AE3092"/>
      <c r="AF3092"/>
      <c r="AG3092"/>
      <c r="AH3092"/>
      <c r="AI3092"/>
      <c r="AJ3092"/>
      <c r="AK3092"/>
      <c r="AL3092"/>
      <c r="AM3092"/>
      <c r="AN3092"/>
      <c r="AO3092"/>
    </row>
    <row r="3093" spans="1:41" ht="15">
      <c r="A3093"/>
      <c r="B3093"/>
      <c r="C3093" s="137"/>
      <c r="D3093" s="30"/>
      <c r="E3093" s="30"/>
      <c r="F3093" s="10"/>
      <c r="G3093" s="10"/>
      <c r="H3093" s="15"/>
      <c r="I3093" s="15"/>
      <c r="J3093" s="15"/>
      <c r="K3093" s="15"/>
      <c r="L3093" s="15"/>
      <c r="M3093" s="15"/>
      <c r="N3093" s="15"/>
      <c r="O3093" s="15"/>
      <c r="P3093" s="15"/>
      <c r="Q3093" s="71"/>
      <c r="R3093" s="84"/>
      <c r="S3093" s="10"/>
      <c r="T3093" s="10"/>
      <c r="U3093" s="10"/>
      <c r="V3093" s="10"/>
      <c r="W3093" s="138"/>
      <c r="Y3093"/>
      <c r="Z3093"/>
      <c r="AA3093"/>
      <c r="AB3093"/>
      <c r="AC3093"/>
      <c r="AD3093"/>
      <c r="AE3093"/>
      <c r="AF3093"/>
      <c r="AG3093"/>
      <c r="AH3093"/>
      <c r="AI3093"/>
      <c r="AJ3093"/>
      <c r="AK3093"/>
      <c r="AL3093"/>
      <c r="AM3093"/>
      <c r="AN3093"/>
      <c r="AO3093"/>
    </row>
    <row r="3094" spans="1:41" ht="15">
      <c r="A3094"/>
      <c r="B3094"/>
      <c r="C3094" s="137"/>
      <c r="D3094" s="30"/>
      <c r="E3094" s="30"/>
      <c r="F3094" s="10"/>
      <c r="G3094" s="10"/>
      <c r="H3094" s="15"/>
      <c r="I3094" s="15"/>
      <c r="J3094" s="15"/>
      <c r="K3094" s="15"/>
      <c r="L3094" s="15"/>
      <c r="M3094" s="15"/>
      <c r="N3094" s="15"/>
      <c r="O3094" s="15"/>
      <c r="P3094" s="15"/>
      <c r="Q3094" s="71"/>
      <c r="R3094" s="84"/>
      <c r="S3094" s="10"/>
      <c r="T3094" s="10"/>
      <c r="U3094" s="10"/>
      <c r="V3094" s="10"/>
      <c r="W3094" s="138"/>
      <c r="Y3094"/>
      <c r="Z3094"/>
      <c r="AA3094"/>
      <c r="AB3094"/>
      <c r="AC3094"/>
      <c r="AD3094"/>
      <c r="AE3094"/>
      <c r="AF3094"/>
      <c r="AG3094"/>
      <c r="AH3094"/>
      <c r="AI3094"/>
      <c r="AJ3094"/>
      <c r="AK3094"/>
      <c r="AL3094"/>
      <c r="AM3094"/>
      <c r="AN3094"/>
      <c r="AO3094"/>
    </row>
    <row r="3095" spans="1:41" ht="15">
      <c r="A3095"/>
      <c r="B3095"/>
      <c r="C3095" s="137"/>
      <c r="D3095" s="30"/>
      <c r="E3095" s="30"/>
      <c r="F3095" s="10"/>
      <c r="G3095" s="10"/>
      <c r="H3095" s="15"/>
      <c r="I3095" s="15"/>
      <c r="J3095" s="15"/>
      <c r="K3095" s="15"/>
      <c r="L3095" s="15"/>
      <c r="M3095" s="15"/>
      <c r="N3095" s="15"/>
      <c r="O3095" s="15"/>
      <c r="P3095" s="15"/>
      <c r="Q3095" s="71"/>
      <c r="R3095" s="84"/>
      <c r="S3095" s="10"/>
      <c r="T3095" s="10"/>
      <c r="U3095" s="10"/>
      <c r="V3095" s="10"/>
      <c r="W3095" s="138"/>
      <c r="Y3095"/>
      <c r="Z3095"/>
      <c r="AA3095"/>
      <c r="AB3095"/>
      <c r="AC3095"/>
      <c r="AD3095"/>
      <c r="AE3095"/>
      <c r="AF3095"/>
      <c r="AG3095"/>
      <c r="AH3095"/>
      <c r="AI3095"/>
      <c r="AJ3095"/>
      <c r="AK3095"/>
      <c r="AL3095"/>
      <c r="AM3095"/>
      <c r="AN3095"/>
      <c r="AO3095"/>
    </row>
    <row r="3096" spans="1:41" ht="15">
      <c r="A3096"/>
      <c r="B3096"/>
      <c r="C3096" s="137"/>
      <c r="D3096" s="30"/>
      <c r="E3096" s="30"/>
      <c r="F3096" s="10"/>
      <c r="G3096" s="10"/>
      <c r="H3096" s="15"/>
      <c r="I3096" s="15"/>
      <c r="J3096" s="15"/>
      <c r="K3096" s="15"/>
      <c r="L3096" s="15"/>
      <c r="M3096" s="15"/>
      <c r="N3096" s="15"/>
      <c r="O3096" s="15"/>
      <c r="P3096" s="15"/>
      <c r="Q3096" s="71"/>
      <c r="R3096" s="84"/>
      <c r="S3096" s="10"/>
      <c r="T3096" s="10"/>
      <c r="U3096" s="10"/>
      <c r="V3096" s="10"/>
      <c r="W3096" s="138"/>
      <c r="Y3096"/>
      <c r="Z3096"/>
      <c r="AA3096"/>
      <c r="AB3096"/>
      <c r="AC3096"/>
      <c r="AD3096"/>
      <c r="AE3096"/>
      <c r="AF3096"/>
      <c r="AG3096"/>
      <c r="AH3096"/>
      <c r="AI3096"/>
      <c r="AJ3096"/>
      <c r="AK3096"/>
      <c r="AL3096"/>
      <c r="AM3096"/>
      <c r="AN3096"/>
      <c r="AO3096"/>
    </row>
    <row r="3097" spans="1:41" ht="15">
      <c r="A3097"/>
      <c r="B3097"/>
      <c r="C3097" s="137"/>
      <c r="D3097" s="30"/>
      <c r="E3097" s="30"/>
      <c r="F3097" s="10"/>
      <c r="G3097" s="10"/>
      <c r="H3097" s="15"/>
      <c r="I3097" s="15"/>
      <c r="J3097" s="15"/>
      <c r="K3097" s="15"/>
      <c r="L3097" s="15"/>
      <c r="M3097" s="15"/>
      <c r="N3097" s="15"/>
      <c r="O3097" s="15"/>
      <c r="P3097" s="15"/>
      <c r="Q3097" s="71"/>
      <c r="R3097" s="84"/>
      <c r="S3097" s="10"/>
      <c r="T3097" s="10"/>
      <c r="U3097" s="10"/>
      <c r="V3097" s="10"/>
      <c r="W3097" s="138"/>
      <c r="Y3097"/>
      <c r="Z3097"/>
      <c r="AA3097"/>
      <c r="AB3097"/>
      <c r="AC3097"/>
      <c r="AD3097"/>
      <c r="AE3097"/>
      <c r="AF3097"/>
      <c r="AG3097"/>
      <c r="AH3097"/>
      <c r="AI3097"/>
      <c r="AJ3097"/>
      <c r="AK3097"/>
      <c r="AL3097"/>
      <c r="AM3097"/>
      <c r="AN3097"/>
      <c r="AO3097"/>
    </row>
    <row r="3098" spans="1:41" ht="15">
      <c r="A3098"/>
      <c r="B3098"/>
      <c r="C3098" s="137"/>
      <c r="D3098" s="30"/>
      <c r="E3098" s="30"/>
      <c r="F3098" s="10"/>
      <c r="G3098" s="10"/>
      <c r="H3098" s="15"/>
      <c r="I3098" s="15"/>
      <c r="J3098" s="15"/>
      <c r="K3098" s="15"/>
      <c r="L3098" s="15"/>
      <c r="M3098" s="15"/>
      <c r="N3098" s="15"/>
      <c r="O3098" s="15"/>
      <c r="P3098" s="15"/>
      <c r="Q3098" s="71"/>
      <c r="R3098" s="84"/>
      <c r="S3098" s="10"/>
      <c r="T3098" s="10"/>
      <c r="U3098" s="10"/>
      <c r="V3098" s="10"/>
      <c r="W3098" s="138"/>
      <c r="Y3098"/>
      <c r="Z3098"/>
      <c r="AA3098"/>
      <c r="AB3098"/>
      <c r="AC3098"/>
      <c r="AD3098"/>
      <c r="AE3098"/>
      <c r="AF3098"/>
      <c r="AG3098"/>
      <c r="AH3098"/>
      <c r="AI3098"/>
      <c r="AJ3098"/>
      <c r="AK3098"/>
      <c r="AL3098"/>
      <c r="AM3098"/>
      <c r="AN3098"/>
      <c r="AO3098"/>
    </row>
    <row r="3099" spans="1:41" ht="15">
      <c r="A3099"/>
      <c r="B3099"/>
      <c r="C3099" s="137"/>
      <c r="D3099" s="30"/>
      <c r="E3099" s="30"/>
      <c r="F3099" s="10"/>
      <c r="G3099" s="10"/>
      <c r="H3099" s="15"/>
      <c r="I3099" s="15"/>
      <c r="J3099" s="15"/>
      <c r="K3099" s="15"/>
      <c r="L3099" s="15"/>
      <c r="M3099" s="15"/>
      <c r="N3099" s="15"/>
      <c r="O3099" s="15"/>
      <c r="P3099" s="15"/>
      <c r="Q3099" s="71"/>
      <c r="R3099" s="84"/>
      <c r="S3099" s="10"/>
      <c r="T3099" s="10"/>
      <c r="U3099" s="10"/>
      <c r="V3099" s="10"/>
      <c r="W3099" s="138"/>
      <c r="Y3099"/>
      <c r="Z3099"/>
      <c r="AA3099"/>
      <c r="AB3099"/>
      <c r="AC3099"/>
      <c r="AD3099"/>
      <c r="AE3099"/>
      <c r="AF3099"/>
      <c r="AG3099"/>
      <c r="AH3099"/>
      <c r="AI3099"/>
      <c r="AJ3099"/>
      <c r="AK3099"/>
      <c r="AL3099"/>
      <c r="AM3099"/>
      <c r="AN3099"/>
      <c r="AO3099"/>
    </row>
    <row r="3100" spans="1:41" ht="15">
      <c r="A3100"/>
      <c r="B3100"/>
      <c r="C3100" s="137"/>
      <c r="D3100" s="30"/>
      <c r="E3100" s="30"/>
      <c r="F3100" s="10"/>
      <c r="G3100" s="10"/>
      <c r="H3100" s="15"/>
      <c r="I3100" s="15"/>
      <c r="J3100" s="15"/>
      <c r="K3100" s="15"/>
      <c r="L3100" s="15"/>
      <c r="M3100" s="15"/>
      <c r="N3100" s="15"/>
      <c r="O3100" s="15"/>
      <c r="P3100" s="15"/>
      <c r="Q3100" s="71"/>
      <c r="R3100" s="84"/>
      <c r="S3100" s="10"/>
      <c r="T3100" s="10"/>
      <c r="U3100" s="10"/>
      <c r="V3100" s="10"/>
      <c r="W3100" s="138"/>
      <c r="Y3100"/>
      <c r="Z3100"/>
      <c r="AA3100"/>
      <c r="AB3100"/>
      <c r="AC3100"/>
      <c r="AD3100"/>
      <c r="AE3100"/>
      <c r="AF3100"/>
      <c r="AG3100"/>
      <c r="AH3100"/>
      <c r="AI3100"/>
      <c r="AJ3100"/>
      <c r="AK3100"/>
      <c r="AL3100"/>
      <c r="AM3100"/>
      <c r="AN3100"/>
      <c r="AO3100"/>
    </row>
    <row r="3101" spans="1:41" ht="15">
      <c r="A3101"/>
      <c r="B3101"/>
      <c r="C3101" s="137"/>
      <c r="D3101" s="30"/>
      <c r="E3101" s="30"/>
      <c r="F3101" s="10"/>
      <c r="G3101" s="10"/>
      <c r="H3101" s="15"/>
      <c r="I3101" s="15"/>
      <c r="J3101" s="15"/>
      <c r="K3101" s="15"/>
      <c r="L3101" s="15"/>
      <c r="M3101" s="15"/>
      <c r="N3101" s="15"/>
      <c r="O3101" s="15"/>
      <c r="P3101" s="15"/>
      <c r="Q3101" s="71"/>
      <c r="R3101" s="84"/>
      <c r="S3101" s="10"/>
      <c r="T3101" s="10"/>
      <c r="U3101" s="10"/>
      <c r="V3101" s="10"/>
      <c r="W3101" s="138"/>
      <c r="Y3101"/>
      <c r="Z3101"/>
      <c r="AA3101"/>
      <c r="AB3101"/>
      <c r="AC3101"/>
      <c r="AD3101"/>
      <c r="AE3101"/>
      <c r="AF3101"/>
      <c r="AG3101"/>
      <c r="AH3101"/>
      <c r="AI3101"/>
      <c r="AJ3101"/>
      <c r="AK3101"/>
      <c r="AL3101"/>
      <c r="AM3101"/>
      <c r="AN3101"/>
      <c r="AO3101"/>
    </row>
    <row r="3102" spans="1:41" ht="15">
      <c r="A3102"/>
      <c r="B3102"/>
      <c r="C3102" s="137"/>
      <c r="D3102" s="30"/>
      <c r="E3102" s="30"/>
      <c r="F3102" s="10"/>
      <c r="G3102" s="10"/>
      <c r="H3102" s="15"/>
      <c r="I3102" s="15"/>
      <c r="J3102" s="15"/>
      <c r="K3102" s="15"/>
      <c r="L3102" s="15"/>
      <c r="M3102" s="15"/>
      <c r="N3102" s="15"/>
      <c r="O3102" s="15"/>
      <c r="P3102" s="15"/>
      <c r="Q3102" s="71"/>
      <c r="R3102" s="84"/>
      <c r="S3102" s="10"/>
      <c r="T3102" s="10"/>
      <c r="U3102" s="10"/>
      <c r="V3102" s="10"/>
      <c r="W3102" s="138"/>
      <c r="Y3102"/>
      <c r="Z3102"/>
      <c r="AA3102"/>
      <c r="AB3102"/>
      <c r="AC3102"/>
      <c r="AD3102"/>
      <c r="AE3102"/>
      <c r="AF3102"/>
      <c r="AG3102"/>
      <c r="AH3102"/>
      <c r="AI3102"/>
      <c r="AJ3102"/>
      <c r="AK3102"/>
      <c r="AL3102"/>
      <c r="AM3102"/>
      <c r="AN3102"/>
      <c r="AO3102"/>
    </row>
    <row r="3103" spans="1:41" ht="15">
      <c r="A3103"/>
      <c r="B3103"/>
      <c r="C3103" s="137"/>
      <c r="D3103" s="30"/>
      <c r="E3103" s="30"/>
      <c r="F3103" s="10"/>
      <c r="G3103" s="10"/>
      <c r="H3103" s="15"/>
      <c r="I3103" s="15"/>
      <c r="J3103" s="15"/>
      <c r="K3103" s="15"/>
      <c r="L3103" s="15"/>
      <c r="M3103" s="15"/>
      <c r="N3103" s="15"/>
      <c r="O3103" s="15"/>
      <c r="P3103" s="15"/>
      <c r="Q3103" s="71"/>
      <c r="R3103" s="84"/>
      <c r="S3103" s="10"/>
      <c r="T3103" s="10"/>
      <c r="U3103" s="10"/>
      <c r="V3103" s="10"/>
      <c r="W3103" s="138"/>
      <c r="Y3103"/>
      <c r="Z3103"/>
      <c r="AA3103"/>
      <c r="AB3103"/>
      <c r="AC3103"/>
      <c r="AD3103"/>
      <c r="AE3103"/>
      <c r="AF3103"/>
      <c r="AG3103"/>
      <c r="AH3103"/>
      <c r="AI3103"/>
      <c r="AJ3103"/>
      <c r="AK3103"/>
      <c r="AL3103"/>
      <c r="AM3103"/>
      <c r="AN3103"/>
      <c r="AO3103"/>
    </row>
    <row r="3104" spans="1:41" ht="15">
      <c r="A3104"/>
      <c r="B3104"/>
      <c r="C3104" s="137"/>
      <c r="D3104" s="30"/>
      <c r="E3104" s="30"/>
      <c r="F3104" s="10"/>
      <c r="G3104" s="10"/>
      <c r="H3104" s="15"/>
      <c r="I3104" s="15"/>
      <c r="J3104" s="15"/>
      <c r="K3104" s="15"/>
      <c r="L3104" s="15"/>
      <c r="M3104" s="15"/>
      <c r="N3104" s="15"/>
      <c r="O3104" s="15"/>
      <c r="P3104" s="15"/>
      <c r="Q3104" s="71"/>
      <c r="R3104" s="84"/>
      <c r="S3104" s="10"/>
      <c r="T3104" s="10"/>
      <c r="U3104" s="10"/>
      <c r="V3104" s="10"/>
      <c r="W3104" s="138"/>
      <c r="Y3104"/>
      <c r="Z3104"/>
      <c r="AA3104"/>
      <c r="AB3104"/>
      <c r="AC3104"/>
      <c r="AD3104"/>
      <c r="AE3104"/>
      <c r="AF3104"/>
      <c r="AG3104"/>
      <c r="AH3104"/>
      <c r="AI3104"/>
      <c r="AJ3104"/>
      <c r="AK3104"/>
      <c r="AL3104"/>
      <c r="AM3104"/>
      <c r="AN3104"/>
      <c r="AO3104"/>
    </row>
    <row r="3105" spans="1:41" ht="15">
      <c r="A3105"/>
      <c r="B3105"/>
      <c r="C3105" s="137"/>
      <c r="D3105" s="30"/>
      <c r="E3105" s="30"/>
      <c r="F3105" s="10"/>
      <c r="G3105" s="10"/>
      <c r="H3105" s="15"/>
      <c r="I3105" s="15"/>
      <c r="J3105" s="15"/>
      <c r="K3105" s="15"/>
      <c r="L3105" s="15"/>
      <c r="M3105" s="15"/>
      <c r="N3105" s="15"/>
      <c r="O3105" s="15"/>
      <c r="P3105" s="15"/>
      <c r="Q3105" s="71"/>
      <c r="R3105" s="84"/>
      <c r="S3105" s="10"/>
      <c r="T3105" s="10"/>
      <c r="U3105" s="10"/>
      <c r="V3105" s="10"/>
      <c r="W3105" s="138"/>
      <c r="Y3105"/>
      <c r="Z3105"/>
      <c r="AA3105"/>
      <c r="AB3105"/>
      <c r="AC3105"/>
      <c r="AD3105"/>
      <c r="AE3105"/>
      <c r="AF3105"/>
      <c r="AG3105"/>
      <c r="AH3105"/>
      <c r="AI3105"/>
      <c r="AJ3105"/>
      <c r="AK3105"/>
      <c r="AL3105"/>
      <c r="AM3105"/>
      <c r="AN3105"/>
      <c r="AO3105"/>
    </row>
    <row r="3106" spans="1:41" ht="15">
      <c r="A3106"/>
      <c r="B3106"/>
      <c r="C3106" s="137"/>
      <c r="D3106" s="30"/>
      <c r="E3106" s="30"/>
      <c r="F3106" s="10"/>
      <c r="G3106" s="10"/>
      <c r="H3106" s="15"/>
      <c r="I3106" s="15"/>
      <c r="J3106" s="15"/>
      <c r="K3106" s="15"/>
      <c r="L3106" s="15"/>
      <c r="M3106" s="15"/>
      <c r="N3106" s="15"/>
      <c r="O3106" s="15"/>
      <c r="P3106" s="15"/>
      <c r="Q3106" s="71"/>
      <c r="R3106" s="84"/>
      <c r="S3106" s="10"/>
      <c r="T3106" s="10"/>
      <c r="U3106" s="10"/>
      <c r="V3106" s="10"/>
      <c r="W3106" s="138"/>
      <c r="Y3106"/>
      <c r="Z3106"/>
      <c r="AA3106"/>
      <c r="AB3106"/>
      <c r="AC3106"/>
      <c r="AD3106"/>
      <c r="AE3106"/>
      <c r="AF3106"/>
      <c r="AG3106"/>
      <c r="AH3106"/>
      <c r="AI3106"/>
      <c r="AJ3106"/>
      <c r="AK3106"/>
      <c r="AL3106"/>
      <c r="AM3106"/>
      <c r="AN3106"/>
      <c r="AO3106"/>
    </row>
    <row r="3107" spans="1:41" ht="15">
      <c r="A3107"/>
      <c r="B3107"/>
      <c r="C3107" s="137"/>
      <c r="D3107" s="30"/>
      <c r="E3107" s="30"/>
      <c r="F3107" s="10"/>
      <c r="G3107" s="10"/>
      <c r="H3107" s="15"/>
      <c r="I3107" s="15"/>
      <c r="J3107" s="15"/>
      <c r="K3107" s="15"/>
      <c r="L3107" s="15"/>
      <c r="M3107" s="15"/>
      <c r="N3107" s="15"/>
      <c r="O3107" s="15"/>
      <c r="P3107" s="15"/>
      <c r="Q3107" s="71"/>
      <c r="R3107" s="84"/>
      <c r="S3107" s="10"/>
      <c r="T3107" s="10"/>
      <c r="U3107" s="10"/>
      <c r="V3107" s="10"/>
      <c r="W3107" s="138"/>
      <c r="Y3107"/>
      <c r="Z3107"/>
      <c r="AA3107"/>
      <c r="AB3107"/>
      <c r="AC3107"/>
      <c r="AD3107"/>
      <c r="AE3107"/>
      <c r="AF3107"/>
      <c r="AG3107"/>
      <c r="AH3107"/>
      <c r="AI3107"/>
      <c r="AJ3107"/>
      <c r="AK3107"/>
      <c r="AL3107"/>
      <c r="AM3107"/>
      <c r="AN3107"/>
      <c r="AO3107"/>
    </row>
    <row r="3108" spans="1:41" ht="15">
      <c r="A3108"/>
      <c r="B3108"/>
      <c r="C3108" s="137"/>
      <c r="D3108" s="30"/>
      <c r="E3108" s="30"/>
      <c r="F3108" s="10"/>
      <c r="G3108" s="10"/>
      <c r="H3108" s="15"/>
      <c r="I3108" s="15"/>
      <c r="J3108" s="15"/>
      <c r="K3108" s="15"/>
      <c r="L3108" s="15"/>
      <c r="M3108" s="15"/>
      <c r="N3108" s="15"/>
      <c r="O3108" s="15"/>
      <c r="P3108" s="15"/>
      <c r="Q3108" s="71"/>
      <c r="R3108" s="84"/>
      <c r="S3108" s="10"/>
      <c r="T3108" s="10"/>
      <c r="U3108" s="10"/>
      <c r="V3108" s="10"/>
      <c r="W3108" s="138"/>
      <c r="Y3108"/>
      <c r="Z3108"/>
      <c r="AA3108"/>
      <c r="AB3108"/>
      <c r="AC3108"/>
      <c r="AD3108"/>
      <c r="AE3108"/>
      <c r="AF3108"/>
      <c r="AG3108"/>
      <c r="AH3108"/>
      <c r="AI3108"/>
      <c r="AJ3108"/>
      <c r="AK3108"/>
      <c r="AL3108"/>
      <c r="AM3108"/>
      <c r="AN3108"/>
      <c r="AO3108"/>
    </row>
    <row r="3109" spans="1:41" ht="15">
      <c r="A3109"/>
      <c r="B3109"/>
      <c r="C3109" s="137"/>
      <c r="D3109" s="30"/>
      <c r="E3109" s="30"/>
      <c r="F3109" s="10"/>
      <c r="G3109" s="10"/>
      <c r="H3109" s="15"/>
      <c r="I3109" s="15"/>
      <c r="J3109" s="15"/>
      <c r="K3109" s="15"/>
      <c r="L3109" s="15"/>
      <c r="M3109" s="15"/>
      <c r="N3109" s="15"/>
      <c r="O3109" s="15"/>
      <c r="P3109" s="15"/>
      <c r="Q3109" s="71"/>
      <c r="R3109" s="84"/>
      <c r="S3109" s="10"/>
      <c r="T3109" s="10"/>
      <c r="U3109" s="10"/>
      <c r="V3109" s="10"/>
      <c r="W3109" s="138"/>
      <c r="Y3109"/>
      <c r="Z3109"/>
      <c r="AA3109"/>
      <c r="AB3109"/>
      <c r="AC3109"/>
      <c r="AD3109"/>
      <c r="AE3109"/>
      <c r="AF3109"/>
      <c r="AG3109"/>
      <c r="AH3109"/>
      <c r="AI3109"/>
      <c r="AJ3109"/>
      <c r="AK3109"/>
      <c r="AL3109"/>
      <c r="AM3109"/>
      <c r="AN3109"/>
      <c r="AO3109"/>
    </row>
    <row r="3110" spans="1:41" ht="15">
      <c r="A3110"/>
      <c r="B3110"/>
      <c r="C3110" s="137"/>
      <c r="D3110" s="30"/>
      <c r="E3110" s="30"/>
      <c r="F3110" s="10"/>
      <c r="G3110" s="10"/>
      <c r="H3110" s="15"/>
      <c r="I3110" s="15"/>
      <c r="J3110" s="15"/>
      <c r="K3110" s="15"/>
      <c r="L3110" s="15"/>
      <c r="M3110" s="15"/>
      <c r="N3110" s="15"/>
      <c r="O3110" s="15"/>
      <c r="P3110" s="15"/>
      <c r="Q3110" s="71"/>
      <c r="R3110" s="84"/>
      <c r="S3110" s="10"/>
      <c r="T3110" s="10"/>
      <c r="U3110" s="10"/>
      <c r="V3110" s="10"/>
      <c r="W3110" s="138"/>
      <c r="Y3110"/>
      <c r="Z3110"/>
      <c r="AA3110"/>
      <c r="AB3110"/>
      <c r="AC3110"/>
      <c r="AD3110"/>
      <c r="AE3110"/>
      <c r="AF3110"/>
      <c r="AG3110"/>
      <c r="AH3110"/>
      <c r="AI3110"/>
      <c r="AJ3110"/>
      <c r="AK3110"/>
      <c r="AL3110"/>
      <c r="AM3110"/>
      <c r="AN3110"/>
      <c r="AO3110"/>
    </row>
    <row r="3111" spans="1:41" ht="15">
      <c r="A3111"/>
      <c r="B3111"/>
      <c r="C3111" s="137"/>
      <c r="D3111" s="30"/>
      <c r="E3111" s="30"/>
      <c r="F3111" s="10"/>
      <c r="G3111" s="10"/>
      <c r="H3111" s="15"/>
      <c r="I3111" s="15"/>
      <c r="J3111" s="15"/>
      <c r="K3111" s="15"/>
      <c r="L3111" s="15"/>
      <c r="M3111" s="15"/>
      <c r="N3111" s="15"/>
      <c r="O3111" s="15"/>
      <c r="P3111" s="15"/>
      <c r="Q3111" s="71"/>
      <c r="R3111" s="84"/>
      <c r="S3111" s="10"/>
      <c r="T3111" s="10"/>
      <c r="U3111" s="10"/>
      <c r="V3111" s="10"/>
      <c r="W3111" s="138"/>
      <c r="Y3111"/>
      <c r="Z3111"/>
      <c r="AA3111"/>
      <c r="AB3111"/>
      <c r="AC3111"/>
      <c r="AD3111"/>
      <c r="AE3111"/>
      <c r="AF3111"/>
      <c r="AG3111"/>
      <c r="AH3111"/>
      <c r="AI3111"/>
      <c r="AJ3111"/>
      <c r="AK3111"/>
      <c r="AL3111"/>
      <c r="AM3111"/>
      <c r="AN3111"/>
      <c r="AO3111"/>
    </row>
    <row r="3112" spans="1:41" ht="15">
      <c r="A3112"/>
      <c r="B3112"/>
      <c r="C3112" s="137"/>
      <c r="D3112" s="30"/>
      <c r="E3112" s="30"/>
      <c r="F3112" s="10"/>
      <c r="G3112" s="10"/>
      <c r="H3112" s="15"/>
      <c r="I3112" s="15"/>
      <c r="J3112" s="15"/>
      <c r="K3112" s="15"/>
      <c r="L3112" s="15"/>
      <c r="M3112" s="15"/>
      <c r="N3112" s="15"/>
      <c r="O3112" s="15"/>
      <c r="P3112" s="15"/>
      <c r="Q3112" s="71"/>
      <c r="R3112" s="84"/>
      <c r="S3112" s="10"/>
      <c r="T3112" s="10"/>
      <c r="U3112" s="10"/>
      <c r="V3112" s="10"/>
      <c r="W3112" s="138"/>
      <c r="Y3112"/>
      <c r="Z3112"/>
      <c r="AA3112"/>
      <c r="AB3112"/>
      <c r="AC3112"/>
      <c r="AD3112"/>
      <c r="AE3112"/>
      <c r="AF3112"/>
      <c r="AG3112"/>
      <c r="AH3112"/>
      <c r="AI3112"/>
      <c r="AJ3112"/>
      <c r="AK3112"/>
      <c r="AL3112"/>
      <c r="AM3112"/>
      <c r="AN3112"/>
      <c r="AO3112"/>
    </row>
    <row r="3113" spans="1:41" ht="15">
      <c r="A3113"/>
      <c r="B3113"/>
      <c r="C3113" s="137"/>
      <c r="D3113" s="30"/>
      <c r="E3113" s="30"/>
      <c r="F3113" s="10"/>
      <c r="G3113" s="10"/>
      <c r="H3113" s="15"/>
      <c r="I3113" s="15"/>
      <c r="J3113" s="15"/>
      <c r="K3113" s="15"/>
      <c r="L3113" s="15"/>
      <c r="M3113" s="15"/>
      <c r="N3113" s="15"/>
      <c r="O3113" s="15"/>
      <c r="P3113" s="15"/>
      <c r="Q3113" s="71"/>
      <c r="R3113" s="84"/>
      <c r="S3113" s="10"/>
      <c r="T3113" s="10"/>
      <c r="U3113" s="10"/>
      <c r="V3113" s="10"/>
      <c r="W3113" s="138"/>
      <c r="Y3113"/>
      <c r="Z3113"/>
      <c r="AA3113"/>
      <c r="AB3113"/>
      <c r="AC3113"/>
      <c r="AD3113"/>
      <c r="AE3113"/>
      <c r="AF3113"/>
      <c r="AG3113"/>
      <c r="AH3113"/>
      <c r="AI3113"/>
      <c r="AJ3113"/>
      <c r="AK3113"/>
      <c r="AL3113"/>
      <c r="AM3113"/>
      <c r="AN3113"/>
      <c r="AO3113"/>
    </row>
    <row r="3114" spans="1:41" ht="15">
      <c r="A3114"/>
      <c r="B3114"/>
      <c r="C3114" s="137"/>
      <c r="D3114" s="30"/>
      <c r="E3114" s="30"/>
      <c r="F3114" s="10"/>
      <c r="G3114" s="10"/>
      <c r="H3114" s="15"/>
      <c r="I3114" s="15"/>
      <c r="J3114" s="15"/>
      <c r="K3114" s="15"/>
      <c r="L3114" s="15"/>
      <c r="M3114" s="15"/>
      <c r="N3114" s="15"/>
      <c r="O3114" s="15"/>
      <c r="P3114" s="15"/>
      <c r="Q3114" s="71"/>
      <c r="R3114" s="84"/>
      <c r="S3114" s="10"/>
      <c r="T3114" s="10"/>
      <c r="U3114" s="10"/>
      <c r="V3114" s="10"/>
      <c r="W3114" s="138"/>
      <c r="Y3114"/>
      <c r="Z3114"/>
      <c r="AA3114"/>
      <c r="AB3114"/>
      <c r="AC3114"/>
      <c r="AD3114"/>
      <c r="AE3114"/>
      <c r="AF3114"/>
      <c r="AG3114"/>
      <c r="AH3114"/>
      <c r="AI3114"/>
      <c r="AJ3114"/>
      <c r="AK3114"/>
      <c r="AL3114"/>
      <c r="AM3114"/>
      <c r="AN3114"/>
      <c r="AO3114"/>
    </row>
    <row r="3115" spans="1:41" ht="15">
      <c r="A3115"/>
      <c r="B3115"/>
      <c r="C3115" s="137"/>
      <c r="D3115" s="30"/>
      <c r="E3115" s="30"/>
      <c r="F3115" s="10"/>
      <c r="G3115" s="10"/>
      <c r="H3115" s="15"/>
      <c r="I3115" s="15"/>
      <c r="J3115" s="15"/>
      <c r="K3115" s="15"/>
      <c r="L3115" s="15"/>
      <c r="M3115" s="15"/>
      <c r="N3115" s="15"/>
      <c r="O3115" s="15"/>
      <c r="P3115" s="15"/>
      <c r="Q3115" s="71"/>
      <c r="R3115" s="84"/>
      <c r="S3115" s="10"/>
      <c r="T3115" s="10"/>
      <c r="U3115" s="10"/>
      <c r="V3115" s="10"/>
      <c r="W3115" s="138"/>
      <c r="Y3115"/>
      <c r="Z3115"/>
      <c r="AA3115"/>
      <c r="AB3115"/>
      <c r="AC3115"/>
      <c r="AD3115"/>
      <c r="AE3115"/>
      <c r="AF3115"/>
      <c r="AG3115"/>
      <c r="AH3115"/>
      <c r="AI3115"/>
      <c r="AJ3115"/>
      <c r="AK3115"/>
      <c r="AL3115"/>
      <c r="AM3115"/>
      <c r="AN3115"/>
      <c r="AO3115"/>
    </row>
    <row r="3116" spans="1:41" ht="15">
      <c r="A3116"/>
      <c r="B3116"/>
      <c r="C3116" s="137"/>
      <c r="D3116" s="30"/>
      <c r="E3116" s="30"/>
      <c r="F3116" s="10"/>
      <c r="G3116" s="10"/>
      <c r="H3116" s="15"/>
      <c r="I3116" s="15"/>
      <c r="J3116" s="15"/>
      <c r="K3116" s="15"/>
      <c r="L3116" s="15"/>
      <c r="M3116" s="15"/>
      <c r="N3116" s="15"/>
      <c r="O3116" s="15"/>
      <c r="P3116" s="15"/>
      <c r="Q3116" s="71"/>
      <c r="R3116" s="84"/>
      <c r="S3116" s="10"/>
      <c r="T3116" s="10"/>
      <c r="U3116" s="10"/>
      <c r="V3116" s="10"/>
      <c r="W3116" s="138"/>
      <c r="Y3116"/>
      <c r="Z3116"/>
      <c r="AA3116"/>
      <c r="AB3116"/>
      <c r="AC3116"/>
      <c r="AD3116"/>
      <c r="AE3116"/>
      <c r="AF3116"/>
      <c r="AG3116"/>
      <c r="AH3116"/>
      <c r="AI3116"/>
      <c r="AJ3116"/>
      <c r="AK3116"/>
      <c r="AL3116"/>
      <c r="AM3116"/>
      <c r="AN3116"/>
      <c r="AO3116"/>
    </row>
    <row r="3117" spans="1:41" ht="15">
      <c r="A3117"/>
      <c r="B3117"/>
      <c r="C3117" s="137"/>
      <c r="D3117" s="30"/>
      <c r="E3117" s="30"/>
      <c r="F3117" s="10"/>
      <c r="G3117" s="10"/>
      <c r="H3117" s="15"/>
      <c r="I3117" s="15"/>
      <c r="J3117" s="15"/>
      <c r="K3117" s="15"/>
      <c r="L3117" s="15"/>
      <c r="M3117" s="15"/>
      <c r="N3117" s="15"/>
      <c r="O3117" s="15"/>
      <c r="P3117" s="15"/>
      <c r="Q3117" s="71"/>
      <c r="R3117" s="84"/>
      <c r="S3117" s="10"/>
      <c r="T3117" s="10"/>
      <c r="U3117" s="10"/>
      <c r="V3117" s="10"/>
      <c r="W3117" s="138"/>
      <c r="Y3117"/>
      <c r="Z3117"/>
      <c r="AA3117"/>
      <c r="AB3117"/>
      <c r="AC3117"/>
      <c r="AD3117"/>
      <c r="AE3117"/>
      <c r="AF3117"/>
      <c r="AG3117"/>
      <c r="AH3117"/>
      <c r="AI3117"/>
      <c r="AJ3117"/>
      <c r="AK3117"/>
      <c r="AL3117"/>
      <c r="AM3117"/>
      <c r="AN3117"/>
      <c r="AO3117"/>
    </row>
    <row r="3118" spans="1:41" ht="15">
      <c r="A3118"/>
      <c r="B3118"/>
      <c r="C3118" s="137"/>
      <c r="D3118" s="30"/>
      <c r="E3118" s="30"/>
      <c r="F3118" s="10"/>
      <c r="G3118" s="10"/>
      <c r="H3118" s="15"/>
      <c r="I3118" s="15"/>
      <c r="J3118" s="15"/>
      <c r="K3118" s="15"/>
      <c r="L3118" s="15"/>
      <c r="M3118" s="15"/>
      <c r="N3118" s="15"/>
      <c r="O3118" s="15"/>
      <c r="P3118" s="15"/>
      <c r="Q3118" s="71"/>
      <c r="R3118" s="84"/>
      <c r="S3118" s="10"/>
      <c r="T3118" s="10"/>
      <c r="U3118" s="10"/>
      <c r="V3118" s="10"/>
      <c r="W3118" s="138"/>
      <c r="Y3118"/>
      <c r="Z3118"/>
      <c r="AA3118"/>
      <c r="AB3118"/>
      <c r="AC3118"/>
      <c r="AD3118"/>
      <c r="AE3118"/>
      <c r="AF3118"/>
      <c r="AG3118"/>
      <c r="AH3118"/>
      <c r="AI3118"/>
      <c r="AJ3118"/>
      <c r="AK3118"/>
      <c r="AL3118"/>
      <c r="AM3118"/>
      <c r="AN3118"/>
      <c r="AO3118"/>
    </row>
    <row r="3119" spans="1:41" ht="15">
      <c r="A3119"/>
      <c r="B3119"/>
      <c r="C3119" s="137"/>
      <c r="D3119" s="30"/>
      <c r="E3119" s="30"/>
      <c r="F3119" s="10"/>
      <c r="G3119" s="10"/>
      <c r="H3119" s="15"/>
      <c r="I3119" s="15"/>
      <c r="J3119" s="15"/>
      <c r="K3119" s="15"/>
      <c r="L3119" s="15"/>
      <c r="M3119" s="15"/>
      <c r="N3119" s="15"/>
      <c r="O3119" s="15"/>
      <c r="P3119" s="15"/>
      <c r="Q3119" s="71"/>
      <c r="R3119" s="84"/>
      <c r="S3119" s="10"/>
      <c r="T3119" s="10"/>
      <c r="U3119" s="10"/>
      <c r="V3119" s="10"/>
      <c r="W3119" s="138"/>
      <c r="Y3119"/>
      <c r="Z3119"/>
      <c r="AA3119"/>
      <c r="AB3119"/>
      <c r="AC3119"/>
      <c r="AD3119"/>
      <c r="AE3119"/>
      <c r="AF3119"/>
      <c r="AG3119"/>
      <c r="AH3119"/>
      <c r="AI3119"/>
      <c r="AJ3119"/>
      <c r="AK3119"/>
      <c r="AL3119"/>
      <c r="AM3119"/>
      <c r="AN3119"/>
      <c r="AO3119"/>
    </row>
    <row r="3120" spans="1:41" ht="15">
      <c r="A3120"/>
      <c r="B3120"/>
      <c r="C3120" s="137"/>
      <c r="D3120" s="30"/>
      <c r="E3120" s="30"/>
      <c r="F3120" s="10"/>
      <c r="G3120" s="10"/>
      <c r="H3120" s="15"/>
      <c r="I3120" s="15"/>
      <c r="J3120" s="15"/>
      <c r="K3120" s="15"/>
      <c r="L3120" s="15"/>
      <c r="M3120" s="15"/>
      <c r="N3120" s="15"/>
      <c r="O3120" s="15"/>
      <c r="P3120" s="15"/>
      <c r="Q3120" s="71"/>
      <c r="R3120" s="84"/>
      <c r="S3120" s="10"/>
      <c r="T3120" s="10"/>
      <c r="U3120" s="10"/>
      <c r="V3120" s="10"/>
      <c r="W3120" s="138"/>
      <c r="Y3120"/>
      <c r="Z3120"/>
      <c r="AA3120"/>
      <c r="AB3120"/>
      <c r="AC3120"/>
      <c r="AD3120"/>
      <c r="AE3120"/>
      <c r="AF3120"/>
      <c r="AG3120"/>
      <c r="AH3120"/>
      <c r="AI3120"/>
      <c r="AJ3120"/>
      <c r="AK3120"/>
      <c r="AL3120"/>
      <c r="AM3120"/>
      <c r="AN3120"/>
      <c r="AO3120"/>
    </row>
    <row r="3121" spans="1:41" ht="15">
      <c r="A3121"/>
      <c r="B3121"/>
      <c r="C3121" s="137"/>
      <c r="D3121" s="30"/>
      <c r="E3121" s="30"/>
      <c r="F3121" s="10"/>
      <c r="G3121" s="10"/>
      <c r="H3121" s="15"/>
      <c r="I3121" s="15"/>
      <c r="J3121" s="15"/>
      <c r="K3121" s="15"/>
      <c r="L3121" s="15"/>
      <c r="M3121" s="15"/>
      <c r="N3121" s="15"/>
      <c r="O3121" s="15"/>
      <c r="P3121" s="15"/>
      <c r="Q3121" s="71"/>
      <c r="R3121" s="84"/>
      <c r="S3121" s="10"/>
      <c r="T3121" s="10"/>
      <c r="U3121" s="10"/>
      <c r="V3121" s="10"/>
      <c r="W3121" s="138"/>
      <c r="Y3121"/>
      <c r="Z3121"/>
      <c r="AA3121"/>
      <c r="AB3121"/>
      <c r="AC3121"/>
      <c r="AD3121"/>
      <c r="AE3121"/>
      <c r="AF3121"/>
      <c r="AG3121"/>
      <c r="AH3121"/>
      <c r="AI3121"/>
      <c r="AJ3121"/>
      <c r="AK3121"/>
      <c r="AL3121"/>
      <c r="AM3121"/>
      <c r="AN3121"/>
      <c r="AO3121"/>
    </row>
    <row r="3122" spans="1:41" ht="15">
      <c r="A3122"/>
      <c r="B3122"/>
      <c r="C3122" s="137"/>
      <c r="D3122" s="30"/>
      <c r="E3122" s="30"/>
      <c r="F3122" s="10"/>
      <c r="G3122" s="10"/>
      <c r="H3122" s="15"/>
      <c r="I3122" s="15"/>
      <c r="J3122" s="15"/>
      <c r="K3122" s="15"/>
      <c r="L3122" s="15"/>
      <c r="M3122" s="15"/>
      <c r="N3122" s="15"/>
      <c r="O3122" s="15"/>
      <c r="P3122" s="15"/>
      <c r="Q3122" s="71"/>
      <c r="R3122" s="84"/>
      <c r="S3122" s="10"/>
      <c r="T3122" s="10"/>
      <c r="U3122" s="10"/>
      <c r="V3122" s="10"/>
      <c r="W3122" s="138"/>
      <c r="Y3122"/>
      <c r="Z3122"/>
      <c r="AA3122"/>
      <c r="AB3122"/>
      <c r="AC3122"/>
      <c r="AD3122"/>
      <c r="AE3122"/>
      <c r="AF3122"/>
      <c r="AG3122"/>
      <c r="AH3122"/>
      <c r="AI3122"/>
      <c r="AJ3122"/>
      <c r="AK3122"/>
      <c r="AL3122"/>
      <c r="AM3122"/>
      <c r="AN3122"/>
      <c r="AO3122"/>
    </row>
    <row r="3123" spans="1:41" ht="15">
      <c r="A3123"/>
      <c r="B3123"/>
      <c r="C3123" s="137"/>
      <c r="D3123" s="30"/>
      <c r="E3123" s="30"/>
      <c r="F3123" s="10"/>
      <c r="G3123" s="10"/>
      <c r="H3123" s="15"/>
      <c r="I3123" s="15"/>
      <c r="J3123" s="15"/>
      <c r="K3123" s="15"/>
      <c r="L3123" s="15"/>
      <c r="M3123" s="15"/>
      <c r="N3123" s="15"/>
      <c r="O3123" s="15"/>
      <c r="P3123" s="15"/>
      <c r="Q3123" s="71"/>
      <c r="R3123" s="84"/>
      <c r="S3123" s="10"/>
      <c r="T3123" s="10"/>
      <c r="U3123" s="10"/>
      <c r="V3123" s="10"/>
      <c r="W3123" s="138"/>
      <c r="Y3123"/>
      <c r="Z3123"/>
      <c r="AA3123"/>
      <c r="AB3123"/>
      <c r="AC3123"/>
      <c r="AD3123"/>
      <c r="AE3123"/>
      <c r="AF3123"/>
      <c r="AG3123"/>
      <c r="AH3123"/>
      <c r="AI3123"/>
      <c r="AJ3123"/>
      <c r="AK3123"/>
      <c r="AL3123"/>
      <c r="AM3123"/>
      <c r="AN3123"/>
      <c r="AO3123"/>
    </row>
    <row r="3124" spans="1:41" ht="15">
      <c r="A3124"/>
      <c r="B3124"/>
      <c r="C3124" s="137"/>
      <c r="D3124" s="30"/>
      <c r="E3124" s="30"/>
      <c r="F3124" s="10"/>
      <c r="G3124" s="10"/>
      <c r="H3124" s="15"/>
      <c r="I3124" s="15"/>
      <c r="J3124" s="15"/>
      <c r="K3124" s="15"/>
      <c r="L3124" s="15"/>
      <c r="M3124" s="15"/>
      <c r="N3124" s="15"/>
      <c r="O3124" s="15"/>
      <c r="P3124" s="15"/>
      <c r="Q3124" s="71"/>
      <c r="R3124" s="84"/>
      <c r="S3124" s="10"/>
      <c r="T3124" s="10"/>
      <c r="U3124" s="10"/>
      <c r="V3124" s="10"/>
      <c r="W3124" s="138"/>
      <c r="Y3124"/>
      <c r="Z3124"/>
      <c r="AA3124"/>
      <c r="AB3124"/>
      <c r="AC3124"/>
      <c r="AD3124"/>
      <c r="AE3124"/>
      <c r="AF3124"/>
      <c r="AG3124"/>
      <c r="AH3124"/>
      <c r="AI3124"/>
      <c r="AJ3124"/>
      <c r="AK3124"/>
      <c r="AL3124"/>
      <c r="AM3124"/>
      <c r="AN3124"/>
      <c r="AO3124"/>
    </row>
    <row r="3125" spans="1:41" ht="15">
      <c r="A3125"/>
      <c r="B3125"/>
      <c r="C3125" s="137"/>
      <c r="D3125" s="30"/>
      <c r="E3125" s="30"/>
      <c r="F3125" s="10"/>
      <c r="G3125" s="10"/>
      <c r="H3125" s="15"/>
      <c r="I3125" s="15"/>
      <c r="J3125" s="15"/>
      <c r="K3125" s="15"/>
      <c r="L3125" s="15"/>
      <c r="M3125" s="15"/>
      <c r="N3125" s="15"/>
      <c r="O3125" s="15"/>
      <c r="P3125" s="15"/>
      <c r="Q3125" s="71"/>
      <c r="R3125" s="84"/>
      <c r="S3125" s="10"/>
      <c r="T3125" s="10"/>
      <c r="U3125" s="10"/>
      <c r="V3125" s="10"/>
      <c r="W3125" s="138"/>
      <c r="Y3125"/>
      <c r="Z3125"/>
      <c r="AA3125"/>
      <c r="AB3125"/>
      <c r="AC3125"/>
      <c r="AD3125"/>
      <c r="AE3125"/>
      <c r="AF3125"/>
      <c r="AG3125"/>
      <c r="AH3125"/>
      <c r="AI3125"/>
      <c r="AJ3125"/>
      <c r="AK3125"/>
      <c r="AL3125"/>
      <c r="AM3125"/>
      <c r="AN3125"/>
      <c r="AO3125"/>
    </row>
    <row r="3126" spans="1:41" ht="15">
      <c r="A3126"/>
      <c r="B3126"/>
      <c r="C3126" s="137"/>
      <c r="D3126" s="30"/>
      <c r="E3126" s="30"/>
      <c r="F3126" s="10"/>
      <c r="G3126" s="10"/>
      <c r="H3126" s="15"/>
      <c r="I3126" s="15"/>
      <c r="J3126" s="15"/>
      <c r="K3126" s="15"/>
      <c r="L3126" s="15"/>
      <c r="M3126" s="15"/>
      <c r="N3126" s="15"/>
      <c r="O3126" s="15"/>
      <c r="P3126" s="15"/>
      <c r="Q3126" s="71"/>
      <c r="R3126" s="84"/>
      <c r="S3126" s="10"/>
      <c r="T3126" s="10"/>
      <c r="U3126" s="10"/>
      <c r="V3126" s="10"/>
      <c r="W3126" s="138"/>
      <c r="Y3126"/>
      <c r="Z3126"/>
      <c r="AA3126"/>
      <c r="AB3126"/>
      <c r="AC3126"/>
      <c r="AD3126"/>
      <c r="AE3126"/>
      <c r="AF3126"/>
      <c r="AG3126"/>
      <c r="AH3126"/>
      <c r="AI3126"/>
      <c r="AJ3126"/>
      <c r="AK3126"/>
      <c r="AL3126"/>
      <c r="AM3126"/>
      <c r="AN3126"/>
      <c r="AO3126"/>
    </row>
    <row r="3127" spans="1:41" ht="15">
      <c r="A3127"/>
      <c r="B3127"/>
      <c r="C3127" s="137"/>
      <c r="D3127" s="30"/>
      <c r="E3127" s="30"/>
      <c r="F3127" s="10"/>
      <c r="G3127" s="10"/>
      <c r="H3127" s="15"/>
      <c r="I3127" s="15"/>
      <c r="J3127" s="15"/>
      <c r="K3127" s="15"/>
      <c r="L3127" s="15"/>
      <c r="M3127" s="15"/>
      <c r="N3127" s="15"/>
      <c r="O3127" s="15"/>
      <c r="P3127" s="15"/>
      <c r="Q3127" s="71"/>
      <c r="R3127" s="84"/>
      <c r="S3127" s="10"/>
      <c r="T3127" s="10"/>
      <c r="U3127" s="10"/>
      <c r="V3127" s="10"/>
      <c r="W3127" s="138"/>
      <c r="Y3127"/>
      <c r="Z3127"/>
      <c r="AA3127"/>
      <c r="AB3127"/>
      <c r="AC3127"/>
      <c r="AD3127"/>
      <c r="AE3127"/>
      <c r="AF3127"/>
      <c r="AG3127"/>
      <c r="AH3127"/>
      <c r="AI3127"/>
      <c r="AJ3127"/>
      <c r="AK3127"/>
      <c r="AL3127"/>
      <c r="AM3127"/>
      <c r="AN3127"/>
      <c r="AO3127"/>
    </row>
    <row r="3128" spans="1:41" ht="15">
      <c r="A3128"/>
      <c r="B3128"/>
      <c r="C3128" s="137"/>
      <c r="D3128" s="30"/>
      <c r="E3128" s="30"/>
      <c r="F3128" s="10"/>
      <c r="G3128" s="10"/>
      <c r="H3128" s="15"/>
      <c r="I3128" s="15"/>
      <c r="J3128" s="15"/>
      <c r="K3128" s="15"/>
      <c r="L3128" s="15"/>
      <c r="M3128" s="15"/>
      <c r="N3128" s="15"/>
      <c r="O3128" s="15"/>
      <c r="P3128" s="15"/>
      <c r="Q3128" s="71"/>
      <c r="R3128" s="84"/>
      <c r="S3128" s="10"/>
      <c r="T3128" s="10"/>
      <c r="U3128" s="10"/>
      <c r="V3128" s="10"/>
      <c r="W3128" s="138"/>
      <c r="Y3128"/>
      <c r="Z3128"/>
      <c r="AA3128"/>
      <c r="AB3128"/>
      <c r="AC3128"/>
      <c r="AD3128"/>
      <c r="AE3128"/>
      <c r="AF3128"/>
      <c r="AG3128"/>
      <c r="AH3128"/>
      <c r="AI3128"/>
      <c r="AJ3128"/>
      <c r="AK3128"/>
      <c r="AL3128"/>
      <c r="AM3128"/>
      <c r="AN3128"/>
      <c r="AO3128"/>
    </row>
    <row r="3129" spans="1:41" ht="15">
      <c r="A3129"/>
      <c r="B3129"/>
      <c r="C3129" s="137"/>
      <c r="D3129" s="30"/>
      <c r="E3129" s="30"/>
      <c r="F3129" s="10"/>
      <c r="G3129" s="10"/>
      <c r="H3129" s="15"/>
      <c r="I3129" s="15"/>
      <c r="J3129" s="15"/>
      <c r="K3129" s="15"/>
      <c r="L3129" s="15"/>
      <c r="M3129" s="15"/>
      <c r="N3129" s="15"/>
      <c r="O3129" s="15"/>
      <c r="P3129" s="15"/>
      <c r="Q3129" s="71"/>
      <c r="R3129" s="84"/>
      <c r="S3129" s="10"/>
      <c r="T3129" s="10"/>
      <c r="U3129" s="10"/>
      <c r="V3129" s="10"/>
      <c r="W3129" s="138"/>
      <c r="Y3129"/>
      <c r="Z3129"/>
      <c r="AA3129"/>
      <c r="AB3129"/>
      <c r="AC3129"/>
      <c r="AD3129"/>
      <c r="AE3129"/>
      <c r="AF3129"/>
      <c r="AG3129"/>
      <c r="AH3129"/>
      <c r="AI3129"/>
      <c r="AJ3129"/>
      <c r="AK3129"/>
      <c r="AL3129"/>
      <c r="AM3129"/>
      <c r="AN3129"/>
      <c r="AO3129"/>
    </row>
    <row r="3130" spans="1:41" ht="15">
      <c r="A3130"/>
      <c r="B3130"/>
      <c r="C3130" s="137"/>
      <c r="D3130" s="30"/>
      <c r="E3130" s="30"/>
      <c r="F3130" s="10"/>
      <c r="G3130" s="10"/>
      <c r="H3130" s="15"/>
      <c r="I3130" s="15"/>
      <c r="J3130" s="15"/>
      <c r="K3130" s="15"/>
      <c r="L3130" s="15"/>
      <c r="M3130" s="15"/>
      <c r="N3130" s="15"/>
      <c r="O3130" s="15"/>
      <c r="P3130" s="15"/>
      <c r="Q3130" s="71"/>
      <c r="R3130" s="84"/>
      <c r="S3130" s="10"/>
      <c r="T3130" s="10"/>
      <c r="U3130" s="10"/>
      <c r="V3130" s="10"/>
      <c r="W3130" s="138"/>
      <c r="Y3130"/>
      <c r="Z3130"/>
      <c r="AA3130"/>
      <c r="AB3130"/>
      <c r="AC3130"/>
      <c r="AD3130"/>
      <c r="AE3130"/>
      <c r="AF3130"/>
      <c r="AG3130"/>
      <c r="AH3130"/>
      <c r="AI3130"/>
      <c r="AJ3130"/>
      <c r="AK3130"/>
      <c r="AL3130"/>
      <c r="AM3130"/>
      <c r="AN3130"/>
      <c r="AO3130"/>
    </row>
    <row r="3131" spans="1:41" ht="15">
      <c r="A3131"/>
      <c r="B3131"/>
      <c r="C3131" s="137"/>
      <c r="D3131" s="30"/>
      <c r="E3131" s="30"/>
      <c r="F3131" s="10"/>
      <c r="G3131" s="10"/>
      <c r="H3131" s="15"/>
      <c r="I3131" s="15"/>
      <c r="J3131" s="15"/>
      <c r="K3131" s="15"/>
      <c r="L3131" s="15"/>
      <c r="M3131" s="15"/>
      <c r="N3131" s="15"/>
      <c r="O3131" s="15"/>
      <c r="P3131" s="15"/>
      <c r="Q3131" s="71"/>
      <c r="R3131" s="84"/>
      <c r="S3131" s="10"/>
      <c r="T3131" s="10"/>
      <c r="U3131" s="10"/>
      <c r="V3131" s="10"/>
      <c r="W3131" s="138"/>
      <c r="Y3131"/>
      <c r="Z3131"/>
      <c r="AA3131"/>
      <c r="AB3131"/>
      <c r="AC3131"/>
      <c r="AD3131"/>
      <c r="AE3131"/>
      <c r="AF3131"/>
      <c r="AG3131"/>
      <c r="AH3131"/>
      <c r="AI3131"/>
      <c r="AJ3131"/>
      <c r="AK3131"/>
      <c r="AL3131"/>
      <c r="AM3131"/>
      <c r="AN3131"/>
      <c r="AO3131"/>
    </row>
    <row r="3132" spans="1:41" ht="15">
      <c r="A3132"/>
      <c r="B3132"/>
      <c r="C3132" s="137"/>
      <c r="D3132" s="30"/>
      <c r="E3132" s="30"/>
      <c r="F3132" s="10"/>
      <c r="G3132" s="10"/>
      <c r="H3132" s="15"/>
      <c r="I3132" s="15"/>
      <c r="J3132" s="15"/>
      <c r="K3132" s="15"/>
      <c r="L3132" s="15"/>
      <c r="M3132" s="15"/>
      <c r="N3132" s="15"/>
      <c r="O3132" s="15"/>
      <c r="P3132" s="15"/>
      <c r="Q3132" s="71"/>
      <c r="R3132" s="84"/>
      <c r="S3132" s="10"/>
      <c r="T3132" s="10"/>
      <c r="U3132" s="10"/>
      <c r="V3132" s="10"/>
      <c r="W3132" s="138"/>
      <c r="Y3132"/>
      <c r="Z3132"/>
      <c r="AA3132"/>
      <c r="AB3132"/>
      <c r="AC3132"/>
      <c r="AD3132"/>
      <c r="AE3132"/>
      <c r="AF3132"/>
      <c r="AG3132"/>
      <c r="AH3132"/>
      <c r="AI3132"/>
      <c r="AJ3132"/>
      <c r="AK3132"/>
      <c r="AL3132"/>
      <c r="AM3132"/>
      <c r="AN3132"/>
      <c r="AO3132"/>
    </row>
    <row r="3133" spans="1:41" ht="15">
      <c r="A3133"/>
      <c r="B3133"/>
      <c r="C3133" s="137"/>
      <c r="D3133" s="30"/>
      <c r="E3133" s="30"/>
      <c r="F3133" s="10"/>
      <c r="G3133" s="10"/>
      <c r="H3133" s="15"/>
      <c r="I3133" s="15"/>
      <c r="J3133" s="15"/>
      <c r="K3133" s="15"/>
      <c r="L3133" s="15"/>
      <c r="M3133" s="15"/>
      <c r="N3133" s="15"/>
      <c r="O3133" s="15"/>
      <c r="P3133" s="15"/>
      <c r="Q3133" s="71"/>
      <c r="R3133" s="84"/>
      <c r="S3133" s="10"/>
      <c r="T3133" s="10"/>
      <c r="U3133" s="10"/>
      <c r="V3133" s="10"/>
      <c r="W3133" s="138"/>
      <c r="Y3133"/>
      <c r="Z3133"/>
      <c r="AA3133"/>
      <c r="AB3133"/>
      <c r="AC3133"/>
      <c r="AD3133"/>
      <c r="AE3133"/>
      <c r="AF3133"/>
      <c r="AG3133"/>
      <c r="AH3133"/>
      <c r="AI3133"/>
      <c r="AJ3133"/>
      <c r="AK3133"/>
      <c r="AL3133"/>
      <c r="AM3133"/>
      <c r="AN3133"/>
      <c r="AO3133"/>
    </row>
    <row r="3134" spans="1:41" ht="15">
      <c r="A3134"/>
      <c r="B3134"/>
      <c r="C3134" s="137"/>
      <c r="D3134" s="30"/>
      <c r="E3134" s="30"/>
      <c r="F3134" s="10"/>
      <c r="G3134" s="10"/>
      <c r="H3134" s="15"/>
      <c r="I3134" s="15"/>
      <c r="J3134" s="15"/>
      <c r="K3134" s="15"/>
      <c r="L3134" s="15"/>
      <c r="M3134" s="15"/>
      <c r="N3134" s="15"/>
      <c r="O3134" s="15"/>
      <c r="P3134" s="15"/>
      <c r="Q3134" s="71"/>
      <c r="R3134" s="84"/>
      <c r="S3134" s="10"/>
      <c r="T3134" s="10"/>
      <c r="U3134" s="10"/>
      <c r="V3134" s="10"/>
      <c r="W3134" s="138"/>
      <c r="Y3134"/>
      <c r="Z3134"/>
      <c r="AA3134"/>
      <c r="AB3134"/>
      <c r="AC3134"/>
      <c r="AD3134"/>
      <c r="AE3134"/>
      <c r="AF3134"/>
      <c r="AG3134"/>
      <c r="AH3134"/>
      <c r="AI3134"/>
      <c r="AJ3134"/>
      <c r="AK3134"/>
      <c r="AL3134"/>
      <c r="AM3134"/>
      <c r="AN3134"/>
      <c r="AO3134"/>
    </row>
    <row r="3135" spans="1:41" ht="15">
      <c r="A3135"/>
      <c r="B3135"/>
      <c r="C3135" s="137"/>
      <c r="D3135" s="30"/>
      <c r="E3135" s="30"/>
      <c r="F3135" s="10"/>
      <c r="G3135" s="10"/>
      <c r="H3135" s="15"/>
      <c r="I3135" s="15"/>
      <c r="J3135" s="15"/>
      <c r="K3135" s="15"/>
      <c r="L3135" s="15"/>
      <c r="M3135" s="15"/>
      <c r="N3135" s="15"/>
      <c r="O3135" s="15"/>
      <c r="P3135" s="15"/>
      <c r="Q3135" s="71"/>
      <c r="R3135" s="84"/>
      <c r="S3135" s="10"/>
      <c r="T3135" s="10"/>
      <c r="U3135" s="10"/>
      <c r="V3135" s="10"/>
      <c r="W3135" s="138"/>
      <c r="Y3135"/>
      <c r="Z3135"/>
      <c r="AA3135"/>
      <c r="AB3135"/>
      <c r="AC3135"/>
      <c r="AD3135"/>
      <c r="AE3135"/>
      <c r="AF3135"/>
      <c r="AG3135"/>
      <c r="AH3135"/>
      <c r="AI3135"/>
      <c r="AJ3135"/>
      <c r="AK3135"/>
      <c r="AL3135"/>
      <c r="AM3135"/>
      <c r="AN3135"/>
      <c r="AO3135"/>
    </row>
    <row r="3136" spans="1:41" ht="15">
      <c r="A3136"/>
      <c r="B3136"/>
      <c r="C3136" s="137"/>
      <c r="D3136" s="30"/>
      <c r="E3136" s="30"/>
      <c r="F3136" s="10"/>
      <c r="G3136" s="10"/>
      <c r="H3136" s="15"/>
      <c r="I3136" s="15"/>
      <c r="J3136" s="15"/>
      <c r="K3136" s="15"/>
      <c r="L3136" s="15"/>
      <c r="M3136" s="15"/>
      <c r="N3136" s="15"/>
      <c r="O3136" s="15"/>
      <c r="P3136" s="15"/>
      <c r="Q3136" s="71"/>
      <c r="R3136" s="84"/>
      <c r="S3136" s="10"/>
      <c r="T3136" s="10"/>
      <c r="U3136" s="10"/>
      <c r="V3136" s="10"/>
      <c r="W3136" s="138"/>
      <c r="Y3136"/>
      <c r="Z3136"/>
      <c r="AA3136"/>
      <c r="AB3136"/>
      <c r="AC3136"/>
      <c r="AD3136"/>
      <c r="AE3136"/>
      <c r="AF3136"/>
      <c r="AG3136"/>
      <c r="AH3136"/>
      <c r="AI3136"/>
      <c r="AJ3136"/>
      <c r="AK3136"/>
      <c r="AL3136"/>
      <c r="AM3136"/>
      <c r="AN3136"/>
      <c r="AO3136"/>
    </row>
    <row r="3137" spans="1:41" ht="15">
      <c r="A3137"/>
      <c r="B3137"/>
      <c r="C3137" s="137"/>
      <c r="D3137" s="30"/>
      <c r="E3137" s="30"/>
      <c r="F3137" s="10"/>
      <c r="G3137" s="10"/>
      <c r="H3137" s="15"/>
      <c r="I3137" s="15"/>
      <c r="J3137" s="15"/>
      <c r="K3137" s="15"/>
      <c r="L3137" s="15"/>
      <c r="M3137" s="15"/>
      <c r="N3137" s="15"/>
      <c r="O3137" s="15"/>
      <c r="P3137" s="15"/>
      <c r="Q3137" s="71"/>
      <c r="R3137" s="84"/>
      <c r="S3137" s="10"/>
      <c r="T3137" s="10"/>
      <c r="U3137" s="10"/>
      <c r="V3137" s="10"/>
      <c r="W3137" s="138"/>
      <c r="Y3137"/>
      <c r="Z3137"/>
      <c r="AA3137"/>
      <c r="AB3137"/>
      <c r="AC3137"/>
      <c r="AD3137"/>
      <c r="AE3137"/>
      <c r="AF3137"/>
      <c r="AG3137"/>
      <c r="AH3137"/>
      <c r="AI3137"/>
      <c r="AJ3137"/>
      <c r="AK3137"/>
      <c r="AL3137"/>
      <c r="AM3137"/>
      <c r="AN3137"/>
      <c r="AO3137"/>
    </row>
    <row r="3138" spans="1:41" ht="15">
      <c r="A3138"/>
      <c r="B3138"/>
      <c r="C3138" s="137"/>
      <c r="D3138" s="30"/>
      <c r="E3138" s="30"/>
      <c r="F3138" s="10"/>
      <c r="G3138" s="10"/>
      <c r="H3138" s="15"/>
      <c r="I3138" s="15"/>
      <c r="J3138" s="15"/>
      <c r="K3138" s="15"/>
      <c r="L3138" s="15"/>
      <c r="M3138" s="15"/>
      <c r="N3138" s="15"/>
      <c r="O3138" s="15"/>
      <c r="P3138" s="15"/>
      <c r="Q3138" s="71"/>
      <c r="R3138" s="84"/>
      <c r="S3138" s="10"/>
      <c r="T3138" s="10"/>
      <c r="U3138" s="10"/>
      <c r="V3138" s="10"/>
      <c r="W3138" s="138"/>
      <c r="Y3138"/>
      <c r="Z3138"/>
      <c r="AA3138"/>
      <c r="AB3138"/>
      <c r="AC3138"/>
      <c r="AD3138"/>
      <c r="AE3138"/>
      <c r="AF3138"/>
      <c r="AG3138"/>
      <c r="AH3138"/>
      <c r="AI3138"/>
      <c r="AJ3138"/>
      <c r="AK3138"/>
      <c r="AL3138"/>
      <c r="AM3138"/>
      <c r="AN3138"/>
      <c r="AO3138"/>
    </row>
    <row r="3139" spans="1:41" ht="15">
      <c r="A3139"/>
      <c r="B3139"/>
      <c r="C3139" s="137"/>
      <c r="D3139" s="30"/>
      <c r="E3139" s="30"/>
      <c r="F3139" s="10"/>
      <c r="G3139" s="10"/>
      <c r="H3139" s="15"/>
      <c r="I3139" s="15"/>
      <c r="J3139" s="15"/>
      <c r="K3139" s="15"/>
      <c r="L3139" s="15"/>
      <c r="M3139" s="15"/>
      <c r="N3139" s="15"/>
      <c r="O3139" s="15"/>
      <c r="P3139" s="15"/>
      <c r="Q3139" s="71"/>
      <c r="R3139" s="84"/>
      <c r="S3139" s="10"/>
      <c r="T3139" s="10"/>
      <c r="U3139" s="10"/>
      <c r="V3139" s="10"/>
      <c r="W3139" s="138"/>
      <c r="Y3139"/>
      <c r="Z3139"/>
      <c r="AA3139"/>
      <c r="AB3139"/>
      <c r="AC3139"/>
      <c r="AD3139"/>
      <c r="AE3139"/>
      <c r="AF3139"/>
      <c r="AG3139"/>
      <c r="AH3139"/>
      <c r="AI3139"/>
      <c r="AJ3139"/>
      <c r="AK3139"/>
      <c r="AL3139"/>
      <c r="AM3139"/>
      <c r="AN3139"/>
      <c r="AO3139"/>
    </row>
    <row r="3140" spans="1:41" ht="15">
      <c r="A3140"/>
      <c r="B3140"/>
      <c r="C3140" s="137"/>
      <c r="D3140" s="30"/>
      <c r="E3140" s="30"/>
      <c r="F3140" s="10"/>
      <c r="G3140" s="10"/>
      <c r="H3140" s="15"/>
      <c r="I3140" s="15"/>
      <c r="J3140" s="15"/>
      <c r="K3140" s="15"/>
      <c r="L3140" s="15"/>
      <c r="M3140" s="15"/>
      <c r="N3140" s="15"/>
      <c r="O3140" s="15"/>
      <c r="P3140" s="15"/>
      <c r="Q3140" s="71"/>
      <c r="R3140" s="84"/>
      <c r="S3140" s="10"/>
      <c r="T3140" s="10"/>
      <c r="U3140" s="10"/>
      <c r="V3140" s="10"/>
      <c r="W3140" s="138"/>
      <c r="Y3140"/>
      <c r="Z3140"/>
      <c r="AA3140"/>
      <c r="AB3140"/>
      <c r="AC3140"/>
      <c r="AD3140"/>
      <c r="AE3140"/>
      <c r="AF3140"/>
      <c r="AG3140"/>
      <c r="AH3140"/>
      <c r="AI3140"/>
      <c r="AJ3140"/>
      <c r="AK3140"/>
      <c r="AL3140"/>
      <c r="AM3140"/>
      <c r="AN3140"/>
      <c r="AO3140"/>
    </row>
    <row r="3141" spans="1:41" ht="15">
      <c r="A3141"/>
      <c r="B3141"/>
      <c r="C3141" s="137"/>
      <c r="D3141" s="30"/>
      <c r="E3141" s="30"/>
      <c r="F3141" s="10"/>
      <c r="G3141" s="10"/>
      <c r="H3141" s="15"/>
      <c r="I3141" s="15"/>
      <c r="J3141" s="15"/>
      <c r="K3141" s="15"/>
      <c r="L3141" s="15"/>
      <c r="M3141" s="15"/>
      <c r="N3141" s="15"/>
      <c r="O3141" s="15"/>
      <c r="P3141" s="15"/>
      <c r="Q3141" s="71"/>
      <c r="R3141" s="84"/>
      <c r="S3141" s="10"/>
      <c r="T3141" s="10"/>
      <c r="U3141" s="10"/>
      <c r="V3141" s="10"/>
      <c r="W3141" s="138"/>
      <c r="Y3141"/>
      <c r="Z3141"/>
      <c r="AA3141"/>
      <c r="AB3141"/>
      <c r="AC3141"/>
      <c r="AD3141"/>
      <c r="AE3141"/>
      <c r="AF3141"/>
      <c r="AG3141"/>
      <c r="AH3141"/>
      <c r="AI3141"/>
      <c r="AJ3141"/>
      <c r="AK3141"/>
      <c r="AL3141"/>
      <c r="AM3141"/>
      <c r="AN3141"/>
      <c r="AO3141"/>
    </row>
    <row r="3142" spans="1:41" ht="15">
      <c r="A3142"/>
      <c r="B3142"/>
      <c r="C3142" s="137"/>
      <c r="D3142" s="30"/>
      <c r="E3142" s="30"/>
      <c r="F3142" s="10"/>
      <c r="G3142" s="10"/>
      <c r="H3142" s="15"/>
      <c r="I3142" s="15"/>
      <c r="J3142" s="15"/>
      <c r="K3142" s="15"/>
      <c r="L3142" s="15"/>
      <c r="M3142" s="15"/>
      <c r="N3142" s="15"/>
      <c r="O3142" s="15"/>
      <c r="P3142" s="15"/>
      <c r="Q3142" s="71"/>
      <c r="R3142" s="84"/>
      <c r="S3142" s="10"/>
      <c r="T3142" s="10"/>
      <c r="U3142" s="10"/>
      <c r="V3142" s="10"/>
      <c r="W3142" s="138"/>
      <c r="Y3142"/>
      <c r="Z3142"/>
      <c r="AA3142"/>
      <c r="AB3142"/>
      <c r="AC3142"/>
      <c r="AD3142"/>
      <c r="AE3142"/>
      <c r="AF3142"/>
      <c r="AG3142"/>
      <c r="AH3142"/>
      <c r="AI3142"/>
      <c r="AJ3142"/>
      <c r="AK3142"/>
      <c r="AL3142"/>
      <c r="AM3142"/>
      <c r="AN3142"/>
      <c r="AO3142"/>
    </row>
    <row r="3143" spans="1:41" ht="15">
      <c r="A3143"/>
      <c r="B3143"/>
      <c r="C3143" s="137"/>
      <c r="D3143" s="30"/>
      <c r="E3143" s="30"/>
      <c r="F3143" s="10"/>
      <c r="G3143" s="10"/>
      <c r="H3143" s="15"/>
      <c r="I3143" s="15"/>
      <c r="J3143" s="15"/>
      <c r="K3143" s="15"/>
      <c r="L3143" s="15"/>
      <c r="M3143" s="15"/>
      <c r="N3143" s="15"/>
      <c r="O3143" s="15"/>
      <c r="P3143" s="15"/>
      <c r="Q3143" s="71"/>
      <c r="R3143" s="84"/>
      <c r="S3143" s="10"/>
      <c r="T3143" s="10"/>
      <c r="U3143" s="10"/>
      <c r="V3143" s="10"/>
      <c r="W3143" s="138"/>
      <c r="Y3143"/>
      <c r="Z3143"/>
      <c r="AA3143"/>
      <c r="AB3143"/>
      <c r="AC3143"/>
      <c r="AD3143"/>
      <c r="AE3143"/>
      <c r="AF3143"/>
      <c r="AG3143"/>
      <c r="AH3143"/>
      <c r="AI3143"/>
      <c r="AJ3143"/>
      <c r="AK3143"/>
      <c r="AL3143"/>
      <c r="AM3143"/>
      <c r="AN3143"/>
      <c r="AO3143"/>
    </row>
    <row r="3144" spans="1:41" ht="15">
      <c r="A3144"/>
      <c r="B3144"/>
      <c r="C3144" s="137"/>
      <c r="D3144" s="30"/>
      <c r="E3144" s="30"/>
      <c r="F3144" s="10"/>
      <c r="G3144" s="10"/>
      <c r="H3144" s="15"/>
      <c r="I3144" s="15"/>
      <c r="J3144" s="15"/>
      <c r="K3144" s="15"/>
      <c r="L3144" s="15"/>
      <c r="M3144" s="15"/>
      <c r="N3144" s="15"/>
      <c r="O3144" s="15"/>
      <c r="P3144" s="15"/>
      <c r="Q3144" s="71"/>
      <c r="R3144" s="84"/>
      <c r="S3144" s="10"/>
      <c r="T3144" s="10"/>
      <c r="U3144" s="10"/>
      <c r="V3144" s="10"/>
      <c r="W3144" s="138"/>
      <c r="Y3144"/>
      <c r="Z3144"/>
      <c r="AA3144"/>
      <c r="AB3144"/>
      <c r="AC3144"/>
      <c r="AD3144"/>
      <c r="AE3144"/>
      <c r="AF3144"/>
      <c r="AG3144"/>
      <c r="AH3144"/>
      <c r="AI3144"/>
      <c r="AJ3144"/>
      <c r="AK3144"/>
      <c r="AL3144"/>
      <c r="AM3144"/>
      <c r="AN3144"/>
      <c r="AO3144"/>
    </row>
    <row r="3145" spans="1:41" ht="15">
      <c r="A3145"/>
      <c r="B3145"/>
      <c r="C3145" s="137"/>
      <c r="D3145" s="30"/>
      <c r="E3145" s="30"/>
      <c r="F3145" s="10"/>
      <c r="G3145" s="10"/>
      <c r="H3145" s="15"/>
      <c r="I3145" s="15"/>
      <c r="J3145" s="15"/>
      <c r="K3145" s="15"/>
      <c r="L3145" s="15"/>
      <c r="M3145" s="15"/>
      <c r="N3145" s="15"/>
      <c r="O3145" s="15"/>
      <c r="P3145" s="15"/>
      <c r="Q3145" s="71"/>
      <c r="R3145" s="84"/>
      <c r="S3145" s="10"/>
      <c r="T3145" s="10"/>
      <c r="U3145" s="10"/>
      <c r="V3145" s="10"/>
      <c r="W3145" s="138"/>
      <c r="Y3145"/>
      <c r="Z3145"/>
      <c r="AA3145"/>
      <c r="AB3145"/>
      <c r="AC3145"/>
      <c r="AD3145"/>
      <c r="AE3145"/>
      <c r="AF3145"/>
      <c r="AG3145"/>
      <c r="AH3145"/>
      <c r="AI3145"/>
      <c r="AJ3145"/>
      <c r="AK3145"/>
      <c r="AL3145"/>
      <c r="AM3145"/>
      <c r="AN3145"/>
      <c r="AO3145"/>
    </row>
    <row r="3146" spans="1:41" ht="15">
      <c r="A3146"/>
      <c r="B3146"/>
      <c r="C3146" s="137"/>
      <c r="D3146" s="30"/>
      <c r="E3146" s="30"/>
      <c r="F3146" s="10"/>
      <c r="G3146" s="10"/>
      <c r="H3146" s="15"/>
      <c r="I3146" s="15"/>
      <c r="J3146" s="15"/>
      <c r="K3146" s="15"/>
      <c r="L3146" s="15"/>
      <c r="M3146" s="15"/>
      <c r="N3146" s="15"/>
      <c r="O3146" s="15"/>
      <c r="P3146" s="15"/>
      <c r="Q3146" s="71"/>
      <c r="R3146" s="84"/>
      <c r="S3146" s="10"/>
      <c r="T3146" s="10"/>
      <c r="U3146" s="10"/>
      <c r="V3146" s="10"/>
      <c r="W3146" s="138"/>
      <c r="Y3146"/>
      <c r="Z3146"/>
      <c r="AA3146"/>
      <c r="AB3146"/>
      <c r="AC3146"/>
      <c r="AD3146"/>
      <c r="AE3146"/>
      <c r="AF3146"/>
      <c r="AG3146"/>
      <c r="AH3146"/>
      <c r="AI3146"/>
      <c r="AJ3146"/>
      <c r="AK3146"/>
      <c r="AL3146"/>
      <c r="AM3146"/>
      <c r="AN3146"/>
      <c r="AO3146"/>
    </row>
    <row r="3147" spans="1:41" ht="15">
      <c r="A3147"/>
      <c r="B3147"/>
      <c r="C3147" s="137"/>
      <c r="D3147" s="30"/>
      <c r="E3147" s="30"/>
      <c r="F3147" s="10"/>
      <c r="G3147" s="10"/>
      <c r="H3147" s="15"/>
      <c r="I3147" s="15"/>
      <c r="J3147" s="15"/>
      <c r="K3147" s="15"/>
      <c r="L3147" s="15"/>
      <c r="M3147" s="15"/>
      <c r="N3147" s="15"/>
      <c r="O3147" s="15"/>
      <c r="P3147" s="15"/>
      <c r="Q3147" s="71"/>
      <c r="R3147" s="84"/>
      <c r="S3147" s="10"/>
      <c r="T3147" s="10"/>
      <c r="U3147" s="10"/>
      <c r="V3147" s="10"/>
      <c r="W3147" s="138"/>
      <c r="Y3147"/>
      <c r="Z3147"/>
      <c r="AA3147"/>
      <c r="AB3147"/>
      <c r="AC3147"/>
      <c r="AD3147"/>
      <c r="AE3147"/>
      <c r="AF3147"/>
      <c r="AG3147"/>
      <c r="AH3147"/>
      <c r="AI3147"/>
      <c r="AJ3147"/>
      <c r="AK3147"/>
      <c r="AL3147"/>
      <c r="AM3147"/>
      <c r="AN3147"/>
      <c r="AO3147"/>
    </row>
    <row r="3148" spans="1:41" ht="15">
      <c r="A3148"/>
      <c r="B3148"/>
      <c r="C3148" s="137"/>
      <c r="D3148" s="30"/>
      <c r="E3148" s="30"/>
      <c r="F3148" s="10"/>
      <c r="G3148" s="10"/>
      <c r="H3148" s="15"/>
      <c r="I3148" s="15"/>
      <c r="J3148" s="15"/>
      <c r="K3148" s="15"/>
      <c r="L3148" s="15"/>
      <c r="M3148" s="15"/>
      <c r="N3148" s="15"/>
      <c r="O3148" s="15"/>
      <c r="P3148" s="15"/>
      <c r="Q3148" s="71"/>
      <c r="R3148" s="84"/>
      <c r="S3148" s="10"/>
      <c r="T3148" s="10"/>
      <c r="U3148" s="10"/>
      <c r="V3148" s="10"/>
      <c r="W3148" s="138"/>
      <c r="Y3148"/>
      <c r="Z3148"/>
      <c r="AA3148"/>
      <c r="AB3148"/>
      <c r="AC3148"/>
      <c r="AD3148"/>
      <c r="AE3148"/>
      <c r="AF3148"/>
      <c r="AG3148"/>
      <c r="AH3148"/>
      <c r="AI3148"/>
      <c r="AJ3148"/>
      <c r="AK3148"/>
      <c r="AL3148"/>
      <c r="AM3148"/>
      <c r="AN3148"/>
      <c r="AO3148"/>
    </row>
    <row r="3149" spans="1:41" ht="15">
      <c r="A3149"/>
      <c r="B3149"/>
      <c r="C3149" s="137"/>
      <c r="D3149" s="30"/>
      <c r="E3149" s="30"/>
      <c r="F3149" s="10"/>
      <c r="G3149" s="10"/>
      <c r="H3149" s="15"/>
      <c r="I3149" s="15"/>
      <c r="J3149" s="15"/>
      <c r="K3149" s="15"/>
      <c r="L3149" s="15"/>
      <c r="M3149" s="15"/>
      <c r="N3149" s="15"/>
      <c r="O3149" s="15"/>
      <c r="P3149" s="15"/>
      <c r="Q3149" s="71"/>
      <c r="R3149" s="84"/>
      <c r="S3149" s="10"/>
      <c r="T3149" s="10"/>
      <c r="U3149" s="10"/>
      <c r="V3149" s="10"/>
      <c r="W3149" s="138"/>
      <c r="Y3149"/>
      <c r="Z3149"/>
      <c r="AA3149"/>
      <c r="AB3149"/>
      <c r="AC3149"/>
      <c r="AD3149"/>
      <c r="AE3149"/>
      <c r="AF3149"/>
      <c r="AG3149"/>
      <c r="AH3149"/>
      <c r="AI3149"/>
      <c r="AJ3149"/>
      <c r="AK3149"/>
      <c r="AL3149"/>
      <c r="AM3149"/>
      <c r="AN3149"/>
      <c r="AO3149"/>
    </row>
    <row r="3150" spans="1:41" ht="15">
      <c r="A3150"/>
      <c r="B3150"/>
      <c r="C3150" s="137"/>
      <c r="D3150" s="30"/>
      <c r="E3150" s="30"/>
      <c r="F3150" s="10"/>
      <c r="G3150" s="10"/>
      <c r="H3150" s="15"/>
      <c r="I3150" s="15"/>
      <c r="J3150" s="15"/>
      <c r="K3150" s="15"/>
      <c r="L3150" s="15"/>
      <c r="M3150" s="15"/>
      <c r="N3150" s="15"/>
      <c r="O3150" s="15"/>
      <c r="P3150" s="15"/>
      <c r="Q3150" s="71"/>
      <c r="R3150" s="84"/>
      <c r="S3150" s="10"/>
      <c r="T3150" s="10"/>
      <c r="U3150" s="10"/>
      <c r="V3150" s="10"/>
      <c r="W3150" s="138"/>
      <c r="Y3150"/>
      <c r="Z3150"/>
      <c r="AA3150"/>
      <c r="AB3150"/>
      <c r="AC3150"/>
      <c r="AD3150"/>
      <c r="AE3150"/>
      <c r="AF3150"/>
      <c r="AG3150"/>
      <c r="AH3150"/>
      <c r="AI3150"/>
      <c r="AJ3150"/>
      <c r="AK3150"/>
      <c r="AL3150"/>
      <c r="AM3150"/>
      <c r="AN3150"/>
      <c r="AO3150"/>
    </row>
    <row r="3151" spans="1:41" ht="15">
      <c r="A3151"/>
      <c r="B3151"/>
      <c r="C3151" s="137"/>
      <c r="D3151" s="30"/>
      <c r="E3151" s="30"/>
      <c r="F3151" s="10"/>
      <c r="G3151" s="10"/>
      <c r="H3151" s="15"/>
      <c r="I3151" s="15"/>
      <c r="J3151" s="15"/>
      <c r="K3151" s="15"/>
      <c r="L3151" s="15"/>
      <c r="M3151" s="15"/>
      <c r="N3151" s="15"/>
      <c r="O3151" s="15"/>
      <c r="P3151" s="15"/>
      <c r="Q3151" s="71"/>
      <c r="R3151" s="84"/>
      <c r="S3151" s="10"/>
      <c r="T3151" s="10"/>
      <c r="U3151" s="10"/>
      <c r="V3151" s="10"/>
      <c r="W3151" s="138"/>
      <c r="Y3151"/>
      <c r="Z3151"/>
      <c r="AA3151"/>
      <c r="AB3151"/>
      <c r="AC3151"/>
      <c r="AD3151"/>
      <c r="AE3151"/>
      <c r="AF3151"/>
      <c r="AG3151"/>
      <c r="AH3151"/>
      <c r="AI3151"/>
      <c r="AJ3151"/>
      <c r="AK3151"/>
      <c r="AL3151"/>
      <c r="AM3151"/>
      <c r="AN3151"/>
      <c r="AO3151"/>
    </row>
    <row r="3152" spans="1:41" ht="15">
      <c r="A3152"/>
      <c r="B3152"/>
      <c r="C3152" s="137"/>
      <c r="D3152" s="30"/>
      <c r="E3152" s="30"/>
      <c r="F3152" s="10"/>
      <c r="G3152" s="10"/>
      <c r="H3152" s="15"/>
      <c r="I3152" s="15"/>
      <c r="J3152" s="15"/>
      <c r="K3152" s="15"/>
      <c r="L3152" s="15"/>
      <c r="M3152" s="15"/>
      <c r="N3152" s="15"/>
      <c r="O3152" s="15"/>
      <c r="P3152" s="15"/>
      <c r="Q3152" s="71"/>
      <c r="R3152" s="84"/>
      <c r="S3152" s="10"/>
      <c r="T3152" s="10"/>
      <c r="U3152" s="10"/>
      <c r="V3152" s="10"/>
      <c r="W3152" s="138"/>
      <c r="Y3152"/>
      <c r="Z3152"/>
      <c r="AA3152"/>
      <c r="AB3152"/>
      <c r="AC3152"/>
      <c r="AD3152"/>
      <c r="AE3152"/>
      <c r="AF3152"/>
      <c r="AG3152"/>
      <c r="AH3152"/>
      <c r="AI3152"/>
      <c r="AJ3152"/>
      <c r="AK3152"/>
      <c r="AL3152"/>
      <c r="AM3152"/>
      <c r="AN3152"/>
      <c r="AO3152"/>
    </row>
    <row r="3153" spans="1:41" ht="15">
      <c r="A3153"/>
      <c r="B3153"/>
      <c r="C3153" s="137"/>
      <c r="D3153" s="30"/>
      <c r="E3153" s="30"/>
      <c r="F3153" s="10"/>
      <c r="G3153" s="10"/>
      <c r="H3153" s="15"/>
      <c r="I3153" s="15"/>
      <c r="J3153" s="15"/>
      <c r="K3153" s="15"/>
      <c r="L3153" s="15"/>
      <c r="M3153" s="15"/>
      <c r="N3153" s="15"/>
      <c r="O3153" s="15"/>
      <c r="P3153" s="15"/>
      <c r="Q3153" s="71"/>
      <c r="R3153" s="84"/>
      <c r="S3153" s="10"/>
      <c r="T3153" s="10"/>
      <c r="U3153" s="10"/>
      <c r="V3153" s="10"/>
      <c r="W3153" s="138"/>
      <c r="Y3153"/>
      <c r="Z3153"/>
      <c r="AA3153"/>
      <c r="AB3153"/>
      <c r="AC3153"/>
      <c r="AD3153"/>
      <c r="AE3153"/>
      <c r="AF3153"/>
      <c r="AG3153"/>
      <c r="AH3153"/>
      <c r="AI3153"/>
      <c r="AJ3153"/>
      <c r="AK3153"/>
      <c r="AL3153"/>
      <c r="AM3153"/>
      <c r="AN3153"/>
      <c r="AO3153"/>
    </row>
    <row r="3154" spans="1:41" ht="15">
      <c r="A3154"/>
      <c r="B3154"/>
      <c r="C3154" s="137"/>
      <c r="D3154" s="30"/>
      <c r="E3154" s="30"/>
      <c r="F3154" s="10"/>
      <c r="G3154" s="10"/>
      <c r="H3154" s="15"/>
      <c r="I3154" s="15"/>
      <c r="J3154" s="15"/>
      <c r="K3154" s="15"/>
      <c r="L3154" s="15"/>
      <c r="M3154" s="15"/>
      <c r="N3154" s="15"/>
      <c r="O3154" s="15"/>
      <c r="P3154" s="15"/>
      <c r="Q3154" s="71"/>
      <c r="R3154" s="84"/>
      <c r="S3154" s="10"/>
      <c r="T3154" s="10"/>
      <c r="U3154" s="10"/>
      <c r="V3154" s="10"/>
      <c r="W3154" s="138"/>
      <c r="Y3154"/>
      <c r="Z3154"/>
      <c r="AA3154"/>
      <c r="AB3154"/>
      <c r="AC3154"/>
      <c r="AD3154"/>
      <c r="AE3154"/>
      <c r="AF3154"/>
      <c r="AG3154"/>
      <c r="AH3154"/>
      <c r="AI3154"/>
      <c r="AJ3154"/>
      <c r="AK3154"/>
      <c r="AL3154"/>
      <c r="AM3154"/>
      <c r="AN3154"/>
      <c r="AO3154"/>
    </row>
    <row r="3155" spans="1:41" ht="15">
      <c r="A3155"/>
      <c r="B3155"/>
      <c r="C3155" s="137"/>
      <c r="D3155" s="30"/>
      <c r="E3155" s="30"/>
      <c r="F3155" s="10"/>
      <c r="G3155" s="10"/>
      <c r="H3155" s="15"/>
      <c r="I3155" s="15"/>
      <c r="J3155" s="15"/>
      <c r="K3155" s="15"/>
      <c r="L3155" s="15"/>
      <c r="M3155" s="15"/>
      <c r="N3155" s="15"/>
      <c r="O3155" s="15"/>
      <c r="P3155" s="15"/>
      <c r="Q3155" s="71"/>
      <c r="R3155" s="84"/>
      <c r="S3155" s="10"/>
      <c r="T3155" s="10"/>
      <c r="U3155" s="10"/>
      <c r="V3155" s="10"/>
      <c r="W3155" s="138"/>
      <c r="Y3155"/>
      <c r="Z3155"/>
      <c r="AA3155"/>
      <c r="AB3155"/>
      <c r="AC3155"/>
      <c r="AD3155"/>
      <c r="AE3155"/>
      <c r="AF3155"/>
      <c r="AG3155"/>
      <c r="AH3155"/>
      <c r="AI3155"/>
      <c r="AJ3155"/>
      <c r="AK3155"/>
      <c r="AL3155"/>
      <c r="AM3155"/>
      <c r="AN3155"/>
      <c r="AO3155"/>
    </row>
    <row r="3156" spans="1:41" ht="15">
      <c r="A3156"/>
      <c r="B3156"/>
      <c r="C3156" s="137"/>
      <c r="D3156" s="30"/>
      <c r="E3156" s="30"/>
      <c r="F3156" s="10"/>
      <c r="G3156" s="10"/>
      <c r="H3156" s="15"/>
      <c r="I3156" s="15"/>
      <c r="J3156" s="15"/>
      <c r="K3156" s="15"/>
      <c r="L3156" s="15"/>
      <c r="M3156" s="15"/>
      <c r="N3156" s="15"/>
      <c r="O3156" s="15"/>
      <c r="P3156" s="15"/>
      <c r="Q3156" s="71"/>
      <c r="R3156" s="84"/>
      <c r="S3156" s="10"/>
      <c r="T3156" s="10"/>
      <c r="U3156" s="10"/>
      <c r="V3156" s="10"/>
      <c r="W3156" s="138"/>
      <c r="Y3156"/>
      <c r="Z3156"/>
      <c r="AA3156"/>
      <c r="AB3156"/>
      <c r="AC3156"/>
      <c r="AD3156"/>
      <c r="AE3156"/>
      <c r="AF3156"/>
      <c r="AG3156"/>
      <c r="AH3156"/>
      <c r="AI3156"/>
      <c r="AJ3156"/>
      <c r="AK3156"/>
      <c r="AL3156"/>
      <c r="AM3156"/>
      <c r="AN3156"/>
      <c r="AO3156"/>
    </row>
    <row r="3157" spans="1:41" ht="15">
      <c r="A3157"/>
      <c r="B3157"/>
      <c r="C3157" s="137"/>
      <c r="D3157" s="30"/>
      <c r="E3157" s="30"/>
      <c r="F3157" s="10"/>
      <c r="G3157" s="10"/>
      <c r="H3157" s="15"/>
      <c r="I3157" s="15"/>
      <c r="J3157" s="15"/>
      <c r="K3157" s="15"/>
      <c r="L3157" s="15"/>
      <c r="M3157" s="15"/>
      <c r="N3157" s="15"/>
      <c r="O3157" s="15"/>
      <c r="P3157" s="15"/>
      <c r="Q3157" s="71"/>
      <c r="R3157" s="84"/>
      <c r="S3157" s="10"/>
      <c r="T3157" s="10"/>
      <c r="U3157" s="10"/>
      <c r="V3157" s="10"/>
      <c r="W3157" s="138"/>
      <c r="Y3157"/>
      <c r="Z3157"/>
      <c r="AA3157"/>
      <c r="AB3157"/>
      <c r="AC3157"/>
      <c r="AD3157"/>
      <c r="AE3157"/>
      <c r="AF3157"/>
      <c r="AG3157"/>
      <c r="AH3157"/>
      <c r="AI3157"/>
      <c r="AJ3157"/>
      <c r="AK3157"/>
      <c r="AL3157"/>
      <c r="AM3157"/>
      <c r="AN3157"/>
      <c r="AO3157"/>
    </row>
    <row r="3158" spans="1:41" ht="15">
      <c r="A3158"/>
      <c r="B3158"/>
      <c r="C3158" s="137"/>
      <c r="D3158" s="30"/>
      <c r="E3158" s="30"/>
      <c r="F3158" s="10"/>
      <c r="G3158" s="10"/>
      <c r="H3158" s="15"/>
      <c r="I3158" s="15"/>
      <c r="J3158" s="15"/>
      <c r="K3158" s="15"/>
      <c r="L3158" s="15"/>
      <c r="M3158" s="15"/>
      <c r="N3158" s="15"/>
      <c r="O3158" s="15"/>
      <c r="P3158" s="15"/>
      <c r="Q3158" s="71"/>
      <c r="R3158" s="84"/>
      <c r="S3158" s="10"/>
      <c r="T3158" s="10"/>
      <c r="U3158" s="10"/>
      <c r="V3158" s="10"/>
      <c r="W3158" s="138"/>
      <c r="Y3158"/>
      <c r="Z3158"/>
      <c r="AA3158"/>
      <c r="AB3158"/>
      <c r="AC3158"/>
      <c r="AD3158"/>
      <c r="AE3158"/>
      <c r="AF3158"/>
      <c r="AG3158"/>
      <c r="AH3158"/>
      <c r="AI3158"/>
      <c r="AJ3158"/>
      <c r="AK3158"/>
      <c r="AL3158"/>
      <c r="AM3158"/>
      <c r="AN3158"/>
      <c r="AO3158"/>
    </row>
    <row r="3159" spans="1:41" ht="15">
      <c r="A3159"/>
      <c r="B3159"/>
      <c r="C3159" s="137"/>
      <c r="D3159" s="30"/>
      <c r="E3159" s="30"/>
      <c r="F3159" s="10"/>
      <c r="G3159" s="10"/>
      <c r="H3159" s="15"/>
      <c r="I3159" s="15"/>
      <c r="J3159" s="15"/>
      <c r="K3159" s="15"/>
      <c r="L3159" s="15"/>
      <c r="M3159" s="15"/>
      <c r="N3159" s="15"/>
      <c r="O3159" s="15"/>
      <c r="P3159" s="15"/>
      <c r="Q3159" s="71"/>
      <c r="R3159" s="84"/>
      <c r="S3159" s="10"/>
      <c r="T3159" s="10"/>
      <c r="U3159" s="10"/>
      <c r="V3159" s="10"/>
      <c r="W3159" s="138"/>
      <c r="Y3159"/>
      <c r="Z3159"/>
      <c r="AA3159"/>
      <c r="AB3159"/>
      <c r="AC3159"/>
      <c r="AD3159"/>
      <c r="AE3159"/>
      <c r="AF3159"/>
      <c r="AG3159"/>
      <c r="AH3159"/>
      <c r="AI3159"/>
      <c r="AJ3159"/>
      <c r="AK3159"/>
      <c r="AL3159"/>
      <c r="AM3159"/>
      <c r="AN3159"/>
      <c r="AO3159"/>
    </row>
    <row r="3160" spans="1:41" ht="15">
      <c r="A3160"/>
      <c r="B3160"/>
      <c r="C3160" s="137"/>
      <c r="D3160" s="30"/>
      <c r="E3160" s="30"/>
      <c r="F3160" s="10"/>
      <c r="G3160" s="10"/>
      <c r="H3160" s="15"/>
      <c r="I3160" s="15"/>
      <c r="J3160" s="15"/>
      <c r="K3160" s="15"/>
      <c r="L3160" s="15"/>
      <c r="M3160" s="15"/>
      <c r="N3160" s="15"/>
      <c r="O3160" s="15"/>
      <c r="P3160" s="15"/>
      <c r="Q3160" s="71"/>
      <c r="R3160" s="84"/>
      <c r="S3160" s="10"/>
      <c r="T3160" s="10"/>
      <c r="U3160" s="10"/>
      <c r="V3160" s="10"/>
      <c r="W3160" s="138"/>
      <c r="Y3160"/>
      <c r="Z3160"/>
      <c r="AA3160"/>
      <c r="AB3160"/>
      <c r="AC3160"/>
      <c r="AD3160"/>
      <c r="AE3160"/>
      <c r="AF3160"/>
      <c r="AG3160"/>
      <c r="AH3160"/>
      <c r="AI3160"/>
      <c r="AJ3160"/>
      <c r="AK3160"/>
      <c r="AL3160"/>
      <c r="AM3160"/>
      <c r="AN3160"/>
      <c r="AO3160"/>
    </row>
    <row r="3161" spans="1:41" ht="15">
      <c r="A3161"/>
      <c r="B3161"/>
      <c r="C3161" s="137"/>
      <c r="D3161" s="30"/>
      <c r="E3161" s="30"/>
      <c r="F3161" s="10"/>
      <c r="G3161" s="10"/>
      <c r="H3161" s="15"/>
      <c r="I3161" s="15"/>
      <c r="J3161" s="15"/>
      <c r="K3161" s="15"/>
      <c r="L3161" s="15"/>
      <c r="M3161" s="15"/>
      <c r="N3161" s="15"/>
      <c r="O3161" s="15"/>
      <c r="P3161" s="15"/>
      <c r="Q3161" s="71"/>
      <c r="R3161" s="84"/>
      <c r="S3161" s="10"/>
      <c r="T3161" s="10"/>
      <c r="U3161" s="10"/>
      <c r="V3161" s="10"/>
      <c r="W3161" s="138"/>
      <c r="Y3161"/>
      <c r="Z3161"/>
      <c r="AA3161"/>
      <c r="AB3161"/>
      <c r="AC3161"/>
      <c r="AD3161"/>
      <c r="AE3161"/>
      <c r="AF3161"/>
      <c r="AG3161"/>
      <c r="AH3161"/>
      <c r="AI3161"/>
      <c r="AJ3161"/>
      <c r="AK3161"/>
      <c r="AL3161"/>
      <c r="AM3161"/>
      <c r="AN3161"/>
      <c r="AO3161"/>
    </row>
    <row r="3162" spans="1:41" ht="15">
      <c r="A3162"/>
      <c r="B3162"/>
      <c r="C3162" s="137"/>
      <c r="D3162" s="30"/>
      <c r="E3162" s="30"/>
      <c r="F3162" s="10"/>
      <c r="G3162" s="10"/>
      <c r="H3162" s="15"/>
      <c r="I3162" s="15"/>
      <c r="J3162" s="15"/>
      <c r="K3162" s="15"/>
      <c r="L3162" s="15"/>
      <c r="M3162" s="15"/>
      <c r="N3162" s="15"/>
      <c r="O3162" s="15"/>
      <c r="P3162" s="15"/>
      <c r="Q3162" s="71"/>
      <c r="R3162" s="84"/>
      <c r="S3162" s="10"/>
      <c r="T3162" s="10"/>
      <c r="U3162" s="10"/>
      <c r="V3162" s="10"/>
      <c r="W3162" s="138"/>
      <c r="Y3162"/>
      <c r="Z3162"/>
      <c r="AA3162"/>
      <c r="AB3162"/>
      <c r="AC3162"/>
      <c r="AD3162"/>
      <c r="AE3162"/>
      <c r="AF3162"/>
      <c r="AG3162"/>
      <c r="AH3162"/>
      <c r="AI3162"/>
      <c r="AJ3162"/>
      <c r="AK3162"/>
      <c r="AL3162"/>
      <c r="AM3162"/>
      <c r="AN3162"/>
      <c r="AO3162"/>
    </row>
    <row r="3163" spans="1:41" ht="15">
      <c r="A3163"/>
      <c r="B3163"/>
      <c r="C3163" s="137"/>
      <c r="D3163" s="30"/>
      <c r="E3163" s="30"/>
      <c r="F3163" s="10"/>
      <c r="G3163" s="10"/>
      <c r="H3163" s="15"/>
      <c r="I3163" s="15"/>
      <c r="J3163" s="15"/>
      <c r="K3163" s="15"/>
      <c r="L3163" s="15"/>
      <c r="M3163" s="15"/>
      <c r="N3163" s="15"/>
      <c r="O3163" s="15"/>
      <c r="P3163" s="15"/>
      <c r="Q3163" s="71"/>
      <c r="R3163" s="84"/>
      <c r="S3163" s="10"/>
      <c r="T3163" s="10"/>
      <c r="U3163" s="10"/>
      <c r="V3163" s="10"/>
      <c r="W3163" s="138"/>
      <c r="Y3163"/>
      <c r="Z3163"/>
      <c r="AA3163"/>
      <c r="AB3163"/>
      <c r="AC3163"/>
      <c r="AD3163"/>
      <c r="AE3163"/>
      <c r="AF3163"/>
      <c r="AG3163"/>
      <c r="AH3163"/>
      <c r="AI3163"/>
      <c r="AJ3163"/>
      <c r="AK3163"/>
      <c r="AL3163"/>
      <c r="AM3163"/>
      <c r="AN3163"/>
      <c r="AO3163"/>
    </row>
    <row r="3164" spans="1:41" ht="15">
      <c r="A3164"/>
      <c r="B3164"/>
      <c r="C3164" s="137"/>
      <c r="D3164" s="30"/>
      <c r="E3164" s="30"/>
      <c r="F3164" s="10"/>
      <c r="G3164" s="10"/>
      <c r="H3164" s="15"/>
      <c r="I3164" s="15"/>
      <c r="J3164" s="15"/>
      <c r="K3164" s="15"/>
      <c r="L3164" s="15"/>
      <c r="M3164" s="15"/>
      <c r="N3164" s="15"/>
      <c r="O3164" s="15"/>
      <c r="P3164" s="15"/>
      <c r="Q3164" s="71"/>
      <c r="R3164" s="84"/>
      <c r="S3164" s="10"/>
      <c r="T3164" s="10"/>
      <c r="U3164" s="10"/>
      <c r="V3164" s="10"/>
      <c r="W3164" s="138"/>
      <c r="Y3164"/>
      <c r="Z3164"/>
      <c r="AA3164"/>
      <c r="AB3164"/>
      <c r="AC3164"/>
      <c r="AD3164"/>
      <c r="AE3164"/>
      <c r="AF3164"/>
      <c r="AG3164"/>
      <c r="AH3164"/>
      <c r="AI3164"/>
      <c r="AJ3164"/>
      <c r="AK3164"/>
      <c r="AL3164"/>
      <c r="AM3164"/>
      <c r="AN3164"/>
      <c r="AO3164"/>
    </row>
    <row r="3165" spans="1:41" ht="15">
      <c r="A3165"/>
      <c r="B3165"/>
      <c r="C3165" s="137"/>
      <c r="D3165" s="30"/>
      <c r="E3165" s="30"/>
      <c r="F3165" s="10"/>
      <c r="G3165" s="10"/>
      <c r="H3165" s="15"/>
      <c r="I3165" s="15"/>
      <c r="J3165" s="15"/>
      <c r="K3165" s="15"/>
      <c r="L3165" s="15"/>
      <c r="M3165" s="15"/>
      <c r="N3165" s="15"/>
      <c r="O3165" s="15"/>
      <c r="P3165" s="15"/>
      <c r="Q3165" s="71"/>
      <c r="R3165" s="84"/>
      <c r="S3165" s="10"/>
      <c r="T3165" s="10"/>
      <c r="U3165" s="10"/>
      <c r="V3165" s="10"/>
      <c r="W3165" s="138"/>
      <c r="Y3165"/>
      <c r="Z3165"/>
      <c r="AA3165"/>
      <c r="AB3165"/>
      <c r="AC3165"/>
      <c r="AD3165"/>
      <c r="AE3165"/>
      <c r="AF3165"/>
      <c r="AG3165"/>
      <c r="AH3165"/>
      <c r="AI3165"/>
      <c r="AJ3165"/>
      <c r="AK3165"/>
      <c r="AL3165"/>
      <c r="AM3165"/>
      <c r="AN3165"/>
      <c r="AO3165"/>
    </row>
    <row r="3166" spans="1:41" ht="15">
      <c r="A3166"/>
      <c r="B3166"/>
      <c r="C3166" s="137"/>
      <c r="D3166" s="30"/>
      <c r="E3166" s="30"/>
      <c r="F3166" s="10"/>
      <c r="G3166" s="10"/>
      <c r="H3166" s="15"/>
      <c r="I3166" s="15"/>
      <c r="J3166" s="15"/>
      <c r="K3166" s="15"/>
      <c r="L3166" s="15"/>
      <c r="M3166" s="15"/>
      <c r="N3166" s="15"/>
      <c r="O3166" s="15"/>
      <c r="P3166" s="15"/>
      <c r="Q3166" s="71"/>
      <c r="R3166" s="84"/>
      <c r="S3166" s="10"/>
      <c r="T3166" s="10"/>
      <c r="U3166" s="10"/>
      <c r="V3166" s="10"/>
      <c r="W3166" s="138"/>
      <c r="Y3166"/>
      <c r="Z3166"/>
      <c r="AA3166"/>
      <c r="AB3166"/>
      <c r="AC3166"/>
      <c r="AD3166"/>
      <c r="AE3166"/>
      <c r="AF3166"/>
      <c r="AG3166"/>
      <c r="AH3166"/>
      <c r="AI3166"/>
      <c r="AJ3166"/>
      <c r="AK3166"/>
      <c r="AL3166"/>
      <c r="AM3166"/>
      <c r="AN3166"/>
      <c r="AO3166"/>
    </row>
    <row r="3167" spans="1:41" ht="15">
      <c r="A3167"/>
      <c r="B3167"/>
      <c r="C3167" s="137"/>
      <c r="D3167" s="30"/>
      <c r="E3167" s="30"/>
      <c r="F3167" s="10"/>
      <c r="G3167" s="10"/>
      <c r="H3167" s="15"/>
      <c r="I3167" s="15"/>
      <c r="J3167" s="15"/>
      <c r="K3167" s="15"/>
      <c r="L3167" s="15"/>
      <c r="M3167" s="15"/>
      <c r="N3167" s="15"/>
      <c r="O3167" s="15"/>
      <c r="P3167" s="15"/>
      <c r="Q3167" s="71"/>
      <c r="R3167" s="84"/>
      <c r="S3167" s="10"/>
      <c r="T3167" s="10"/>
      <c r="U3167" s="10"/>
      <c r="V3167" s="10"/>
      <c r="W3167" s="138"/>
      <c r="Y3167"/>
      <c r="Z3167"/>
      <c r="AA3167"/>
      <c r="AB3167"/>
      <c r="AC3167"/>
      <c r="AD3167"/>
      <c r="AE3167"/>
      <c r="AF3167"/>
      <c r="AG3167"/>
      <c r="AH3167"/>
      <c r="AI3167"/>
      <c r="AJ3167"/>
      <c r="AK3167"/>
      <c r="AL3167"/>
      <c r="AM3167"/>
      <c r="AN3167"/>
      <c r="AO3167"/>
    </row>
    <row r="3168" spans="1:41" ht="15">
      <c r="A3168"/>
      <c r="B3168"/>
      <c r="C3168" s="137"/>
      <c r="D3168" s="30"/>
      <c r="E3168" s="30"/>
      <c r="F3168" s="10"/>
      <c r="G3168" s="10"/>
      <c r="H3168" s="15"/>
      <c r="I3168" s="15"/>
      <c r="J3168" s="15"/>
      <c r="K3168" s="15"/>
      <c r="L3168" s="15"/>
      <c r="M3168" s="15"/>
      <c r="N3168" s="15"/>
      <c r="O3168" s="15"/>
      <c r="P3168" s="15"/>
      <c r="Q3168" s="71"/>
      <c r="R3168" s="84"/>
      <c r="S3168" s="10"/>
      <c r="T3168" s="10"/>
      <c r="U3168" s="10"/>
      <c r="V3168" s="10"/>
      <c r="W3168" s="138"/>
      <c r="Y3168"/>
      <c r="Z3168"/>
      <c r="AA3168"/>
      <c r="AB3168"/>
      <c r="AC3168"/>
      <c r="AD3168"/>
      <c r="AE3168"/>
      <c r="AF3168"/>
      <c r="AG3168"/>
      <c r="AH3168"/>
      <c r="AI3168"/>
      <c r="AJ3168"/>
      <c r="AK3168"/>
      <c r="AL3168"/>
      <c r="AM3168"/>
      <c r="AN3168"/>
      <c r="AO3168"/>
    </row>
    <row r="3169" spans="1:41" ht="15">
      <c r="A3169"/>
      <c r="B3169"/>
      <c r="C3169" s="137"/>
      <c r="D3169" s="30"/>
      <c r="E3169" s="30"/>
      <c r="F3169" s="10"/>
      <c r="G3169" s="10"/>
      <c r="H3169" s="15"/>
      <c r="I3169" s="15"/>
      <c r="J3169" s="15"/>
      <c r="K3169" s="15"/>
      <c r="L3169" s="15"/>
      <c r="M3169" s="15"/>
      <c r="N3169" s="15"/>
      <c r="O3169" s="15"/>
      <c r="P3169" s="15"/>
      <c r="Q3169" s="71"/>
      <c r="R3169" s="84"/>
      <c r="S3169" s="10"/>
      <c r="T3169" s="10"/>
      <c r="U3169" s="10"/>
      <c r="V3169" s="10"/>
      <c r="W3169" s="138"/>
      <c r="Y3169"/>
      <c r="Z3169"/>
      <c r="AA3169"/>
      <c r="AB3169"/>
      <c r="AC3169"/>
      <c r="AD3169"/>
      <c r="AE3169"/>
      <c r="AF3169"/>
      <c r="AG3169"/>
      <c r="AH3169"/>
      <c r="AI3169"/>
      <c r="AJ3169"/>
      <c r="AK3169"/>
      <c r="AL3169"/>
      <c r="AM3169"/>
      <c r="AN3169"/>
      <c r="AO3169"/>
    </row>
    <row r="3170" spans="1:41" ht="15">
      <c r="A3170"/>
      <c r="B3170"/>
      <c r="C3170" s="137"/>
      <c r="D3170" s="30"/>
      <c r="E3170" s="30"/>
      <c r="F3170" s="10"/>
      <c r="G3170" s="10"/>
      <c r="H3170" s="15"/>
      <c r="I3170" s="15"/>
      <c r="J3170" s="15"/>
      <c r="K3170" s="15"/>
      <c r="L3170" s="15"/>
      <c r="M3170" s="15"/>
      <c r="N3170" s="15"/>
      <c r="O3170" s="15"/>
      <c r="P3170" s="15"/>
      <c r="Q3170" s="71"/>
      <c r="R3170" s="84"/>
      <c r="S3170" s="10"/>
      <c r="T3170" s="10"/>
      <c r="U3170" s="10"/>
      <c r="V3170" s="10"/>
      <c r="W3170" s="138"/>
      <c r="Y3170"/>
      <c r="Z3170"/>
      <c r="AA3170"/>
      <c r="AB3170"/>
      <c r="AC3170"/>
      <c r="AD3170"/>
      <c r="AE3170"/>
      <c r="AF3170"/>
      <c r="AG3170"/>
      <c r="AH3170"/>
      <c r="AI3170"/>
      <c r="AJ3170"/>
      <c r="AK3170"/>
      <c r="AL3170"/>
      <c r="AM3170"/>
      <c r="AN3170"/>
      <c r="AO3170"/>
    </row>
    <row r="3171" spans="1:41" ht="15">
      <c r="A3171"/>
      <c r="B3171"/>
      <c r="C3171" s="137"/>
      <c r="D3171" s="30"/>
      <c r="E3171" s="30"/>
      <c r="F3171" s="10"/>
      <c r="G3171" s="10"/>
      <c r="H3171" s="15"/>
      <c r="I3171" s="15"/>
      <c r="J3171" s="15"/>
      <c r="K3171" s="15"/>
      <c r="L3171" s="15"/>
      <c r="M3171" s="15"/>
      <c r="N3171" s="15"/>
      <c r="O3171" s="15"/>
      <c r="P3171" s="15"/>
      <c r="Q3171" s="71"/>
      <c r="R3171" s="84"/>
      <c r="S3171" s="10"/>
      <c r="T3171" s="10"/>
      <c r="U3171" s="10"/>
      <c r="V3171" s="10"/>
      <c r="W3171" s="138"/>
      <c r="Y3171"/>
      <c r="Z3171"/>
      <c r="AA3171"/>
      <c r="AB3171"/>
      <c r="AC3171"/>
      <c r="AD3171"/>
      <c r="AE3171"/>
      <c r="AF3171"/>
      <c r="AG3171"/>
      <c r="AH3171"/>
      <c r="AI3171"/>
      <c r="AJ3171"/>
      <c r="AK3171"/>
      <c r="AL3171"/>
      <c r="AM3171"/>
      <c r="AN3171"/>
      <c r="AO3171"/>
    </row>
    <row r="3172" spans="1:41" ht="15">
      <c r="A3172"/>
      <c r="B3172"/>
      <c r="C3172" s="137"/>
      <c r="D3172" s="30"/>
      <c r="E3172" s="30"/>
      <c r="F3172" s="10"/>
      <c r="G3172" s="10"/>
      <c r="H3172" s="15"/>
      <c r="I3172" s="15"/>
      <c r="J3172" s="15"/>
      <c r="K3172" s="15"/>
      <c r="L3172" s="15"/>
      <c r="M3172" s="15"/>
      <c r="N3172" s="15"/>
      <c r="O3172" s="15"/>
      <c r="P3172" s="15"/>
      <c r="Q3172" s="71"/>
      <c r="R3172" s="84"/>
      <c r="S3172" s="10"/>
      <c r="T3172" s="10"/>
      <c r="U3172" s="10"/>
      <c r="V3172" s="10"/>
      <c r="W3172" s="138"/>
      <c r="Y3172"/>
      <c r="Z3172"/>
      <c r="AA3172"/>
      <c r="AB3172"/>
      <c r="AC3172"/>
      <c r="AD3172"/>
      <c r="AE3172"/>
      <c r="AF3172"/>
      <c r="AG3172"/>
      <c r="AH3172"/>
      <c r="AI3172"/>
      <c r="AJ3172"/>
      <c r="AK3172"/>
      <c r="AL3172"/>
      <c r="AM3172"/>
      <c r="AN3172"/>
      <c r="AO3172"/>
    </row>
    <row r="3173" spans="1:41" ht="15">
      <c r="A3173"/>
      <c r="B3173"/>
      <c r="C3173" s="137"/>
      <c r="D3173" s="30"/>
      <c r="E3173" s="30"/>
      <c r="F3173" s="10"/>
      <c r="G3173" s="10"/>
      <c r="H3173" s="15"/>
      <c r="I3173" s="15"/>
      <c r="J3173" s="15"/>
      <c r="K3173" s="15"/>
      <c r="L3173" s="15"/>
      <c r="M3173" s="15"/>
      <c r="N3173" s="15"/>
      <c r="O3173" s="15"/>
      <c r="P3173" s="15"/>
      <c r="Q3173" s="71"/>
      <c r="R3173" s="84"/>
      <c r="S3173" s="10"/>
      <c r="T3173" s="10"/>
      <c r="U3173" s="10"/>
      <c r="V3173" s="10"/>
      <c r="W3173" s="138"/>
      <c r="Y3173"/>
      <c r="Z3173"/>
      <c r="AA3173"/>
      <c r="AB3173"/>
      <c r="AC3173"/>
      <c r="AD3173"/>
      <c r="AE3173"/>
      <c r="AF3173"/>
      <c r="AG3173"/>
      <c r="AH3173"/>
      <c r="AI3173"/>
      <c r="AJ3173"/>
      <c r="AK3173"/>
      <c r="AL3173"/>
      <c r="AM3173"/>
      <c r="AN3173"/>
      <c r="AO3173"/>
    </row>
    <row r="3174" spans="1:41" ht="15">
      <c r="A3174"/>
      <c r="B3174"/>
      <c r="C3174" s="137"/>
      <c r="D3174" s="30"/>
      <c r="E3174" s="30"/>
      <c r="F3174" s="10"/>
      <c r="G3174" s="10"/>
      <c r="H3174" s="15"/>
      <c r="I3174" s="15"/>
      <c r="J3174" s="15"/>
      <c r="K3174" s="15"/>
      <c r="L3174" s="15"/>
      <c r="M3174" s="15"/>
      <c r="N3174" s="15"/>
      <c r="O3174" s="15"/>
      <c r="P3174" s="15"/>
      <c r="Q3174" s="71"/>
      <c r="R3174" s="84"/>
      <c r="S3174" s="10"/>
      <c r="T3174" s="10"/>
      <c r="U3174" s="10"/>
      <c r="V3174" s="10"/>
      <c r="W3174" s="138"/>
      <c r="Y3174"/>
      <c r="Z3174"/>
      <c r="AA3174"/>
      <c r="AB3174"/>
      <c r="AC3174"/>
      <c r="AD3174"/>
      <c r="AE3174"/>
      <c r="AF3174"/>
      <c r="AG3174"/>
      <c r="AH3174"/>
      <c r="AI3174"/>
      <c r="AJ3174"/>
      <c r="AK3174"/>
      <c r="AL3174"/>
      <c r="AM3174"/>
      <c r="AN3174"/>
      <c r="AO3174"/>
    </row>
    <row r="3175" spans="1:41" ht="15">
      <c r="A3175"/>
      <c r="B3175"/>
      <c r="C3175" s="137"/>
      <c r="D3175" s="30"/>
      <c r="E3175" s="30"/>
      <c r="F3175" s="10"/>
      <c r="G3175" s="10"/>
      <c r="H3175" s="15"/>
      <c r="I3175" s="15"/>
      <c r="J3175" s="15"/>
      <c r="K3175" s="15"/>
      <c r="L3175" s="15"/>
      <c r="M3175" s="15"/>
      <c r="N3175" s="15"/>
      <c r="O3175" s="15"/>
      <c r="P3175" s="15"/>
      <c r="Q3175" s="71"/>
      <c r="R3175" s="84"/>
      <c r="S3175" s="10"/>
      <c r="T3175" s="10"/>
      <c r="U3175" s="10"/>
      <c r="V3175" s="10"/>
      <c r="W3175" s="138"/>
      <c r="Y3175"/>
      <c r="Z3175"/>
      <c r="AA3175"/>
      <c r="AB3175"/>
      <c r="AC3175"/>
      <c r="AD3175"/>
      <c r="AE3175"/>
      <c r="AF3175"/>
      <c r="AG3175"/>
      <c r="AH3175"/>
      <c r="AI3175"/>
      <c r="AJ3175"/>
      <c r="AK3175"/>
      <c r="AL3175"/>
      <c r="AM3175"/>
      <c r="AN3175"/>
      <c r="AO3175"/>
    </row>
    <row r="3176" spans="1:41" ht="15">
      <c r="A3176"/>
      <c r="B3176"/>
      <c r="C3176" s="137"/>
      <c r="D3176" s="30"/>
      <c r="E3176" s="30"/>
      <c r="F3176" s="10"/>
      <c r="G3176" s="10"/>
      <c r="H3176" s="15"/>
      <c r="I3176" s="15"/>
      <c r="J3176" s="15"/>
      <c r="K3176" s="15"/>
      <c r="L3176" s="15"/>
      <c r="M3176" s="15"/>
      <c r="N3176" s="15"/>
      <c r="O3176" s="15"/>
      <c r="P3176" s="15"/>
      <c r="Q3176" s="71"/>
      <c r="R3176" s="84"/>
      <c r="S3176" s="10"/>
      <c r="T3176" s="10"/>
      <c r="U3176" s="10"/>
      <c r="V3176" s="10"/>
      <c r="W3176" s="138"/>
      <c r="Y3176"/>
      <c r="Z3176"/>
      <c r="AA3176"/>
      <c r="AB3176"/>
      <c r="AC3176"/>
      <c r="AD3176"/>
      <c r="AE3176"/>
      <c r="AF3176"/>
      <c r="AG3176"/>
      <c r="AH3176"/>
      <c r="AI3176"/>
      <c r="AJ3176"/>
      <c r="AK3176"/>
      <c r="AL3176"/>
      <c r="AM3176"/>
      <c r="AN3176"/>
      <c r="AO3176"/>
    </row>
    <row r="3177" spans="1:41" ht="15">
      <c r="A3177"/>
      <c r="B3177"/>
      <c r="C3177" s="137"/>
      <c r="D3177" s="30"/>
      <c r="E3177" s="30"/>
      <c r="F3177" s="10"/>
      <c r="G3177" s="10"/>
      <c r="H3177" s="15"/>
      <c r="I3177" s="15"/>
      <c r="J3177" s="15"/>
      <c r="K3177" s="15"/>
      <c r="L3177" s="15"/>
      <c r="M3177" s="15"/>
      <c r="N3177" s="15"/>
      <c r="O3177" s="15"/>
      <c r="P3177" s="15"/>
      <c r="Q3177" s="71"/>
      <c r="R3177" s="84"/>
      <c r="S3177" s="10"/>
      <c r="T3177" s="10"/>
      <c r="U3177" s="10"/>
      <c r="V3177" s="10"/>
      <c r="W3177" s="138"/>
      <c r="Y3177"/>
      <c r="Z3177"/>
      <c r="AA3177"/>
      <c r="AB3177"/>
      <c r="AC3177"/>
      <c r="AD3177"/>
      <c r="AE3177"/>
      <c r="AF3177"/>
      <c r="AG3177"/>
      <c r="AH3177"/>
      <c r="AI3177"/>
      <c r="AJ3177"/>
      <c r="AK3177"/>
      <c r="AL3177"/>
      <c r="AM3177"/>
      <c r="AN3177"/>
      <c r="AO3177"/>
    </row>
    <row r="3178" spans="1:41" ht="15">
      <c r="A3178"/>
      <c r="B3178"/>
      <c r="C3178" s="137"/>
      <c r="D3178" s="30"/>
      <c r="E3178" s="30"/>
      <c r="F3178" s="10"/>
      <c r="G3178" s="10"/>
      <c r="H3178" s="15"/>
      <c r="I3178" s="15"/>
      <c r="J3178" s="15"/>
      <c r="K3178" s="15"/>
      <c r="L3178" s="15"/>
      <c r="M3178" s="15"/>
      <c r="N3178" s="15"/>
      <c r="O3178" s="15"/>
      <c r="P3178" s="15"/>
      <c r="Q3178" s="71"/>
      <c r="R3178" s="84"/>
      <c r="S3178" s="10"/>
      <c r="T3178" s="10"/>
      <c r="U3178" s="10"/>
      <c r="V3178" s="10"/>
      <c r="W3178" s="138"/>
      <c r="Y3178"/>
      <c r="Z3178"/>
      <c r="AA3178"/>
      <c r="AB3178"/>
      <c r="AC3178"/>
      <c r="AD3178"/>
      <c r="AE3178"/>
      <c r="AF3178"/>
      <c r="AG3178"/>
      <c r="AH3178"/>
      <c r="AI3178"/>
      <c r="AJ3178"/>
      <c r="AK3178"/>
      <c r="AL3178"/>
      <c r="AM3178"/>
      <c r="AN3178"/>
      <c r="AO3178"/>
    </row>
    <row r="3179" spans="1:41" ht="15">
      <c r="A3179"/>
      <c r="B3179"/>
      <c r="C3179" s="137"/>
      <c r="D3179" s="30"/>
      <c r="E3179" s="30"/>
      <c r="F3179" s="10"/>
      <c r="G3179" s="10"/>
      <c r="H3179" s="15"/>
      <c r="I3179" s="15"/>
      <c r="J3179" s="15"/>
      <c r="K3179" s="15"/>
      <c r="L3179" s="15"/>
      <c r="M3179" s="15"/>
      <c r="N3179" s="15"/>
      <c r="O3179" s="15"/>
      <c r="P3179" s="15"/>
      <c r="Q3179" s="71"/>
      <c r="R3179" s="84"/>
      <c r="S3179" s="10"/>
      <c r="T3179" s="10"/>
      <c r="U3179" s="10"/>
      <c r="V3179" s="10"/>
      <c r="W3179" s="138"/>
      <c r="Y3179"/>
      <c r="Z3179"/>
      <c r="AA3179"/>
      <c r="AB3179"/>
      <c r="AC3179"/>
      <c r="AD3179"/>
      <c r="AE3179"/>
      <c r="AF3179"/>
      <c r="AG3179"/>
      <c r="AH3179"/>
      <c r="AI3179"/>
      <c r="AJ3179"/>
      <c r="AK3179"/>
      <c r="AL3179"/>
      <c r="AM3179"/>
      <c r="AN3179"/>
      <c r="AO3179"/>
    </row>
    <row r="3180" spans="1:41" ht="15">
      <c r="A3180"/>
      <c r="B3180"/>
      <c r="C3180" s="137"/>
      <c r="D3180" s="30"/>
      <c r="E3180" s="30"/>
      <c r="F3180" s="10"/>
      <c r="G3180" s="10"/>
      <c r="H3180" s="15"/>
      <c r="I3180" s="15"/>
      <c r="J3180" s="15"/>
      <c r="K3180" s="15"/>
      <c r="L3180" s="15"/>
      <c r="M3180" s="15"/>
      <c r="N3180" s="15"/>
      <c r="O3180" s="15"/>
      <c r="P3180" s="15"/>
      <c r="Q3180" s="71"/>
      <c r="R3180" s="84"/>
      <c r="S3180" s="10"/>
      <c r="T3180" s="10"/>
      <c r="U3180" s="10"/>
      <c r="V3180" s="10"/>
      <c r="W3180" s="138"/>
      <c r="Y3180"/>
      <c r="Z3180"/>
      <c r="AA3180"/>
      <c r="AB3180"/>
      <c r="AC3180"/>
      <c r="AD3180"/>
      <c r="AE3180"/>
      <c r="AF3180"/>
      <c r="AG3180"/>
      <c r="AH3180"/>
      <c r="AI3180"/>
      <c r="AJ3180"/>
      <c r="AK3180"/>
      <c r="AL3180"/>
      <c r="AM3180"/>
      <c r="AN3180"/>
      <c r="AO3180"/>
    </row>
    <row r="3181" spans="1:41" ht="15">
      <c r="A3181"/>
      <c r="B3181"/>
      <c r="C3181" s="137"/>
      <c r="D3181" s="30"/>
      <c r="E3181" s="30"/>
      <c r="F3181" s="10"/>
      <c r="G3181" s="10"/>
      <c r="H3181" s="15"/>
      <c r="I3181" s="15"/>
      <c r="J3181" s="15"/>
      <c r="K3181" s="15"/>
      <c r="L3181" s="15"/>
      <c r="M3181" s="15"/>
      <c r="N3181" s="15"/>
      <c r="O3181" s="15"/>
      <c r="P3181" s="15"/>
      <c r="Q3181" s="71"/>
      <c r="R3181" s="84"/>
      <c r="S3181" s="10"/>
      <c r="T3181" s="10"/>
      <c r="U3181" s="10"/>
      <c r="V3181" s="10"/>
      <c r="W3181" s="138"/>
      <c r="Y3181"/>
      <c r="Z3181"/>
      <c r="AA3181"/>
      <c r="AB3181"/>
      <c r="AC3181"/>
      <c r="AD3181"/>
      <c r="AE3181"/>
      <c r="AF3181"/>
      <c r="AG3181"/>
      <c r="AH3181"/>
      <c r="AI3181"/>
      <c r="AJ3181"/>
      <c r="AK3181"/>
      <c r="AL3181"/>
      <c r="AM3181"/>
      <c r="AN3181"/>
      <c r="AO3181"/>
    </row>
    <row r="3182" spans="1:41" ht="15">
      <c r="A3182"/>
      <c r="B3182"/>
      <c r="C3182" s="137"/>
      <c r="D3182" s="30"/>
      <c r="E3182" s="30"/>
      <c r="F3182" s="10"/>
      <c r="G3182" s="10"/>
      <c r="H3182" s="15"/>
      <c r="I3182" s="15"/>
      <c r="J3182" s="15"/>
      <c r="K3182" s="15"/>
      <c r="L3182" s="15"/>
      <c r="M3182" s="15"/>
      <c r="N3182" s="15"/>
      <c r="O3182" s="15"/>
      <c r="P3182" s="15"/>
      <c r="Q3182" s="71"/>
      <c r="R3182" s="84"/>
      <c r="S3182" s="10"/>
      <c r="T3182" s="10"/>
      <c r="U3182" s="10"/>
      <c r="V3182" s="10"/>
      <c r="W3182" s="138"/>
      <c r="Y3182"/>
      <c r="Z3182"/>
      <c r="AA3182"/>
      <c r="AB3182"/>
      <c r="AC3182"/>
      <c r="AD3182"/>
      <c r="AE3182"/>
      <c r="AF3182"/>
      <c r="AG3182"/>
      <c r="AH3182"/>
      <c r="AI3182"/>
      <c r="AJ3182"/>
      <c r="AK3182"/>
      <c r="AL3182"/>
      <c r="AM3182"/>
      <c r="AN3182"/>
      <c r="AO3182"/>
    </row>
    <row r="3183" spans="1:41" ht="15">
      <c r="A3183"/>
      <c r="B3183"/>
      <c r="C3183" s="137"/>
      <c r="D3183" s="30"/>
      <c r="E3183" s="30"/>
      <c r="F3183" s="10"/>
      <c r="G3183" s="10"/>
      <c r="H3183" s="15"/>
      <c r="I3183" s="15"/>
      <c r="J3183" s="15"/>
      <c r="K3183" s="15"/>
      <c r="L3183" s="15"/>
      <c r="M3183" s="15"/>
      <c r="N3183" s="15"/>
      <c r="O3183" s="15"/>
      <c r="P3183" s="15"/>
      <c r="Q3183" s="71"/>
      <c r="R3183" s="84"/>
      <c r="S3183" s="10"/>
      <c r="T3183" s="10"/>
      <c r="U3183" s="10"/>
      <c r="V3183" s="10"/>
      <c r="W3183" s="138"/>
      <c r="Y3183"/>
      <c r="Z3183"/>
      <c r="AA3183"/>
      <c r="AB3183"/>
      <c r="AC3183"/>
      <c r="AD3183"/>
      <c r="AE3183"/>
      <c r="AF3183"/>
      <c r="AG3183"/>
      <c r="AH3183"/>
      <c r="AI3183"/>
      <c r="AJ3183"/>
      <c r="AK3183"/>
      <c r="AL3183"/>
      <c r="AM3183"/>
      <c r="AN3183"/>
      <c r="AO3183"/>
    </row>
    <row r="3184" spans="1:41" ht="15">
      <c r="A3184"/>
      <c r="B3184"/>
      <c r="C3184" s="137"/>
      <c r="D3184" s="30"/>
      <c r="E3184" s="30"/>
      <c r="F3184" s="10"/>
      <c r="G3184" s="10"/>
      <c r="H3184" s="15"/>
      <c r="I3184" s="15"/>
      <c r="J3184" s="15"/>
      <c r="K3184" s="15"/>
      <c r="L3184" s="15"/>
      <c r="M3184" s="15"/>
      <c r="N3184" s="15"/>
      <c r="O3184" s="15"/>
      <c r="P3184" s="15"/>
      <c r="Q3184" s="71"/>
      <c r="R3184" s="84"/>
      <c r="S3184" s="10"/>
      <c r="T3184" s="10"/>
      <c r="U3184" s="10"/>
      <c r="V3184" s="10"/>
      <c r="W3184" s="138"/>
      <c r="Y3184"/>
      <c r="Z3184"/>
      <c r="AA3184"/>
      <c r="AB3184"/>
      <c r="AC3184"/>
      <c r="AD3184"/>
      <c r="AE3184"/>
      <c r="AF3184"/>
      <c r="AG3184"/>
      <c r="AH3184"/>
      <c r="AI3184"/>
      <c r="AJ3184"/>
      <c r="AK3184"/>
      <c r="AL3184"/>
      <c r="AM3184"/>
      <c r="AN3184"/>
      <c r="AO3184"/>
    </row>
    <row r="3185" spans="1:41" ht="15">
      <c r="A3185"/>
      <c r="B3185"/>
      <c r="C3185" s="137"/>
      <c r="D3185" s="30"/>
      <c r="E3185" s="30"/>
      <c r="F3185" s="10"/>
      <c r="G3185" s="10"/>
      <c r="H3185" s="15"/>
      <c r="I3185" s="15"/>
      <c r="J3185" s="15"/>
      <c r="K3185" s="15"/>
      <c r="L3185" s="15"/>
      <c r="M3185" s="15"/>
      <c r="N3185" s="15"/>
      <c r="O3185" s="15"/>
      <c r="P3185" s="15"/>
      <c r="Q3185" s="71"/>
      <c r="R3185" s="84"/>
      <c r="S3185" s="10"/>
      <c r="T3185" s="10"/>
      <c r="U3185" s="10"/>
      <c r="V3185" s="10"/>
      <c r="W3185" s="138"/>
      <c r="Y3185"/>
      <c r="Z3185"/>
      <c r="AA3185"/>
      <c r="AB3185"/>
      <c r="AC3185"/>
      <c r="AD3185"/>
      <c r="AE3185"/>
      <c r="AF3185"/>
      <c r="AG3185"/>
      <c r="AH3185"/>
      <c r="AI3185"/>
      <c r="AJ3185"/>
      <c r="AK3185"/>
      <c r="AL3185"/>
      <c r="AM3185"/>
      <c r="AN3185"/>
      <c r="AO3185"/>
    </row>
    <row r="3186" spans="1:41" ht="15">
      <c r="A3186"/>
      <c r="B3186"/>
      <c r="C3186" s="137"/>
      <c r="D3186" s="30"/>
      <c r="E3186" s="30"/>
      <c r="F3186" s="10"/>
      <c r="G3186" s="10"/>
      <c r="H3186" s="15"/>
      <c r="I3186" s="15"/>
      <c r="J3186" s="15"/>
      <c r="K3186" s="15"/>
      <c r="L3186" s="15"/>
      <c r="M3186" s="15"/>
      <c r="N3186" s="15"/>
      <c r="O3186" s="15"/>
      <c r="P3186" s="15"/>
      <c r="Q3186" s="71"/>
      <c r="R3186" s="84"/>
      <c r="S3186" s="10"/>
      <c r="T3186" s="10"/>
      <c r="U3186" s="10"/>
      <c r="V3186" s="10"/>
      <c r="W3186" s="138"/>
      <c r="Y3186"/>
      <c r="Z3186"/>
      <c r="AA3186"/>
      <c r="AB3186"/>
      <c r="AC3186"/>
      <c r="AD3186"/>
      <c r="AE3186"/>
      <c r="AF3186"/>
      <c r="AG3186"/>
      <c r="AH3186"/>
      <c r="AI3186"/>
      <c r="AJ3186"/>
      <c r="AK3186"/>
      <c r="AL3186"/>
      <c r="AM3186"/>
      <c r="AN3186"/>
      <c r="AO3186"/>
    </row>
    <row r="3187" spans="1:41" ht="15">
      <c r="A3187"/>
      <c r="B3187"/>
      <c r="C3187" s="137"/>
      <c r="D3187" s="30"/>
      <c r="E3187" s="30"/>
      <c r="F3187" s="10"/>
      <c r="G3187" s="10"/>
      <c r="H3187" s="15"/>
      <c r="I3187" s="15"/>
      <c r="J3187" s="15"/>
      <c r="K3187" s="15"/>
      <c r="L3187" s="15"/>
      <c r="M3187" s="15"/>
      <c r="N3187" s="15"/>
      <c r="O3187" s="15"/>
      <c r="P3187" s="15"/>
      <c r="Q3187" s="71"/>
      <c r="R3187" s="84"/>
      <c r="S3187" s="10"/>
      <c r="T3187" s="10"/>
      <c r="U3187" s="10"/>
      <c r="V3187" s="10"/>
      <c r="W3187" s="138"/>
      <c r="Y3187"/>
      <c r="Z3187"/>
      <c r="AA3187"/>
      <c r="AB3187"/>
      <c r="AC3187"/>
      <c r="AD3187"/>
      <c r="AE3187"/>
      <c r="AF3187"/>
      <c r="AG3187"/>
      <c r="AH3187"/>
      <c r="AI3187"/>
      <c r="AJ3187"/>
      <c r="AK3187"/>
      <c r="AL3187"/>
      <c r="AM3187"/>
      <c r="AN3187"/>
      <c r="AO3187"/>
    </row>
    <row r="3188" spans="1:41" ht="15">
      <c r="A3188"/>
      <c r="B3188"/>
      <c r="C3188" s="137"/>
      <c r="D3188" s="30"/>
      <c r="E3188" s="30"/>
      <c r="F3188" s="10"/>
      <c r="G3188" s="10"/>
      <c r="H3188" s="15"/>
      <c r="I3188" s="15"/>
      <c r="J3188" s="15"/>
      <c r="K3188" s="15"/>
      <c r="L3188" s="15"/>
      <c r="M3188" s="15"/>
      <c r="N3188" s="15"/>
      <c r="O3188" s="15"/>
      <c r="P3188" s="15"/>
      <c r="Q3188" s="71"/>
      <c r="R3188" s="84"/>
      <c r="S3188" s="10"/>
      <c r="T3188" s="10"/>
      <c r="U3188" s="10"/>
      <c r="V3188" s="10"/>
      <c r="W3188" s="138"/>
      <c r="Y3188"/>
      <c r="Z3188"/>
      <c r="AA3188"/>
      <c r="AB3188"/>
      <c r="AC3188"/>
      <c r="AD3188"/>
      <c r="AE3188"/>
      <c r="AF3188"/>
      <c r="AG3188"/>
      <c r="AH3188"/>
      <c r="AI3188"/>
      <c r="AJ3188"/>
      <c r="AK3188"/>
      <c r="AL3188"/>
      <c r="AM3188"/>
      <c r="AN3188"/>
      <c r="AO3188"/>
    </row>
    <row r="3189" spans="1:41" ht="15">
      <c r="A3189"/>
      <c r="B3189"/>
      <c r="C3189" s="137"/>
      <c r="D3189" s="30"/>
      <c r="E3189" s="30"/>
      <c r="F3189" s="10"/>
      <c r="G3189" s="10"/>
      <c r="H3189" s="15"/>
      <c r="I3189" s="15"/>
      <c r="J3189" s="15"/>
      <c r="K3189" s="15"/>
      <c r="L3189" s="15"/>
      <c r="M3189" s="15"/>
      <c r="N3189" s="15"/>
      <c r="O3189" s="15"/>
      <c r="P3189" s="15"/>
      <c r="Q3189" s="71"/>
      <c r="R3189" s="84"/>
      <c r="S3189" s="10"/>
      <c r="T3189" s="10"/>
      <c r="U3189" s="10"/>
      <c r="V3189" s="10"/>
      <c r="W3189" s="138"/>
      <c r="Y3189"/>
      <c r="Z3189"/>
      <c r="AA3189"/>
      <c r="AB3189"/>
      <c r="AC3189"/>
      <c r="AD3189"/>
      <c r="AE3189"/>
      <c r="AF3189"/>
      <c r="AG3189"/>
      <c r="AH3189"/>
      <c r="AI3189"/>
      <c r="AJ3189"/>
      <c r="AK3189"/>
      <c r="AL3189"/>
      <c r="AM3189"/>
      <c r="AN3189"/>
      <c r="AO3189"/>
    </row>
    <row r="3190" spans="1:41" ht="15">
      <c r="A3190"/>
      <c r="B3190"/>
      <c r="C3190" s="137"/>
      <c r="D3190" s="30"/>
      <c r="E3190" s="30"/>
      <c r="F3190" s="10"/>
      <c r="G3190" s="10"/>
      <c r="H3190" s="15"/>
      <c r="I3190" s="15"/>
      <c r="J3190" s="15"/>
      <c r="K3190" s="15"/>
      <c r="L3190" s="15"/>
      <c r="M3190" s="15"/>
      <c r="N3190" s="15"/>
      <c r="O3190" s="15"/>
      <c r="P3190" s="15"/>
      <c r="Q3190" s="71"/>
      <c r="R3190" s="84"/>
      <c r="S3190" s="10"/>
      <c r="T3190" s="10"/>
      <c r="U3190" s="10"/>
      <c r="V3190" s="10"/>
      <c r="W3190" s="138"/>
      <c r="Y3190"/>
      <c r="Z3190"/>
      <c r="AA3190"/>
      <c r="AB3190"/>
      <c r="AC3190"/>
      <c r="AD3190"/>
      <c r="AE3190"/>
      <c r="AF3190"/>
      <c r="AG3190"/>
      <c r="AH3190"/>
      <c r="AI3190"/>
      <c r="AJ3190"/>
      <c r="AK3190"/>
      <c r="AL3190"/>
      <c r="AM3190"/>
      <c r="AN3190"/>
      <c r="AO3190"/>
    </row>
    <row r="3191" spans="1:41" ht="15">
      <c r="A3191"/>
      <c r="B3191"/>
      <c r="C3191" s="137"/>
      <c r="D3191" s="30"/>
      <c r="E3191" s="30"/>
      <c r="F3191" s="10"/>
      <c r="G3191" s="10"/>
      <c r="H3191" s="15"/>
      <c r="I3191" s="15"/>
      <c r="J3191" s="15"/>
      <c r="K3191" s="15"/>
      <c r="L3191" s="15"/>
      <c r="M3191" s="15"/>
      <c r="N3191" s="15"/>
      <c r="O3191" s="15"/>
      <c r="P3191" s="15"/>
      <c r="Q3191" s="71"/>
      <c r="R3191" s="84"/>
      <c r="S3191" s="10"/>
      <c r="T3191" s="10"/>
      <c r="U3191" s="10"/>
      <c r="V3191" s="10"/>
      <c r="W3191" s="138"/>
      <c r="Y3191"/>
      <c r="Z3191"/>
      <c r="AA3191"/>
      <c r="AB3191"/>
      <c r="AC3191"/>
      <c r="AD3191"/>
      <c r="AE3191"/>
      <c r="AF3191"/>
      <c r="AG3191"/>
      <c r="AH3191"/>
      <c r="AI3191"/>
      <c r="AJ3191"/>
      <c r="AK3191"/>
      <c r="AL3191"/>
      <c r="AM3191"/>
      <c r="AN3191"/>
      <c r="AO3191"/>
    </row>
    <row r="3192" spans="1:41" ht="15">
      <c r="A3192"/>
      <c r="B3192"/>
      <c r="C3192" s="137"/>
      <c r="D3192" s="30"/>
      <c r="E3192" s="30"/>
      <c r="F3192" s="10"/>
      <c r="G3192" s="10"/>
      <c r="H3192" s="15"/>
      <c r="I3192" s="15"/>
      <c r="J3192" s="15"/>
      <c r="K3192" s="15"/>
      <c r="L3192" s="15"/>
      <c r="M3192" s="15"/>
      <c r="N3192" s="15"/>
      <c r="O3192" s="15"/>
      <c r="P3192" s="15"/>
      <c r="Q3192" s="71"/>
      <c r="R3192" s="84"/>
      <c r="S3192" s="10"/>
      <c r="T3192" s="10"/>
      <c r="U3192" s="10"/>
      <c r="V3192" s="10"/>
      <c r="W3192" s="138"/>
      <c r="Y3192"/>
      <c r="Z3192"/>
      <c r="AA3192"/>
      <c r="AB3192"/>
      <c r="AC3192"/>
      <c r="AD3192"/>
      <c r="AE3192"/>
      <c r="AF3192"/>
      <c r="AG3192"/>
      <c r="AH3192"/>
      <c r="AI3192"/>
      <c r="AJ3192"/>
      <c r="AK3192"/>
      <c r="AL3192"/>
      <c r="AM3192"/>
      <c r="AN3192"/>
      <c r="AO3192"/>
    </row>
    <row r="3193" spans="1:41" ht="15">
      <c r="A3193"/>
      <c r="B3193"/>
      <c r="C3193" s="137"/>
      <c r="D3193" s="30"/>
      <c r="E3193" s="30"/>
      <c r="F3193" s="10"/>
      <c r="G3193" s="10"/>
      <c r="H3193" s="15"/>
      <c r="I3193" s="15"/>
      <c r="J3193" s="15"/>
      <c r="K3193" s="15"/>
      <c r="L3193" s="15"/>
      <c r="M3193" s="15"/>
      <c r="N3193" s="15"/>
      <c r="O3193" s="15"/>
      <c r="P3193" s="15"/>
      <c r="Q3193" s="71"/>
      <c r="R3193" s="84"/>
      <c r="S3193" s="10"/>
      <c r="T3193" s="10"/>
      <c r="U3193" s="10"/>
      <c r="V3193" s="10"/>
      <c r="W3193" s="138"/>
      <c r="Y3193"/>
      <c r="Z3193"/>
      <c r="AA3193"/>
      <c r="AB3193"/>
      <c r="AC3193"/>
      <c r="AD3193"/>
      <c r="AE3193"/>
      <c r="AF3193"/>
      <c r="AG3193"/>
      <c r="AH3193"/>
      <c r="AI3193"/>
      <c r="AJ3193"/>
      <c r="AK3193"/>
      <c r="AL3193"/>
      <c r="AM3193"/>
      <c r="AN3193"/>
      <c r="AO3193"/>
    </row>
    <row r="3194" spans="1:41" ht="15">
      <c r="A3194"/>
      <c r="B3194"/>
      <c r="C3194" s="137"/>
      <c r="D3194" s="30"/>
      <c r="E3194" s="30"/>
      <c r="F3194" s="10"/>
      <c r="G3194" s="10"/>
      <c r="H3194" s="15"/>
      <c r="I3194" s="15"/>
      <c r="J3194" s="15"/>
      <c r="K3194" s="15"/>
      <c r="L3194" s="15"/>
      <c r="M3194" s="15"/>
      <c r="N3194" s="15"/>
      <c r="O3194" s="15"/>
      <c r="P3194" s="15"/>
      <c r="Q3194" s="71"/>
      <c r="R3194" s="84"/>
      <c r="S3194" s="10"/>
      <c r="T3194" s="10"/>
      <c r="U3194" s="10"/>
      <c r="V3194" s="10"/>
      <c r="W3194" s="138"/>
      <c r="Y3194"/>
      <c r="Z3194"/>
      <c r="AA3194"/>
      <c r="AB3194"/>
      <c r="AC3194"/>
      <c r="AD3194"/>
      <c r="AE3194"/>
      <c r="AF3194"/>
      <c r="AG3194"/>
      <c r="AH3194"/>
      <c r="AI3194"/>
      <c r="AJ3194"/>
      <c r="AK3194"/>
      <c r="AL3194"/>
      <c r="AM3194"/>
      <c r="AN3194"/>
      <c r="AO3194"/>
    </row>
    <row r="3195" spans="1:41" ht="15">
      <c r="A3195"/>
      <c r="B3195"/>
      <c r="C3195" s="137"/>
      <c r="D3195" s="30"/>
      <c r="E3195" s="30"/>
      <c r="F3195" s="10"/>
      <c r="G3195" s="10"/>
      <c r="H3195" s="15"/>
      <c r="I3195" s="15"/>
      <c r="J3195" s="15"/>
      <c r="K3195" s="15"/>
      <c r="L3195" s="15"/>
      <c r="M3195" s="15"/>
      <c r="N3195" s="15"/>
      <c r="O3195" s="15"/>
      <c r="P3195" s="15"/>
      <c r="Q3195" s="71"/>
      <c r="R3195" s="84"/>
      <c r="S3195" s="10"/>
      <c r="T3195" s="10"/>
      <c r="U3195" s="10"/>
      <c r="V3195" s="10"/>
      <c r="W3195" s="138"/>
      <c r="Y3195"/>
      <c r="Z3195"/>
      <c r="AA3195"/>
      <c r="AB3195"/>
      <c r="AC3195"/>
      <c r="AD3195"/>
      <c r="AE3195"/>
      <c r="AF3195"/>
      <c r="AG3195"/>
      <c r="AH3195"/>
      <c r="AI3195"/>
      <c r="AJ3195"/>
      <c r="AK3195"/>
      <c r="AL3195"/>
      <c r="AM3195"/>
      <c r="AN3195"/>
      <c r="AO3195"/>
    </row>
    <row r="3196" spans="1:41" ht="15">
      <c r="A3196"/>
      <c r="B3196"/>
      <c r="C3196" s="137"/>
      <c r="D3196" s="30"/>
      <c r="E3196" s="30"/>
      <c r="F3196" s="10"/>
      <c r="G3196" s="10"/>
      <c r="H3196" s="15"/>
      <c r="I3196" s="15"/>
      <c r="J3196" s="15"/>
      <c r="K3196" s="15"/>
      <c r="L3196" s="15"/>
      <c r="M3196" s="15"/>
      <c r="N3196" s="15"/>
      <c r="O3196" s="15"/>
      <c r="P3196" s="15"/>
      <c r="Q3196" s="71"/>
      <c r="R3196" s="84"/>
      <c r="S3196" s="10"/>
      <c r="T3196" s="10"/>
      <c r="U3196" s="10"/>
      <c r="V3196" s="10"/>
      <c r="W3196" s="138"/>
      <c r="Y3196"/>
      <c r="Z3196"/>
      <c r="AA3196"/>
      <c r="AB3196"/>
      <c r="AC3196"/>
      <c r="AD3196"/>
      <c r="AE3196"/>
      <c r="AF3196"/>
      <c r="AG3196"/>
      <c r="AH3196"/>
      <c r="AI3196"/>
      <c r="AJ3196"/>
      <c r="AK3196"/>
      <c r="AL3196"/>
      <c r="AM3196"/>
      <c r="AN3196"/>
      <c r="AO3196"/>
    </row>
    <row r="3197" spans="1:41" ht="15">
      <c r="A3197"/>
      <c r="B3197"/>
      <c r="C3197" s="137"/>
      <c r="D3197" s="30"/>
      <c r="E3197" s="30"/>
      <c r="F3197" s="10"/>
      <c r="G3197" s="10"/>
      <c r="H3197" s="15"/>
      <c r="I3197" s="15"/>
      <c r="J3197" s="15"/>
      <c r="K3197" s="15"/>
      <c r="L3197" s="15"/>
      <c r="M3197" s="15"/>
      <c r="N3197" s="15"/>
      <c r="O3197" s="15"/>
      <c r="P3197" s="15"/>
      <c r="Q3197" s="71"/>
      <c r="R3197" s="84"/>
      <c r="S3197" s="10"/>
      <c r="T3197" s="10"/>
      <c r="U3197" s="10"/>
      <c r="V3197" s="10"/>
      <c r="W3197" s="138"/>
      <c r="Y3197"/>
      <c r="Z3197"/>
      <c r="AA3197"/>
      <c r="AB3197"/>
      <c r="AC3197"/>
      <c r="AD3197"/>
      <c r="AE3197"/>
      <c r="AF3197"/>
      <c r="AG3197"/>
      <c r="AH3197"/>
      <c r="AI3197"/>
      <c r="AJ3197"/>
      <c r="AK3197"/>
      <c r="AL3197"/>
      <c r="AM3197"/>
      <c r="AN3197"/>
      <c r="AO3197"/>
    </row>
    <row r="3198" spans="1:41" ht="15">
      <c r="A3198"/>
      <c r="B3198"/>
      <c r="C3198" s="137"/>
      <c r="D3198" s="30"/>
      <c r="E3198" s="30"/>
      <c r="F3198" s="10"/>
      <c r="G3198" s="10"/>
      <c r="H3198" s="15"/>
      <c r="I3198" s="15"/>
      <c r="J3198" s="15"/>
      <c r="K3198" s="15"/>
      <c r="L3198" s="15"/>
      <c r="M3198" s="15"/>
      <c r="N3198" s="15"/>
      <c r="O3198" s="15"/>
      <c r="P3198" s="15"/>
      <c r="Q3198" s="71"/>
      <c r="R3198" s="84"/>
      <c r="S3198" s="10"/>
      <c r="T3198" s="10"/>
      <c r="U3198" s="10"/>
      <c r="V3198" s="10"/>
      <c r="W3198" s="138"/>
      <c r="Y3198"/>
      <c r="Z3198"/>
      <c r="AA3198"/>
      <c r="AB3198"/>
      <c r="AC3198"/>
      <c r="AD3198"/>
      <c r="AE3198"/>
      <c r="AF3198"/>
      <c r="AG3198"/>
      <c r="AH3198"/>
      <c r="AI3198"/>
      <c r="AJ3198"/>
      <c r="AK3198"/>
      <c r="AL3198"/>
      <c r="AM3198"/>
      <c r="AN3198"/>
      <c r="AO3198"/>
    </row>
    <row r="3199" spans="1:41" ht="15">
      <c r="A3199"/>
      <c r="B3199"/>
      <c r="C3199" s="137"/>
      <c r="D3199" s="30"/>
      <c r="E3199" s="30"/>
      <c r="F3199" s="10"/>
      <c r="G3199" s="10"/>
      <c r="H3199" s="15"/>
      <c r="I3199" s="15"/>
      <c r="J3199" s="15"/>
      <c r="K3199" s="15"/>
      <c r="L3199" s="15"/>
      <c r="M3199" s="15"/>
      <c r="N3199" s="15"/>
      <c r="O3199" s="15"/>
      <c r="P3199" s="15"/>
      <c r="Q3199" s="71"/>
      <c r="R3199" s="84"/>
      <c r="S3199" s="10"/>
      <c r="T3199" s="10"/>
      <c r="U3199" s="10"/>
      <c r="V3199" s="10"/>
      <c r="W3199" s="138"/>
      <c r="Y3199"/>
      <c r="Z3199"/>
      <c r="AA3199"/>
      <c r="AB3199"/>
      <c r="AC3199"/>
      <c r="AD3199"/>
      <c r="AE3199"/>
      <c r="AF3199"/>
      <c r="AG3199"/>
      <c r="AH3199"/>
      <c r="AI3199"/>
      <c r="AJ3199"/>
      <c r="AK3199"/>
      <c r="AL3199"/>
      <c r="AM3199"/>
      <c r="AN3199"/>
      <c r="AO3199"/>
    </row>
    <row r="3200" spans="1:41" ht="15">
      <c r="A3200"/>
      <c r="B3200"/>
      <c r="C3200" s="137"/>
      <c r="D3200" s="30"/>
      <c r="E3200" s="30"/>
      <c r="F3200" s="10"/>
      <c r="G3200" s="10"/>
      <c r="H3200" s="15"/>
      <c r="I3200" s="15"/>
      <c r="J3200" s="15"/>
      <c r="K3200" s="15"/>
      <c r="L3200" s="15"/>
      <c r="M3200" s="15"/>
      <c r="N3200" s="15"/>
      <c r="O3200" s="15"/>
      <c r="P3200" s="15"/>
      <c r="Q3200" s="71"/>
      <c r="R3200" s="84"/>
      <c r="S3200" s="10"/>
      <c r="T3200" s="10"/>
      <c r="U3200" s="10"/>
      <c r="V3200" s="10"/>
      <c r="W3200" s="138"/>
      <c r="Y3200"/>
      <c r="Z3200"/>
      <c r="AA3200"/>
      <c r="AB3200"/>
      <c r="AC3200"/>
      <c r="AD3200"/>
      <c r="AE3200"/>
      <c r="AF3200"/>
      <c r="AG3200"/>
      <c r="AH3200"/>
      <c r="AI3200"/>
      <c r="AJ3200"/>
      <c r="AK3200"/>
      <c r="AL3200"/>
      <c r="AM3200"/>
      <c r="AN3200"/>
      <c r="AO3200"/>
    </row>
    <row r="3201" spans="1:41" ht="15">
      <c r="A3201"/>
      <c r="B3201"/>
      <c r="C3201" s="137"/>
      <c r="D3201" s="30"/>
      <c r="E3201" s="30"/>
      <c r="F3201" s="10"/>
      <c r="G3201" s="10"/>
      <c r="H3201" s="15"/>
      <c r="I3201" s="15"/>
      <c r="J3201" s="15"/>
      <c r="K3201" s="15"/>
      <c r="L3201" s="15"/>
      <c r="M3201" s="15"/>
      <c r="N3201" s="15"/>
      <c r="O3201" s="15"/>
      <c r="P3201" s="15"/>
      <c r="Q3201" s="71"/>
      <c r="R3201" s="84"/>
      <c r="S3201" s="10"/>
      <c r="T3201" s="10"/>
      <c r="U3201" s="10"/>
      <c r="V3201" s="10"/>
      <c r="W3201" s="138"/>
      <c r="Y3201"/>
      <c r="Z3201"/>
      <c r="AA3201"/>
      <c r="AB3201"/>
      <c r="AC3201"/>
      <c r="AD3201"/>
      <c r="AE3201"/>
      <c r="AF3201"/>
      <c r="AG3201"/>
      <c r="AH3201"/>
      <c r="AI3201"/>
      <c r="AJ3201"/>
      <c r="AK3201"/>
      <c r="AL3201"/>
      <c r="AM3201"/>
      <c r="AN3201"/>
      <c r="AO3201"/>
    </row>
    <row r="3202" spans="1:41" ht="15">
      <c r="A3202"/>
      <c r="B3202"/>
      <c r="C3202" s="137"/>
      <c r="D3202" s="30"/>
      <c r="E3202" s="30"/>
      <c r="F3202" s="10"/>
      <c r="G3202" s="10"/>
      <c r="H3202" s="15"/>
      <c r="I3202" s="15"/>
      <c r="J3202" s="15"/>
      <c r="K3202" s="15"/>
      <c r="L3202" s="15"/>
      <c r="M3202" s="15"/>
      <c r="N3202" s="15"/>
      <c r="O3202" s="15"/>
      <c r="P3202" s="15"/>
      <c r="Q3202" s="71"/>
      <c r="R3202" s="84"/>
      <c r="S3202" s="10"/>
      <c r="T3202" s="10"/>
      <c r="U3202" s="10"/>
      <c r="V3202" s="10"/>
      <c r="W3202" s="138"/>
      <c r="Y3202"/>
      <c r="Z3202"/>
      <c r="AA3202"/>
      <c r="AB3202"/>
      <c r="AC3202"/>
      <c r="AD3202"/>
      <c r="AE3202"/>
      <c r="AF3202"/>
      <c r="AG3202"/>
      <c r="AH3202"/>
      <c r="AI3202"/>
      <c r="AJ3202"/>
      <c r="AK3202"/>
      <c r="AL3202"/>
      <c r="AM3202"/>
      <c r="AN3202"/>
      <c r="AO3202"/>
    </row>
    <row r="3203" spans="1:41" ht="15">
      <c r="A3203"/>
      <c r="B3203"/>
      <c r="C3203" s="137"/>
      <c r="D3203" s="30"/>
      <c r="E3203" s="30"/>
      <c r="F3203" s="10"/>
      <c r="G3203" s="10"/>
      <c r="H3203" s="15"/>
      <c r="I3203" s="15"/>
      <c r="J3203" s="15"/>
      <c r="K3203" s="15"/>
      <c r="L3203" s="15"/>
      <c r="M3203" s="15"/>
      <c r="N3203" s="15"/>
      <c r="O3203" s="15"/>
      <c r="P3203" s="15"/>
      <c r="Q3203" s="71"/>
      <c r="R3203" s="84"/>
      <c r="S3203" s="10"/>
      <c r="T3203" s="10"/>
      <c r="U3203" s="10"/>
      <c r="V3203" s="10"/>
      <c r="W3203" s="138"/>
      <c r="Y3203"/>
      <c r="Z3203"/>
      <c r="AA3203"/>
      <c r="AB3203"/>
      <c r="AC3203"/>
      <c r="AD3203"/>
      <c r="AE3203"/>
      <c r="AF3203"/>
      <c r="AG3203"/>
      <c r="AH3203"/>
      <c r="AI3203"/>
      <c r="AJ3203"/>
      <c r="AK3203"/>
      <c r="AL3203"/>
      <c r="AM3203"/>
      <c r="AN3203"/>
      <c r="AO3203"/>
    </row>
    <row r="3204" spans="1:41" ht="15">
      <c r="A3204"/>
      <c r="B3204"/>
      <c r="C3204" s="137"/>
      <c r="D3204" s="30"/>
      <c r="E3204" s="30"/>
      <c r="F3204" s="10"/>
      <c r="G3204" s="10"/>
      <c r="H3204" s="15"/>
      <c r="I3204" s="15"/>
      <c r="J3204" s="15"/>
      <c r="K3204" s="15"/>
      <c r="L3204" s="15"/>
      <c r="M3204" s="15"/>
      <c r="N3204" s="15"/>
      <c r="O3204" s="15"/>
      <c r="P3204" s="15"/>
      <c r="Q3204" s="71"/>
      <c r="R3204" s="84"/>
      <c r="S3204" s="10"/>
      <c r="T3204" s="10"/>
      <c r="U3204" s="10"/>
      <c r="V3204" s="10"/>
      <c r="W3204" s="138"/>
      <c r="Y3204"/>
      <c r="Z3204"/>
      <c r="AA3204"/>
      <c r="AB3204"/>
      <c r="AC3204"/>
      <c r="AD3204"/>
      <c r="AE3204"/>
      <c r="AF3204"/>
      <c r="AG3204"/>
      <c r="AH3204"/>
      <c r="AI3204"/>
      <c r="AJ3204"/>
      <c r="AK3204"/>
      <c r="AL3204"/>
      <c r="AM3204"/>
      <c r="AN3204"/>
      <c r="AO3204"/>
    </row>
    <row r="3205" spans="1:41" ht="15">
      <c r="A3205"/>
      <c r="B3205"/>
      <c r="C3205" s="137"/>
      <c r="D3205" s="30"/>
      <c r="E3205" s="30"/>
      <c r="F3205" s="10"/>
      <c r="G3205" s="10"/>
      <c r="H3205" s="15"/>
      <c r="I3205" s="15"/>
      <c r="J3205" s="15"/>
      <c r="K3205" s="15"/>
      <c r="L3205" s="15"/>
      <c r="M3205" s="15"/>
      <c r="N3205" s="15"/>
      <c r="O3205" s="15"/>
      <c r="P3205" s="15"/>
      <c r="Q3205" s="71"/>
      <c r="R3205" s="84"/>
      <c r="S3205" s="10"/>
      <c r="T3205" s="10"/>
      <c r="U3205" s="10"/>
      <c r="V3205" s="10"/>
      <c r="W3205" s="138"/>
      <c r="Y3205"/>
      <c r="Z3205"/>
      <c r="AA3205"/>
      <c r="AB3205"/>
      <c r="AC3205"/>
      <c r="AD3205"/>
      <c r="AE3205"/>
      <c r="AF3205"/>
      <c r="AG3205"/>
      <c r="AH3205"/>
      <c r="AI3205"/>
      <c r="AJ3205"/>
      <c r="AK3205"/>
      <c r="AL3205"/>
      <c r="AM3205"/>
      <c r="AN3205"/>
      <c r="AO3205"/>
    </row>
    <row r="3206" spans="1:41" ht="15">
      <c r="A3206"/>
      <c r="B3206"/>
      <c r="C3206" s="137"/>
      <c r="D3206" s="30"/>
      <c r="E3206" s="30"/>
      <c r="F3206" s="10"/>
      <c r="G3206" s="10"/>
      <c r="H3206" s="15"/>
      <c r="I3206" s="15"/>
      <c r="J3206" s="15"/>
      <c r="K3206" s="15"/>
      <c r="L3206" s="15"/>
      <c r="M3206" s="15"/>
      <c r="N3206" s="15"/>
      <c r="O3206" s="15"/>
      <c r="P3206" s="15"/>
      <c r="Q3206" s="71"/>
      <c r="R3206" s="84"/>
      <c r="S3206" s="10"/>
      <c r="T3206" s="10"/>
      <c r="U3206" s="10"/>
      <c r="V3206" s="10"/>
      <c r="W3206" s="138"/>
      <c r="Y3206"/>
      <c r="Z3206"/>
      <c r="AA3206"/>
      <c r="AB3206"/>
      <c r="AC3206"/>
      <c r="AD3206"/>
      <c r="AE3206"/>
      <c r="AF3206"/>
      <c r="AG3206"/>
      <c r="AH3206"/>
      <c r="AI3206"/>
      <c r="AJ3206"/>
      <c r="AK3206"/>
      <c r="AL3206"/>
      <c r="AM3206"/>
      <c r="AN3206"/>
      <c r="AO3206"/>
    </row>
    <row r="3207" spans="1:41" ht="15">
      <c r="A3207"/>
      <c r="B3207"/>
      <c r="C3207" s="137"/>
      <c r="D3207" s="30"/>
      <c r="E3207" s="30"/>
      <c r="F3207" s="10"/>
      <c r="G3207" s="10"/>
      <c r="H3207" s="15"/>
      <c r="I3207" s="15"/>
      <c r="J3207" s="15"/>
      <c r="K3207" s="15"/>
      <c r="L3207" s="15"/>
      <c r="M3207" s="15"/>
      <c r="N3207" s="15"/>
      <c r="O3207" s="15"/>
      <c r="P3207" s="15"/>
      <c r="Q3207" s="71"/>
      <c r="R3207" s="84"/>
      <c r="S3207" s="10"/>
      <c r="T3207" s="10"/>
      <c r="U3207" s="10"/>
      <c r="V3207" s="10"/>
      <c r="W3207" s="138"/>
      <c r="Y3207"/>
      <c r="Z3207"/>
      <c r="AA3207"/>
      <c r="AB3207"/>
      <c r="AC3207"/>
      <c r="AD3207"/>
      <c r="AE3207"/>
      <c r="AF3207"/>
      <c r="AG3207"/>
      <c r="AH3207"/>
      <c r="AI3207"/>
      <c r="AJ3207"/>
      <c r="AK3207"/>
      <c r="AL3207"/>
      <c r="AM3207"/>
      <c r="AN3207"/>
      <c r="AO3207"/>
    </row>
    <row r="3208" spans="1:41" ht="15">
      <c r="A3208"/>
      <c r="B3208"/>
      <c r="C3208" s="137"/>
      <c r="D3208" s="30"/>
      <c r="E3208" s="30"/>
      <c r="F3208" s="10"/>
      <c r="G3208" s="10"/>
      <c r="H3208" s="15"/>
      <c r="I3208" s="15"/>
      <c r="J3208" s="15"/>
      <c r="K3208" s="15"/>
      <c r="L3208" s="15"/>
      <c r="M3208" s="15"/>
      <c r="N3208" s="15"/>
      <c r="O3208" s="15"/>
      <c r="P3208" s="15"/>
      <c r="Q3208" s="71"/>
      <c r="R3208" s="84"/>
      <c r="S3208" s="10"/>
      <c r="T3208" s="10"/>
      <c r="U3208" s="10"/>
      <c r="V3208" s="10"/>
      <c r="W3208" s="138"/>
      <c r="Y3208"/>
      <c r="Z3208"/>
      <c r="AA3208"/>
      <c r="AB3208"/>
      <c r="AC3208"/>
      <c r="AD3208"/>
      <c r="AE3208"/>
      <c r="AF3208"/>
      <c r="AG3208"/>
      <c r="AH3208"/>
      <c r="AI3208"/>
      <c r="AJ3208"/>
      <c r="AK3208"/>
      <c r="AL3208"/>
      <c r="AM3208"/>
      <c r="AN3208"/>
      <c r="AO3208"/>
    </row>
    <row r="3209" spans="1:41" ht="15">
      <c r="A3209"/>
      <c r="B3209"/>
      <c r="C3209" s="137"/>
      <c r="D3209" s="30"/>
      <c r="E3209" s="30"/>
      <c r="F3209" s="10"/>
      <c r="G3209" s="10"/>
      <c r="H3209" s="15"/>
      <c r="I3209" s="15"/>
      <c r="J3209" s="15"/>
      <c r="K3209" s="15"/>
      <c r="L3209" s="15"/>
      <c r="M3209" s="15"/>
      <c r="N3209" s="15"/>
      <c r="O3209" s="15"/>
      <c r="P3209" s="15"/>
      <c r="Q3209" s="71"/>
      <c r="R3209" s="84"/>
      <c r="S3209" s="10"/>
      <c r="T3209" s="10"/>
      <c r="U3209" s="10"/>
      <c r="V3209" s="10"/>
      <c r="W3209" s="138"/>
      <c r="Y3209"/>
      <c r="Z3209"/>
      <c r="AA3209"/>
      <c r="AB3209"/>
      <c r="AC3209"/>
      <c r="AD3209"/>
      <c r="AE3209"/>
      <c r="AF3209"/>
      <c r="AG3209"/>
      <c r="AH3209"/>
      <c r="AI3209"/>
      <c r="AJ3209"/>
      <c r="AK3209"/>
      <c r="AL3209"/>
      <c r="AM3209"/>
      <c r="AN3209"/>
      <c r="AO3209"/>
    </row>
    <row r="3210" spans="1:41" ht="15">
      <c r="A3210"/>
      <c r="B3210"/>
      <c r="C3210" s="137"/>
      <c r="D3210" s="30"/>
      <c r="E3210" s="30"/>
      <c r="F3210" s="10"/>
      <c r="G3210" s="10"/>
      <c r="H3210" s="15"/>
      <c r="I3210" s="15"/>
      <c r="J3210" s="15"/>
      <c r="K3210" s="15"/>
      <c r="L3210" s="15"/>
      <c r="M3210" s="15"/>
      <c r="N3210" s="15"/>
      <c r="O3210" s="15"/>
      <c r="P3210" s="15"/>
      <c r="Q3210" s="71"/>
      <c r="R3210" s="84"/>
      <c r="S3210" s="10"/>
      <c r="T3210" s="10"/>
      <c r="U3210" s="10"/>
      <c r="V3210" s="10"/>
      <c r="W3210" s="138"/>
      <c r="Y3210"/>
      <c r="Z3210"/>
      <c r="AA3210"/>
      <c r="AB3210"/>
      <c r="AC3210"/>
      <c r="AD3210"/>
      <c r="AE3210"/>
      <c r="AF3210"/>
      <c r="AG3210"/>
      <c r="AH3210"/>
      <c r="AI3210"/>
      <c r="AJ3210"/>
      <c r="AK3210"/>
      <c r="AL3210"/>
      <c r="AM3210"/>
      <c r="AN3210"/>
      <c r="AO3210"/>
    </row>
    <row r="3211" spans="1:41" ht="15">
      <c r="A3211"/>
      <c r="B3211"/>
      <c r="C3211" s="137"/>
      <c r="D3211" s="30"/>
      <c r="E3211" s="30"/>
      <c r="F3211" s="10"/>
      <c r="G3211" s="10"/>
      <c r="H3211" s="15"/>
      <c r="I3211" s="15"/>
      <c r="J3211" s="15"/>
      <c r="K3211" s="15"/>
      <c r="L3211" s="15"/>
      <c r="M3211" s="15"/>
      <c r="N3211" s="15"/>
      <c r="O3211" s="15"/>
      <c r="P3211" s="15"/>
      <c r="Q3211" s="71"/>
      <c r="R3211" s="84"/>
      <c r="S3211" s="10"/>
      <c r="T3211" s="10"/>
      <c r="U3211" s="10"/>
      <c r="V3211" s="10"/>
      <c r="W3211" s="138"/>
      <c r="Y3211"/>
      <c r="Z3211"/>
      <c r="AA3211"/>
      <c r="AB3211"/>
      <c r="AC3211"/>
      <c r="AD3211"/>
      <c r="AE3211"/>
      <c r="AF3211"/>
      <c r="AG3211"/>
      <c r="AH3211"/>
      <c r="AI3211"/>
      <c r="AJ3211"/>
      <c r="AK3211"/>
      <c r="AL3211"/>
      <c r="AM3211"/>
      <c r="AN3211"/>
      <c r="AO3211"/>
    </row>
    <row r="3212" spans="1:41" ht="15">
      <c r="A3212"/>
      <c r="B3212"/>
      <c r="C3212" s="137"/>
      <c r="D3212" s="30"/>
      <c r="E3212" s="30"/>
      <c r="F3212" s="10"/>
      <c r="G3212" s="10"/>
      <c r="H3212" s="15"/>
      <c r="I3212" s="15"/>
      <c r="J3212" s="15"/>
      <c r="K3212" s="15"/>
      <c r="L3212" s="15"/>
      <c r="M3212" s="15"/>
      <c r="N3212" s="15"/>
      <c r="O3212" s="15"/>
      <c r="P3212" s="15"/>
      <c r="Q3212" s="71"/>
      <c r="R3212" s="84"/>
      <c r="S3212" s="10"/>
      <c r="T3212" s="10"/>
      <c r="U3212" s="10"/>
      <c r="V3212" s="10"/>
      <c r="W3212" s="138"/>
      <c r="Y3212"/>
      <c r="Z3212"/>
      <c r="AA3212"/>
      <c r="AB3212"/>
      <c r="AC3212"/>
      <c r="AD3212"/>
      <c r="AE3212"/>
      <c r="AF3212"/>
      <c r="AG3212"/>
      <c r="AH3212"/>
      <c r="AI3212"/>
      <c r="AJ3212"/>
      <c r="AK3212"/>
      <c r="AL3212"/>
      <c r="AM3212"/>
      <c r="AN3212"/>
      <c r="AO3212"/>
    </row>
    <row r="3213" spans="1:41" ht="15">
      <c r="A3213"/>
      <c r="B3213"/>
      <c r="C3213" s="137"/>
      <c r="D3213" s="30"/>
      <c r="E3213" s="30"/>
      <c r="F3213" s="10"/>
      <c r="G3213" s="10"/>
      <c r="H3213" s="15"/>
      <c r="I3213" s="15"/>
      <c r="J3213" s="15"/>
      <c r="K3213" s="15"/>
      <c r="L3213" s="15"/>
      <c r="M3213" s="15"/>
      <c r="N3213" s="15"/>
      <c r="O3213" s="15"/>
      <c r="P3213" s="15"/>
      <c r="Q3213" s="71"/>
      <c r="R3213" s="84"/>
      <c r="S3213" s="10"/>
      <c r="T3213" s="10"/>
      <c r="U3213" s="10"/>
      <c r="V3213" s="10"/>
      <c r="W3213" s="138"/>
      <c r="Y3213"/>
      <c r="Z3213"/>
      <c r="AA3213"/>
      <c r="AB3213"/>
      <c r="AC3213"/>
      <c r="AD3213"/>
      <c r="AE3213"/>
      <c r="AF3213"/>
      <c r="AG3213"/>
      <c r="AH3213"/>
      <c r="AI3213"/>
      <c r="AJ3213"/>
      <c r="AK3213"/>
      <c r="AL3213"/>
      <c r="AM3213"/>
      <c r="AN3213"/>
      <c r="AO3213"/>
    </row>
    <row r="3214" spans="1:41" ht="15">
      <c r="A3214"/>
      <c r="B3214"/>
      <c r="C3214" s="137"/>
      <c r="D3214" s="30"/>
      <c r="E3214" s="30"/>
      <c r="F3214" s="10"/>
      <c r="G3214" s="10"/>
      <c r="H3214" s="15"/>
      <c r="I3214" s="15"/>
      <c r="J3214" s="15"/>
      <c r="K3214" s="15"/>
      <c r="L3214" s="15"/>
      <c r="M3214" s="15"/>
      <c r="N3214" s="15"/>
      <c r="O3214" s="15"/>
      <c r="P3214" s="15"/>
      <c r="Q3214" s="71"/>
      <c r="R3214" s="84"/>
      <c r="S3214" s="10"/>
      <c r="T3214" s="10"/>
      <c r="U3214" s="10"/>
      <c r="V3214" s="10"/>
      <c r="W3214" s="138"/>
      <c r="Y3214"/>
      <c r="Z3214"/>
      <c r="AA3214"/>
      <c r="AB3214"/>
      <c r="AC3214"/>
      <c r="AD3214"/>
      <c r="AE3214"/>
      <c r="AF3214"/>
      <c r="AG3214"/>
      <c r="AH3214"/>
      <c r="AI3214"/>
      <c r="AJ3214"/>
      <c r="AK3214"/>
      <c r="AL3214"/>
      <c r="AM3214"/>
      <c r="AN3214"/>
      <c r="AO3214"/>
    </row>
    <row r="3215" spans="1:41" ht="15">
      <c r="A3215"/>
      <c r="B3215"/>
      <c r="C3215" s="137"/>
      <c r="D3215" s="30"/>
      <c r="E3215" s="30"/>
      <c r="F3215" s="10"/>
      <c r="G3215" s="10"/>
      <c r="H3215" s="15"/>
      <c r="I3215" s="15"/>
      <c r="J3215" s="15"/>
      <c r="K3215" s="15"/>
      <c r="L3215" s="15"/>
      <c r="M3215" s="15"/>
      <c r="N3215" s="15"/>
      <c r="O3215" s="15"/>
      <c r="P3215" s="15"/>
      <c r="Q3215" s="71"/>
      <c r="R3215" s="84"/>
      <c r="S3215" s="10"/>
      <c r="T3215" s="10"/>
      <c r="U3215" s="10"/>
      <c r="V3215" s="10"/>
      <c r="W3215" s="138"/>
      <c r="Y3215"/>
      <c r="Z3215"/>
      <c r="AA3215"/>
      <c r="AB3215"/>
      <c r="AC3215"/>
      <c r="AD3215"/>
      <c r="AE3215"/>
      <c r="AF3215"/>
      <c r="AG3215"/>
      <c r="AH3215"/>
      <c r="AI3215"/>
      <c r="AJ3215"/>
      <c r="AK3215"/>
      <c r="AL3215"/>
      <c r="AM3215"/>
      <c r="AN3215"/>
      <c r="AO3215"/>
    </row>
    <row r="3216" spans="1:41" ht="15">
      <c r="A3216"/>
      <c r="B3216"/>
      <c r="C3216" s="137"/>
      <c r="D3216" s="30"/>
      <c r="E3216" s="30"/>
      <c r="F3216" s="10"/>
      <c r="G3216" s="10"/>
      <c r="H3216" s="15"/>
      <c r="I3216" s="15"/>
      <c r="J3216" s="15"/>
      <c r="K3216" s="15"/>
      <c r="L3216" s="15"/>
      <c r="M3216" s="15"/>
      <c r="N3216" s="15"/>
      <c r="O3216" s="15"/>
      <c r="P3216" s="15"/>
      <c r="Q3216" s="71"/>
      <c r="R3216" s="84"/>
      <c r="S3216" s="10"/>
      <c r="T3216" s="10"/>
      <c r="U3216" s="10"/>
      <c r="V3216" s="10"/>
      <c r="W3216" s="138"/>
      <c r="Y3216"/>
      <c r="Z3216"/>
      <c r="AA3216"/>
      <c r="AB3216"/>
      <c r="AC3216"/>
      <c r="AD3216"/>
      <c r="AE3216"/>
      <c r="AF3216"/>
      <c r="AG3216"/>
      <c r="AH3216"/>
      <c r="AI3216"/>
      <c r="AJ3216"/>
      <c r="AK3216"/>
      <c r="AL3216"/>
      <c r="AM3216"/>
      <c r="AN3216"/>
      <c r="AO3216"/>
    </row>
    <row r="3217" spans="1:41" ht="15">
      <c r="A3217"/>
      <c r="B3217"/>
      <c r="C3217" s="137"/>
      <c r="D3217" s="30"/>
      <c r="E3217" s="30"/>
      <c r="F3217" s="10"/>
      <c r="G3217" s="10"/>
      <c r="H3217" s="15"/>
      <c r="I3217" s="15"/>
      <c r="J3217" s="15"/>
      <c r="K3217" s="15"/>
      <c r="L3217" s="15"/>
      <c r="M3217" s="15"/>
      <c r="N3217" s="15"/>
      <c r="O3217" s="15"/>
      <c r="P3217" s="15"/>
      <c r="Q3217" s="71"/>
      <c r="R3217" s="84"/>
      <c r="S3217" s="10"/>
      <c r="T3217" s="10"/>
      <c r="U3217" s="10"/>
      <c r="V3217" s="10"/>
      <c r="W3217" s="138"/>
      <c r="Y3217"/>
      <c r="Z3217"/>
      <c r="AA3217"/>
      <c r="AB3217"/>
      <c r="AC3217"/>
      <c r="AD3217"/>
      <c r="AE3217"/>
      <c r="AF3217"/>
      <c r="AG3217"/>
      <c r="AH3217"/>
      <c r="AI3217"/>
      <c r="AJ3217"/>
      <c r="AK3217"/>
      <c r="AL3217"/>
      <c r="AM3217"/>
      <c r="AN3217"/>
      <c r="AO3217"/>
    </row>
    <row r="3218" spans="1:41" ht="15">
      <c r="A3218"/>
      <c r="B3218"/>
      <c r="C3218" s="137"/>
      <c r="D3218" s="30"/>
      <c r="E3218" s="30"/>
      <c r="F3218" s="10"/>
      <c r="G3218" s="10"/>
      <c r="H3218" s="15"/>
      <c r="I3218" s="15"/>
      <c r="J3218" s="15"/>
      <c r="K3218" s="15"/>
      <c r="L3218" s="15"/>
      <c r="M3218" s="15"/>
      <c r="N3218" s="15"/>
      <c r="O3218" s="15"/>
      <c r="P3218" s="15"/>
      <c r="Q3218" s="71"/>
      <c r="R3218" s="84"/>
      <c r="S3218" s="10"/>
      <c r="T3218" s="10"/>
      <c r="U3218" s="10"/>
      <c r="V3218" s="10"/>
      <c r="W3218" s="138"/>
      <c r="Y3218"/>
      <c r="Z3218"/>
      <c r="AA3218"/>
      <c r="AB3218"/>
      <c r="AC3218"/>
      <c r="AD3218"/>
      <c r="AE3218"/>
      <c r="AF3218"/>
      <c r="AG3218"/>
      <c r="AH3218"/>
      <c r="AI3218"/>
      <c r="AJ3218"/>
      <c r="AK3218"/>
      <c r="AL3218"/>
      <c r="AM3218"/>
      <c r="AN3218"/>
      <c r="AO3218"/>
    </row>
    <row r="3219" spans="1:41" ht="15">
      <c r="A3219"/>
      <c r="B3219"/>
      <c r="C3219" s="137"/>
      <c r="D3219" s="30"/>
      <c r="E3219" s="30"/>
      <c r="F3219" s="10"/>
      <c r="G3219" s="10"/>
      <c r="H3219" s="15"/>
      <c r="I3219" s="15"/>
      <c r="J3219" s="15"/>
      <c r="K3219" s="15"/>
      <c r="L3219" s="15"/>
      <c r="M3219" s="15"/>
      <c r="N3219" s="15"/>
      <c r="O3219" s="15"/>
      <c r="P3219" s="15"/>
      <c r="Q3219" s="71"/>
      <c r="R3219" s="84"/>
      <c r="S3219" s="10"/>
      <c r="T3219" s="10"/>
      <c r="U3219" s="10"/>
      <c r="V3219" s="10"/>
      <c r="W3219" s="138"/>
      <c r="Y3219"/>
      <c r="Z3219"/>
      <c r="AA3219"/>
      <c r="AB3219"/>
      <c r="AC3219"/>
      <c r="AD3219"/>
      <c r="AE3219"/>
      <c r="AF3219"/>
      <c r="AG3219"/>
      <c r="AH3219"/>
      <c r="AI3219"/>
      <c r="AJ3219"/>
      <c r="AK3219"/>
      <c r="AL3219"/>
      <c r="AM3219"/>
      <c r="AN3219"/>
      <c r="AO3219"/>
    </row>
    <row r="3220" spans="1:41" ht="15">
      <c r="A3220"/>
      <c r="B3220"/>
      <c r="C3220" s="137"/>
      <c r="D3220" s="30"/>
      <c r="E3220" s="30"/>
      <c r="F3220" s="10"/>
      <c r="G3220" s="10"/>
      <c r="H3220" s="15"/>
      <c r="I3220" s="15"/>
      <c r="J3220" s="15"/>
      <c r="K3220" s="15"/>
      <c r="L3220" s="15"/>
      <c r="M3220" s="15"/>
      <c r="N3220" s="15"/>
      <c r="O3220" s="15"/>
      <c r="P3220" s="15"/>
      <c r="Q3220" s="71"/>
      <c r="R3220" s="84"/>
      <c r="S3220" s="10"/>
      <c r="T3220" s="10"/>
      <c r="U3220" s="10"/>
      <c r="V3220" s="10"/>
      <c r="W3220" s="138"/>
      <c r="Y3220"/>
      <c r="Z3220"/>
      <c r="AA3220"/>
      <c r="AB3220"/>
      <c r="AC3220"/>
      <c r="AD3220"/>
      <c r="AE3220"/>
      <c r="AF3220"/>
      <c r="AG3220"/>
      <c r="AH3220"/>
      <c r="AI3220"/>
      <c r="AJ3220"/>
      <c r="AK3220"/>
      <c r="AL3220"/>
      <c r="AM3220"/>
      <c r="AN3220"/>
      <c r="AO3220"/>
    </row>
    <row r="3221" spans="1:41" ht="15">
      <c r="A3221"/>
      <c r="B3221"/>
      <c r="C3221" s="137"/>
      <c r="D3221" s="30"/>
      <c r="E3221" s="30"/>
      <c r="F3221" s="10"/>
      <c r="G3221" s="10"/>
      <c r="H3221" s="15"/>
      <c r="I3221" s="15"/>
      <c r="J3221" s="15"/>
      <c r="K3221" s="15"/>
      <c r="L3221" s="15"/>
      <c r="M3221" s="15"/>
      <c r="N3221" s="15"/>
      <c r="O3221" s="15"/>
      <c r="P3221" s="15"/>
      <c r="Q3221" s="71"/>
      <c r="R3221" s="84"/>
      <c r="S3221" s="10"/>
      <c r="T3221" s="10"/>
      <c r="U3221" s="10"/>
      <c r="V3221" s="10"/>
      <c r="W3221" s="138"/>
      <c r="Y3221"/>
      <c r="Z3221"/>
      <c r="AA3221"/>
      <c r="AB3221"/>
      <c r="AC3221"/>
      <c r="AD3221"/>
      <c r="AE3221"/>
      <c r="AF3221"/>
      <c r="AG3221"/>
      <c r="AH3221"/>
      <c r="AI3221"/>
      <c r="AJ3221"/>
      <c r="AK3221"/>
      <c r="AL3221"/>
      <c r="AM3221"/>
      <c r="AN3221"/>
      <c r="AO3221"/>
    </row>
    <row r="3222" spans="1:41" ht="15">
      <c r="A3222"/>
      <c r="B3222"/>
      <c r="C3222" s="137"/>
      <c r="D3222" s="30"/>
      <c r="E3222" s="30"/>
      <c r="F3222" s="10"/>
      <c r="G3222" s="10"/>
      <c r="H3222" s="15"/>
      <c r="I3222" s="15"/>
      <c r="J3222" s="15"/>
      <c r="K3222" s="15"/>
      <c r="L3222" s="15"/>
      <c r="M3222" s="15"/>
      <c r="N3222" s="15"/>
      <c r="O3222" s="15"/>
      <c r="P3222" s="15"/>
      <c r="Q3222" s="71"/>
      <c r="R3222" s="84"/>
      <c r="S3222" s="10"/>
      <c r="T3222" s="10"/>
      <c r="U3222" s="10"/>
      <c r="V3222" s="10"/>
      <c r="W3222" s="138"/>
      <c r="Y3222"/>
      <c r="Z3222"/>
      <c r="AA3222"/>
      <c r="AB3222"/>
      <c r="AC3222"/>
      <c r="AD3222"/>
      <c r="AE3222"/>
      <c r="AF3222"/>
      <c r="AG3222"/>
      <c r="AH3222"/>
      <c r="AI3222"/>
      <c r="AJ3222"/>
      <c r="AK3222"/>
      <c r="AL3222"/>
      <c r="AM3222"/>
      <c r="AN3222"/>
      <c r="AO3222"/>
    </row>
    <row r="3223" spans="1:41" ht="15">
      <c r="A3223"/>
      <c r="B3223"/>
      <c r="C3223" s="137"/>
      <c r="D3223" s="30"/>
      <c r="E3223" s="30"/>
      <c r="F3223" s="10"/>
      <c r="G3223" s="10"/>
      <c r="H3223" s="15"/>
      <c r="I3223" s="15"/>
      <c r="J3223" s="15"/>
      <c r="K3223" s="15"/>
      <c r="L3223" s="15"/>
      <c r="M3223" s="15"/>
      <c r="N3223" s="15"/>
      <c r="O3223" s="15"/>
      <c r="P3223" s="15"/>
      <c r="Q3223" s="71"/>
      <c r="R3223" s="84"/>
      <c r="S3223" s="10"/>
      <c r="T3223" s="10"/>
      <c r="U3223" s="10"/>
      <c r="V3223" s="10"/>
      <c r="W3223" s="138"/>
      <c r="Y3223"/>
      <c r="Z3223"/>
      <c r="AA3223"/>
      <c r="AB3223"/>
      <c r="AC3223"/>
      <c r="AD3223"/>
      <c r="AE3223"/>
      <c r="AF3223"/>
      <c r="AG3223"/>
      <c r="AH3223"/>
      <c r="AI3223"/>
      <c r="AJ3223"/>
      <c r="AK3223"/>
      <c r="AL3223"/>
      <c r="AM3223"/>
      <c r="AN3223"/>
      <c r="AO3223"/>
    </row>
    <row r="3224" spans="1:41" ht="15">
      <c r="A3224"/>
      <c r="B3224"/>
      <c r="C3224" s="137"/>
      <c r="D3224" s="30"/>
      <c r="E3224" s="30"/>
      <c r="F3224" s="10"/>
      <c r="G3224" s="10"/>
      <c r="H3224" s="15"/>
      <c r="I3224" s="15"/>
      <c r="J3224" s="15"/>
      <c r="K3224" s="15"/>
      <c r="L3224" s="15"/>
      <c r="M3224" s="15"/>
      <c r="N3224" s="15"/>
      <c r="O3224" s="15"/>
      <c r="P3224" s="15"/>
      <c r="Q3224" s="71"/>
      <c r="R3224" s="84"/>
      <c r="S3224" s="10"/>
      <c r="T3224" s="10"/>
      <c r="U3224" s="10"/>
      <c r="V3224" s="10"/>
      <c r="W3224" s="138"/>
      <c r="Y3224"/>
      <c r="Z3224"/>
      <c r="AA3224"/>
      <c r="AB3224"/>
      <c r="AC3224"/>
      <c r="AD3224"/>
      <c r="AE3224"/>
      <c r="AF3224"/>
      <c r="AG3224"/>
      <c r="AH3224"/>
      <c r="AI3224"/>
      <c r="AJ3224"/>
      <c r="AK3224"/>
      <c r="AL3224"/>
      <c r="AM3224"/>
      <c r="AN3224"/>
      <c r="AO3224"/>
    </row>
    <row r="3225" spans="1:41" ht="15">
      <c r="A3225"/>
      <c r="B3225"/>
      <c r="C3225" s="137"/>
      <c r="D3225" s="30"/>
      <c r="E3225" s="30"/>
      <c r="F3225" s="10"/>
      <c r="G3225" s="10"/>
      <c r="H3225" s="15"/>
      <c r="I3225" s="15"/>
      <c r="J3225" s="15"/>
      <c r="K3225" s="15"/>
      <c r="L3225" s="15"/>
      <c r="M3225" s="15"/>
      <c r="N3225" s="15"/>
      <c r="O3225" s="15"/>
      <c r="P3225" s="15"/>
      <c r="Q3225" s="71"/>
      <c r="R3225" s="84"/>
      <c r="S3225" s="10"/>
      <c r="T3225" s="10"/>
      <c r="U3225" s="10"/>
      <c r="V3225" s="10"/>
      <c r="W3225" s="138"/>
      <c r="Y3225"/>
      <c r="Z3225"/>
      <c r="AA3225"/>
      <c r="AB3225"/>
      <c r="AC3225"/>
      <c r="AD3225"/>
      <c r="AE3225"/>
      <c r="AF3225"/>
      <c r="AG3225"/>
      <c r="AH3225"/>
      <c r="AI3225"/>
      <c r="AJ3225"/>
      <c r="AK3225"/>
      <c r="AL3225"/>
      <c r="AM3225"/>
      <c r="AN3225"/>
      <c r="AO3225"/>
    </row>
    <row r="3226" spans="1:41" ht="15">
      <c r="A3226"/>
      <c r="B3226"/>
      <c r="C3226" s="137"/>
      <c r="D3226" s="30"/>
      <c r="E3226" s="30"/>
      <c r="F3226" s="10"/>
      <c r="G3226" s="10"/>
      <c r="H3226" s="15"/>
      <c r="I3226" s="15"/>
      <c r="J3226" s="15"/>
      <c r="K3226" s="15"/>
      <c r="L3226" s="15"/>
      <c r="M3226" s="15"/>
      <c r="N3226" s="15"/>
      <c r="O3226" s="15"/>
      <c r="P3226" s="15"/>
      <c r="Q3226" s="71"/>
      <c r="R3226" s="84"/>
      <c r="S3226" s="10"/>
      <c r="T3226" s="10"/>
      <c r="U3226" s="10"/>
      <c r="V3226" s="10"/>
      <c r="W3226" s="138"/>
      <c r="Y3226"/>
      <c r="Z3226"/>
      <c r="AA3226"/>
      <c r="AB3226"/>
      <c r="AC3226"/>
      <c r="AD3226"/>
      <c r="AE3226"/>
      <c r="AF3226"/>
      <c r="AG3226"/>
      <c r="AH3226"/>
      <c r="AI3226"/>
      <c r="AJ3226"/>
      <c r="AK3226"/>
      <c r="AL3226"/>
      <c r="AM3226"/>
      <c r="AN3226"/>
      <c r="AO3226"/>
    </row>
    <row r="3227" spans="1:41" ht="15">
      <c r="A3227"/>
      <c r="B3227"/>
      <c r="C3227" s="137"/>
      <c r="D3227" s="30"/>
      <c r="E3227" s="30"/>
      <c r="F3227" s="10"/>
      <c r="G3227" s="10"/>
      <c r="H3227" s="15"/>
      <c r="I3227" s="15"/>
      <c r="J3227" s="15"/>
      <c r="K3227" s="15"/>
      <c r="L3227" s="15"/>
      <c r="M3227" s="15"/>
      <c r="N3227" s="15"/>
      <c r="O3227" s="15"/>
      <c r="P3227" s="15"/>
      <c r="Q3227" s="71"/>
      <c r="R3227" s="84"/>
      <c r="S3227" s="10"/>
      <c r="T3227" s="10"/>
      <c r="U3227" s="10"/>
      <c r="V3227" s="10"/>
      <c r="W3227" s="138"/>
      <c r="Y3227"/>
      <c r="Z3227"/>
      <c r="AA3227"/>
      <c r="AB3227"/>
      <c r="AC3227"/>
      <c r="AD3227"/>
      <c r="AE3227"/>
      <c r="AF3227"/>
      <c r="AG3227"/>
      <c r="AH3227"/>
      <c r="AI3227"/>
      <c r="AJ3227"/>
      <c r="AK3227"/>
      <c r="AL3227"/>
      <c r="AM3227"/>
      <c r="AN3227"/>
      <c r="AO3227"/>
    </row>
    <row r="3228" spans="1:41" ht="15">
      <c r="A3228"/>
      <c r="B3228"/>
      <c r="C3228" s="137"/>
      <c r="D3228" s="30"/>
      <c r="E3228" s="30"/>
      <c r="F3228" s="10"/>
      <c r="G3228" s="10"/>
      <c r="H3228" s="15"/>
      <c r="I3228" s="15"/>
      <c r="J3228" s="15"/>
      <c r="K3228" s="15"/>
      <c r="L3228" s="15"/>
      <c r="M3228" s="15"/>
      <c r="N3228" s="15"/>
      <c r="O3228" s="15"/>
      <c r="P3228" s="15"/>
      <c r="Q3228" s="71"/>
      <c r="R3228" s="84"/>
      <c r="S3228" s="10"/>
      <c r="T3228" s="10"/>
      <c r="U3228" s="10"/>
      <c r="V3228" s="10"/>
      <c r="W3228" s="138"/>
      <c r="Y3228"/>
      <c r="Z3228"/>
      <c r="AA3228"/>
      <c r="AB3228"/>
      <c r="AC3228"/>
      <c r="AD3228"/>
      <c r="AE3228"/>
      <c r="AF3228"/>
      <c r="AG3228"/>
      <c r="AH3228"/>
      <c r="AI3228"/>
      <c r="AJ3228"/>
      <c r="AK3228"/>
      <c r="AL3228"/>
      <c r="AM3228"/>
      <c r="AN3228"/>
      <c r="AO3228"/>
    </row>
    <row r="3229" spans="1:41" ht="15">
      <c r="A3229"/>
      <c r="B3229"/>
      <c r="C3229" s="137"/>
      <c r="D3229" s="30"/>
      <c r="E3229" s="30"/>
      <c r="F3229" s="10"/>
      <c r="G3229" s="10"/>
      <c r="H3229" s="15"/>
      <c r="I3229" s="15"/>
      <c r="J3229" s="15"/>
      <c r="K3229" s="15"/>
      <c r="L3229" s="15"/>
      <c r="M3229" s="15"/>
      <c r="N3229" s="15"/>
      <c r="O3229" s="15"/>
      <c r="P3229" s="15"/>
      <c r="Q3229" s="71"/>
      <c r="R3229" s="84"/>
      <c r="S3229" s="10"/>
      <c r="T3229" s="10"/>
      <c r="U3229" s="10"/>
      <c r="V3229" s="10"/>
      <c r="W3229" s="138"/>
      <c r="Y3229"/>
      <c r="Z3229"/>
      <c r="AA3229"/>
      <c r="AB3229"/>
      <c r="AC3229"/>
      <c r="AD3229"/>
      <c r="AE3229"/>
      <c r="AF3229"/>
      <c r="AG3229"/>
      <c r="AH3229"/>
      <c r="AI3229"/>
      <c r="AJ3229"/>
      <c r="AK3229"/>
      <c r="AL3229"/>
      <c r="AM3229"/>
      <c r="AN3229"/>
      <c r="AO3229"/>
    </row>
    <row r="3230" spans="1:41" ht="15">
      <c r="A3230"/>
      <c r="B3230"/>
      <c r="C3230" s="137"/>
      <c r="D3230" s="30"/>
      <c r="E3230" s="30"/>
      <c r="F3230" s="10"/>
      <c r="G3230" s="10"/>
      <c r="H3230" s="15"/>
      <c r="I3230" s="15"/>
      <c r="J3230" s="15"/>
      <c r="K3230" s="15"/>
      <c r="L3230" s="15"/>
      <c r="M3230" s="15"/>
      <c r="N3230" s="15"/>
      <c r="O3230" s="15"/>
      <c r="P3230" s="15"/>
      <c r="Q3230" s="71"/>
      <c r="R3230" s="84"/>
      <c r="S3230" s="10"/>
      <c r="T3230" s="10"/>
      <c r="U3230" s="10"/>
      <c r="V3230" s="10"/>
      <c r="W3230" s="138"/>
      <c r="Y3230"/>
      <c r="Z3230"/>
      <c r="AA3230"/>
      <c r="AB3230"/>
      <c r="AC3230"/>
      <c r="AD3230"/>
      <c r="AE3230"/>
      <c r="AF3230"/>
      <c r="AG3230"/>
      <c r="AH3230"/>
      <c r="AI3230"/>
      <c r="AJ3230"/>
      <c r="AK3230"/>
      <c r="AL3230"/>
      <c r="AM3230"/>
      <c r="AN3230"/>
      <c r="AO3230"/>
    </row>
    <row r="3231" spans="1:41" ht="15">
      <c r="A3231"/>
      <c r="B3231"/>
      <c r="C3231" s="137"/>
      <c r="D3231" s="30"/>
      <c r="E3231" s="30"/>
      <c r="F3231" s="10"/>
      <c r="G3231" s="10"/>
      <c r="H3231" s="15"/>
      <c r="I3231" s="15"/>
      <c r="J3231" s="15"/>
      <c r="K3231" s="15"/>
      <c r="L3231" s="15"/>
      <c r="M3231" s="15"/>
      <c r="N3231" s="15"/>
      <c r="O3231" s="15"/>
      <c r="P3231" s="15"/>
      <c r="Q3231" s="71"/>
      <c r="R3231" s="84"/>
      <c r="S3231" s="10"/>
      <c r="T3231" s="10"/>
      <c r="U3231" s="10"/>
      <c r="V3231" s="10"/>
      <c r="W3231" s="138"/>
      <c r="Y3231"/>
      <c r="Z3231"/>
      <c r="AA3231"/>
      <c r="AB3231"/>
      <c r="AC3231"/>
      <c r="AD3231"/>
      <c r="AE3231"/>
      <c r="AF3231"/>
      <c r="AG3231"/>
      <c r="AH3231"/>
      <c r="AI3231"/>
      <c r="AJ3231"/>
      <c r="AK3231"/>
      <c r="AL3231"/>
      <c r="AM3231"/>
      <c r="AN3231"/>
      <c r="AO3231"/>
    </row>
    <row r="3232" spans="1:41" ht="15">
      <c r="A3232"/>
      <c r="B3232"/>
      <c r="C3232" s="137"/>
      <c r="D3232" s="30"/>
      <c r="E3232" s="30"/>
      <c r="F3232" s="10"/>
      <c r="G3232" s="10"/>
      <c r="H3232" s="15"/>
      <c r="I3232" s="15"/>
      <c r="J3232" s="15"/>
      <c r="K3232" s="15"/>
      <c r="L3232" s="15"/>
      <c r="M3232" s="15"/>
      <c r="N3232" s="15"/>
      <c r="O3232" s="15"/>
      <c r="P3232" s="15"/>
      <c r="Q3232" s="71"/>
      <c r="R3232" s="84"/>
      <c r="S3232" s="10"/>
      <c r="T3232" s="10"/>
      <c r="U3232" s="10"/>
      <c r="V3232" s="10"/>
      <c r="W3232" s="138"/>
      <c r="Y3232"/>
      <c r="Z3232"/>
      <c r="AA3232"/>
      <c r="AB3232"/>
      <c r="AC3232"/>
      <c r="AD3232"/>
      <c r="AE3232"/>
      <c r="AF3232"/>
      <c r="AG3232"/>
      <c r="AH3232"/>
      <c r="AI3232"/>
      <c r="AJ3232"/>
      <c r="AK3232"/>
      <c r="AL3232"/>
      <c r="AM3232"/>
      <c r="AN3232"/>
      <c r="AO3232"/>
    </row>
    <row r="3233" spans="1:41" ht="15">
      <c r="A3233"/>
      <c r="B3233"/>
      <c r="C3233" s="137"/>
      <c r="D3233" s="30"/>
      <c r="E3233" s="30"/>
      <c r="F3233" s="10"/>
      <c r="G3233" s="10"/>
      <c r="H3233" s="15"/>
      <c r="I3233" s="15"/>
      <c r="J3233" s="15"/>
      <c r="K3233" s="15"/>
      <c r="L3233" s="15"/>
      <c r="M3233" s="15"/>
      <c r="N3233" s="15"/>
      <c r="O3233" s="15"/>
      <c r="P3233" s="15"/>
      <c r="Q3233" s="71"/>
      <c r="R3233" s="84"/>
      <c r="S3233" s="10"/>
      <c r="T3233" s="10"/>
      <c r="U3233" s="10"/>
      <c r="V3233" s="10"/>
      <c r="W3233" s="138"/>
      <c r="Y3233"/>
      <c r="Z3233"/>
      <c r="AA3233"/>
      <c r="AB3233"/>
      <c r="AC3233"/>
      <c r="AD3233"/>
      <c r="AE3233"/>
      <c r="AF3233"/>
      <c r="AG3233"/>
      <c r="AH3233"/>
      <c r="AI3233"/>
      <c r="AJ3233"/>
      <c r="AK3233"/>
      <c r="AL3233"/>
      <c r="AM3233"/>
      <c r="AN3233"/>
      <c r="AO3233"/>
    </row>
    <row r="3234" spans="1:41" ht="15">
      <c r="A3234"/>
      <c r="B3234"/>
      <c r="C3234" s="137"/>
      <c r="D3234" s="30"/>
      <c r="E3234" s="30"/>
      <c r="F3234" s="10"/>
      <c r="G3234" s="10"/>
      <c r="H3234" s="15"/>
      <c r="I3234" s="15"/>
      <c r="J3234" s="15"/>
      <c r="K3234" s="15"/>
      <c r="L3234" s="15"/>
      <c r="M3234" s="15"/>
      <c r="N3234" s="15"/>
      <c r="O3234" s="15"/>
      <c r="P3234" s="15"/>
      <c r="Q3234" s="71"/>
      <c r="R3234" s="84"/>
      <c r="S3234" s="10"/>
      <c r="T3234" s="10"/>
      <c r="U3234" s="10"/>
      <c r="V3234" s="10"/>
      <c r="W3234" s="138"/>
      <c r="Y3234"/>
      <c r="Z3234"/>
      <c r="AA3234"/>
      <c r="AB3234"/>
      <c r="AC3234"/>
      <c r="AD3234"/>
      <c r="AE3234"/>
      <c r="AF3234"/>
      <c r="AG3234"/>
      <c r="AH3234"/>
      <c r="AI3234"/>
      <c r="AJ3234"/>
      <c r="AK3234"/>
      <c r="AL3234"/>
      <c r="AM3234"/>
      <c r="AN3234"/>
      <c r="AO3234"/>
    </row>
    <row r="3235" spans="1:41" ht="15">
      <c r="A3235"/>
      <c r="B3235"/>
      <c r="C3235" s="137"/>
      <c r="D3235" s="30"/>
      <c r="E3235" s="30"/>
      <c r="F3235" s="10"/>
      <c r="G3235" s="10"/>
      <c r="H3235" s="15"/>
      <c r="I3235" s="15"/>
      <c r="J3235" s="15"/>
      <c r="K3235" s="15"/>
      <c r="L3235" s="15"/>
      <c r="M3235" s="15"/>
      <c r="N3235" s="15"/>
      <c r="O3235" s="15"/>
      <c r="P3235" s="15"/>
      <c r="Q3235" s="71"/>
      <c r="R3235" s="84"/>
      <c r="S3235" s="10"/>
      <c r="T3235" s="10"/>
      <c r="U3235" s="10"/>
      <c r="V3235" s="10"/>
      <c r="W3235" s="138"/>
      <c r="Y3235"/>
      <c r="Z3235"/>
      <c r="AA3235"/>
      <c r="AB3235"/>
      <c r="AC3235"/>
      <c r="AD3235"/>
      <c r="AE3235"/>
      <c r="AF3235"/>
      <c r="AG3235"/>
      <c r="AH3235"/>
      <c r="AI3235"/>
      <c r="AJ3235"/>
      <c r="AK3235"/>
      <c r="AL3235"/>
      <c r="AM3235"/>
      <c r="AN3235"/>
      <c r="AO3235"/>
    </row>
    <row r="3236" spans="1:41" ht="15">
      <c r="A3236"/>
      <c r="B3236"/>
      <c r="C3236" s="137"/>
      <c r="D3236" s="30"/>
      <c r="E3236" s="30"/>
      <c r="F3236" s="10"/>
      <c r="G3236" s="10"/>
      <c r="H3236" s="15"/>
      <c r="I3236" s="15"/>
      <c r="J3236" s="15"/>
      <c r="K3236" s="15"/>
      <c r="L3236" s="15"/>
      <c r="M3236" s="15"/>
      <c r="N3236" s="15"/>
      <c r="O3236" s="15"/>
      <c r="P3236" s="15"/>
      <c r="Q3236" s="71"/>
      <c r="R3236" s="84"/>
      <c r="S3236" s="10"/>
      <c r="T3236" s="10"/>
      <c r="U3236" s="10"/>
      <c r="V3236" s="10"/>
      <c r="W3236" s="138"/>
      <c r="Y3236"/>
      <c r="Z3236"/>
      <c r="AA3236"/>
      <c r="AB3236"/>
      <c r="AC3236"/>
      <c r="AD3236"/>
      <c r="AE3236"/>
      <c r="AF3236"/>
      <c r="AG3236"/>
      <c r="AH3236"/>
      <c r="AI3236"/>
      <c r="AJ3236"/>
      <c r="AK3236"/>
      <c r="AL3236"/>
      <c r="AM3236"/>
      <c r="AN3236"/>
      <c r="AO3236"/>
    </row>
    <row r="3237" spans="1:41" ht="15">
      <c r="A3237"/>
      <c r="B3237"/>
      <c r="C3237" s="137"/>
      <c r="D3237" s="30"/>
      <c r="E3237" s="30"/>
      <c r="F3237" s="10"/>
      <c r="G3237" s="10"/>
      <c r="H3237" s="15"/>
      <c r="I3237" s="15"/>
      <c r="J3237" s="15"/>
      <c r="K3237" s="15"/>
      <c r="L3237" s="15"/>
      <c r="M3237" s="15"/>
      <c r="N3237" s="15"/>
      <c r="O3237" s="15"/>
      <c r="P3237" s="15"/>
      <c r="Q3237" s="71"/>
      <c r="R3237" s="84"/>
      <c r="S3237" s="10"/>
      <c r="T3237" s="10"/>
      <c r="U3237" s="10"/>
      <c r="V3237" s="10"/>
      <c r="W3237" s="138"/>
      <c r="Y3237"/>
      <c r="Z3237"/>
      <c r="AA3237"/>
      <c r="AB3237"/>
      <c r="AC3237"/>
      <c r="AD3237"/>
      <c r="AE3237"/>
      <c r="AF3237"/>
      <c r="AG3237"/>
      <c r="AH3237"/>
      <c r="AI3237"/>
      <c r="AJ3237"/>
      <c r="AK3237"/>
      <c r="AL3237"/>
      <c r="AM3237"/>
      <c r="AN3237"/>
      <c r="AO3237"/>
    </row>
    <row r="3238" spans="1:41" ht="15">
      <c r="A3238"/>
      <c r="B3238"/>
      <c r="C3238" s="137"/>
      <c r="D3238" s="30"/>
      <c r="E3238" s="30"/>
      <c r="F3238" s="10"/>
      <c r="G3238" s="10"/>
      <c r="H3238" s="15"/>
      <c r="I3238" s="15"/>
      <c r="J3238" s="15"/>
      <c r="K3238" s="15"/>
      <c r="L3238" s="15"/>
      <c r="M3238" s="15"/>
      <c r="N3238" s="15"/>
      <c r="O3238" s="15"/>
      <c r="P3238" s="15"/>
      <c r="Q3238" s="71"/>
      <c r="R3238" s="84"/>
      <c r="S3238" s="10"/>
      <c r="T3238" s="10"/>
      <c r="U3238" s="10"/>
      <c r="V3238" s="10"/>
      <c r="W3238" s="138"/>
      <c r="Y3238"/>
      <c r="Z3238"/>
      <c r="AA3238"/>
      <c r="AB3238"/>
      <c r="AC3238"/>
      <c r="AD3238"/>
      <c r="AE3238"/>
      <c r="AF3238"/>
      <c r="AG3238"/>
      <c r="AH3238"/>
      <c r="AI3238"/>
      <c r="AJ3238"/>
      <c r="AK3238"/>
      <c r="AL3238"/>
      <c r="AM3238"/>
      <c r="AN3238"/>
      <c r="AO3238"/>
    </row>
    <row r="3239" spans="1:41" ht="15">
      <c r="A3239"/>
      <c r="B3239"/>
      <c r="C3239" s="137"/>
      <c r="D3239" s="30"/>
      <c r="E3239" s="30"/>
      <c r="F3239" s="10"/>
      <c r="G3239" s="10"/>
      <c r="H3239" s="15"/>
      <c r="I3239" s="15"/>
      <c r="J3239" s="15"/>
      <c r="K3239" s="15"/>
      <c r="L3239" s="15"/>
      <c r="M3239" s="15"/>
      <c r="N3239" s="15"/>
      <c r="O3239" s="15"/>
      <c r="P3239" s="15"/>
      <c r="Q3239" s="71"/>
      <c r="R3239" s="84"/>
      <c r="S3239" s="10"/>
      <c r="T3239" s="10"/>
      <c r="U3239" s="10"/>
      <c r="V3239" s="10"/>
      <c r="W3239" s="138"/>
      <c r="Y3239"/>
      <c r="Z3239"/>
      <c r="AA3239"/>
      <c r="AB3239"/>
      <c r="AC3239"/>
      <c r="AD3239"/>
      <c r="AE3239"/>
      <c r="AF3239"/>
      <c r="AG3239"/>
      <c r="AH3239"/>
      <c r="AI3239"/>
      <c r="AJ3239"/>
      <c r="AK3239"/>
      <c r="AL3239"/>
      <c r="AM3239"/>
      <c r="AN3239"/>
      <c r="AO3239"/>
    </row>
    <row r="3240" spans="1:41" ht="15">
      <c r="A3240"/>
      <c r="B3240"/>
      <c r="C3240" s="137"/>
      <c r="D3240" s="30"/>
      <c r="E3240" s="30"/>
      <c r="F3240" s="10"/>
      <c r="G3240" s="10"/>
      <c r="H3240" s="15"/>
      <c r="I3240" s="15"/>
      <c r="J3240" s="15"/>
      <c r="K3240" s="15"/>
      <c r="L3240" s="15"/>
      <c r="M3240" s="15"/>
      <c r="N3240" s="15"/>
      <c r="O3240" s="15"/>
      <c r="P3240" s="15"/>
      <c r="Q3240" s="71"/>
      <c r="R3240" s="84"/>
      <c r="S3240" s="10"/>
      <c r="T3240" s="10"/>
      <c r="U3240" s="10"/>
      <c r="V3240" s="10"/>
      <c r="W3240" s="138"/>
      <c r="Y3240"/>
      <c r="Z3240"/>
      <c r="AA3240"/>
      <c r="AB3240"/>
      <c r="AC3240"/>
      <c r="AD3240"/>
      <c r="AE3240"/>
      <c r="AF3240"/>
      <c r="AG3240"/>
      <c r="AH3240"/>
      <c r="AI3240"/>
      <c r="AJ3240"/>
      <c r="AK3240"/>
      <c r="AL3240"/>
      <c r="AM3240"/>
      <c r="AN3240"/>
      <c r="AO3240"/>
    </row>
    <row r="3241" spans="1:41" ht="15">
      <c r="A3241"/>
      <c r="B3241"/>
      <c r="C3241" s="137"/>
      <c r="D3241" s="30"/>
      <c r="E3241" s="30"/>
      <c r="F3241" s="10"/>
      <c r="G3241" s="10"/>
      <c r="H3241" s="15"/>
      <c r="I3241" s="15"/>
      <c r="J3241" s="15"/>
      <c r="K3241" s="15"/>
      <c r="L3241" s="15"/>
      <c r="M3241" s="15"/>
      <c r="N3241" s="15"/>
      <c r="O3241" s="15"/>
      <c r="P3241" s="15"/>
      <c r="Q3241" s="71"/>
      <c r="R3241" s="84"/>
      <c r="S3241" s="10"/>
      <c r="T3241" s="10"/>
      <c r="U3241" s="10"/>
      <c r="V3241" s="10"/>
      <c r="W3241" s="138"/>
      <c r="Y3241"/>
      <c r="Z3241"/>
      <c r="AA3241"/>
      <c r="AB3241"/>
      <c r="AC3241"/>
      <c r="AD3241"/>
      <c r="AE3241"/>
      <c r="AF3241"/>
      <c r="AG3241"/>
      <c r="AH3241"/>
      <c r="AI3241"/>
      <c r="AJ3241"/>
      <c r="AK3241"/>
      <c r="AL3241"/>
      <c r="AM3241"/>
      <c r="AN3241"/>
      <c r="AO3241"/>
    </row>
    <row r="3242" spans="1:41" ht="15">
      <c r="A3242"/>
      <c r="B3242"/>
      <c r="C3242" s="137"/>
      <c r="D3242" s="30"/>
      <c r="E3242" s="30"/>
      <c r="F3242" s="10"/>
      <c r="G3242" s="10"/>
      <c r="H3242" s="15"/>
      <c r="I3242" s="15"/>
      <c r="J3242" s="15"/>
      <c r="K3242" s="15"/>
      <c r="L3242" s="15"/>
      <c r="M3242" s="15"/>
      <c r="N3242" s="15"/>
      <c r="O3242" s="15"/>
      <c r="P3242" s="15"/>
      <c r="Q3242" s="71"/>
      <c r="R3242" s="84"/>
      <c r="S3242" s="10"/>
      <c r="T3242" s="10"/>
      <c r="U3242" s="10"/>
      <c r="V3242" s="10"/>
      <c r="W3242" s="138"/>
      <c r="Y3242"/>
      <c r="Z3242"/>
      <c r="AA3242"/>
      <c r="AB3242"/>
      <c r="AC3242"/>
      <c r="AD3242"/>
      <c r="AE3242"/>
      <c r="AF3242"/>
      <c r="AG3242"/>
      <c r="AH3242"/>
      <c r="AI3242"/>
      <c r="AJ3242"/>
      <c r="AK3242"/>
      <c r="AL3242"/>
      <c r="AM3242"/>
      <c r="AN3242"/>
      <c r="AO3242"/>
    </row>
    <row r="3243" spans="1:41" ht="15">
      <c r="A3243"/>
      <c r="B3243"/>
      <c r="C3243" s="137"/>
      <c r="D3243" s="30"/>
      <c r="E3243" s="30"/>
      <c r="F3243" s="10"/>
      <c r="G3243" s="10"/>
      <c r="H3243" s="15"/>
      <c r="I3243" s="15"/>
      <c r="J3243" s="15"/>
      <c r="K3243" s="15"/>
      <c r="L3243" s="15"/>
      <c r="M3243" s="15"/>
      <c r="N3243" s="15"/>
      <c r="O3243" s="15"/>
      <c r="P3243" s="15"/>
      <c r="Q3243" s="71"/>
      <c r="R3243" s="84"/>
      <c r="S3243" s="10"/>
      <c r="T3243" s="10"/>
      <c r="U3243" s="10"/>
      <c r="V3243" s="10"/>
      <c r="W3243" s="138"/>
      <c r="Y3243"/>
      <c r="Z3243"/>
      <c r="AA3243"/>
      <c r="AB3243"/>
      <c r="AC3243"/>
      <c r="AD3243"/>
      <c r="AE3243"/>
      <c r="AF3243"/>
      <c r="AG3243"/>
      <c r="AH3243"/>
      <c r="AI3243"/>
      <c r="AJ3243"/>
      <c r="AK3243"/>
      <c r="AL3243"/>
      <c r="AM3243"/>
      <c r="AN3243"/>
      <c r="AO3243"/>
    </row>
    <row r="3244" spans="1:41" ht="15">
      <c r="A3244"/>
      <c r="B3244"/>
      <c r="C3244" s="137"/>
      <c r="D3244" s="30"/>
      <c r="E3244" s="30"/>
      <c r="F3244" s="10"/>
      <c r="G3244" s="10"/>
      <c r="H3244" s="15"/>
      <c r="I3244" s="15"/>
      <c r="J3244" s="15"/>
      <c r="K3244" s="15"/>
      <c r="L3244" s="15"/>
      <c r="M3244" s="15"/>
      <c r="N3244" s="15"/>
      <c r="O3244" s="15"/>
      <c r="P3244" s="15"/>
      <c r="Q3244" s="71"/>
      <c r="R3244" s="84"/>
      <c r="S3244" s="10"/>
      <c r="T3244" s="10"/>
      <c r="U3244" s="10"/>
      <c r="V3244" s="10"/>
      <c r="W3244" s="138"/>
      <c r="Y3244"/>
      <c r="Z3244"/>
      <c r="AA3244"/>
      <c r="AB3244"/>
      <c r="AC3244"/>
      <c r="AD3244"/>
      <c r="AE3244"/>
      <c r="AF3244"/>
      <c r="AG3244"/>
      <c r="AH3244"/>
      <c r="AI3244"/>
      <c r="AJ3244"/>
      <c r="AK3244"/>
      <c r="AL3244"/>
      <c r="AM3244"/>
      <c r="AN3244"/>
      <c r="AO3244"/>
    </row>
    <row r="3245" spans="1:41" ht="15">
      <c r="A3245"/>
      <c r="B3245"/>
      <c r="C3245" s="137"/>
      <c r="D3245" s="30"/>
      <c r="E3245" s="30"/>
      <c r="F3245" s="10"/>
      <c r="G3245" s="10"/>
      <c r="H3245" s="15"/>
      <c r="I3245" s="15"/>
      <c r="J3245" s="15"/>
      <c r="K3245" s="15"/>
      <c r="L3245" s="15"/>
      <c r="M3245" s="15"/>
      <c r="N3245" s="15"/>
      <c r="O3245" s="15"/>
      <c r="P3245" s="15"/>
      <c r="Q3245" s="71"/>
      <c r="R3245" s="84"/>
      <c r="S3245" s="10"/>
      <c r="T3245" s="10"/>
      <c r="U3245" s="10"/>
      <c r="V3245" s="10"/>
      <c r="W3245" s="138"/>
      <c r="Y3245"/>
      <c r="Z3245"/>
      <c r="AA3245"/>
      <c r="AB3245"/>
      <c r="AC3245"/>
      <c r="AD3245"/>
      <c r="AE3245"/>
      <c r="AF3245"/>
      <c r="AG3245"/>
      <c r="AH3245"/>
      <c r="AI3245"/>
      <c r="AJ3245"/>
      <c r="AK3245"/>
      <c r="AL3245"/>
      <c r="AM3245"/>
      <c r="AN3245"/>
      <c r="AO3245"/>
    </row>
    <row r="3246" spans="1:41" ht="15">
      <c r="A3246"/>
      <c r="B3246"/>
      <c r="C3246" s="137"/>
      <c r="D3246" s="30"/>
      <c r="E3246" s="30"/>
      <c r="F3246" s="10"/>
      <c r="G3246" s="10"/>
      <c r="H3246" s="15"/>
      <c r="I3246" s="15"/>
      <c r="J3246" s="15"/>
      <c r="K3246" s="15"/>
      <c r="L3246" s="15"/>
      <c r="M3246" s="15"/>
      <c r="N3246" s="15"/>
      <c r="O3246" s="15"/>
      <c r="P3246" s="15"/>
      <c r="Q3246" s="71"/>
      <c r="R3246" s="84"/>
      <c r="S3246" s="10"/>
      <c r="T3246" s="10"/>
      <c r="U3246" s="10"/>
      <c r="V3246" s="10"/>
      <c r="W3246" s="138"/>
      <c r="Y3246"/>
      <c r="Z3246"/>
      <c r="AA3246"/>
      <c r="AB3246"/>
      <c r="AC3246"/>
      <c r="AD3246"/>
      <c r="AE3246"/>
      <c r="AF3246"/>
      <c r="AG3246"/>
      <c r="AH3246"/>
      <c r="AI3246"/>
      <c r="AJ3246"/>
      <c r="AK3246"/>
      <c r="AL3246"/>
      <c r="AM3246"/>
      <c r="AN3246"/>
      <c r="AO3246"/>
    </row>
    <row r="3247" spans="1:41" ht="15">
      <c r="A3247"/>
      <c r="B3247"/>
      <c r="C3247" s="137"/>
      <c r="D3247" s="30"/>
      <c r="E3247" s="30"/>
      <c r="F3247" s="10"/>
      <c r="G3247" s="10"/>
      <c r="H3247" s="15"/>
      <c r="I3247" s="15"/>
      <c r="J3247" s="15"/>
      <c r="K3247" s="15"/>
      <c r="L3247" s="15"/>
      <c r="M3247" s="15"/>
      <c r="N3247" s="15"/>
      <c r="O3247" s="15"/>
      <c r="P3247" s="15"/>
      <c r="Q3247" s="71"/>
      <c r="R3247" s="84"/>
      <c r="S3247" s="10"/>
      <c r="T3247" s="10"/>
      <c r="U3247" s="10"/>
      <c r="V3247" s="10"/>
      <c r="W3247" s="138"/>
      <c r="Y3247"/>
      <c r="Z3247"/>
      <c r="AA3247"/>
      <c r="AB3247"/>
      <c r="AC3247"/>
      <c r="AD3247"/>
      <c r="AE3247"/>
      <c r="AF3247"/>
      <c r="AG3247"/>
      <c r="AH3247"/>
      <c r="AI3247"/>
      <c r="AJ3247"/>
      <c r="AK3247"/>
      <c r="AL3247"/>
      <c r="AM3247"/>
      <c r="AN3247"/>
      <c r="AO3247"/>
    </row>
    <row r="3248" spans="1:41" ht="15">
      <c r="A3248"/>
      <c r="B3248"/>
      <c r="C3248" s="137"/>
      <c r="D3248" s="30"/>
      <c r="E3248" s="30"/>
      <c r="F3248" s="10"/>
      <c r="G3248" s="10"/>
      <c r="H3248" s="15"/>
      <c r="I3248" s="15"/>
      <c r="J3248" s="15"/>
      <c r="K3248" s="15"/>
      <c r="L3248" s="15"/>
      <c r="M3248" s="15"/>
      <c r="N3248" s="15"/>
      <c r="O3248" s="15"/>
      <c r="P3248" s="15"/>
      <c r="Q3248" s="71"/>
      <c r="R3248" s="84"/>
      <c r="S3248" s="10"/>
      <c r="T3248" s="10"/>
      <c r="U3248" s="10"/>
      <c r="V3248" s="10"/>
      <c r="W3248" s="138"/>
      <c r="Y3248"/>
      <c r="Z3248"/>
      <c r="AA3248"/>
      <c r="AB3248"/>
      <c r="AC3248"/>
      <c r="AD3248"/>
      <c r="AE3248"/>
      <c r="AF3248"/>
      <c r="AG3248"/>
      <c r="AH3248"/>
      <c r="AI3248"/>
      <c r="AJ3248"/>
      <c r="AK3248"/>
      <c r="AL3248"/>
      <c r="AM3248"/>
      <c r="AN3248"/>
      <c r="AO3248"/>
    </row>
    <row r="3249" spans="1:41" ht="15">
      <c r="A3249"/>
      <c r="B3249"/>
      <c r="C3249" s="137"/>
      <c r="D3249" s="30"/>
      <c r="E3249" s="30"/>
      <c r="F3249" s="10"/>
      <c r="G3249" s="10"/>
      <c r="H3249" s="15"/>
      <c r="I3249" s="15"/>
      <c r="J3249" s="15"/>
      <c r="K3249" s="15"/>
      <c r="L3249" s="15"/>
      <c r="M3249" s="15"/>
      <c r="N3249" s="15"/>
      <c r="O3249" s="15"/>
      <c r="P3249" s="15"/>
      <c r="Q3249" s="71"/>
      <c r="R3249" s="84"/>
      <c r="S3249" s="10"/>
      <c r="T3249" s="10"/>
      <c r="U3249" s="10"/>
      <c r="V3249" s="10"/>
      <c r="W3249" s="138"/>
      <c r="Y3249"/>
      <c r="Z3249"/>
      <c r="AA3249"/>
      <c r="AB3249"/>
      <c r="AC3249"/>
      <c r="AD3249"/>
      <c r="AE3249"/>
      <c r="AF3249"/>
      <c r="AG3249"/>
      <c r="AH3249"/>
      <c r="AI3249"/>
      <c r="AJ3249"/>
      <c r="AK3249"/>
      <c r="AL3249"/>
      <c r="AM3249"/>
      <c r="AN3249"/>
      <c r="AO3249"/>
    </row>
    <row r="3250" spans="1:41" ht="15">
      <c r="A3250"/>
      <c r="B3250"/>
      <c r="C3250" s="137"/>
      <c r="D3250" s="30"/>
      <c r="E3250" s="30"/>
      <c r="F3250" s="10"/>
      <c r="G3250" s="10"/>
      <c r="H3250" s="15"/>
      <c r="I3250" s="15"/>
      <c r="J3250" s="15"/>
      <c r="K3250" s="15"/>
      <c r="L3250" s="15"/>
      <c r="M3250" s="15"/>
      <c r="N3250" s="15"/>
      <c r="O3250" s="15"/>
      <c r="P3250" s="15"/>
      <c r="Q3250" s="71"/>
      <c r="R3250" s="84"/>
      <c r="S3250" s="10"/>
      <c r="T3250" s="10"/>
      <c r="U3250" s="10"/>
      <c r="V3250" s="10"/>
      <c r="W3250" s="138"/>
      <c r="Y3250"/>
      <c r="Z3250"/>
      <c r="AA3250"/>
      <c r="AB3250"/>
      <c r="AC3250"/>
      <c r="AD3250"/>
      <c r="AE3250"/>
      <c r="AF3250"/>
      <c r="AG3250"/>
      <c r="AH3250"/>
      <c r="AI3250"/>
      <c r="AJ3250"/>
      <c r="AK3250"/>
      <c r="AL3250"/>
      <c r="AM3250"/>
      <c r="AN3250"/>
      <c r="AO3250"/>
    </row>
    <row r="3251" spans="1:41" ht="15">
      <c r="A3251"/>
      <c r="B3251"/>
      <c r="C3251" s="137"/>
      <c r="D3251" s="30"/>
      <c r="E3251" s="30"/>
      <c r="F3251" s="10"/>
      <c r="G3251" s="10"/>
      <c r="H3251" s="15"/>
      <c r="I3251" s="15"/>
      <c r="J3251" s="15"/>
      <c r="K3251" s="15"/>
      <c r="L3251" s="15"/>
      <c r="M3251" s="15"/>
      <c r="N3251" s="15"/>
      <c r="O3251" s="15"/>
      <c r="P3251" s="15"/>
      <c r="Q3251" s="71"/>
      <c r="R3251" s="84"/>
      <c r="S3251" s="10"/>
      <c r="T3251" s="10"/>
      <c r="U3251" s="10"/>
      <c r="V3251" s="10"/>
      <c r="W3251" s="138"/>
      <c r="Y3251"/>
      <c r="Z3251"/>
      <c r="AA3251"/>
      <c r="AB3251"/>
      <c r="AC3251"/>
      <c r="AD3251"/>
      <c r="AE3251"/>
      <c r="AF3251"/>
      <c r="AG3251"/>
      <c r="AH3251"/>
      <c r="AI3251"/>
      <c r="AJ3251"/>
      <c r="AK3251"/>
      <c r="AL3251"/>
      <c r="AM3251"/>
      <c r="AN3251"/>
      <c r="AO3251"/>
    </row>
    <row r="3252" spans="1:41" ht="15">
      <c r="A3252"/>
      <c r="B3252"/>
      <c r="C3252" s="137"/>
      <c r="D3252" s="30"/>
      <c r="E3252" s="30"/>
      <c r="F3252" s="10"/>
      <c r="G3252" s="10"/>
      <c r="H3252" s="15"/>
      <c r="I3252" s="15"/>
      <c r="J3252" s="15"/>
      <c r="K3252" s="15"/>
      <c r="L3252" s="15"/>
      <c r="M3252" s="15"/>
      <c r="N3252" s="15"/>
      <c r="O3252" s="15"/>
      <c r="P3252" s="15"/>
      <c r="Q3252" s="71"/>
      <c r="R3252" s="84"/>
      <c r="S3252" s="10"/>
      <c r="T3252" s="10"/>
      <c r="U3252" s="10"/>
      <c r="V3252" s="10"/>
      <c r="W3252" s="138"/>
      <c r="Y3252"/>
      <c r="Z3252"/>
      <c r="AA3252"/>
      <c r="AB3252"/>
      <c r="AC3252"/>
      <c r="AD3252"/>
      <c r="AE3252"/>
      <c r="AF3252"/>
      <c r="AG3252"/>
      <c r="AH3252"/>
      <c r="AI3252"/>
      <c r="AJ3252"/>
      <c r="AK3252"/>
      <c r="AL3252"/>
      <c r="AM3252"/>
      <c r="AN3252"/>
      <c r="AO3252"/>
    </row>
    <row r="3253" spans="1:41" ht="15">
      <c r="A3253"/>
      <c r="B3253"/>
      <c r="C3253" s="137"/>
      <c r="D3253" s="30"/>
      <c r="E3253" s="30"/>
      <c r="F3253" s="10"/>
      <c r="G3253" s="10"/>
      <c r="H3253" s="15"/>
      <c r="I3253" s="15"/>
      <c r="J3253" s="15"/>
      <c r="K3253" s="15"/>
      <c r="L3253" s="15"/>
      <c r="M3253" s="15"/>
      <c r="N3253" s="15"/>
      <c r="O3253" s="15"/>
      <c r="P3253" s="15"/>
      <c r="Q3253" s="71"/>
      <c r="R3253" s="84"/>
      <c r="S3253" s="10"/>
      <c r="T3253" s="10"/>
      <c r="U3253" s="10"/>
      <c r="V3253" s="10"/>
      <c r="W3253" s="138"/>
      <c r="Y3253"/>
      <c r="Z3253"/>
      <c r="AA3253"/>
      <c r="AB3253"/>
      <c r="AC3253"/>
      <c r="AD3253"/>
      <c r="AE3253"/>
      <c r="AF3253"/>
      <c r="AG3253"/>
      <c r="AH3253"/>
      <c r="AI3253"/>
      <c r="AJ3253"/>
      <c r="AK3253"/>
      <c r="AL3253"/>
      <c r="AM3253"/>
      <c r="AN3253"/>
      <c r="AO3253"/>
    </row>
    <row r="3254" spans="1:41" ht="15">
      <c r="A3254"/>
      <c r="B3254"/>
      <c r="C3254" s="137"/>
      <c r="D3254" s="30"/>
      <c r="E3254" s="30"/>
      <c r="F3254" s="10"/>
      <c r="G3254" s="10"/>
      <c r="H3254" s="15"/>
      <c r="I3254" s="15"/>
      <c r="J3254" s="15"/>
      <c r="K3254" s="15"/>
      <c r="L3254" s="15"/>
      <c r="M3254" s="15"/>
      <c r="N3254" s="15"/>
      <c r="O3254" s="15"/>
      <c r="P3254" s="15"/>
      <c r="Q3254" s="71"/>
      <c r="R3254" s="84"/>
      <c r="S3254" s="10"/>
      <c r="T3254" s="10"/>
      <c r="U3254" s="10"/>
      <c r="V3254" s="10"/>
      <c r="W3254" s="138"/>
      <c r="Y3254"/>
      <c r="Z3254"/>
      <c r="AA3254"/>
      <c r="AB3254"/>
      <c r="AC3254"/>
      <c r="AD3254"/>
      <c r="AE3254"/>
      <c r="AF3254"/>
      <c r="AG3254"/>
      <c r="AH3254"/>
      <c r="AI3254"/>
      <c r="AJ3254"/>
      <c r="AK3254"/>
      <c r="AL3254"/>
      <c r="AM3254"/>
      <c r="AN3254"/>
      <c r="AO3254"/>
    </row>
    <row r="3255" spans="1:41" ht="15">
      <c r="A3255"/>
      <c r="B3255"/>
      <c r="C3255" s="137"/>
      <c r="D3255" s="30"/>
      <c r="E3255" s="30"/>
      <c r="F3255" s="10"/>
      <c r="G3255" s="10"/>
      <c r="H3255" s="15"/>
      <c r="I3255" s="15"/>
      <c r="J3255" s="15"/>
      <c r="K3255" s="15"/>
      <c r="L3255" s="15"/>
      <c r="M3255" s="15"/>
      <c r="N3255" s="15"/>
      <c r="O3255" s="15"/>
      <c r="P3255" s="15"/>
      <c r="Q3255" s="71"/>
      <c r="R3255" s="84"/>
      <c r="S3255" s="10"/>
      <c r="T3255" s="10"/>
      <c r="U3255" s="10"/>
      <c r="V3255" s="10"/>
      <c r="W3255" s="138"/>
      <c r="Y3255"/>
      <c r="Z3255"/>
      <c r="AA3255"/>
      <c r="AB3255"/>
      <c r="AC3255"/>
      <c r="AD3255"/>
      <c r="AE3255"/>
      <c r="AF3255"/>
      <c r="AG3255"/>
      <c r="AH3255"/>
      <c r="AI3255"/>
      <c r="AJ3255"/>
      <c r="AK3255"/>
      <c r="AL3255"/>
      <c r="AM3255"/>
      <c r="AN3255"/>
      <c r="AO3255"/>
    </row>
    <row r="3256" spans="1:41" ht="15">
      <c r="A3256"/>
      <c r="B3256"/>
      <c r="C3256" s="137"/>
      <c r="D3256" s="30"/>
      <c r="E3256" s="30"/>
      <c r="F3256" s="10"/>
      <c r="G3256" s="10"/>
      <c r="H3256" s="15"/>
      <c r="I3256" s="15"/>
      <c r="J3256" s="15"/>
      <c r="K3256" s="15"/>
      <c r="L3256" s="15"/>
      <c r="M3256" s="15"/>
      <c r="N3256" s="15"/>
      <c r="O3256" s="15"/>
      <c r="P3256" s="15"/>
      <c r="Q3256" s="71"/>
      <c r="R3256" s="84"/>
      <c r="S3256" s="10"/>
      <c r="T3256" s="10"/>
      <c r="U3256" s="10"/>
      <c r="V3256" s="10"/>
      <c r="W3256" s="138"/>
      <c r="Y3256"/>
      <c r="Z3256"/>
      <c r="AA3256"/>
      <c r="AB3256"/>
      <c r="AC3256"/>
      <c r="AD3256"/>
      <c r="AE3256"/>
      <c r="AF3256"/>
      <c r="AG3256"/>
      <c r="AH3256"/>
      <c r="AI3256"/>
      <c r="AJ3256"/>
      <c r="AK3256"/>
      <c r="AL3256"/>
      <c r="AM3256"/>
      <c r="AN3256"/>
      <c r="AO3256"/>
    </row>
    <row r="3257" spans="1:41" ht="15">
      <c r="A3257"/>
      <c r="B3257"/>
      <c r="C3257" s="137"/>
      <c r="D3257" s="30"/>
      <c r="E3257" s="30"/>
      <c r="F3257" s="10"/>
      <c r="G3257" s="10"/>
      <c r="H3257" s="15"/>
      <c r="I3257" s="15"/>
      <c r="J3257" s="15"/>
      <c r="K3257" s="15"/>
      <c r="L3257" s="15"/>
      <c r="M3257" s="15"/>
      <c r="N3257" s="15"/>
      <c r="O3257" s="15"/>
      <c r="P3257" s="15"/>
      <c r="Q3257" s="71"/>
      <c r="R3257" s="84"/>
      <c r="S3257" s="10"/>
      <c r="T3257" s="10"/>
      <c r="U3257" s="10"/>
      <c r="V3257" s="10"/>
      <c r="W3257" s="138"/>
      <c r="Y3257"/>
      <c r="Z3257"/>
      <c r="AA3257"/>
      <c r="AB3257"/>
      <c r="AC3257"/>
      <c r="AD3257"/>
      <c r="AE3257"/>
      <c r="AF3257"/>
      <c r="AG3257"/>
      <c r="AH3257"/>
      <c r="AI3257"/>
      <c r="AJ3257"/>
      <c r="AK3257"/>
      <c r="AL3257"/>
      <c r="AM3257"/>
      <c r="AN3257"/>
      <c r="AO3257"/>
    </row>
    <row r="3258" spans="1:41" ht="15">
      <c r="A3258"/>
      <c r="B3258"/>
      <c r="C3258" s="137"/>
      <c r="D3258" s="30"/>
      <c r="E3258" s="30"/>
      <c r="F3258" s="10"/>
      <c r="G3258" s="10"/>
      <c r="H3258" s="15"/>
      <c r="I3258" s="15"/>
      <c r="J3258" s="15"/>
      <c r="K3258" s="15"/>
      <c r="L3258" s="15"/>
      <c r="M3258" s="15"/>
      <c r="N3258" s="15"/>
      <c r="O3258" s="15"/>
      <c r="P3258" s="15"/>
      <c r="Q3258" s="71"/>
      <c r="R3258" s="84"/>
      <c r="S3258" s="10"/>
      <c r="T3258" s="10"/>
      <c r="U3258" s="10"/>
      <c r="V3258" s="10"/>
      <c r="W3258" s="138"/>
      <c r="Y3258"/>
      <c r="Z3258"/>
      <c r="AA3258"/>
      <c r="AB3258"/>
      <c r="AC3258"/>
      <c r="AD3258"/>
      <c r="AE3258"/>
      <c r="AF3258"/>
      <c r="AG3258"/>
      <c r="AH3258"/>
      <c r="AI3258"/>
      <c r="AJ3258"/>
      <c r="AK3258"/>
      <c r="AL3258"/>
      <c r="AM3258"/>
      <c r="AN3258"/>
      <c r="AO3258"/>
    </row>
    <row r="3259" spans="1:41" ht="15">
      <c r="A3259"/>
      <c r="B3259"/>
      <c r="C3259" s="137"/>
      <c r="D3259" s="30"/>
      <c r="E3259" s="30"/>
      <c r="F3259" s="10"/>
      <c r="G3259" s="10"/>
      <c r="H3259" s="15"/>
      <c r="I3259" s="15"/>
      <c r="J3259" s="15"/>
      <c r="K3259" s="15"/>
      <c r="L3259" s="15"/>
      <c r="M3259" s="15"/>
      <c r="N3259" s="15"/>
      <c r="O3259" s="15"/>
      <c r="P3259" s="15"/>
      <c r="Q3259" s="71"/>
      <c r="R3259" s="84"/>
      <c r="S3259" s="10"/>
      <c r="T3259" s="10"/>
      <c r="U3259" s="10"/>
      <c r="V3259" s="10"/>
      <c r="W3259" s="138"/>
      <c r="Y3259"/>
      <c r="Z3259"/>
      <c r="AA3259"/>
      <c r="AB3259"/>
      <c r="AC3259"/>
      <c r="AD3259"/>
      <c r="AE3259"/>
      <c r="AF3259"/>
      <c r="AG3259"/>
      <c r="AH3259"/>
      <c r="AI3259"/>
      <c r="AJ3259"/>
      <c r="AK3259"/>
      <c r="AL3259"/>
      <c r="AM3259"/>
      <c r="AN3259"/>
      <c r="AO3259"/>
    </row>
    <row r="3260" spans="1:41" ht="15">
      <c r="A3260"/>
      <c r="B3260"/>
      <c r="C3260" s="137"/>
      <c r="D3260" s="30"/>
      <c r="E3260" s="30"/>
      <c r="F3260" s="10"/>
      <c r="G3260" s="10"/>
      <c r="H3260" s="15"/>
      <c r="I3260" s="15"/>
      <c r="J3260" s="15"/>
      <c r="K3260" s="15"/>
      <c r="L3260" s="15"/>
      <c r="M3260" s="15"/>
      <c r="N3260" s="15"/>
      <c r="O3260" s="15"/>
      <c r="P3260" s="15"/>
      <c r="Q3260" s="71"/>
      <c r="R3260" s="84"/>
      <c r="S3260" s="10"/>
      <c r="T3260" s="10"/>
      <c r="U3260" s="10"/>
      <c r="V3260" s="10"/>
      <c r="W3260" s="138"/>
      <c r="Y3260"/>
      <c r="Z3260"/>
      <c r="AA3260"/>
      <c r="AB3260"/>
      <c r="AC3260"/>
      <c r="AD3260"/>
      <c r="AE3260"/>
      <c r="AF3260"/>
      <c r="AG3260"/>
      <c r="AH3260"/>
      <c r="AI3260"/>
      <c r="AJ3260"/>
      <c r="AK3260"/>
      <c r="AL3260"/>
      <c r="AM3260"/>
      <c r="AN3260"/>
      <c r="AO3260"/>
    </row>
    <row r="3261" spans="1:41" ht="15">
      <c r="A3261"/>
      <c r="B3261"/>
      <c r="C3261" s="137"/>
      <c r="D3261" s="30"/>
      <c r="E3261" s="30"/>
      <c r="F3261" s="10"/>
      <c r="G3261" s="10"/>
      <c r="H3261" s="15"/>
      <c r="I3261" s="15"/>
      <c r="J3261" s="15"/>
      <c r="K3261" s="15"/>
      <c r="L3261" s="15"/>
      <c r="M3261" s="15"/>
      <c r="N3261" s="15"/>
      <c r="O3261" s="15"/>
      <c r="P3261" s="15"/>
      <c r="Q3261" s="71"/>
      <c r="R3261" s="84"/>
      <c r="S3261" s="10"/>
      <c r="T3261" s="10"/>
      <c r="U3261" s="10"/>
      <c r="V3261" s="10"/>
      <c r="W3261" s="138"/>
      <c r="Y3261"/>
      <c r="Z3261"/>
      <c r="AA3261"/>
      <c r="AB3261"/>
      <c r="AC3261"/>
      <c r="AD3261"/>
      <c r="AE3261"/>
      <c r="AF3261"/>
      <c r="AG3261"/>
      <c r="AH3261"/>
      <c r="AI3261"/>
      <c r="AJ3261"/>
      <c r="AK3261"/>
      <c r="AL3261"/>
      <c r="AM3261"/>
      <c r="AN3261"/>
      <c r="AO3261"/>
    </row>
    <row r="3262" spans="1:41" ht="15">
      <c r="A3262"/>
      <c r="B3262"/>
      <c r="C3262" s="137"/>
      <c r="D3262" s="30"/>
      <c r="E3262" s="30"/>
      <c r="F3262" s="10"/>
      <c r="G3262" s="10"/>
      <c r="H3262" s="15"/>
      <c r="I3262" s="15"/>
      <c r="J3262" s="15"/>
      <c r="K3262" s="15"/>
      <c r="L3262" s="15"/>
      <c r="M3262" s="15"/>
      <c r="N3262" s="15"/>
      <c r="O3262" s="15"/>
      <c r="P3262" s="15"/>
      <c r="Q3262" s="71"/>
      <c r="R3262" s="84"/>
      <c r="S3262" s="10"/>
      <c r="T3262" s="10"/>
      <c r="U3262" s="10"/>
      <c r="V3262" s="10"/>
      <c r="W3262" s="138"/>
      <c r="Y3262"/>
      <c r="Z3262"/>
      <c r="AA3262"/>
      <c r="AB3262"/>
      <c r="AC3262"/>
      <c r="AD3262"/>
      <c r="AE3262"/>
      <c r="AF3262"/>
      <c r="AG3262"/>
      <c r="AH3262"/>
      <c r="AI3262"/>
      <c r="AJ3262"/>
      <c r="AK3262"/>
      <c r="AL3262"/>
      <c r="AM3262"/>
      <c r="AN3262"/>
      <c r="AO3262"/>
    </row>
    <row r="3263" spans="1:41" ht="15">
      <c r="A3263"/>
      <c r="B3263"/>
      <c r="C3263" s="137"/>
      <c r="D3263" s="30"/>
      <c r="E3263" s="30"/>
      <c r="F3263" s="10"/>
      <c r="G3263" s="10"/>
      <c r="H3263" s="15"/>
      <c r="I3263" s="15"/>
      <c r="J3263" s="15"/>
      <c r="K3263" s="15"/>
      <c r="L3263" s="15"/>
      <c r="M3263" s="15"/>
      <c r="N3263" s="15"/>
      <c r="O3263" s="15"/>
      <c r="P3263" s="15"/>
      <c r="Q3263" s="71"/>
      <c r="R3263" s="84"/>
      <c r="S3263" s="10"/>
      <c r="T3263" s="10"/>
      <c r="U3263" s="10"/>
      <c r="V3263" s="10"/>
      <c r="W3263" s="138"/>
      <c r="Y3263"/>
      <c r="Z3263"/>
      <c r="AA3263"/>
      <c r="AB3263"/>
      <c r="AC3263"/>
      <c r="AD3263"/>
      <c r="AE3263"/>
      <c r="AF3263"/>
      <c r="AG3263"/>
      <c r="AH3263"/>
      <c r="AI3263"/>
      <c r="AJ3263"/>
      <c r="AK3263"/>
      <c r="AL3263"/>
      <c r="AM3263"/>
      <c r="AN3263"/>
      <c r="AO3263"/>
    </row>
    <row r="3264" spans="1:41" ht="15">
      <c r="A3264"/>
      <c r="B3264"/>
      <c r="C3264" s="137"/>
      <c r="D3264" s="30"/>
      <c r="E3264" s="30"/>
      <c r="F3264" s="10"/>
      <c r="G3264" s="10"/>
      <c r="H3264" s="15"/>
      <c r="I3264" s="15"/>
      <c r="J3264" s="15"/>
      <c r="K3264" s="15"/>
      <c r="L3264" s="15"/>
      <c r="M3264" s="15"/>
      <c r="N3264" s="15"/>
      <c r="O3264" s="15"/>
      <c r="P3264" s="15"/>
      <c r="Q3264" s="71"/>
      <c r="R3264" s="84"/>
      <c r="S3264" s="10"/>
      <c r="T3264" s="10"/>
      <c r="U3264" s="10"/>
      <c r="V3264" s="10"/>
      <c r="W3264" s="138"/>
      <c r="Y3264"/>
      <c r="Z3264"/>
      <c r="AA3264"/>
      <c r="AB3264"/>
      <c r="AC3264"/>
      <c r="AD3264"/>
      <c r="AE3264"/>
      <c r="AF3264"/>
      <c r="AG3264"/>
      <c r="AH3264"/>
      <c r="AI3264"/>
      <c r="AJ3264"/>
      <c r="AK3264"/>
      <c r="AL3264"/>
      <c r="AM3264"/>
      <c r="AN3264"/>
      <c r="AO3264"/>
    </row>
    <row r="3265" spans="1:41" ht="15">
      <c r="A3265"/>
      <c r="B3265"/>
      <c r="C3265" s="137"/>
      <c r="D3265" s="30"/>
      <c r="E3265" s="30"/>
      <c r="F3265" s="10"/>
      <c r="G3265" s="10"/>
      <c r="H3265" s="15"/>
      <c r="I3265" s="15"/>
      <c r="J3265" s="15"/>
      <c r="K3265" s="15"/>
      <c r="L3265" s="15"/>
      <c r="M3265" s="15"/>
      <c r="N3265" s="15"/>
      <c r="O3265" s="15"/>
      <c r="P3265" s="15"/>
      <c r="Q3265" s="71"/>
      <c r="R3265" s="84"/>
      <c r="S3265" s="10"/>
      <c r="T3265" s="10"/>
      <c r="U3265" s="10"/>
      <c r="V3265" s="10"/>
      <c r="W3265" s="138"/>
      <c r="Y3265"/>
      <c r="Z3265"/>
      <c r="AA3265"/>
      <c r="AB3265"/>
      <c r="AC3265"/>
      <c r="AD3265"/>
      <c r="AE3265"/>
      <c r="AF3265"/>
      <c r="AG3265"/>
      <c r="AH3265"/>
      <c r="AI3265"/>
      <c r="AJ3265"/>
      <c r="AK3265"/>
      <c r="AL3265"/>
      <c r="AM3265"/>
      <c r="AN3265"/>
      <c r="AO3265"/>
    </row>
    <row r="3266" spans="1:41" ht="15">
      <c r="A3266"/>
      <c r="B3266"/>
      <c r="C3266" s="137"/>
      <c r="D3266" s="30"/>
      <c r="E3266" s="30"/>
      <c r="F3266" s="10"/>
      <c r="G3266" s="10"/>
      <c r="H3266" s="15"/>
      <c r="I3266" s="15"/>
      <c r="J3266" s="15"/>
      <c r="K3266" s="15"/>
      <c r="L3266" s="15"/>
      <c r="M3266" s="15"/>
      <c r="N3266" s="15"/>
      <c r="O3266" s="15"/>
      <c r="P3266" s="15"/>
      <c r="Q3266" s="71"/>
      <c r="R3266" s="84"/>
      <c r="S3266" s="10"/>
      <c r="T3266" s="10"/>
      <c r="U3266" s="10"/>
      <c r="V3266" s="10"/>
      <c r="W3266" s="138"/>
      <c r="Y3266"/>
      <c r="Z3266"/>
      <c r="AA3266"/>
      <c r="AB3266"/>
      <c r="AC3266"/>
      <c r="AD3266"/>
      <c r="AE3266"/>
      <c r="AF3266"/>
      <c r="AG3266"/>
      <c r="AH3266"/>
      <c r="AI3266"/>
      <c r="AJ3266"/>
      <c r="AK3266"/>
      <c r="AL3266"/>
      <c r="AM3266"/>
      <c r="AN3266"/>
      <c r="AO3266"/>
    </row>
    <row r="3267" spans="1:41" ht="15">
      <c r="A3267"/>
      <c r="B3267"/>
      <c r="C3267" s="137"/>
      <c r="D3267" s="30"/>
      <c r="E3267" s="30"/>
      <c r="F3267" s="10"/>
      <c r="G3267" s="10"/>
      <c r="H3267" s="15"/>
      <c r="I3267" s="15"/>
      <c r="J3267" s="15"/>
      <c r="K3267" s="15"/>
      <c r="L3267" s="15"/>
      <c r="M3267" s="15"/>
      <c r="N3267" s="15"/>
      <c r="O3267" s="15"/>
      <c r="P3267" s="15"/>
      <c r="Q3267" s="71"/>
      <c r="R3267" s="84"/>
      <c r="S3267" s="10"/>
      <c r="T3267" s="10"/>
      <c r="U3267" s="10"/>
      <c r="V3267" s="10"/>
      <c r="W3267" s="138"/>
      <c r="Y3267"/>
      <c r="Z3267"/>
      <c r="AA3267"/>
      <c r="AB3267"/>
      <c r="AC3267"/>
      <c r="AD3267"/>
      <c r="AE3267"/>
      <c r="AF3267"/>
      <c r="AG3267"/>
      <c r="AH3267"/>
      <c r="AI3267"/>
      <c r="AJ3267"/>
      <c r="AK3267"/>
      <c r="AL3267"/>
      <c r="AM3267"/>
      <c r="AN3267"/>
      <c r="AO3267"/>
    </row>
    <row r="3268" spans="1:41" ht="15">
      <c r="A3268"/>
      <c r="B3268"/>
      <c r="C3268" s="137"/>
      <c r="D3268" s="30"/>
      <c r="E3268" s="30"/>
      <c r="F3268" s="10"/>
      <c r="G3268" s="10"/>
      <c r="H3268" s="15"/>
      <c r="I3268" s="15"/>
      <c r="J3268" s="15"/>
      <c r="K3268" s="15"/>
      <c r="L3268" s="15"/>
      <c r="M3268" s="15"/>
      <c r="N3268" s="15"/>
      <c r="O3268" s="15"/>
      <c r="P3268" s="15"/>
      <c r="Q3268" s="71"/>
      <c r="R3268" s="84"/>
      <c r="S3268" s="10"/>
      <c r="T3268" s="10"/>
      <c r="U3268" s="10"/>
      <c r="V3268" s="10"/>
      <c r="W3268" s="138"/>
      <c r="Y3268"/>
      <c r="Z3268"/>
      <c r="AA3268"/>
      <c r="AB3268"/>
      <c r="AC3268"/>
      <c r="AD3268"/>
      <c r="AE3268"/>
      <c r="AF3268"/>
      <c r="AG3268"/>
      <c r="AH3268"/>
      <c r="AI3268"/>
      <c r="AJ3268"/>
      <c r="AK3268"/>
      <c r="AL3268"/>
      <c r="AM3268"/>
      <c r="AN3268"/>
      <c r="AO3268"/>
    </row>
    <row r="3269" spans="1:41" ht="15">
      <c r="A3269"/>
      <c r="B3269"/>
      <c r="C3269" s="137"/>
      <c r="D3269" s="30"/>
      <c r="E3269" s="30"/>
      <c r="F3269" s="10"/>
      <c r="G3269" s="10"/>
      <c r="H3269" s="15"/>
      <c r="I3269" s="15"/>
      <c r="J3269" s="15"/>
      <c r="K3269" s="15"/>
      <c r="L3269" s="15"/>
      <c r="M3269" s="15"/>
      <c r="N3269" s="15"/>
      <c r="O3269" s="15"/>
      <c r="P3269" s="15"/>
      <c r="Q3269" s="71"/>
      <c r="R3269" s="84"/>
      <c r="S3269" s="10"/>
      <c r="T3269" s="10"/>
      <c r="U3269" s="10"/>
      <c r="V3269" s="10"/>
      <c r="W3269" s="138"/>
      <c r="Y3269"/>
      <c r="Z3269"/>
      <c r="AA3269"/>
      <c r="AB3269"/>
      <c r="AC3269"/>
      <c r="AD3269"/>
      <c r="AE3269"/>
      <c r="AF3269"/>
      <c r="AG3269"/>
      <c r="AH3269"/>
      <c r="AI3269"/>
      <c r="AJ3269"/>
      <c r="AK3269"/>
      <c r="AL3269"/>
      <c r="AM3269"/>
      <c r="AN3269"/>
      <c r="AO3269"/>
    </row>
    <row r="3270" spans="1:41" ht="15">
      <c r="A3270"/>
      <c r="B3270"/>
      <c r="C3270" s="137"/>
      <c r="D3270" s="30"/>
      <c r="E3270" s="30"/>
      <c r="F3270" s="10"/>
      <c r="G3270" s="10"/>
      <c r="H3270" s="15"/>
      <c r="I3270" s="15"/>
      <c r="J3270" s="15"/>
      <c r="K3270" s="15"/>
      <c r="L3270" s="15"/>
      <c r="M3270" s="15"/>
      <c r="N3270" s="15"/>
      <c r="O3270" s="15"/>
      <c r="P3270" s="15"/>
      <c r="Q3270" s="71"/>
      <c r="R3270" s="84"/>
      <c r="S3270" s="10"/>
      <c r="T3270" s="10"/>
      <c r="U3270" s="10"/>
      <c r="V3270" s="10"/>
      <c r="W3270" s="138"/>
      <c r="Y3270"/>
      <c r="Z3270"/>
      <c r="AA3270"/>
      <c r="AB3270"/>
      <c r="AC3270"/>
      <c r="AD3270"/>
      <c r="AE3270"/>
      <c r="AF3270"/>
      <c r="AG3270"/>
      <c r="AH3270"/>
      <c r="AI3270"/>
      <c r="AJ3270"/>
      <c r="AK3270"/>
      <c r="AL3270"/>
      <c r="AM3270"/>
      <c r="AN3270"/>
      <c r="AO3270"/>
    </row>
    <row r="3271" spans="1:41" ht="15">
      <c r="A3271"/>
      <c r="B3271"/>
      <c r="C3271" s="137"/>
      <c r="D3271" s="30"/>
      <c r="E3271" s="30"/>
      <c r="F3271" s="10"/>
      <c r="G3271" s="10"/>
      <c r="H3271" s="15"/>
      <c r="I3271" s="15"/>
      <c r="J3271" s="15"/>
      <c r="K3271" s="15"/>
      <c r="L3271" s="15"/>
      <c r="M3271" s="15"/>
      <c r="N3271" s="15"/>
      <c r="O3271" s="15"/>
      <c r="P3271" s="15"/>
      <c r="Q3271" s="71"/>
      <c r="R3271" s="84"/>
      <c r="S3271" s="10"/>
      <c r="T3271" s="10"/>
      <c r="U3271" s="10"/>
      <c r="V3271" s="10"/>
      <c r="W3271" s="138"/>
      <c r="Y3271"/>
      <c r="Z3271"/>
      <c r="AA3271"/>
      <c r="AB3271"/>
      <c r="AC3271"/>
      <c r="AD3271"/>
      <c r="AE3271"/>
      <c r="AF3271"/>
      <c r="AG3271"/>
      <c r="AH3271"/>
      <c r="AI3271"/>
      <c r="AJ3271"/>
      <c r="AK3271"/>
      <c r="AL3271"/>
      <c r="AM3271"/>
      <c r="AN3271"/>
      <c r="AO3271"/>
    </row>
    <row r="3272" spans="1:41" ht="15">
      <c r="A3272"/>
      <c r="B3272"/>
      <c r="C3272" s="137"/>
      <c r="D3272" s="30"/>
      <c r="E3272" s="30"/>
      <c r="F3272" s="10"/>
      <c r="G3272" s="10"/>
      <c r="H3272" s="15"/>
      <c r="I3272" s="15"/>
      <c r="J3272" s="15"/>
      <c r="K3272" s="15"/>
      <c r="L3272" s="15"/>
      <c r="M3272" s="15"/>
      <c r="N3272" s="15"/>
      <c r="O3272" s="15"/>
      <c r="P3272" s="15"/>
      <c r="Q3272" s="71"/>
      <c r="R3272" s="84"/>
      <c r="S3272" s="10"/>
      <c r="T3272" s="10"/>
      <c r="U3272" s="10"/>
      <c r="V3272" s="10"/>
      <c r="W3272" s="138"/>
      <c r="Y3272"/>
      <c r="Z3272"/>
      <c r="AA3272"/>
      <c r="AB3272"/>
      <c r="AC3272"/>
      <c r="AD3272"/>
      <c r="AE3272"/>
      <c r="AF3272"/>
      <c r="AG3272"/>
      <c r="AH3272"/>
      <c r="AI3272"/>
      <c r="AJ3272"/>
      <c r="AK3272"/>
      <c r="AL3272"/>
      <c r="AM3272"/>
      <c r="AN3272"/>
      <c r="AO3272"/>
    </row>
    <row r="3273" spans="1:41" ht="15">
      <c r="A3273"/>
      <c r="B3273"/>
      <c r="C3273" s="137"/>
      <c r="D3273" s="30"/>
      <c r="E3273" s="30"/>
      <c r="F3273" s="10"/>
      <c r="G3273" s="10"/>
      <c r="H3273" s="15"/>
      <c r="I3273" s="15"/>
      <c r="J3273" s="15"/>
      <c r="K3273" s="15"/>
      <c r="L3273" s="15"/>
      <c r="M3273" s="15"/>
      <c r="N3273" s="15"/>
      <c r="O3273" s="15"/>
      <c r="P3273" s="15"/>
      <c r="Q3273" s="71"/>
      <c r="R3273" s="84"/>
      <c r="S3273" s="10"/>
      <c r="T3273" s="10"/>
      <c r="U3273" s="10"/>
      <c r="V3273" s="10"/>
      <c r="W3273" s="138"/>
      <c r="Y3273"/>
      <c r="Z3273"/>
      <c r="AA3273"/>
      <c r="AB3273"/>
      <c r="AC3273"/>
      <c r="AD3273"/>
      <c r="AE3273"/>
      <c r="AF3273"/>
      <c r="AG3273"/>
      <c r="AH3273"/>
      <c r="AI3273"/>
      <c r="AJ3273"/>
      <c r="AK3273"/>
      <c r="AL3273"/>
      <c r="AM3273"/>
      <c r="AN3273"/>
      <c r="AO3273"/>
    </row>
    <row r="3274" spans="1:41" ht="15">
      <c r="A3274"/>
      <c r="B3274"/>
      <c r="C3274" s="137"/>
      <c r="D3274" s="30"/>
      <c r="E3274" s="30"/>
      <c r="F3274" s="10"/>
      <c r="G3274" s="10"/>
      <c r="H3274" s="15"/>
      <c r="I3274" s="15"/>
      <c r="J3274" s="15"/>
      <c r="K3274" s="15"/>
      <c r="L3274" s="15"/>
      <c r="M3274" s="15"/>
      <c r="N3274" s="15"/>
      <c r="O3274" s="15"/>
      <c r="P3274" s="15"/>
      <c r="Q3274" s="71"/>
      <c r="R3274" s="84"/>
      <c r="S3274" s="10"/>
      <c r="T3274" s="10"/>
      <c r="U3274" s="10"/>
      <c r="V3274" s="10"/>
      <c r="W3274" s="138"/>
      <c r="Y3274"/>
      <c r="Z3274"/>
      <c r="AA3274"/>
      <c r="AB3274"/>
      <c r="AC3274"/>
      <c r="AD3274"/>
      <c r="AE3274"/>
      <c r="AF3274"/>
      <c r="AG3274"/>
      <c r="AH3274"/>
      <c r="AI3274"/>
      <c r="AJ3274"/>
      <c r="AK3274"/>
      <c r="AL3274"/>
      <c r="AM3274"/>
      <c r="AN3274"/>
      <c r="AO3274"/>
    </row>
    <row r="3275" spans="1:41" ht="15">
      <c r="A3275"/>
      <c r="B3275"/>
      <c r="C3275" s="137"/>
      <c r="D3275" s="30"/>
      <c r="E3275" s="30"/>
      <c r="F3275" s="10"/>
      <c r="G3275" s="10"/>
      <c r="H3275" s="15"/>
      <c r="I3275" s="15"/>
      <c r="J3275" s="15"/>
      <c r="K3275" s="15"/>
      <c r="L3275" s="15"/>
      <c r="M3275" s="15"/>
      <c r="N3275" s="15"/>
      <c r="O3275" s="15"/>
      <c r="P3275" s="15"/>
      <c r="Q3275" s="71"/>
      <c r="R3275" s="84"/>
      <c r="S3275" s="10"/>
      <c r="T3275" s="10"/>
      <c r="U3275" s="10"/>
      <c r="V3275" s="10"/>
      <c r="W3275" s="138"/>
      <c r="Y3275"/>
      <c r="Z3275"/>
      <c r="AA3275"/>
      <c r="AB3275"/>
      <c r="AC3275"/>
      <c r="AD3275"/>
      <c r="AE3275"/>
      <c r="AF3275"/>
      <c r="AG3275"/>
      <c r="AH3275"/>
      <c r="AI3275"/>
      <c r="AJ3275"/>
      <c r="AK3275"/>
      <c r="AL3275"/>
      <c r="AM3275"/>
      <c r="AN3275"/>
      <c r="AO3275"/>
    </row>
    <row r="3276" spans="1:41" ht="15">
      <c r="A3276"/>
      <c r="B3276"/>
      <c r="C3276" s="137"/>
      <c r="D3276" s="30"/>
      <c r="E3276" s="30"/>
      <c r="F3276" s="10"/>
      <c r="G3276" s="10"/>
      <c r="H3276" s="15"/>
      <c r="I3276" s="15"/>
      <c r="J3276" s="15"/>
      <c r="K3276" s="15"/>
      <c r="L3276" s="15"/>
      <c r="M3276" s="15"/>
      <c r="N3276" s="15"/>
      <c r="O3276" s="15"/>
      <c r="P3276" s="15"/>
      <c r="Q3276" s="71"/>
      <c r="R3276" s="84"/>
      <c r="S3276" s="10"/>
      <c r="T3276" s="10"/>
      <c r="U3276" s="10"/>
      <c r="V3276" s="10"/>
      <c r="W3276" s="138"/>
      <c r="Y3276"/>
      <c r="Z3276"/>
      <c r="AA3276"/>
      <c r="AB3276"/>
      <c r="AC3276"/>
      <c r="AD3276"/>
      <c r="AE3276"/>
      <c r="AF3276"/>
      <c r="AG3276"/>
      <c r="AH3276"/>
      <c r="AI3276"/>
      <c r="AJ3276"/>
      <c r="AK3276"/>
      <c r="AL3276"/>
      <c r="AM3276"/>
      <c r="AN3276"/>
      <c r="AO3276"/>
    </row>
    <row r="3277" spans="1:41" ht="15">
      <c r="A3277"/>
      <c r="B3277"/>
      <c r="C3277" s="137"/>
      <c r="D3277" s="30"/>
      <c r="E3277" s="30"/>
      <c r="F3277" s="10"/>
      <c r="G3277" s="10"/>
      <c r="H3277" s="15"/>
      <c r="I3277" s="15"/>
      <c r="J3277" s="15"/>
      <c r="K3277" s="15"/>
      <c r="L3277" s="15"/>
      <c r="M3277" s="15"/>
      <c r="N3277" s="15"/>
      <c r="O3277" s="15"/>
      <c r="P3277" s="15"/>
      <c r="Q3277" s="71"/>
      <c r="R3277" s="84"/>
      <c r="S3277" s="10"/>
      <c r="T3277" s="10"/>
      <c r="U3277" s="10"/>
      <c r="V3277" s="10"/>
      <c r="W3277" s="138"/>
      <c r="Y3277"/>
      <c r="Z3277"/>
      <c r="AA3277"/>
      <c r="AB3277"/>
      <c r="AC3277"/>
      <c r="AD3277"/>
      <c r="AE3277"/>
      <c r="AF3277"/>
      <c r="AG3277"/>
      <c r="AH3277"/>
      <c r="AI3277"/>
      <c r="AJ3277"/>
      <c r="AK3277"/>
      <c r="AL3277"/>
      <c r="AM3277"/>
      <c r="AN3277"/>
      <c r="AO3277"/>
    </row>
    <row r="3278" spans="1:41" ht="15">
      <c r="A3278"/>
      <c r="B3278"/>
      <c r="C3278" s="137"/>
      <c r="D3278" s="30"/>
      <c r="E3278" s="30"/>
      <c r="F3278" s="10"/>
      <c r="G3278" s="10"/>
      <c r="H3278" s="15"/>
      <c r="I3278" s="15"/>
      <c r="J3278" s="15"/>
      <c r="K3278" s="15"/>
      <c r="L3278" s="15"/>
      <c r="M3278" s="15"/>
      <c r="N3278" s="15"/>
      <c r="O3278" s="15"/>
      <c r="P3278" s="15"/>
      <c r="Q3278" s="71"/>
      <c r="R3278" s="84"/>
      <c r="S3278" s="10"/>
      <c r="T3278" s="10"/>
      <c r="U3278" s="10"/>
      <c r="V3278" s="10"/>
      <c r="W3278" s="138"/>
      <c r="Y3278"/>
      <c r="Z3278"/>
      <c r="AA3278"/>
      <c r="AB3278"/>
      <c r="AC3278"/>
      <c r="AD3278"/>
      <c r="AE3278"/>
      <c r="AF3278"/>
      <c r="AG3278"/>
      <c r="AH3278"/>
      <c r="AI3278"/>
      <c r="AJ3278"/>
      <c r="AK3278"/>
      <c r="AL3278"/>
      <c r="AM3278"/>
      <c r="AN3278"/>
      <c r="AO3278"/>
    </row>
    <row r="3279" spans="1:41" ht="15">
      <c r="A3279"/>
      <c r="B3279"/>
      <c r="C3279" s="137"/>
      <c r="D3279" s="30"/>
      <c r="E3279" s="30"/>
      <c r="F3279" s="10"/>
      <c r="G3279" s="10"/>
      <c r="H3279" s="15"/>
      <c r="I3279" s="15"/>
      <c r="J3279" s="15"/>
      <c r="K3279" s="15"/>
      <c r="L3279" s="15"/>
      <c r="M3279" s="15"/>
      <c r="N3279" s="15"/>
      <c r="O3279" s="15"/>
      <c r="P3279" s="15"/>
      <c r="Q3279" s="71"/>
      <c r="R3279" s="84"/>
      <c r="S3279" s="10"/>
      <c r="T3279" s="10"/>
      <c r="U3279" s="10"/>
      <c r="V3279" s="10"/>
      <c r="W3279" s="138"/>
      <c r="Y3279"/>
      <c r="Z3279"/>
      <c r="AA3279"/>
      <c r="AB3279"/>
      <c r="AC3279"/>
      <c r="AD3279"/>
      <c r="AE3279"/>
      <c r="AF3279"/>
      <c r="AG3279"/>
      <c r="AH3279"/>
      <c r="AI3279"/>
      <c r="AJ3279"/>
      <c r="AK3279"/>
      <c r="AL3279"/>
      <c r="AM3279"/>
      <c r="AN3279"/>
      <c r="AO3279"/>
    </row>
    <row r="3280" spans="1:41" ht="15">
      <c r="A3280"/>
      <c r="B3280"/>
      <c r="C3280" s="137"/>
      <c r="D3280" s="30"/>
      <c r="E3280" s="30"/>
      <c r="F3280" s="10"/>
      <c r="G3280" s="10"/>
      <c r="H3280" s="15"/>
      <c r="I3280" s="15"/>
      <c r="J3280" s="15"/>
      <c r="K3280" s="15"/>
      <c r="L3280" s="15"/>
      <c r="M3280" s="15"/>
      <c r="N3280" s="15"/>
      <c r="O3280" s="15"/>
      <c r="P3280" s="15"/>
      <c r="Q3280" s="71"/>
      <c r="R3280" s="84"/>
      <c r="S3280" s="10"/>
      <c r="T3280" s="10"/>
      <c r="U3280" s="10"/>
      <c r="V3280" s="10"/>
      <c r="W3280" s="138"/>
      <c r="Y3280"/>
      <c r="Z3280"/>
      <c r="AA3280"/>
      <c r="AB3280"/>
      <c r="AC3280"/>
      <c r="AD3280"/>
      <c r="AE3280"/>
      <c r="AF3280"/>
      <c r="AG3280"/>
      <c r="AH3280"/>
      <c r="AI3280"/>
      <c r="AJ3280"/>
      <c r="AK3280"/>
      <c r="AL3280"/>
      <c r="AM3280"/>
      <c r="AN3280"/>
      <c r="AO3280"/>
    </row>
    <row r="3281" spans="1:41" ht="15">
      <c r="A3281"/>
      <c r="B3281"/>
      <c r="C3281" s="137"/>
      <c r="D3281" s="30"/>
      <c r="E3281" s="30"/>
      <c r="F3281" s="10"/>
      <c r="G3281" s="10"/>
      <c r="H3281" s="15"/>
      <c r="I3281" s="15"/>
      <c r="J3281" s="15"/>
      <c r="K3281" s="15"/>
      <c r="L3281" s="15"/>
      <c r="M3281" s="15"/>
      <c r="N3281" s="15"/>
      <c r="O3281" s="15"/>
      <c r="P3281" s="15"/>
      <c r="Q3281" s="71"/>
      <c r="R3281" s="84"/>
      <c r="S3281" s="10"/>
      <c r="T3281" s="10"/>
      <c r="U3281" s="10"/>
      <c r="V3281" s="10"/>
      <c r="W3281" s="138"/>
      <c r="Y3281"/>
      <c r="Z3281"/>
      <c r="AA3281"/>
      <c r="AB3281"/>
      <c r="AC3281"/>
      <c r="AD3281"/>
      <c r="AE3281"/>
      <c r="AF3281"/>
      <c r="AG3281"/>
      <c r="AH3281"/>
      <c r="AI3281"/>
      <c r="AJ3281"/>
      <c r="AK3281"/>
      <c r="AL3281"/>
      <c r="AM3281"/>
      <c r="AN3281"/>
      <c r="AO3281"/>
    </row>
    <row r="3282" spans="1:41" ht="15">
      <c r="A3282"/>
      <c r="B3282"/>
      <c r="C3282" s="137"/>
      <c r="D3282" s="30"/>
      <c r="E3282" s="30"/>
      <c r="F3282" s="10"/>
      <c r="G3282" s="10"/>
      <c r="H3282" s="15"/>
      <c r="I3282" s="15"/>
      <c r="J3282" s="15"/>
      <c r="K3282" s="15"/>
      <c r="L3282" s="15"/>
      <c r="M3282" s="15"/>
      <c r="N3282" s="15"/>
      <c r="O3282" s="15"/>
      <c r="P3282" s="15"/>
      <c r="Q3282" s="71"/>
      <c r="R3282" s="84"/>
      <c r="S3282" s="10"/>
      <c r="T3282" s="10"/>
      <c r="U3282" s="10"/>
      <c r="V3282" s="10"/>
      <c r="W3282" s="138"/>
      <c r="Y3282"/>
      <c r="Z3282"/>
      <c r="AA3282"/>
      <c r="AB3282"/>
      <c r="AC3282"/>
      <c r="AD3282"/>
      <c r="AE3282"/>
      <c r="AF3282"/>
      <c r="AG3282"/>
      <c r="AH3282"/>
      <c r="AI3282"/>
      <c r="AJ3282"/>
      <c r="AK3282"/>
      <c r="AL3282"/>
      <c r="AM3282"/>
      <c r="AN3282"/>
      <c r="AO3282"/>
    </row>
    <row r="3283" spans="1:41" ht="15">
      <c r="A3283"/>
      <c r="B3283"/>
      <c r="C3283" s="137"/>
      <c r="D3283" s="30"/>
      <c r="E3283" s="30"/>
      <c r="F3283" s="10"/>
      <c r="G3283" s="10"/>
      <c r="H3283" s="15"/>
      <c r="I3283" s="15"/>
      <c r="J3283" s="15"/>
      <c r="K3283" s="15"/>
      <c r="L3283" s="15"/>
      <c r="M3283" s="15"/>
      <c r="N3283" s="15"/>
      <c r="O3283" s="15"/>
      <c r="P3283" s="15"/>
      <c r="Q3283" s="71"/>
      <c r="R3283" s="84"/>
      <c r="S3283" s="10"/>
      <c r="T3283" s="10"/>
      <c r="U3283" s="10"/>
      <c r="V3283" s="10"/>
      <c r="W3283" s="138"/>
      <c r="Y3283"/>
      <c r="Z3283"/>
      <c r="AA3283"/>
      <c r="AB3283"/>
      <c r="AC3283"/>
      <c r="AD3283"/>
      <c r="AE3283"/>
      <c r="AF3283"/>
      <c r="AG3283"/>
      <c r="AH3283"/>
      <c r="AI3283"/>
      <c r="AJ3283"/>
      <c r="AK3283"/>
      <c r="AL3283"/>
      <c r="AM3283"/>
      <c r="AN3283"/>
      <c r="AO3283"/>
    </row>
    <row r="3284" spans="1:41" ht="15">
      <c r="A3284"/>
      <c r="B3284"/>
      <c r="C3284" s="137"/>
      <c r="D3284" s="30"/>
      <c r="E3284" s="30"/>
      <c r="F3284" s="10"/>
      <c r="G3284" s="10"/>
      <c r="H3284" s="15"/>
      <c r="I3284" s="15"/>
      <c r="J3284" s="15"/>
      <c r="K3284" s="15"/>
      <c r="L3284" s="15"/>
      <c r="M3284" s="15"/>
      <c r="N3284" s="15"/>
      <c r="O3284" s="15"/>
      <c r="P3284" s="15"/>
      <c r="Q3284" s="71"/>
      <c r="R3284" s="84"/>
      <c r="S3284" s="10"/>
      <c r="T3284" s="10"/>
      <c r="U3284" s="10"/>
      <c r="V3284" s="10"/>
      <c r="W3284" s="138"/>
      <c r="Y3284"/>
      <c r="Z3284"/>
      <c r="AA3284"/>
      <c r="AB3284"/>
      <c r="AC3284"/>
      <c r="AD3284"/>
      <c r="AE3284"/>
      <c r="AF3284"/>
      <c r="AG3284"/>
      <c r="AH3284"/>
      <c r="AI3284"/>
      <c r="AJ3284"/>
      <c r="AK3284"/>
      <c r="AL3284"/>
      <c r="AM3284"/>
      <c r="AN3284"/>
      <c r="AO3284"/>
    </row>
    <row r="3285" spans="1:41" ht="15">
      <c r="A3285"/>
      <c r="B3285"/>
      <c r="C3285" s="137"/>
      <c r="D3285" s="30"/>
      <c r="E3285" s="30"/>
      <c r="F3285" s="10"/>
      <c r="G3285" s="10"/>
      <c r="H3285" s="15"/>
      <c r="I3285" s="15"/>
      <c r="J3285" s="15"/>
      <c r="K3285" s="15"/>
      <c r="L3285" s="15"/>
      <c r="M3285" s="15"/>
      <c r="N3285" s="15"/>
      <c r="O3285" s="15"/>
      <c r="P3285" s="15"/>
      <c r="Q3285" s="71"/>
      <c r="R3285" s="84"/>
      <c r="S3285" s="10"/>
      <c r="T3285" s="10"/>
      <c r="U3285" s="10"/>
      <c r="V3285" s="10"/>
      <c r="W3285" s="138"/>
      <c r="Y3285"/>
      <c r="Z3285"/>
      <c r="AA3285"/>
      <c r="AB3285"/>
      <c r="AC3285"/>
      <c r="AD3285"/>
      <c r="AE3285"/>
      <c r="AF3285"/>
      <c r="AG3285"/>
      <c r="AH3285"/>
      <c r="AI3285"/>
      <c r="AJ3285"/>
      <c r="AK3285"/>
      <c r="AL3285"/>
      <c r="AM3285"/>
      <c r="AN3285"/>
      <c r="AO3285"/>
    </row>
    <row r="3286" spans="1:41" ht="15">
      <c r="A3286"/>
      <c r="B3286"/>
      <c r="C3286" s="137"/>
      <c r="D3286" s="30"/>
      <c r="E3286" s="30"/>
      <c r="F3286" s="10"/>
      <c r="G3286" s="10"/>
      <c r="H3286" s="15"/>
      <c r="I3286" s="15"/>
      <c r="J3286" s="15"/>
      <c r="K3286" s="15"/>
      <c r="L3286" s="15"/>
      <c r="M3286" s="15"/>
      <c r="N3286" s="15"/>
      <c r="O3286" s="15"/>
      <c r="P3286" s="15"/>
      <c r="Q3286" s="71"/>
      <c r="R3286" s="84"/>
      <c r="S3286" s="10"/>
      <c r="T3286" s="10"/>
      <c r="U3286" s="10"/>
      <c r="V3286" s="10"/>
      <c r="W3286" s="138"/>
      <c r="Y3286"/>
      <c r="Z3286"/>
      <c r="AA3286"/>
      <c r="AB3286"/>
      <c r="AC3286"/>
      <c r="AD3286"/>
      <c r="AE3286"/>
      <c r="AF3286"/>
      <c r="AG3286"/>
      <c r="AH3286"/>
      <c r="AI3286"/>
      <c r="AJ3286"/>
      <c r="AK3286"/>
      <c r="AL3286"/>
      <c r="AM3286"/>
      <c r="AN3286"/>
      <c r="AO3286"/>
    </row>
    <row r="3287" spans="1:41" ht="15">
      <c r="A3287"/>
      <c r="B3287"/>
      <c r="C3287" s="137"/>
      <c r="D3287" s="30"/>
      <c r="E3287" s="30"/>
      <c r="F3287" s="10"/>
      <c r="G3287" s="10"/>
      <c r="H3287" s="15"/>
      <c r="I3287" s="15"/>
      <c r="J3287" s="15"/>
      <c r="K3287" s="15"/>
      <c r="L3287" s="15"/>
      <c r="M3287" s="15"/>
      <c r="N3287" s="15"/>
      <c r="O3287" s="15"/>
      <c r="P3287" s="15"/>
      <c r="Q3287" s="71"/>
      <c r="R3287" s="84"/>
      <c r="S3287" s="10"/>
      <c r="T3287" s="10"/>
      <c r="U3287" s="10"/>
      <c r="V3287" s="10"/>
      <c r="W3287" s="138"/>
      <c r="Y3287"/>
      <c r="Z3287"/>
      <c r="AA3287"/>
      <c r="AB3287"/>
      <c r="AC3287"/>
      <c r="AD3287"/>
      <c r="AE3287"/>
      <c r="AF3287"/>
      <c r="AG3287"/>
      <c r="AH3287"/>
      <c r="AI3287"/>
      <c r="AJ3287"/>
      <c r="AK3287"/>
      <c r="AL3287"/>
      <c r="AM3287"/>
      <c r="AN3287"/>
      <c r="AO3287"/>
    </row>
    <row r="3288" spans="1:41" ht="15">
      <c r="A3288"/>
      <c r="B3288"/>
      <c r="C3288" s="137"/>
      <c r="D3288" s="30"/>
      <c r="E3288" s="30"/>
      <c r="F3288" s="10"/>
      <c r="G3288" s="10"/>
      <c r="H3288" s="15"/>
      <c r="I3288" s="15"/>
      <c r="J3288" s="15"/>
      <c r="K3288" s="15"/>
      <c r="L3288" s="15"/>
      <c r="M3288" s="15"/>
      <c r="N3288" s="15"/>
      <c r="O3288" s="15"/>
      <c r="P3288" s="15"/>
      <c r="Q3288" s="71"/>
      <c r="R3288" s="84"/>
      <c r="S3288" s="10"/>
      <c r="T3288" s="10"/>
      <c r="U3288" s="10"/>
      <c r="V3288" s="10"/>
      <c r="W3288" s="138"/>
      <c r="Y3288"/>
      <c r="Z3288"/>
      <c r="AA3288"/>
      <c r="AB3288"/>
      <c r="AC3288"/>
      <c r="AD3288"/>
      <c r="AE3288"/>
      <c r="AF3288"/>
      <c r="AG3288"/>
      <c r="AH3288"/>
      <c r="AI3288"/>
      <c r="AJ3288"/>
      <c r="AK3288"/>
      <c r="AL3288"/>
      <c r="AM3288"/>
      <c r="AN3288"/>
      <c r="AO3288"/>
    </row>
    <row r="3289" spans="1:41" ht="15">
      <c r="A3289"/>
      <c r="B3289"/>
      <c r="C3289" s="137"/>
      <c r="D3289" s="30"/>
      <c r="E3289" s="30"/>
      <c r="F3289" s="10"/>
      <c r="G3289" s="10"/>
      <c r="H3289" s="15"/>
      <c r="I3289" s="15"/>
      <c r="J3289" s="15"/>
      <c r="K3289" s="15"/>
      <c r="L3289" s="15"/>
      <c r="M3289" s="15"/>
      <c r="N3289" s="15"/>
      <c r="O3289" s="15"/>
      <c r="P3289" s="15"/>
      <c r="Q3289" s="71"/>
      <c r="R3289" s="84"/>
      <c r="S3289" s="10"/>
      <c r="T3289" s="10"/>
      <c r="U3289" s="10"/>
      <c r="V3289" s="10"/>
      <c r="W3289" s="138"/>
      <c r="Y3289"/>
      <c r="Z3289"/>
      <c r="AA3289"/>
      <c r="AB3289"/>
      <c r="AC3289"/>
      <c r="AD3289"/>
      <c r="AE3289"/>
      <c r="AF3289"/>
      <c r="AG3289"/>
      <c r="AH3289"/>
      <c r="AI3289"/>
      <c r="AJ3289"/>
      <c r="AK3289"/>
      <c r="AL3289"/>
      <c r="AM3289"/>
      <c r="AN3289"/>
      <c r="AO3289"/>
    </row>
    <row r="3290" spans="1:41" ht="15">
      <c r="A3290"/>
      <c r="B3290"/>
      <c r="C3290" s="137"/>
      <c r="D3290" s="30"/>
      <c r="E3290" s="30"/>
      <c r="F3290" s="10"/>
      <c r="G3290" s="10"/>
      <c r="H3290" s="15"/>
      <c r="I3290" s="15"/>
      <c r="J3290" s="15"/>
      <c r="K3290" s="15"/>
      <c r="L3290" s="15"/>
      <c r="M3290" s="15"/>
      <c r="N3290" s="15"/>
      <c r="O3290" s="15"/>
      <c r="P3290" s="15"/>
      <c r="Q3290" s="71"/>
      <c r="R3290" s="84"/>
      <c r="S3290" s="10"/>
      <c r="T3290" s="10"/>
      <c r="U3290" s="10"/>
      <c r="V3290" s="10"/>
      <c r="W3290" s="138"/>
      <c r="Y3290"/>
      <c r="Z3290"/>
      <c r="AA3290"/>
      <c r="AB3290"/>
      <c r="AC3290"/>
      <c r="AD3290"/>
      <c r="AE3290"/>
      <c r="AF3290"/>
      <c r="AG3290"/>
      <c r="AH3290"/>
      <c r="AI3290"/>
      <c r="AJ3290"/>
      <c r="AK3290"/>
      <c r="AL3290"/>
      <c r="AM3290"/>
      <c r="AN3290"/>
      <c r="AO3290"/>
    </row>
    <row r="3291" spans="1:41" ht="15">
      <c r="A3291"/>
      <c r="B3291"/>
      <c r="C3291" s="137"/>
      <c r="D3291" s="30"/>
      <c r="E3291" s="30"/>
      <c r="F3291" s="10"/>
      <c r="G3291" s="10"/>
      <c r="H3291" s="15"/>
      <c r="I3291" s="15"/>
      <c r="J3291" s="15"/>
      <c r="K3291" s="15"/>
      <c r="L3291" s="15"/>
      <c r="M3291" s="15"/>
      <c r="N3291" s="15"/>
      <c r="O3291" s="15"/>
      <c r="P3291" s="15"/>
      <c r="Q3291" s="71"/>
      <c r="R3291" s="84"/>
      <c r="S3291" s="10"/>
      <c r="T3291" s="10"/>
      <c r="U3291" s="10"/>
      <c r="V3291" s="10"/>
      <c r="W3291" s="138"/>
      <c r="Y3291"/>
      <c r="Z3291"/>
      <c r="AA3291"/>
      <c r="AB3291"/>
      <c r="AC3291"/>
      <c r="AD3291"/>
      <c r="AE3291"/>
      <c r="AF3291"/>
      <c r="AG3291"/>
      <c r="AH3291"/>
      <c r="AI3291"/>
      <c r="AJ3291"/>
      <c r="AK3291"/>
      <c r="AL3291"/>
      <c r="AM3291"/>
      <c r="AN3291"/>
      <c r="AO3291"/>
    </row>
    <row r="3292" spans="1:41" ht="15">
      <c r="A3292"/>
      <c r="B3292"/>
      <c r="C3292" s="137"/>
      <c r="D3292" s="30"/>
      <c r="E3292" s="30"/>
      <c r="F3292" s="10"/>
      <c r="G3292" s="10"/>
      <c r="H3292" s="15"/>
      <c r="I3292" s="15"/>
      <c r="J3292" s="15"/>
      <c r="K3292" s="15"/>
      <c r="L3292" s="15"/>
      <c r="M3292" s="15"/>
      <c r="N3292" s="15"/>
      <c r="O3292" s="15"/>
      <c r="P3292" s="15"/>
      <c r="Q3292" s="71"/>
      <c r="R3292" s="84"/>
      <c r="S3292" s="10"/>
      <c r="T3292" s="10"/>
      <c r="U3292" s="10"/>
      <c r="V3292" s="10"/>
      <c r="W3292" s="138"/>
      <c r="Y3292"/>
      <c r="Z3292"/>
      <c r="AA3292"/>
      <c r="AB3292"/>
      <c r="AC3292"/>
      <c r="AD3292"/>
      <c r="AE3292"/>
      <c r="AF3292"/>
      <c r="AG3292"/>
      <c r="AH3292"/>
      <c r="AI3292"/>
      <c r="AJ3292"/>
      <c r="AK3292"/>
      <c r="AL3292"/>
      <c r="AM3292"/>
      <c r="AN3292"/>
      <c r="AO3292"/>
    </row>
    <row r="3293" spans="1:41" ht="15">
      <c r="A3293"/>
      <c r="B3293"/>
      <c r="C3293" s="137"/>
      <c r="D3293" s="30"/>
      <c r="E3293" s="30"/>
      <c r="F3293" s="10"/>
      <c r="G3293" s="10"/>
      <c r="H3293" s="15"/>
      <c r="I3293" s="15"/>
      <c r="J3293" s="15"/>
      <c r="K3293" s="15"/>
      <c r="L3293" s="15"/>
      <c r="M3293" s="15"/>
      <c r="N3293" s="15"/>
      <c r="O3293" s="15"/>
      <c r="P3293" s="15"/>
      <c r="Q3293" s="71"/>
      <c r="R3293" s="84"/>
      <c r="S3293" s="10"/>
      <c r="T3293" s="10"/>
      <c r="U3293" s="10"/>
      <c r="V3293" s="10"/>
      <c r="W3293" s="138"/>
      <c r="Y3293"/>
      <c r="Z3293"/>
      <c r="AA3293"/>
      <c r="AB3293"/>
      <c r="AC3293"/>
      <c r="AD3293"/>
      <c r="AE3293"/>
      <c r="AF3293"/>
      <c r="AG3293"/>
      <c r="AH3293"/>
      <c r="AI3293"/>
      <c r="AJ3293"/>
      <c r="AK3293"/>
      <c r="AL3293"/>
      <c r="AM3293"/>
      <c r="AN3293"/>
      <c r="AO3293"/>
    </row>
    <row r="3294" spans="1:41" ht="15">
      <c r="A3294"/>
      <c r="B3294"/>
      <c r="C3294" s="137"/>
      <c r="D3294" s="30"/>
      <c r="E3294" s="30"/>
      <c r="F3294" s="10"/>
      <c r="G3294" s="10"/>
      <c r="H3294" s="15"/>
      <c r="I3294" s="15"/>
      <c r="J3294" s="15"/>
      <c r="K3294" s="15"/>
      <c r="L3294" s="15"/>
      <c r="M3294" s="15"/>
      <c r="N3294" s="15"/>
      <c r="O3294" s="15"/>
      <c r="P3294" s="15"/>
      <c r="Q3294" s="71"/>
      <c r="R3294" s="84"/>
      <c r="S3294" s="10"/>
      <c r="T3294" s="10"/>
      <c r="U3294" s="10"/>
      <c r="V3294" s="10"/>
      <c r="W3294" s="138"/>
      <c r="Y3294"/>
      <c r="Z3294"/>
      <c r="AA3294"/>
      <c r="AB3294"/>
      <c r="AC3294"/>
      <c r="AD3294"/>
      <c r="AE3294"/>
      <c r="AF3294"/>
      <c r="AG3294"/>
      <c r="AH3294"/>
      <c r="AI3294"/>
      <c r="AJ3294"/>
      <c r="AK3294"/>
      <c r="AL3294"/>
      <c r="AM3294"/>
      <c r="AN3294"/>
      <c r="AO3294"/>
    </row>
    <row r="3295" spans="1:41" ht="15">
      <c r="A3295"/>
      <c r="B3295"/>
      <c r="C3295" s="137"/>
      <c r="D3295" s="30"/>
      <c r="E3295" s="30"/>
      <c r="F3295" s="10"/>
      <c r="G3295" s="10"/>
      <c r="H3295" s="15"/>
      <c r="I3295" s="15"/>
      <c r="J3295" s="15"/>
      <c r="K3295" s="15"/>
      <c r="L3295" s="15"/>
      <c r="M3295" s="15"/>
      <c r="N3295" s="15"/>
      <c r="O3295" s="15"/>
      <c r="P3295" s="15"/>
      <c r="Q3295" s="71"/>
      <c r="R3295" s="84"/>
      <c r="S3295" s="10"/>
      <c r="T3295" s="10"/>
      <c r="U3295" s="10"/>
      <c r="V3295" s="10"/>
      <c r="W3295" s="138"/>
      <c r="Y3295"/>
      <c r="Z3295"/>
      <c r="AA3295"/>
      <c r="AB3295"/>
      <c r="AC3295"/>
      <c r="AD3295"/>
      <c r="AE3295"/>
      <c r="AF3295"/>
      <c r="AG3295"/>
      <c r="AH3295"/>
      <c r="AI3295"/>
      <c r="AJ3295"/>
      <c r="AK3295"/>
      <c r="AL3295"/>
      <c r="AM3295"/>
      <c r="AN3295"/>
      <c r="AO3295"/>
    </row>
    <row r="3296" spans="1:41" ht="15">
      <c r="A3296"/>
      <c r="B3296"/>
      <c r="C3296" s="137"/>
      <c r="D3296" s="30"/>
      <c r="E3296" s="30"/>
      <c r="F3296" s="10"/>
      <c r="G3296" s="10"/>
      <c r="H3296" s="15"/>
      <c r="I3296" s="15"/>
      <c r="J3296" s="15"/>
      <c r="K3296" s="15"/>
      <c r="L3296" s="15"/>
      <c r="M3296" s="15"/>
      <c r="N3296" s="15"/>
      <c r="O3296" s="15"/>
      <c r="P3296" s="15"/>
      <c r="Q3296" s="71"/>
      <c r="R3296" s="84"/>
      <c r="S3296" s="10"/>
      <c r="T3296" s="10"/>
      <c r="U3296" s="10"/>
      <c r="V3296" s="10"/>
      <c r="W3296" s="138"/>
      <c r="Y3296"/>
      <c r="Z3296"/>
      <c r="AA3296"/>
      <c r="AB3296"/>
      <c r="AC3296"/>
      <c r="AD3296"/>
      <c r="AE3296"/>
      <c r="AF3296"/>
      <c r="AG3296"/>
      <c r="AH3296"/>
      <c r="AI3296"/>
      <c r="AJ3296"/>
      <c r="AK3296"/>
      <c r="AL3296"/>
      <c r="AM3296"/>
      <c r="AN3296"/>
      <c r="AO3296"/>
    </row>
    <row r="3297" spans="1:41" ht="15">
      <c r="A3297"/>
      <c r="B3297"/>
      <c r="C3297" s="137"/>
      <c r="D3297" s="30"/>
      <c r="E3297" s="30"/>
      <c r="F3297" s="10"/>
      <c r="G3297" s="10"/>
      <c r="H3297" s="15"/>
      <c r="I3297" s="15"/>
      <c r="J3297" s="15"/>
      <c r="K3297" s="15"/>
      <c r="L3297" s="15"/>
      <c r="M3297" s="15"/>
      <c r="N3297" s="15"/>
      <c r="O3297" s="15"/>
      <c r="P3297" s="15"/>
      <c r="Q3297" s="71"/>
      <c r="R3297" s="84"/>
      <c r="S3297" s="10"/>
      <c r="T3297" s="10"/>
      <c r="U3297" s="10"/>
      <c r="V3297" s="10"/>
      <c r="W3297" s="138"/>
      <c r="Y3297"/>
      <c r="Z3297"/>
      <c r="AA3297"/>
      <c r="AB3297"/>
      <c r="AC3297"/>
      <c r="AD3297"/>
      <c r="AE3297"/>
      <c r="AF3297"/>
      <c r="AG3297"/>
      <c r="AH3297"/>
      <c r="AI3297"/>
      <c r="AJ3297"/>
      <c r="AK3297"/>
      <c r="AL3297"/>
      <c r="AM3297"/>
      <c r="AN3297"/>
      <c r="AO3297"/>
    </row>
    <row r="3298" spans="1:41" ht="15">
      <c r="A3298"/>
      <c r="B3298"/>
      <c r="C3298" s="137"/>
      <c r="D3298" s="30"/>
      <c r="E3298" s="30"/>
      <c r="F3298" s="10"/>
      <c r="G3298" s="10"/>
      <c r="H3298" s="15"/>
      <c r="I3298" s="15"/>
      <c r="J3298" s="15"/>
      <c r="K3298" s="15"/>
      <c r="L3298" s="15"/>
      <c r="M3298" s="15"/>
      <c r="N3298" s="15"/>
      <c r="O3298" s="15"/>
      <c r="P3298" s="15"/>
      <c r="Q3298" s="71"/>
      <c r="R3298" s="84"/>
      <c r="S3298" s="10"/>
      <c r="T3298" s="10"/>
      <c r="U3298" s="10"/>
      <c r="V3298" s="10"/>
      <c r="W3298" s="138"/>
      <c r="Y3298"/>
      <c r="Z3298"/>
      <c r="AA3298"/>
      <c r="AB3298"/>
      <c r="AC3298"/>
      <c r="AD3298"/>
      <c r="AE3298"/>
      <c r="AF3298"/>
      <c r="AG3298"/>
      <c r="AH3298"/>
      <c r="AI3298"/>
      <c r="AJ3298"/>
      <c r="AK3298"/>
      <c r="AL3298"/>
      <c r="AM3298"/>
      <c r="AN3298"/>
      <c r="AO3298"/>
    </row>
    <row r="3299" spans="1:41" ht="15">
      <c r="A3299"/>
      <c r="B3299"/>
      <c r="C3299" s="137"/>
      <c r="D3299" s="30"/>
      <c r="E3299" s="30"/>
      <c r="F3299" s="10"/>
      <c r="G3299" s="10"/>
      <c r="H3299" s="15"/>
      <c r="I3299" s="15"/>
      <c r="J3299" s="15"/>
      <c r="K3299" s="15"/>
      <c r="L3299" s="15"/>
      <c r="M3299" s="15"/>
      <c r="N3299" s="15"/>
      <c r="O3299" s="15"/>
      <c r="P3299" s="15"/>
      <c r="Q3299" s="71"/>
      <c r="R3299" s="84"/>
      <c r="S3299" s="10"/>
      <c r="T3299" s="10"/>
      <c r="U3299" s="10"/>
      <c r="V3299" s="10"/>
      <c r="W3299" s="138"/>
      <c r="Y3299"/>
      <c r="Z3299"/>
      <c r="AA3299"/>
      <c r="AB3299"/>
      <c r="AC3299"/>
      <c r="AD3299"/>
      <c r="AE3299"/>
      <c r="AF3299"/>
      <c r="AG3299"/>
      <c r="AH3299"/>
      <c r="AI3299"/>
      <c r="AJ3299"/>
      <c r="AK3299"/>
      <c r="AL3299"/>
      <c r="AM3299"/>
      <c r="AN3299"/>
      <c r="AO3299"/>
    </row>
    <row r="3300" spans="1:41" ht="15">
      <c r="A3300"/>
      <c r="B3300"/>
      <c r="C3300" s="137"/>
      <c r="D3300" s="30"/>
      <c r="E3300" s="30"/>
      <c r="F3300" s="10"/>
      <c r="G3300" s="10"/>
      <c r="H3300" s="15"/>
      <c r="I3300" s="15"/>
      <c r="J3300" s="15"/>
      <c r="K3300" s="15"/>
      <c r="L3300" s="15"/>
      <c r="M3300" s="15"/>
      <c r="N3300" s="15"/>
      <c r="O3300" s="15"/>
      <c r="P3300" s="15"/>
      <c r="Q3300" s="71"/>
      <c r="R3300" s="84"/>
      <c r="S3300" s="10"/>
      <c r="T3300" s="10"/>
      <c r="U3300" s="10"/>
      <c r="V3300" s="10"/>
      <c r="W3300" s="138"/>
      <c r="Y3300"/>
      <c r="Z3300"/>
      <c r="AA3300"/>
      <c r="AB3300"/>
      <c r="AC3300"/>
      <c r="AD3300"/>
      <c r="AE3300"/>
      <c r="AF3300"/>
      <c r="AG3300"/>
      <c r="AH3300"/>
      <c r="AI3300"/>
      <c r="AJ3300"/>
      <c r="AK3300"/>
      <c r="AL3300"/>
      <c r="AM3300"/>
      <c r="AN3300"/>
      <c r="AO3300"/>
    </row>
    <row r="3301" spans="1:41" ht="15">
      <c r="A3301"/>
      <c r="B3301"/>
      <c r="C3301" s="137"/>
      <c r="D3301" s="30"/>
      <c r="E3301" s="30"/>
      <c r="F3301" s="10"/>
      <c r="G3301" s="10"/>
      <c r="H3301" s="15"/>
      <c r="I3301" s="15"/>
      <c r="J3301" s="15"/>
      <c r="K3301" s="15"/>
      <c r="L3301" s="15"/>
      <c r="M3301" s="15"/>
      <c r="N3301" s="15"/>
      <c r="O3301" s="15"/>
      <c r="P3301" s="15"/>
      <c r="Q3301" s="71"/>
      <c r="R3301" s="84"/>
      <c r="S3301" s="10"/>
      <c r="T3301" s="10"/>
      <c r="U3301" s="10"/>
      <c r="V3301" s="10"/>
      <c r="W3301" s="138"/>
      <c r="Y3301"/>
      <c r="Z3301"/>
      <c r="AA3301"/>
      <c r="AB3301"/>
      <c r="AC3301"/>
      <c r="AD3301"/>
      <c r="AE3301"/>
      <c r="AF3301"/>
      <c r="AG3301"/>
      <c r="AH3301"/>
      <c r="AI3301"/>
      <c r="AJ3301"/>
      <c r="AK3301"/>
      <c r="AL3301"/>
      <c r="AM3301"/>
      <c r="AN3301"/>
      <c r="AO3301"/>
    </row>
    <row r="3302" spans="1:41" ht="15">
      <c r="A3302"/>
      <c r="B3302"/>
      <c r="C3302" s="137"/>
      <c r="D3302" s="30"/>
      <c r="E3302" s="30"/>
      <c r="F3302" s="10"/>
      <c r="G3302" s="10"/>
      <c r="H3302" s="15"/>
      <c r="I3302" s="15"/>
      <c r="J3302" s="15"/>
      <c r="K3302" s="15"/>
      <c r="L3302" s="15"/>
      <c r="M3302" s="15"/>
      <c r="N3302" s="15"/>
      <c r="O3302" s="15"/>
      <c r="P3302" s="15"/>
      <c r="Q3302" s="71"/>
      <c r="R3302" s="84"/>
      <c r="S3302" s="10"/>
      <c r="T3302" s="10"/>
      <c r="U3302" s="10"/>
      <c r="V3302" s="10"/>
      <c r="W3302" s="138"/>
      <c r="Y3302"/>
      <c r="Z3302"/>
      <c r="AA3302"/>
      <c r="AB3302"/>
      <c r="AC3302"/>
      <c r="AD3302"/>
      <c r="AE3302"/>
      <c r="AF3302"/>
      <c r="AG3302"/>
      <c r="AH3302"/>
      <c r="AI3302"/>
      <c r="AJ3302"/>
      <c r="AK3302"/>
      <c r="AL3302"/>
      <c r="AM3302"/>
      <c r="AN3302"/>
      <c r="AO3302"/>
    </row>
    <row r="3303" spans="1:41" ht="15">
      <c r="A3303"/>
      <c r="B3303"/>
      <c r="C3303" s="137"/>
      <c r="D3303" s="30"/>
      <c r="E3303" s="30"/>
      <c r="F3303" s="10"/>
      <c r="G3303" s="10"/>
      <c r="H3303" s="15"/>
      <c r="I3303" s="15"/>
      <c r="J3303" s="15"/>
      <c r="K3303" s="15"/>
      <c r="L3303" s="15"/>
      <c r="M3303" s="15"/>
      <c r="N3303" s="15"/>
      <c r="O3303" s="15"/>
      <c r="P3303" s="15"/>
      <c r="Q3303" s="71"/>
      <c r="R3303" s="84"/>
      <c r="S3303" s="10"/>
      <c r="T3303" s="10"/>
      <c r="U3303" s="10"/>
      <c r="V3303" s="10"/>
      <c r="W3303" s="138"/>
      <c r="Y3303"/>
      <c r="Z3303"/>
      <c r="AA3303"/>
      <c r="AB3303"/>
      <c r="AC3303"/>
      <c r="AD3303"/>
      <c r="AE3303"/>
      <c r="AF3303"/>
      <c r="AG3303"/>
      <c r="AH3303"/>
      <c r="AI3303"/>
      <c r="AJ3303"/>
      <c r="AK3303"/>
      <c r="AL3303"/>
      <c r="AM3303"/>
      <c r="AN3303"/>
      <c r="AO3303"/>
    </row>
    <row r="3304" spans="1:41" ht="15">
      <c r="A3304"/>
      <c r="B3304"/>
      <c r="C3304" s="137"/>
      <c r="D3304" s="30"/>
      <c r="E3304" s="30"/>
      <c r="F3304" s="10"/>
      <c r="G3304" s="10"/>
      <c r="H3304" s="15"/>
      <c r="I3304" s="15"/>
      <c r="J3304" s="15"/>
      <c r="K3304" s="15"/>
      <c r="L3304" s="15"/>
      <c r="M3304" s="15"/>
      <c r="N3304" s="15"/>
      <c r="O3304" s="15"/>
      <c r="P3304" s="15"/>
      <c r="Q3304" s="71"/>
      <c r="R3304" s="84"/>
      <c r="S3304" s="10"/>
      <c r="T3304" s="10"/>
      <c r="U3304" s="10"/>
      <c r="V3304" s="10"/>
      <c r="W3304" s="138"/>
      <c r="Y3304"/>
      <c r="Z3304"/>
      <c r="AA3304"/>
      <c r="AB3304"/>
      <c r="AC3304"/>
      <c r="AD3304"/>
      <c r="AE3304"/>
      <c r="AF3304"/>
      <c r="AG3304"/>
      <c r="AH3304"/>
      <c r="AI3304"/>
      <c r="AJ3304"/>
      <c r="AK3304"/>
      <c r="AL3304"/>
      <c r="AM3304"/>
      <c r="AN3304"/>
      <c r="AO3304"/>
    </row>
    <row r="3305" spans="1:41" ht="15">
      <c r="A3305"/>
      <c r="B3305"/>
      <c r="C3305" s="137"/>
      <c r="D3305" s="30"/>
      <c r="E3305" s="30"/>
      <c r="F3305" s="10"/>
      <c r="G3305" s="10"/>
      <c r="H3305" s="15"/>
      <c r="I3305" s="15"/>
      <c r="J3305" s="15"/>
      <c r="K3305" s="15"/>
      <c r="L3305" s="15"/>
      <c r="M3305" s="15"/>
      <c r="N3305" s="15"/>
      <c r="O3305" s="15"/>
      <c r="P3305" s="15"/>
      <c r="Q3305" s="71"/>
      <c r="R3305" s="84"/>
      <c r="S3305" s="10"/>
      <c r="T3305" s="10"/>
      <c r="U3305" s="10"/>
      <c r="V3305" s="10"/>
      <c r="W3305" s="138"/>
      <c r="Y3305"/>
      <c r="Z3305"/>
      <c r="AA3305"/>
      <c r="AB3305"/>
      <c r="AC3305"/>
      <c r="AD3305"/>
      <c r="AE3305"/>
      <c r="AF3305"/>
      <c r="AG3305"/>
      <c r="AH3305"/>
      <c r="AI3305"/>
      <c r="AJ3305"/>
      <c r="AK3305"/>
      <c r="AL3305"/>
      <c r="AM3305"/>
      <c r="AN3305"/>
      <c r="AO3305"/>
    </row>
    <row r="3306" spans="1:41" ht="15">
      <c r="A3306"/>
      <c r="B3306"/>
      <c r="C3306" s="137"/>
      <c r="D3306" s="30"/>
      <c r="E3306" s="30"/>
      <c r="F3306" s="10"/>
      <c r="G3306" s="10"/>
      <c r="H3306" s="15"/>
      <c r="I3306" s="15"/>
      <c r="J3306" s="15"/>
      <c r="K3306" s="15"/>
      <c r="L3306" s="15"/>
      <c r="M3306" s="15"/>
      <c r="N3306" s="15"/>
      <c r="O3306" s="15"/>
      <c r="P3306" s="15"/>
      <c r="Q3306" s="71"/>
      <c r="R3306" s="84"/>
      <c r="S3306" s="10"/>
      <c r="T3306" s="10"/>
      <c r="U3306" s="10"/>
      <c r="V3306" s="10"/>
      <c r="W3306" s="138"/>
      <c r="Y3306"/>
      <c r="Z3306"/>
      <c r="AA3306"/>
      <c r="AB3306"/>
      <c r="AC3306"/>
      <c r="AD3306"/>
      <c r="AE3306"/>
      <c r="AF3306"/>
      <c r="AG3306"/>
      <c r="AH3306"/>
      <c r="AI3306"/>
      <c r="AJ3306"/>
      <c r="AK3306"/>
      <c r="AL3306"/>
      <c r="AM3306"/>
      <c r="AN3306"/>
      <c r="AO3306"/>
    </row>
    <row r="3307" spans="1:41" ht="15">
      <c r="A3307"/>
      <c r="B3307"/>
      <c r="C3307" s="137"/>
      <c r="D3307" s="30"/>
      <c r="E3307" s="30"/>
      <c r="F3307" s="10"/>
      <c r="G3307" s="10"/>
      <c r="H3307" s="15"/>
      <c r="I3307" s="15"/>
      <c r="J3307" s="15"/>
      <c r="K3307" s="15"/>
      <c r="L3307" s="15"/>
      <c r="M3307" s="15"/>
      <c r="N3307" s="15"/>
      <c r="O3307" s="15"/>
      <c r="P3307" s="15"/>
      <c r="Q3307" s="71"/>
      <c r="R3307" s="84"/>
      <c r="S3307" s="10"/>
      <c r="T3307" s="10"/>
      <c r="U3307" s="10"/>
      <c r="V3307" s="10"/>
      <c r="W3307" s="138"/>
      <c r="Y3307"/>
      <c r="Z3307"/>
      <c r="AA3307"/>
      <c r="AB3307"/>
      <c r="AC3307"/>
      <c r="AD3307"/>
      <c r="AE3307"/>
      <c r="AF3307"/>
      <c r="AG3307"/>
      <c r="AH3307"/>
      <c r="AI3307"/>
      <c r="AJ3307"/>
      <c r="AK3307"/>
      <c r="AL3307"/>
      <c r="AM3307"/>
      <c r="AN3307"/>
      <c r="AO3307"/>
    </row>
    <row r="3308" spans="1:41" ht="15">
      <c r="A3308"/>
      <c r="B3308"/>
      <c r="C3308" s="137"/>
      <c r="D3308" s="30"/>
      <c r="E3308" s="30"/>
      <c r="F3308" s="10"/>
      <c r="G3308" s="10"/>
      <c r="H3308" s="15"/>
      <c r="I3308" s="15"/>
      <c r="J3308" s="15"/>
      <c r="K3308" s="15"/>
      <c r="L3308" s="15"/>
      <c r="M3308" s="15"/>
      <c r="N3308" s="15"/>
      <c r="O3308" s="15"/>
      <c r="P3308" s="15"/>
      <c r="Q3308" s="71"/>
      <c r="R3308" s="84"/>
      <c r="S3308" s="10"/>
      <c r="T3308" s="10"/>
      <c r="U3308" s="10"/>
      <c r="V3308" s="10"/>
      <c r="W3308" s="138"/>
      <c r="Y3308"/>
      <c r="Z3308"/>
      <c r="AA3308"/>
      <c r="AB3308"/>
      <c r="AC3308"/>
      <c r="AD3308"/>
      <c r="AE3308"/>
      <c r="AF3308"/>
      <c r="AG3308"/>
      <c r="AH3308"/>
      <c r="AI3308"/>
      <c r="AJ3308"/>
      <c r="AK3308"/>
      <c r="AL3308"/>
      <c r="AM3308"/>
      <c r="AN3308"/>
      <c r="AO3308"/>
    </row>
    <row r="3309" spans="1:41" ht="15">
      <c r="A3309"/>
      <c r="B3309"/>
      <c r="C3309" s="137"/>
      <c r="D3309" s="30"/>
      <c r="E3309" s="30"/>
      <c r="F3309" s="10"/>
      <c r="G3309" s="10"/>
      <c r="H3309" s="15"/>
      <c r="I3309" s="15"/>
      <c r="J3309" s="15"/>
      <c r="K3309" s="15"/>
      <c r="L3309" s="15"/>
      <c r="M3309" s="15"/>
      <c r="N3309" s="15"/>
      <c r="O3309" s="15"/>
      <c r="P3309" s="15"/>
      <c r="Q3309" s="71"/>
      <c r="R3309" s="84"/>
      <c r="S3309" s="10"/>
      <c r="T3309" s="10"/>
      <c r="U3309" s="10"/>
      <c r="V3309" s="10"/>
      <c r="W3309" s="138"/>
      <c r="Y3309"/>
      <c r="Z3309"/>
      <c r="AA3309"/>
      <c r="AB3309"/>
      <c r="AC3309"/>
      <c r="AD3309"/>
      <c r="AE3309"/>
      <c r="AF3309"/>
      <c r="AG3309"/>
      <c r="AH3309"/>
      <c r="AI3309"/>
      <c r="AJ3309"/>
      <c r="AK3309"/>
      <c r="AL3309"/>
      <c r="AM3309"/>
      <c r="AN3309"/>
      <c r="AO3309"/>
    </row>
    <row r="3310" spans="1:41" ht="15">
      <c r="A3310"/>
      <c r="B3310"/>
      <c r="C3310" s="137"/>
      <c r="D3310" s="30"/>
      <c r="E3310" s="30"/>
      <c r="F3310" s="10"/>
      <c r="G3310" s="10"/>
      <c r="H3310" s="15"/>
      <c r="I3310" s="15"/>
      <c r="J3310" s="15"/>
      <c r="K3310" s="15"/>
      <c r="L3310" s="15"/>
      <c r="M3310" s="15"/>
      <c r="N3310" s="15"/>
      <c r="O3310" s="15"/>
      <c r="P3310" s="15"/>
      <c r="Q3310" s="71"/>
      <c r="R3310" s="84"/>
      <c r="S3310" s="10"/>
      <c r="T3310" s="10"/>
      <c r="U3310" s="10"/>
      <c r="V3310" s="10"/>
      <c r="W3310" s="138"/>
      <c r="Y3310"/>
      <c r="Z3310"/>
      <c r="AA3310"/>
      <c r="AB3310"/>
      <c r="AC3310"/>
      <c r="AD3310"/>
      <c r="AE3310"/>
      <c r="AF3310"/>
      <c r="AG3310"/>
      <c r="AH3310"/>
      <c r="AI3310"/>
      <c r="AJ3310"/>
      <c r="AK3310"/>
      <c r="AL3310"/>
      <c r="AM3310"/>
      <c r="AN3310"/>
      <c r="AO3310"/>
    </row>
    <row r="3311" spans="1:41" ht="15">
      <c r="A3311"/>
      <c r="B3311"/>
      <c r="C3311" s="137"/>
      <c r="D3311" s="30"/>
      <c r="E3311" s="30"/>
      <c r="F3311" s="10"/>
      <c r="G3311" s="10"/>
      <c r="H3311" s="15"/>
      <c r="I3311" s="15"/>
      <c r="J3311" s="15"/>
      <c r="K3311" s="15"/>
      <c r="L3311" s="15"/>
      <c r="M3311" s="15"/>
      <c r="N3311" s="15"/>
      <c r="O3311" s="15"/>
      <c r="P3311" s="15"/>
      <c r="Q3311" s="71"/>
      <c r="R3311" s="84"/>
      <c r="S3311" s="10"/>
      <c r="T3311" s="10"/>
      <c r="U3311" s="10"/>
      <c r="V3311" s="10"/>
      <c r="W3311" s="138"/>
      <c r="Y3311"/>
      <c r="Z3311"/>
      <c r="AA3311"/>
      <c r="AB3311"/>
      <c r="AC3311"/>
      <c r="AD3311"/>
      <c r="AE3311"/>
      <c r="AF3311"/>
      <c r="AG3311"/>
      <c r="AH3311"/>
      <c r="AI3311"/>
      <c r="AJ3311"/>
      <c r="AK3311"/>
      <c r="AL3311"/>
      <c r="AM3311"/>
      <c r="AN3311"/>
      <c r="AO3311"/>
    </row>
    <row r="3312" spans="1:41" ht="15">
      <c r="A3312"/>
      <c r="B3312"/>
      <c r="C3312" s="137"/>
      <c r="D3312" s="30"/>
      <c r="E3312" s="30"/>
      <c r="F3312" s="10"/>
      <c r="G3312" s="10"/>
      <c r="H3312" s="15"/>
      <c r="I3312" s="15"/>
      <c r="J3312" s="15"/>
      <c r="K3312" s="15"/>
      <c r="L3312" s="15"/>
      <c r="M3312" s="15"/>
      <c r="N3312" s="15"/>
      <c r="O3312" s="15"/>
      <c r="P3312" s="15"/>
      <c r="Q3312" s="71"/>
      <c r="R3312" s="84"/>
      <c r="S3312" s="10"/>
      <c r="T3312" s="10"/>
      <c r="U3312" s="10"/>
      <c r="V3312" s="10"/>
      <c r="W3312" s="138"/>
      <c r="Y3312"/>
      <c r="Z3312"/>
      <c r="AA3312"/>
      <c r="AB3312"/>
      <c r="AC3312"/>
      <c r="AD3312"/>
      <c r="AE3312"/>
      <c r="AF3312"/>
      <c r="AG3312"/>
      <c r="AH3312"/>
      <c r="AI3312"/>
      <c r="AJ3312"/>
      <c r="AK3312"/>
      <c r="AL3312"/>
      <c r="AM3312"/>
      <c r="AN3312"/>
      <c r="AO3312"/>
    </row>
    <row r="3313" spans="1:41" ht="15">
      <c r="A3313"/>
      <c r="B3313"/>
      <c r="C3313" s="137"/>
      <c r="D3313" s="30"/>
      <c r="E3313" s="30"/>
      <c r="F3313" s="10"/>
      <c r="G3313" s="10"/>
      <c r="H3313" s="15"/>
      <c r="I3313" s="15"/>
      <c r="J3313" s="15"/>
      <c r="K3313" s="15"/>
      <c r="L3313" s="15"/>
      <c r="M3313" s="15"/>
      <c r="N3313" s="15"/>
      <c r="O3313" s="15"/>
      <c r="P3313" s="15"/>
      <c r="Q3313" s="71"/>
      <c r="R3313" s="84"/>
      <c r="S3313" s="10"/>
      <c r="T3313" s="10"/>
      <c r="U3313" s="10"/>
      <c r="V3313" s="10"/>
      <c r="W3313" s="138"/>
      <c r="Y3313"/>
      <c r="Z3313"/>
      <c r="AA3313"/>
      <c r="AB3313"/>
      <c r="AC3313"/>
      <c r="AD3313"/>
      <c r="AE3313"/>
      <c r="AF3313"/>
      <c r="AG3313"/>
      <c r="AH3313"/>
      <c r="AI3313"/>
      <c r="AJ3313"/>
      <c r="AK3313"/>
      <c r="AL3313"/>
      <c r="AM3313"/>
      <c r="AN3313"/>
      <c r="AO3313"/>
    </row>
    <row r="3314" spans="1:41" ht="15">
      <c r="A3314"/>
      <c r="B3314"/>
      <c r="C3314" s="137"/>
      <c r="D3314" s="30"/>
      <c r="E3314" s="30"/>
      <c r="F3314" s="10"/>
      <c r="G3314" s="10"/>
      <c r="H3314" s="15"/>
      <c r="I3314" s="15"/>
      <c r="J3314" s="15"/>
      <c r="K3314" s="15"/>
      <c r="L3314" s="15"/>
      <c r="M3314" s="15"/>
      <c r="N3314" s="15"/>
      <c r="O3314" s="15"/>
      <c r="P3314" s="15"/>
      <c r="Q3314" s="71"/>
      <c r="R3314" s="84"/>
      <c r="S3314" s="10"/>
      <c r="T3314" s="10"/>
      <c r="U3314" s="10"/>
      <c r="V3314" s="10"/>
      <c r="W3314" s="138"/>
      <c r="Y3314"/>
      <c r="Z3314"/>
      <c r="AA3314"/>
      <c r="AB3314"/>
      <c r="AC3314"/>
      <c r="AD3314"/>
      <c r="AE3314"/>
      <c r="AF3314"/>
      <c r="AG3314"/>
      <c r="AH3314"/>
      <c r="AI3314"/>
      <c r="AJ3314"/>
      <c r="AK3314"/>
      <c r="AL3314"/>
      <c r="AM3314"/>
      <c r="AN3314"/>
      <c r="AO3314"/>
    </row>
    <row r="3315" spans="1:41" ht="15">
      <c r="A3315"/>
      <c r="B3315"/>
      <c r="C3315" s="137"/>
      <c r="D3315" s="30"/>
      <c r="E3315" s="30"/>
      <c r="F3315" s="10"/>
      <c r="G3315" s="10"/>
      <c r="H3315" s="15"/>
      <c r="I3315" s="15"/>
      <c r="J3315" s="15"/>
      <c r="K3315" s="15"/>
      <c r="L3315" s="15"/>
      <c r="M3315" s="15"/>
      <c r="N3315" s="15"/>
      <c r="O3315" s="15"/>
      <c r="P3315" s="15"/>
      <c r="Q3315" s="71"/>
      <c r="R3315" s="84"/>
      <c r="S3315" s="10"/>
      <c r="T3315" s="10"/>
      <c r="U3315" s="10"/>
      <c r="V3315" s="10"/>
      <c r="W3315" s="138"/>
      <c r="Y3315"/>
      <c r="Z3315"/>
      <c r="AA3315"/>
      <c r="AB3315"/>
      <c r="AC3315"/>
      <c r="AD3315"/>
      <c r="AE3315"/>
      <c r="AF3315"/>
      <c r="AG3315"/>
      <c r="AH3315"/>
      <c r="AI3315"/>
      <c r="AJ3315"/>
      <c r="AK3315"/>
      <c r="AL3315"/>
      <c r="AM3315"/>
      <c r="AN3315"/>
      <c r="AO3315"/>
    </row>
    <row r="3316" spans="1:41" ht="15">
      <c r="A3316"/>
      <c r="B3316"/>
      <c r="C3316" s="137"/>
      <c r="D3316" s="30"/>
      <c r="E3316" s="30"/>
      <c r="F3316" s="10"/>
      <c r="G3316" s="10"/>
      <c r="H3316" s="15"/>
      <c r="I3316" s="15"/>
      <c r="J3316" s="15"/>
      <c r="K3316" s="15"/>
      <c r="L3316" s="15"/>
      <c r="M3316" s="15"/>
      <c r="N3316" s="15"/>
      <c r="O3316" s="15"/>
      <c r="P3316" s="15"/>
      <c r="Q3316" s="71"/>
      <c r="R3316" s="84"/>
      <c r="S3316" s="10"/>
      <c r="T3316" s="10"/>
      <c r="U3316" s="10"/>
      <c r="V3316" s="10"/>
      <c r="W3316" s="138"/>
      <c r="Y3316"/>
      <c r="Z3316"/>
      <c r="AA3316"/>
      <c r="AB3316"/>
      <c r="AC3316"/>
      <c r="AD3316"/>
      <c r="AE3316"/>
      <c r="AF3316"/>
      <c r="AG3316"/>
      <c r="AH3316"/>
      <c r="AI3316"/>
      <c r="AJ3316"/>
      <c r="AK3316"/>
      <c r="AL3316"/>
      <c r="AM3316"/>
      <c r="AN3316"/>
      <c r="AO3316"/>
    </row>
    <row r="3317" spans="1:41" ht="15">
      <c r="A3317"/>
      <c r="B3317"/>
      <c r="C3317" s="137"/>
      <c r="D3317" s="30"/>
      <c r="E3317" s="30"/>
      <c r="F3317" s="10"/>
      <c r="G3317" s="10"/>
      <c r="H3317" s="15"/>
      <c r="I3317" s="15"/>
      <c r="J3317" s="15"/>
      <c r="K3317" s="15"/>
      <c r="L3317" s="15"/>
      <c r="M3317" s="15"/>
      <c r="N3317" s="15"/>
      <c r="O3317" s="15"/>
      <c r="P3317" s="15"/>
      <c r="Q3317" s="71"/>
      <c r="R3317" s="84"/>
      <c r="S3317" s="10"/>
      <c r="T3317" s="10"/>
      <c r="U3317" s="10"/>
      <c r="V3317" s="10"/>
      <c r="W3317" s="138"/>
      <c r="Y3317"/>
      <c r="Z3317"/>
      <c r="AA3317"/>
      <c r="AB3317"/>
      <c r="AC3317"/>
      <c r="AD3317"/>
      <c r="AE3317"/>
      <c r="AF3317"/>
      <c r="AG3317"/>
      <c r="AH3317"/>
      <c r="AI3317"/>
      <c r="AJ3317"/>
      <c r="AK3317"/>
      <c r="AL3317"/>
      <c r="AM3317"/>
      <c r="AN3317"/>
      <c r="AO3317"/>
    </row>
    <row r="3318" spans="1:41" ht="15">
      <c r="A3318"/>
      <c r="B3318"/>
      <c r="C3318" s="137"/>
      <c r="D3318" s="30"/>
      <c r="E3318" s="30"/>
      <c r="F3318" s="10"/>
      <c r="G3318" s="10"/>
      <c r="H3318" s="15"/>
      <c r="I3318" s="15"/>
      <c r="J3318" s="15"/>
      <c r="K3318" s="15"/>
      <c r="L3318" s="15"/>
      <c r="M3318" s="15"/>
      <c r="N3318" s="15"/>
      <c r="O3318" s="15"/>
      <c r="P3318" s="15"/>
      <c r="Q3318" s="71"/>
      <c r="R3318" s="84"/>
      <c r="S3318" s="10"/>
      <c r="T3318" s="10"/>
      <c r="U3318" s="10"/>
      <c r="V3318" s="10"/>
      <c r="W3318" s="138"/>
      <c r="Y3318"/>
      <c r="Z3318"/>
      <c r="AA3318"/>
      <c r="AB3318"/>
      <c r="AC3318"/>
      <c r="AD3318"/>
      <c r="AE3318"/>
      <c r="AF3318"/>
      <c r="AG3318"/>
      <c r="AH3318"/>
      <c r="AI3318"/>
      <c r="AJ3318"/>
      <c r="AK3318"/>
      <c r="AL3318"/>
      <c r="AM3318"/>
      <c r="AN3318"/>
      <c r="AO3318"/>
    </row>
    <row r="3319" spans="1:41" ht="15">
      <c r="A3319"/>
      <c r="B3319"/>
      <c r="C3319" s="137"/>
      <c r="D3319" s="30"/>
      <c r="E3319" s="30"/>
      <c r="F3319" s="10"/>
      <c r="G3319" s="10"/>
      <c r="H3319" s="15"/>
      <c r="I3319" s="15"/>
      <c r="J3319" s="15"/>
      <c r="K3319" s="15"/>
      <c r="L3319" s="15"/>
      <c r="M3319" s="15"/>
      <c r="N3319" s="15"/>
      <c r="O3319" s="15"/>
      <c r="P3319" s="15"/>
      <c r="Q3319" s="71"/>
      <c r="R3319" s="84"/>
      <c r="S3319" s="10"/>
      <c r="T3319" s="10"/>
      <c r="U3319" s="10"/>
      <c r="V3319" s="10"/>
      <c r="W3319" s="138"/>
      <c r="Y3319"/>
      <c r="Z3319"/>
      <c r="AA3319"/>
      <c r="AB3319"/>
      <c r="AC3319"/>
      <c r="AD3319"/>
      <c r="AE3319"/>
      <c r="AF3319"/>
      <c r="AG3319"/>
      <c r="AH3319"/>
      <c r="AI3319"/>
      <c r="AJ3319"/>
      <c r="AK3319"/>
      <c r="AL3319"/>
      <c r="AM3319"/>
      <c r="AN3319"/>
      <c r="AO3319"/>
    </row>
    <row r="3320" spans="1:41" ht="15">
      <c r="A3320"/>
      <c r="B3320"/>
      <c r="C3320" s="137"/>
      <c r="D3320" s="30"/>
      <c r="E3320" s="30"/>
      <c r="F3320" s="10"/>
      <c r="G3320" s="10"/>
      <c r="H3320" s="15"/>
      <c r="I3320" s="15"/>
      <c r="J3320" s="15"/>
      <c r="K3320" s="15"/>
      <c r="L3320" s="15"/>
      <c r="M3320" s="15"/>
      <c r="N3320" s="15"/>
      <c r="O3320" s="15"/>
      <c r="P3320" s="15"/>
      <c r="Q3320" s="71"/>
      <c r="R3320" s="84"/>
      <c r="S3320" s="10"/>
      <c r="T3320" s="10"/>
      <c r="U3320" s="10"/>
      <c r="V3320" s="10"/>
      <c r="W3320" s="138"/>
      <c r="Y3320"/>
      <c r="Z3320"/>
      <c r="AA3320"/>
      <c r="AB3320"/>
      <c r="AC3320"/>
      <c r="AD3320"/>
      <c r="AE3320"/>
      <c r="AF3320"/>
      <c r="AG3320"/>
      <c r="AH3320"/>
      <c r="AI3320"/>
      <c r="AJ3320"/>
      <c r="AK3320"/>
      <c r="AL3320"/>
      <c r="AM3320"/>
      <c r="AN3320"/>
      <c r="AO3320"/>
    </row>
    <row r="3321" spans="1:41" ht="15">
      <c r="A3321"/>
      <c r="B3321"/>
      <c r="C3321" s="137"/>
      <c r="D3321" s="30"/>
      <c r="E3321" s="30"/>
      <c r="F3321" s="10"/>
      <c r="G3321" s="10"/>
      <c r="H3321" s="15"/>
      <c r="I3321" s="15"/>
      <c r="J3321" s="15"/>
      <c r="K3321" s="15"/>
      <c r="L3321" s="15"/>
      <c r="M3321" s="15"/>
      <c r="N3321" s="15"/>
      <c r="O3321" s="15"/>
      <c r="P3321" s="15"/>
      <c r="Q3321" s="71"/>
      <c r="R3321" s="84"/>
      <c r="S3321" s="10"/>
      <c r="T3321" s="10"/>
      <c r="U3321" s="10"/>
      <c r="V3321" s="10"/>
      <c r="W3321" s="138"/>
      <c r="Y3321"/>
      <c r="Z3321"/>
      <c r="AA3321"/>
      <c r="AB3321"/>
      <c r="AC3321"/>
      <c r="AD3321"/>
      <c r="AE3321"/>
      <c r="AF3321"/>
      <c r="AG3321"/>
      <c r="AH3321"/>
      <c r="AI3321"/>
      <c r="AJ3321"/>
      <c r="AK3321"/>
      <c r="AL3321"/>
      <c r="AM3321"/>
      <c r="AN3321"/>
      <c r="AO3321"/>
    </row>
    <row r="3322" spans="1:41" ht="15">
      <c r="A3322"/>
      <c r="B3322"/>
      <c r="C3322" s="137"/>
      <c r="D3322" s="30"/>
      <c r="E3322" s="30"/>
      <c r="F3322" s="10"/>
      <c r="G3322" s="10"/>
      <c r="H3322" s="15"/>
      <c r="I3322" s="15"/>
      <c r="J3322" s="15"/>
      <c r="K3322" s="15"/>
      <c r="L3322" s="15"/>
      <c r="M3322" s="15"/>
      <c r="N3322" s="15"/>
      <c r="O3322" s="15"/>
      <c r="P3322" s="15"/>
      <c r="Q3322" s="71"/>
      <c r="R3322" s="84"/>
      <c r="S3322" s="10"/>
      <c r="T3322" s="10"/>
      <c r="U3322" s="10"/>
      <c r="V3322" s="10"/>
      <c r="W3322" s="138"/>
      <c r="Y3322"/>
      <c r="Z3322"/>
      <c r="AA3322"/>
      <c r="AB3322"/>
      <c r="AC3322"/>
      <c r="AD3322"/>
      <c r="AE3322"/>
      <c r="AF3322"/>
      <c r="AG3322"/>
      <c r="AH3322"/>
      <c r="AI3322"/>
      <c r="AJ3322"/>
      <c r="AK3322"/>
      <c r="AL3322"/>
      <c r="AM3322"/>
      <c r="AN3322"/>
      <c r="AO3322"/>
    </row>
    <row r="3323" spans="1:41" ht="15">
      <c r="A3323"/>
      <c r="B3323"/>
      <c r="C3323" s="137"/>
      <c r="D3323" s="30"/>
      <c r="E3323" s="30"/>
      <c r="F3323" s="10"/>
      <c r="G3323" s="10"/>
      <c r="H3323" s="15"/>
      <c r="I3323" s="15"/>
      <c r="J3323" s="15"/>
      <c r="K3323" s="15"/>
      <c r="L3323" s="15"/>
      <c r="M3323" s="15"/>
      <c r="N3323" s="15"/>
      <c r="O3323" s="15"/>
      <c r="P3323" s="15"/>
      <c r="Q3323" s="71"/>
      <c r="R3323" s="84"/>
      <c r="S3323" s="10"/>
      <c r="T3323" s="10"/>
      <c r="U3323" s="10"/>
      <c r="V3323" s="10"/>
      <c r="W3323" s="138"/>
      <c r="Y3323"/>
      <c r="Z3323"/>
      <c r="AA3323"/>
      <c r="AB3323"/>
      <c r="AC3323"/>
      <c r="AD3323"/>
      <c r="AE3323"/>
      <c r="AF3323"/>
      <c r="AG3323"/>
      <c r="AH3323"/>
      <c r="AI3323"/>
      <c r="AJ3323"/>
      <c r="AK3323"/>
      <c r="AL3323"/>
      <c r="AM3323"/>
      <c r="AN3323"/>
      <c r="AO3323"/>
    </row>
    <row r="3324" spans="1:41" ht="15">
      <c r="A3324"/>
      <c r="B3324"/>
      <c r="C3324" s="137"/>
      <c r="D3324" s="30"/>
      <c r="E3324" s="30"/>
      <c r="F3324" s="10"/>
      <c r="G3324" s="10"/>
      <c r="H3324" s="15"/>
      <c r="I3324" s="15"/>
      <c r="J3324" s="15"/>
      <c r="K3324" s="15"/>
      <c r="L3324" s="15"/>
      <c r="M3324" s="15"/>
      <c r="N3324" s="15"/>
      <c r="O3324" s="15"/>
      <c r="P3324" s="15"/>
      <c r="Q3324" s="71"/>
      <c r="R3324" s="84"/>
      <c r="S3324" s="10"/>
      <c r="T3324" s="10"/>
      <c r="U3324" s="10"/>
      <c r="V3324" s="10"/>
      <c r="W3324" s="138"/>
      <c r="Y3324"/>
      <c r="Z3324"/>
      <c r="AA3324"/>
      <c r="AB3324"/>
      <c r="AC3324"/>
      <c r="AD3324"/>
      <c r="AE3324"/>
      <c r="AF3324"/>
      <c r="AG3324"/>
      <c r="AH3324"/>
      <c r="AI3324"/>
      <c r="AJ3324"/>
      <c r="AK3324"/>
      <c r="AL3324"/>
      <c r="AM3324"/>
      <c r="AN3324"/>
      <c r="AO3324"/>
    </row>
    <row r="3325" spans="1:41" ht="15">
      <c r="A3325"/>
      <c r="B3325"/>
      <c r="C3325" s="137"/>
      <c r="D3325" s="30"/>
      <c r="E3325" s="30"/>
      <c r="F3325" s="10"/>
      <c r="G3325" s="10"/>
      <c r="H3325" s="15"/>
      <c r="I3325" s="15"/>
      <c r="J3325" s="15"/>
      <c r="K3325" s="15"/>
      <c r="L3325" s="15"/>
      <c r="M3325" s="15"/>
      <c r="N3325" s="15"/>
      <c r="O3325" s="15"/>
      <c r="P3325" s="15"/>
      <c r="Q3325" s="71"/>
      <c r="R3325" s="84"/>
      <c r="S3325" s="10"/>
      <c r="T3325" s="10"/>
      <c r="U3325" s="10"/>
      <c r="V3325" s="10"/>
      <c r="W3325" s="138"/>
      <c r="Y3325"/>
      <c r="Z3325"/>
      <c r="AA3325"/>
      <c r="AB3325"/>
      <c r="AC3325"/>
      <c r="AD3325"/>
      <c r="AE3325"/>
      <c r="AF3325"/>
      <c r="AG3325"/>
      <c r="AH3325"/>
      <c r="AI3325"/>
      <c r="AJ3325"/>
      <c r="AK3325"/>
      <c r="AL3325"/>
      <c r="AM3325"/>
      <c r="AN3325"/>
      <c r="AO3325"/>
    </row>
    <row r="3326" spans="1:41" ht="15">
      <c r="A3326"/>
      <c r="B3326"/>
      <c r="C3326" s="137"/>
      <c r="D3326" s="30"/>
      <c r="E3326" s="30"/>
      <c r="F3326" s="10"/>
      <c r="G3326" s="10"/>
      <c r="H3326" s="15"/>
      <c r="I3326" s="15"/>
      <c r="J3326" s="15"/>
      <c r="K3326" s="15"/>
      <c r="L3326" s="15"/>
      <c r="M3326" s="15"/>
      <c r="N3326" s="15"/>
      <c r="O3326" s="15"/>
      <c r="P3326" s="15"/>
      <c r="Q3326" s="71"/>
      <c r="R3326" s="84"/>
      <c r="S3326" s="10"/>
      <c r="T3326" s="10"/>
      <c r="U3326" s="10"/>
      <c r="V3326" s="10"/>
      <c r="W3326" s="138"/>
      <c r="Y3326"/>
      <c r="Z3326"/>
      <c r="AA3326"/>
      <c r="AB3326"/>
      <c r="AC3326"/>
      <c r="AD3326"/>
      <c r="AE3326"/>
      <c r="AF3326"/>
      <c r="AG3326"/>
      <c r="AH3326"/>
      <c r="AI3326"/>
      <c r="AJ3326"/>
      <c r="AK3326"/>
      <c r="AL3326"/>
      <c r="AM3326"/>
      <c r="AN3326"/>
      <c r="AO3326"/>
    </row>
    <row r="3327" spans="1:41" ht="15">
      <c r="A3327"/>
      <c r="B3327"/>
      <c r="C3327" s="137"/>
      <c r="D3327" s="30"/>
      <c r="E3327" s="30"/>
      <c r="F3327" s="10"/>
      <c r="G3327" s="10"/>
      <c r="H3327" s="15"/>
      <c r="I3327" s="15"/>
      <c r="J3327" s="15"/>
      <c r="K3327" s="15"/>
      <c r="L3327" s="15"/>
      <c r="M3327" s="15"/>
      <c r="N3327" s="15"/>
      <c r="O3327" s="15"/>
      <c r="P3327" s="15"/>
      <c r="Q3327" s="71"/>
      <c r="R3327" s="84"/>
      <c r="S3327" s="10"/>
      <c r="T3327" s="10"/>
      <c r="U3327" s="10"/>
      <c r="V3327" s="10"/>
      <c r="W3327" s="138"/>
      <c r="Y3327"/>
      <c r="Z3327"/>
      <c r="AA3327"/>
      <c r="AB3327"/>
      <c r="AC3327"/>
      <c r="AD3327"/>
      <c r="AE3327"/>
      <c r="AF3327"/>
      <c r="AG3327"/>
      <c r="AH3327"/>
      <c r="AI3327"/>
      <c r="AJ3327"/>
      <c r="AK3327"/>
      <c r="AL3327"/>
      <c r="AM3327"/>
      <c r="AN3327"/>
      <c r="AO3327"/>
    </row>
    <row r="3328" spans="1:41" ht="15">
      <c r="A3328"/>
      <c r="B3328"/>
      <c r="C3328" s="137"/>
      <c r="D3328" s="30"/>
      <c r="E3328" s="30"/>
      <c r="F3328" s="10"/>
      <c r="G3328" s="10"/>
      <c r="H3328" s="15"/>
      <c r="I3328" s="15"/>
      <c r="J3328" s="15"/>
      <c r="K3328" s="15"/>
      <c r="L3328" s="15"/>
      <c r="M3328" s="15"/>
      <c r="N3328" s="15"/>
      <c r="O3328" s="15"/>
      <c r="P3328" s="15"/>
      <c r="Q3328" s="71"/>
      <c r="R3328" s="84"/>
      <c r="S3328" s="10"/>
      <c r="T3328" s="10"/>
      <c r="U3328" s="10"/>
      <c r="V3328" s="10"/>
      <c r="W3328" s="138"/>
      <c r="Y3328"/>
      <c r="Z3328"/>
      <c r="AA3328"/>
      <c r="AB3328"/>
      <c r="AC3328"/>
      <c r="AD3328"/>
      <c r="AE3328"/>
      <c r="AF3328"/>
      <c r="AG3328"/>
      <c r="AH3328"/>
      <c r="AI3328"/>
      <c r="AJ3328"/>
      <c r="AK3328"/>
      <c r="AL3328"/>
      <c r="AM3328"/>
      <c r="AN3328"/>
      <c r="AO3328"/>
    </row>
    <row r="3329" spans="1:41" ht="15">
      <c r="A3329"/>
      <c r="B3329"/>
      <c r="C3329" s="137"/>
      <c r="D3329" s="30"/>
      <c r="E3329" s="30"/>
      <c r="F3329" s="10"/>
      <c r="G3329" s="10"/>
      <c r="H3329" s="15"/>
      <c r="I3329" s="15"/>
      <c r="J3329" s="15"/>
      <c r="K3329" s="15"/>
      <c r="L3329" s="15"/>
      <c r="M3329" s="15"/>
      <c r="N3329" s="15"/>
      <c r="O3329" s="15"/>
      <c r="P3329" s="15"/>
      <c r="Q3329" s="71"/>
      <c r="R3329" s="84"/>
      <c r="S3329" s="10"/>
      <c r="T3329" s="10"/>
      <c r="U3329" s="10"/>
      <c r="V3329" s="10"/>
      <c r="W3329" s="138"/>
      <c r="Y3329"/>
      <c r="Z3329"/>
      <c r="AA3329"/>
      <c r="AB3329"/>
      <c r="AC3329"/>
      <c r="AD3329"/>
      <c r="AE3329"/>
      <c r="AF3329"/>
      <c r="AG3329"/>
      <c r="AH3329"/>
      <c r="AI3329"/>
      <c r="AJ3329"/>
      <c r="AK3329"/>
      <c r="AL3329"/>
      <c r="AM3329"/>
      <c r="AN3329"/>
      <c r="AO3329"/>
    </row>
    <row r="3330" spans="1:41" ht="15">
      <c r="A3330"/>
      <c r="B3330"/>
      <c r="C3330" s="137"/>
      <c r="D3330" s="30"/>
      <c r="E3330" s="30"/>
      <c r="F3330" s="10"/>
      <c r="G3330" s="10"/>
      <c r="H3330" s="15"/>
      <c r="I3330" s="15"/>
      <c r="J3330" s="15"/>
      <c r="K3330" s="15"/>
      <c r="L3330" s="15"/>
      <c r="M3330" s="15"/>
      <c r="N3330" s="15"/>
      <c r="O3330" s="15"/>
      <c r="P3330" s="15"/>
      <c r="Q3330" s="71"/>
      <c r="R3330" s="84"/>
      <c r="S3330" s="10"/>
      <c r="T3330" s="10"/>
      <c r="U3330" s="10"/>
      <c r="V3330" s="10"/>
      <c r="W3330" s="138"/>
      <c r="Y3330"/>
      <c r="Z3330"/>
      <c r="AA3330"/>
      <c r="AB3330"/>
      <c r="AC3330"/>
      <c r="AD3330"/>
      <c r="AE3330"/>
      <c r="AF3330"/>
      <c r="AG3330"/>
      <c r="AH3330"/>
      <c r="AI3330"/>
      <c r="AJ3330"/>
      <c r="AK3330"/>
      <c r="AL3330"/>
      <c r="AM3330"/>
      <c r="AN3330"/>
      <c r="AO3330"/>
    </row>
    <row r="3331" spans="1:41" ht="15">
      <c r="A3331"/>
      <c r="B3331"/>
      <c r="C3331" s="137"/>
      <c r="D3331" s="30"/>
      <c r="E3331" s="30"/>
      <c r="F3331" s="10"/>
      <c r="G3331" s="10"/>
      <c r="H3331" s="15"/>
      <c r="I3331" s="15"/>
      <c r="J3331" s="15"/>
      <c r="K3331" s="15"/>
      <c r="L3331" s="15"/>
      <c r="M3331" s="15"/>
      <c r="N3331" s="15"/>
      <c r="O3331" s="15"/>
      <c r="P3331" s="15"/>
      <c r="Q3331" s="71"/>
      <c r="R3331" s="84"/>
      <c r="S3331" s="10"/>
      <c r="T3331" s="10"/>
      <c r="U3331" s="10"/>
      <c r="V3331" s="10"/>
      <c r="W3331" s="138"/>
      <c r="Y3331"/>
      <c r="Z3331"/>
      <c r="AA3331"/>
      <c r="AB3331"/>
      <c r="AC3331"/>
      <c r="AD3331"/>
      <c r="AE3331"/>
      <c r="AF3331"/>
      <c r="AG3331"/>
      <c r="AH3331"/>
      <c r="AI3331"/>
      <c r="AJ3331"/>
      <c r="AK3331"/>
      <c r="AL3331"/>
      <c r="AM3331"/>
      <c r="AN3331"/>
      <c r="AO3331"/>
    </row>
    <row r="3332" spans="1:41" ht="15">
      <c r="A3332"/>
      <c r="B3332"/>
      <c r="C3332" s="137"/>
      <c r="D3332" s="30"/>
      <c r="E3332" s="30"/>
      <c r="F3332" s="10"/>
      <c r="G3332" s="10"/>
      <c r="H3332" s="15"/>
      <c r="I3332" s="15"/>
      <c r="J3332" s="15"/>
      <c r="K3332" s="15"/>
      <c r="L3332" s="15"/>
      <c r="M3332" s="15"/>
      <c r="N3332" s="15"/>
      <c r="O3332" s="15"/>
      <c r="P3332" s="15"/>
      <c r="Q3332" s="71"/>
      <c r="R3332" s="84"/>
      <c r="S3332" s="10"/>
      <c r="T3332" s="10"/>
      <c r="U3332" s="10"/>
      <c r="V3332" s="10"/>
      <c r="W3332" s="138"/>
      <c r="Y3332"/>
      <c r="Z3332"/>
      <c r="AA3332"/>
      <c r="AB3332"/>
      <c r="AC3332"/>
      <c r="AD3332"/>
      <c r="AE3332"/>
      <c r="AF3332"/>
      <c r="AG3332"/>
      <c r="AH3332"/>
      <c r="AI3332"/>
      <c r="AJ3332"/>
      <c r="AK3332"/>
      <c r="AL3332"/>
      <c r="AM3332"/>
      <c r="AN3332"/>
      <c r="AO3332"/>
    </row>
    <row r="3333" spans="1:41" ht="15">
      <c r="A3333"/>
      <c r="B3333"/>
      <c r="C3333" s="137"/>
      <c r="D3333" s="30"/>
      <c r="E3333" s="30"/>
      <c r="F3333" s="10"/>
      <c r="G3333" s="10"/>
      <c r="H3333" s="15"/>
      <c r="I3333" s="15"/>
      <c r="J3333" s="15"/>
      <c r="K3333" s="15"/>
      <c r="L3333" s="15"/>
      <c r="M3333" s="15"/>
      <c r="N3333" s="15"/>
      <c r="O3333" s="15"/>
      <c r="P3333" s="15"/>
      <c r="Q3333" s="71"/>
      <c r="R3333" s="84"/>
      <c r="S3333" s="10"/>
      <c r="T3333" s="10"/>
      <c r="U3333" s="10"/>
      <c r="V3333" s="10"/>
      <c r="W3333" s="138"/>
      <c r="Y3333"/>
      <c r="Z3333"/>
      <c r="AA3333"/>
      <c r="AB3333"/>
      <c r="AC3333"/>
      <c r="AD3333"/>
      <c r="AE3333"/>
      <c r="AF3333"/>
      <c r="AG3333"/>
      <c r="AH3333"/>
      <c r="AI3333"/>
      <c r="AJ3333"/>
      <c r="AK3333"/>
      <c r="AL3333"/>
      <c r="AM3333"/>
      <c r="AN3333"/>
      <c r="AO3333"/>
    </row>
    <row r="3334" spans="1:41" ht="15">
      <c r="A3334"/>
      <c r="B3334"/>
      <c r="C3334" s="137"/>
      <c r="D3334" s="30"/>
      <c r="E3334" s="30"/>
      <c r="F3334" s="10"/>
      <c r="G3334" s="10"/>
      <c r="H3334" s="15"/>
      <c r="I3334" s="15"/>
      <c r="J3334" s="15"/>
      <c r="K3334" s="15"/>
      <c r="L3334" s="15"/>
      <c r="M3334" s="15"/>
      <c r="N3334" s="15"/>
      <c r="O3334" s="15"/>
      <c r="P3334" s="15"/>
      <c r="Q3334" s="71"/>
      <c r="R3334" s="84"/>
      <c r="S3334" s="10"/>
      <c r="T3334" s="10"/>
      <c r="U3334" s="10"/>
      <c r="V3334" s="10"/>
      <c r="W3334" s="138"/>
      <c r="Y3334"/>
      <c r="Z3334"/>
      <c r="AA3334"/>
      <c r="AB3334"/>
      <c r="AC3334"/>
      <c r="AD3334"/>
      <c r="AE3334"/>
      <c r="AF3334"/>
      <c r="AG3334"/>
      <c r="AH3334"/>
      <c r="AI3334"/>
      <c r="AJ3334"/>
      <c r="AK3334"/>
      <c r="AL3334"/>
      <c r="AM3334"/>
      <c r="AN3334"/>
      <c r="AO3334"/>
    </row>
    <row r="3335" spans="1:41" ht="15">
      <c r="A3335"/>
      <c r="B3335"/>
      <c r="C3335" s="137"/>
      <c r="D3335" s="30"/>
      <c r="E3335" s="30"/>
      <c r="F3335" s="10"/>
      <c r="G3335" s="10"/>
      <c r="H3335" s="15"/>
      <c r="I3335" s="15"/>
      <c r="J3335" s="15"/>
      <c r="K3335" s="15"/>
      <c r="L3335" s="15"/>
      <c r="M3335" s="15"/>
      <c r="N3335" s="15"/>
      <c r="O3335" s="15"/>
      <c r="P3335" s="15"/>
      <c r="Q3335" s="71"/>
      <c r="R3335" s="84"/>
      <c r="S3335" s="10"/>
      <c r="T3335" s="10"/>
      <c r="U3335" s="10"/>
      <c r="V3335" s="10"/>
      <c r="W3335" s="138"/>
      <c r="Y3335"/>
      <c r="Z3335"/>
      <c r="AA3335"/>
      <c r="AB3335"/>
      <c r="AC3335"/>
      <c r="AD3335"/>
      <c r="AE3335"/>
      <c r="AF3335"/>
      <c r="AG3335"/>
      <c r="AH3335"/>
      <c r="AI3335"/>
      <c r="AJ3335"/>
      <c r="AK3335"/>
      <c r="AL3335"/>
      <c r="AM3335"/>
      <c r="AN3335"/>
      <c r="AO3335"/>
    </row>
    <row r="3336" spans="1:41" ht="15">
      <c r="A3336"/>
      <c r="B3336"/>
      <c r="C3336" s="137"/>
      <c r="D3336" s="30"/>
      <c r="E3336" s="30"/>
      <c r="F3336" s="10"/>
      <c r="G3336" s="10"/>
      <c r="H3336" s="15"/>
      <c r="I3336" s="15"/>
      <c r="J3336" s="15"/>
      <c r="K3336" s="15"/>
      <c r="L3336" s="15"/>
      <c r="M3336" s="15"/>
      <c r="N3336" s="15"/>
      <c r="O3336" s="15"/>
      <c r="P3336" s="15"/>
      <c r="Q3336" s="71"/>
      <c r="R3336" s="84"/>
      <c r="S3336" s="10"/>
      <c r="T3336" s="10"/>
      <c r="U3336" s="10"/>
      <c r="V3336" s="10"/>
      <c r="W3336" s="138"/>
      <c r="Y3336"/>
      <c r="Z3336"/>
      <c r="AA3336"/>
      <c r="AB3336"/>
      <c r="AC3336"/>
      <c r="AD3336"/>
      <c r="AE3336"/>
      <c r="AF3336"/>
      <c r="AG3336"/>
      <c r="AH3336"/>
      <c r="AI3336"/>
      <c r="AJ3336"/>
      <c r="AK3336"/>
      <c r="AL3336"/>
      <c r="AM3336"/>
      <c r="AN3336"/>
      <c r="AO3336"/>
    </row>
    <row r="3337" spans="1:41" ht="15">
      <c r="A3337"/>
      <c r="B3337"/>
      <c r="C3337" s="137"/>
      <c r="D3337" s="30"/>
      <c r="E3337" s="30"/>
      <c r="F3337" s="10"/>
      <c r="G3337" s="10"/>
      <c r="H3337" s="15"/>
      <c r="I3337" s="15"/>
      <c r="J3337" s="15"/>
      <c r="K3337" s="15"/>
      <c r="L3337" s="15"/>
      <c r="M3337" s="15"/>
      <c r="N3337" s="15"/>
      <c r="O3337" s="15"/>
      <c r="P3337" s="15"/>
      <c r="Q3337" s="71"/>
      <c r="R3337" s="84"/>
      <c r="S3337" s="10"/>
      <c r="T3337" s="10"/>
      <c r="U3337" s="10"/>
      <c r="V3337" s="10"/>
      <c r="W3337" s="138"/>
      <c r="Y3337"/>
      <c r="Z3337"/>
      <c r="AA3337"/>
      <c r="AB3337"/>
      <c r="AC3337"/>
      <c r="AD3337"/>
      <c r="AE3337"/>
      <c r="AF3337"/>
      <c r="AG3337"/>
      <c r="AH3337"/>
      <c r="AI3337"/>
      <c r="AJ3337"/>
      <c r="AK3337"/>
      <c r="AL3337"/>
      <c r="AM3337"/>
      <c r="AN3337"/>
      <c r="AO3337"/>
    </row>
    <row r="3338" spans="1:41" ht="15">
      <c r="A3338"/>
      <c r="B3338"/>
      <c r="C3338" s="137"/>
      <c r="D3338" s="30"/>
      <c r="E3338" s="30"/>
      <c r="F3338" s="10"/>
      <c r="G3338" s="10"/>
      <c r="H3338" s="15"/>
      <c r="I3338" s="15"/>
      <c r="J3338" s="15"/>
      <c r="K3338" s="15"/>
      <c r="L3338" s="15"/>
      <c r="M3338" s="15"/>
      <c r="N3338" s="15"/>
      <c r="O3338" s="15"/>
      <c r="P3338" s="15"/>
      <c r="Q3338" s="71"/>
      <c r="R3338" s="84"/>
      <c r="S3338" s="10"/>
      <c r="T3338" s="10"/>
      <c r="U3338" s="10"/>
      <c r="V3338" s="10"/>
      <c r="W3338" s="138"/>
      <c r="Y3338"/>
      <c r="Z3338"/>
      <c r="AA3338"/>
      <c r="AB3338"/>
      <c r="AC3338"/>
      <c r="AD3338"/>
      <c r="AE3338"/>
      <c r="AF3338"/>
      <c r="AG3338"/>
      <c r="AH3338"/>
      <c r="AI3338"/>
      <c r="AJ3338"/>
      <c r="AK3338"/>
      <c r="AL3338"/>
      <c r="AM3338"/>
      <c r="AN3338"/>
      <c r="AO3338"/>
    </row>
    <row r="3339" spans="1:41" ht="15">
      <c r="A3339"/>
      <c r="B3339"/>
      <c r="C3339" s="137"/>
      <c r="D3339" s="30"/>
      <c r="E3339" s="30"/>
      <c r="F3339" s="10"/>
      <c r="G3339" s="10"/>
      <c r="H3339" s="15"/>
      <c r="I3339" s="15"/>
      <c r="J3339" s="15"/>
      <c r="K3339" s="15"/>
      <c r="L3339" s="15"/>
      <c r="M3339" s="15"/>
      <c r="N3339" s="15"/>
      <c r="O3339" s="15"/>
      <c r="P3339" s="15"/>
      <c r="Q3339" s="71"/>
      <c r="R3339" s="84"/>
      <c r="S3339" s="10"/>
      <c r="T3339" s="10"/>
      <c r="U3339" s="10"/>
      <c r="V3339" s="10"/>
      <c r="W3339" s="138"/>
      <c r="Y3339"/>
      <c r="Z3339"/>
      <c r="AA3339"/>
      <c r="AB3339"/>
      <c r="AC3339"/>
      <c r="AD3339"/>
      <c r="AE3339"/>
      <c r="AF3339"/>
      <c r="AG3339"/>
      <c r="AH3339"/>
      <c r="AI3339"/>
      <c r="AJ3339"/>
      <c r="AK3339"/>
      <c r="AL3339"/>
      <c r="AM3339"/>
      <c r="AN3339"/>
      <c r="AO3339"/>
    </row>
    <row r="3340" spans="1:41" ht="15">
      <c r="A3340"/>
      <c r="B3340"/>
      <c r="C3340" s="137"/>
      <c r="D3340" s="30"/>
      <c r="E3340" s="30"/>
      <c r="F3340" s="10"/>
      <c r="G3340" s="10"/>
      <c r="H3340" s="15"/>
      <c r="I3340" s="15"/>
      <c r="J3340" s="15"/>
      <c r="K3340" s="15"/>
      <c r="L3340" s="15"/>
      <c r="M3340" s="15"/>
      <c r="N3340" s="15"/>
      <c r="O3340" s="15"/>
      <c r="P3340" s="15"/>
      <c r="Q3340" s="71"/>
      <c r="R3340" s="84"/>
      <c r="S3340" s="10"/>
      <c r="T3340" s="10"/>
      <c r="U3340" s="10"/>
      <c r="V3340" s="10"/>
      <c r="W3340" s="138"/>
      <c r="Y3340"/>
      <c r="Z3340"/>
      <c r="AA3340"/>
      <c r="AB3340"/>
      <c r="AC3340"/>
      <c r="AD3340"/>
      <c r="AE3340"/>
      <c r="AF3340"/>
      <c r="AG3340"/>
      <c r="AH3340"/>
      <c r="AI3340"/>
      <c r="AJ3340"/>
      <c r="AK3340"/>
      <c r="AL3340"/>
      <c r="AM3340"/>
      <c r="AN3340"/>
      <c r="AO3340"/>
    </row>
    <row r="3341" spans="1:41" ht="15">
      <c r="A3341"/>
      <c r="B3341"/>
      <c r="C3341" s="137"/>
      <c r="D3341" s="30"/>
      <c r="E3341" s="30"/>
      <c r="F3341" s="10"/>
      <c r="G3341" s="10"/>
      <c r="H3341" s="15"/>
      <c r="I3341" s="15"/>
      <c r="J3341" s="15"/>
      <c r="K3341" s="15"/>
      <c r="L3341" s="15"/>
      <c r="M3341" s="15"/>
      <c r="N3341" s="15"/>
      <c r="O3341" s="15"/>
      <c r="P3341" s="15"/>
      <c r="Q3341" s="71"/>
      <c r="R3341" s="84"/>
      <c r="S3341" s="10"/>
      <c r="T3341" s="10"/>
      <c r="U3341" s="10"/>
      <c r="V3341" s="10"/>
      <c r="W3341" s="138"/>
      <c r="Y3341"/>
      <c r="Z3341"/>
      <c r="AA3341"/>
      <c r="AB3341"/>
      <c r="AC3341"/>
      <c r="AD3341"/>
      <c r="AE3341"/>
      <c r="AF3341"/>
      <c r="AG3341"/>
      <c r="AH3341"/>
      <c r="AI3341"/>
      <c r="AJ3341"/>
      <c r="AK3341"/>
      <c r="AL3341"/>
      <c r="AM3341"/>
      <c r="AN3341"/>
      <c r="AO3341"/>
    </row>
    <row r="3342" spans="1:41" ht="15">
      <c r="A3342"/>
      <c r="B3342"/>
      <c r="C3342" s="137"/>
      <c r="D3342" s="30"/>
      <c r="E3342" s="30"/>
      <c r="F3342" s="10"/>
      <c r="G3342" s="10"/>
      <c r="H3342" s="15"/>
      <c r="I3342" s="15"/>
      <c r="J3342" s="15"/>
      <c r="K3342" s="15"/>
      <c r="L3342" s="15"/>
      <c r="M3342" s="15"/>
      <c r="N3342" s="15"/>
      <c r="O3342" s="15"/>
      <c r="P3342" s="15"/>
      <c r="Q3342" s="71"/>
      <c r="R3342" s="84"/>
      <c r="S3342" s="10"/>
      <c r="T3342" s="10"/>
      <c r="U3342" s="10"/>
      <c r="V3342" s="10"/>
      <c r="W3342" s="138"/>
      <c r="Y3342"/>
      <c r="Z3342"/>
      <c r="AA3342"/>
      <c r="AB3342"/>
      <c r="AC3342"/>
      <c r="AD3342"/>
      <c r="AE3342"/>
      <c r="AF3342"/>
      <c r="AG3342"/>
      <c r="AH3342"/>
      <c r="AI3342"/>
      <c r="AJ3342"/>
      <c r="AK3342"/>
      <c r="AL3342"/>
      <c r="AM3342"/>
      <c r="AN3342"/>
      <c r="AO3342"/>
    </row>
    <row r="3343" spans="1:41" ht="15">
      <c r="A3343"/>
      <c r="B3343"/>
      <c r="C3343" s="137"/>
      <c r="D3343" s="30"/>
      <c r="E3343" s="30"/>
      <c r="F3343" s="10"/>
      <c r="G3343" s="10"/>
      <c r="H3343" s="15"/>
      <c r="I3343" s="15"/>
      <c r="J3343" s="15"/>
      <c r="K3343" s="15"/>
      <c r="L3343" s="15"/>
      <c r="M3343" s="15"/>
      <c r="N3343" s="15"/>
      <c r="O3343" s="15"/>
      <c r="P3343" s="15"/>
      <c r="Q3343" s="71"/>
      <c r="R3343" s="84"/>
      <c r="S3343" s="10"/>
      <c r="T3343" s="10"/>
      <c r="U3343" s="10"/>
      <c r="V3343" s="10"/>
      <c r="W3343" s="138"/>
      <c r="Y3343"/>
      <c r="Z3343"/>
      <c r="AA3343"/>
      <c r="AB3343"/>
      <c r="AC3343"/>
      <c r="AD3343"/>
      <c r="AE3343"/>
      <c r="AF3343"/>
      <c r="AG3343"/>
      <c r="AH3343"/>
      <c r="AI3343"/>
      <c r="AJ3343"/>
      <c r="AK3343"/>
      <c r="AL3343"/>
      <c r="AM3343"/>
      <c r="AN3343"/>
      <c r="AO3343"/>
    </row>
    <row r="3344" spans="1:41" ht="15">
      <c r="A3344"/>
      <c r="B3344"/>
      <c r="C3344" s="137"/>
      <c r="D3344" s="30"/>
      <c r="E3344" s="30"/>
      <c r="F3344" s="10"/>
      <c r="G3344" s="10"/>
      <c r="H3344" s="15"/>
      <c r="I3344" s="15"/>
      <c r="J3344" s="15"/>
      <c r="K3344" s="15"/>
      <c r="L3344" s="15"/>
      <c r="M3344" s="15"/>
      <c r="N3344" s="15"/>
      <c r="O3344" s="15"/>
      <c r="P3344" s="15"/>
      <c r="Q3344" s="71"/>
      <c r="R3344" s="84"/>
      <c r="S3344" s="10"/>
      <c r="T3344" s="10"/>
      <c r="U3344" s="10"/>
      <c r="V3344" s="10"/>
      <c r="W3344" s="138"/>
      <c r="Y3344"/>
      <c r="Z3344"/>
      <c r="AA3344"/>
      <c r="AB3344"/>
      <c r="AC3344"/>
      <c r="AD3344"/>
      <c r="AE3344"/>
      <c r="AF3344"/>
      <c r="AG3344"/>
      <c r="AH3344"/>
      <c r="AI3344"/>
      <c r="AJ3344"/>
      <c r="AK3344"/>
      <c r="AL3344"/>
      <c r="AM3344"/>
      <c r="AN3344"/>
      <c r="AO3344"/>
    </row>
    <row r="3345" spans="1:41" ht="15">
      <c r="A3345"/>
      <c r="B3345"/>
      <c r="C3345" s="137"/>
      <c r="D3345" s="30"/>
      <c r="E3345" s="30"/>
      <c r="F3345" s="10"/>
      <c r="G3345" s="10"/>
      <c r="H3345" s="15"/>
      <c r="I3345" s="15"/>
      <c r="J3345" s="15"/>
      <c r="K3345" s="15"/>
      <c r="L3345" s="15"/>
      <c r="M3345" s="15"/>
      <c r="N3345" s="15"/>
      <c r="O3345" s="15"/>
      <c r="P3345" s="15"/>
      <c r="Q3345" s="71"/>
      <c r="R3345" s="84"/>
      <c r="S3345" s="10"/>
      <c r="T3345" s="10"/>
      <c r="U3345" s="10"/>
      <c r="V3345" s="10"/>
      <c r="W3345" s="138"/>
      <c r="Y3345"/>
      <c r="Z3345"/>
      <c r="AA3345"/>
      <c r="AB3345"/>
      <c r="AC3345"/>
      <c r="AD3345"/>
      <c r="AE3345"/>
      <c r="AF3345"/>
      <c r="AG3345"/>
      <c r="AH3345"/>
      <c r="AI3345"/>
      <c r="AJ3345"/>
      <c r="AK3345"/>
      <c r="AL3345"/>
      <c r="AM3345"/>
      <c r="AN3345"/>
      <c r="AO3345"/>
    </row>
    <row r="3346" spans="1:41" ht="15">
      <c r="A3346"/>
      <c r="B3346"/>
      <c r="C3346" s="137"/>
      <c r="D3346" s="30"/>
      <c r="E3346" s="30"/>
      <c r="F3346" s="10"/>
      <c r="G3346" s="10"/>
      <c r="H3346" s="15"/>
      <c r="I3346" s="15"/>
      <c r="J3346" s="15"/>
      <c r="K3346" s="15"/>
      <c r="L3346" s="15"/>
      <c r="M3346" s="15"/>
      <c r="N3346" s="15"/>
      <c r="O3346" s="15"/>
      <c r="P3346" s="15"/>
      <c r="Q3346" s="71"/>
      <c r="R3346" s="84"/>
      <c r="S3346" s="10"/>
      <c r="T3346" s="10"/>
      <c r="U3346" s="10"/>
      <c r="V3346" s="10"/>
      <c r="W3346" s="138"/>
      <c r="Y3346"/>
      <c r="Z3346"/>
      <c r="AA3346"/>
      <c r="AB3346"/>
      <c r="AC3346"/>
      <c r="AD3346"/>
      <c r="AE3346"/>
      <c r="AF3346"/>
      <c r="AG3346"/>
      <c r="AH3346"/>
      <c r="AI3346"/>
      <c r="AJ3346"/>
      <c r="AK3346"/>
      <c r="AL3346"/>
      <c r="AM3346"/>
      <c r="AN3346"/>
      <c r="AO3346"/>
    </row>
    <row r="3347" spans="1:41" ht="15">
      <c r="A3347"/>
      <c r="B3347"/>
      <c r="C3347" s="137"/>
      <c r="D3347" s="30"/>
      <c r="E3347" s="30"/>
      <c r="F3347" s="10"/>
      <c r="G3347" s="10"/>
      <c r="H3347" s="15"/>
      <c r="I3347" s="15"/>
      <c r="J3347" s="15"/>
      <c r="K3347" s="15"/>
      <c r="L3347" s="15"/>
      <c r="M3347" s="15"/>
      <c r="N3347" s="15"/>
      <c r="O3347" s="15"/>
      <c r="P3347" s="15"/>
      <c r="Q3347" s="71"/>
      <c r="R3347" s="84"/>
      <c r="S3347" s="10"/>
      <c r="T3347" s="10"/>
      <c r="U3347" s="10"/>
      <c r="V3347" s="10"/>
      <c r="W3347" s="138"/>
      <c r="Y3347"/>
      <c r="Z3347"/>
      <c r="AA3347"/>
      <c r="AB3347"/>
      <c r="AC3347"/>
      <c r="AD3347"/>
      <c r="AE3347"/>
      <c r="AF3347"/>
      <c r="AG3347"/>
      <c r="AH3347"/>
      <c r="AI3347"/>
      <c r="AJ3347"/>
      <c r="AK3347"/>
      <c r="AL3347"/>
      <c r="AM3347"/>
      <c r="AN3347"/>
      <c r="AO3347"/>
    </row>
    <row r="3348" spans="1:41" ht="15">
      <c r="A3348"/>
      <c r="B3348"/>
      <c r="C3348" s="137"/>
      <c r="D3348" s="30"/>
      <c r="E3348" s="30"/>
      <c r="F3348" s="10"/>
      <c r="G3348" s="10"/>
      <c r="H3348" s="15"/>
      <c r="I3348" s="15"/>
      <c r="J3348" s="15"/>
      <c r="K3348" s="15"/>
      <c r="L3348" s="15"/>
      <c r="M3348" s="15"/>
      <c r="N3348" s="15"/>
      <c r="O3348" s="15"/>
      <c r="P3348" s="15"/>
      <c r="Q3348" s="71"/>
      <c r="R3348" s="84"/>
      <c r="S3348" s="10"/>
      <c r="T3348" s="10"/>
      <c r="U3348" s="10"/>
      <c r="V3348" s="10"/>
      <c r="W3348" s="138"/>
      <c r="Y3348"/>
      <c r="Z3348"/>
      <c r="AA3348"/>
      <c r="AB3348"/>
      <c r="AC3348"/>
      <c r="AD3348"/>
      <c r="AE3348"/>
      <c r="AF3348"/>
      <c r="AG3348"/>
      <c r="AH3348"/>
      <c r="AI3348"/>
      <c r="AJ3348"/>
      <c r="AK3348"/>
      <c r="AL3348"/>
      <c r="AM3348"/>
      <c r="AN3348"/>
      <c r="AO3348"/>
    </row>
    <row r="3349" spans="1:41" ht="15">
      <c r="A3349"/>
      <c r="B3349"/>
      <c r="C3349" s="137"/>
      <c r="D3349" s="30"/>
      <c r="E3349" s="30"/>
      <c r="F3349" s="10"/>
      <c r="G3349" s="10"/>
      <c r="H3349" s="15"/>
      <c r="I3349" s="15"/>
      <c r="J3349" s="15"/>
      <c r="K3349" s="15"/>
      <c r="L3349" s="15"/>
      <c r="M3349" s="15"/>
      <c r="N3349" s="15"/>
      <c r="O3349" s="15"/>
      <c r="P3349" s="15"/>
      <c r="Q3349" s="71"/>
      <c r="R3349" s="84"/>
      <c r="S3349" s="10"/>
      <c r="T3349" s="10"/>
      <c r="U3349" s="10"/>
      <c r="V3349" s="10"/>
      <c r="W3349" s="138"/>
      <c r="Y3349"/>
      <c r="Z3349"/>
      <c r="AA3349"/>
      <c r="AB3349"/>
      <c r="AC3349"/>
      <c r="AD3349"/>
      <c r="AE3349"/>
      <c r="AF3349"/>
      <c r="AG3349"/>
      <c r="AH3349"/>
      <c r="AI3349"/>
      <c r="AJ3349"/>
      <c r="AK3349"/>
      <c r="AL3349"/>
      <c r="AM3349"/>
      <c r="AN3349"/>
      <c r="AO3349"/>
    </row>
    <row r="3350" spans="1:41" ht="15">
      <c r="A3350"/>
      <c r="B3350"/>
      <c r="C3350" s="137"/>
      <c r="D3350" s="30"/>
      <c r="E3350" s="30"/>
      <c r="F3350" s="10"/>
      <c r="G3350" s="10"/>
      <c r="H3350" s="15"/>
      <c r="I3350" s="15"/>
      <c r="J3350" s="15"/>
      <c r="K3350" s="15"/>
      <c r="L3350" s="15"/>
      <c r="M3350" s="15"/>
      <c r="N3350" s="15"/>
      <c r="O3350" s="15"/>
      <c r="P3350" s="15"/>
      <c r="Q3350" s="71"/>
      <c r="R3350" s="84"/>
      <c r="S3350" s="10"/>
      <c r="T3350" s="10"/>
      <c r="U3350" s="10"/>
      <c r="V3350" s="10"/>
      <c r="W3350" s="138"/>
      <c r="Y3350"/>
      <c r="Z3350"/>
      <c r="AA3350"/>
      <c r="AB3350"/>
      <c r="AC3350"/>
      <c r="AD3350"/>
      <c r="AE3350"/>
      <c r="AF3350"/>
      <c r="AG3350"/>
      <c r="AH3350"/>
      <c r="AI3350"/>
      <c r="AJ3350"/>
      <c r="AK3350"/>
      <c r="AL3350"/>
      <c r="AM3350"/>
      <c r="AN3350"/>
      <c r="AO3350"/>
    </row>
    <row r="3351" spans="1:41" ht="15">
      <c r="A3351"/>
      <c r="B3351"/>
      <c r="C3351" s="137"/>
      <c r="D3351" s="30"/>
      <c r="E3351" s="30"/>
      <c r="F3351" s="10"/>
      <c r="G3351" s="10"/>
      <c r="H3351" s="15"/>
      <c r="I3351" s="15"/>
      <c r="J3351" s="15"/>
      <c r="K3351" s="15"/>
      <c r="L3351" s="15"/>
      <c r="M3351" s="15"/>
      <c r="N3351" s="15"/>
      <c r="O3351" s="15"/>
      <c r="P3351" s="15"/>
      <c r="Q3351" s="71"/>
      <c r="R3351" s="84"/>
      <c r="S3351" s="10"/>
      <c r="T3351" s="10"/>
      <c r="U3351" s="10"/>
      <c r="V3351" s="10"/>
      <c r="W3351" s="138"/>
      <c r="Y3351"/>
      <c r="Z3351"/>
      <c r="AA3351"/>
      <c r="AB3351"/>
      <c r="AC3351"/>
      <c r="AD3351"/>
      <c r="AE3351"/>
      <c r="AF3351"/>
      <c r="AG3351"/>
      <c r="AH3351"/>
      <c r="AI3351"/>
      <c r="AJ3351"/>
      <c r="AK3351"/>
      <c r="AL3351"/>
      <c r="AM3351"/>
      <c r="AN3351"/>
      <c r="AO3351"/>
    </row>
    <row r="3352" spans="1:41" ht="15">
      <c r="A3352"/>
      <c r="B3352"/>
      <c r="C3352" s="137"/>
      <c r="D3352" s="30"/>
      <c r="E3352" s="30"/>
      <c r="F3352" s="10"/>
      <c r="G3352" s="10"/>
      <c r="H3352" s="15"/>
      <c r="I3352" s="15"/>
      <c r="J3352" s="15"/>
      <c r="K3352" s="15"/>
      <c r="L3352" s="15"/>
      <c r="M3352" s="15"/>
      <c r="N3352" s="15"/>
      <c r="O3352" s="15"/>
      <c r="P3352" s="15"/>
      <c r="Q3352" s="71"/>
      <c r="R3352" s="84"/>
      <c r="S3352" s="10"/>
      <c r="T3352" s="10"/>
      <c r="U3352" s="10"/>
      <c r="V3352" s="10"/>
      <c r="W3352" s="138"/>
      <c r="Y3352"/>
      <c r="Z3352"/>
      <c r="AA3352"/>
      <c r="AB3352"/>
      <c r="AC3352"/>
      <c r="AD3352"/>
      <c r="AE3352"/>
      <c r="AF3352"/>
      <c r="AG3352"/>
      <c r="AH3352"/>
      <c r="AI3352"/>
      <c r="AJ3352"/>
      <c r="AK3352"/>
      <c r="AL3352"/>
      <c r="AM3352"/>
      <c r="AN3352"/>
      <c r="AO3352"/>
    </row>
    <row r="3353" spans="1:41" ht="15">
      <c r="A3353"/>
      <c r="B3353"/>
      <c r="C3353" s="137"/>
      <c r="D3353" s="30"/>
      <c r="E3353" s="30"/>
      <c r="F3353" s="10"/>
      <c r="G3353" s="10"/>
      <c r="H3353" s="15"/>
      <c r="I3353" s="15"/>
      <c r="J3353" s="15"/>
      <c r="K3353" s="15"/>
      <c r="L3353" s="15"/>
      <c r="M3353" s="15"/>
      <c r="N3353" s="15"/>
      <c r="O3353" s="15"/>
      <c r="P3353" s="15"/>
      <c r="Q3353" s="71"/>
      <c r="R3353" s="84"/>
      <c r="S3353" s="10"/>
      <c r="T3353" s="10"/>
      <c r="U3353" s="10"/>
      <c r="V3353" s="10"/>
      <c r="W3353" s="138"/>
      <c r="Y3353"/>
      <c r="Z3353"/>
      <c r="AA3353"/>
      <c r="AB3353"/>
      <c r="AC3353"/>
      <c r="AD3353"/>
      <c r="AE3353"/>
      <c r="AF3353"/>
      <c r="AG3353"/>
      <c r="AH3353"/>
      <c r="AI3353"/>
      <c r="AJ3353"/>
      <c r="AK3353"/>
      <c r="AL3353"/>
      <c r="AM3353"/>
      <c r="AN3353"/>
      <c r="AO3353"/>
    </row>
    <row r="3354" spans="1:41" ht="15">
      <c r="A3354"/>
      <c r="B3354"/>
      <c r="C3354" s="137"/>
      <c r="D3354" s="30"/>
      <c r="E3354" s="30"/>
      <c r="F3354" s="10"/>
      <c r="G3354" s="10"/>
      <c r="H3354" s="15"/>
      <c r="I3354" s="15"/>
      <c r="J3354" s="15"/>
      <c r="K3354" s="15"/>
      <c r="L3354" s="15"/>
      <c r="M3354" s="15"/>
      <c r="N3354" s="15"/>
      <c r="O3354" s="15"/>
      <c r="P3354" s="15"/>
      <c r="Q3354" s="71"/>
      <c r="R3354" s="84"/>
      <c r="S3354" s="10"/>
      <c r="T3354" s="10"/>
      <c r="U3354" s="10"/>
      <c r="V3354" s="10"/>
      <c r="W3354" s="138"/>
      <c r="Y3354"/>
      <c r="Z3354"/>
      <c r="AA3354"/>
      <c r="AB3354"/>
      <c r="AC3354"/>
      <c r="AD3354"/>
      <c r="AE3354"/>
      <c r="AF3354"/>
      <c r="AG3354"/>
      <c r="AH3354"/>
      <c r="AI3354"/>
      <c r="AJ3354"/>
      <c r="AK3354"/>
      <c r="AL3354"/>
      <c r="AM3354"/>
      <c r="AN3354"/>
      <c r="AO3354"/>
    </row>
    <row r="3355" spans="1:41" ht="15">
      <c r="A3355"/>
      <c r="B3355"/>
      <c r="C3355" s="137"/>
      <c r="D3355" s="30"/>
      <c r="E3355" s="30"/>
      <c r="F3355" s="10"/>
      <c r="G3355" s="10"/>
      <c r="H3355" s="15"/>
      <c r="I3355" s="15"/>
      <c r="J3355" s="15"/>
      <c r="K3355" s="15"/>
      <c r="L3355" s="15"/>
      <c r="M3355" s="15"/>
      <c r="N3355" s="15"/>
      <c r="O3355" s="15"/>
      <c r="P3355" s="15"/>
      <c r="Q3355" s="71"/>
      <c r="R3355" s="84"/>
      <c r="S3355" s="10"/>
      <c r="T3355" s="10"/>
      <c r="U3355" s="10"/>
      <c r="V3355" s="10"/>
      <c r="W3355" s="138"/>
      <c r="Y3355"/>
      <c r="Z3355"/>
      <c r="AA3355"/>
      <c r="AB3355"/>
      <c r="AC3355"/>
      <c r="AD3355"/>
      <c r="AE3355"/>
      <c r="AF3355"/>
      <c r="AG3355"/>
      <c r="AH3355"/>
      <c r="AI3355"/>
      <c r="AJ3355"/>
      <c r="AK3355"/>
      <c r="AL3355"/>
      <c r="AM3355"/>
      <c r="AN3355"/>
      <c r="AO3355"/>
    </row>
    <row r="3356" spans="1:41" ht="15">
      <c r="A3356"/>
      <c r="B3356"/>
      <c r="C3356" s="137"/>
      <c r="D3356" s="30"/>
      <c r="E3356" s="30"/>
      <c r="F3356" s="10"/>
      <c r="G3356" s="10"/>
      <c r="H3356" s="15"/>
      <c r="I3356" s="15"/>
      <c r="J3356" s="15"/>
      <c r="K3356" s="15"/>
      <c r="L3356" s="15"/>
      <c r="M3356" s="15"/>
      <c r="N3356" s="15"/>
      <c r="O3356" s="15"/>
      <c r="P3356" s="15"/>
      <c r="Q3356" s="71"/>
      <c r="R3356" s="84"/>
      <c r="S3356" s="10"/>
      <c r="T3356" s="10"/>
      <c r="U3356" s="10"/>
      <c r="V3356" s="10"/>
      <c r="W3356" s="138"/>
      <c r="Y3356"/>
      <c r="Z3356"/>
      <c r="AA3356"/>
      <c r="AB3356"/>
      <c r="AC3356"/>
      <c r="AD3356"/>
      <c r="AE3356"/>
      <c r="AF3356"/>
      <c r="AG3356"/>
      <c r="AH3356"/>
      <c r="AI3356"/>
      <c r="AJ3356"/>
      <c r="AK3356"/>
      <c r="AL3356"/>
      <c r="AM3356"/>
      <c r="AN3356"/>
      <c r="AO3356"/>
    </row>
    <row r="3357" spans="1:41" ht="15">
      <c r="A3357"/>
      <c r="B3357"/>
      <c r="C3357" s="137"/>
      <c r="D3357" s="30"/>
      <c r="E3357" s="30"/>
      <c r="F3357" s="10"/>
      <c r="G3357" s="10"/>
      <c r="H3357" s="15"/>
      <c r="I3357" s="15"/>
      <c r="J3357" s="15"/>
      <c r="K3357" s="15"/>
      <c r="L3357" s="15"/>
      <c r="M3357" s="15"/>
      <c r="N3357" s="15"/>
      <c r="O3357" s="15"/>
      <c r="P3357" s="15"/>
      <c r="Q3357" s="71"/>
      <c r="R3357" s="84"/>
      <c r="S3357" s="10"/>
      <c r="T3357" s="10"/>
      <c r="U3357" s="10"/>
      <c r="V3357" s="10"/>
      <c r="W3357" s="138"/>
      <c r="Y3357"/>
      <c r="Z3357"/>
      <c r="AA3357"/>
      <c r="AB3357"/>
      <c r="AC3357"/>
      <c r="AD3357"/>
      <c r="AE3357"/>
      <c r="AF3357"/>
      <c r="AG3357"/>
      <c r="AH3357"/>
      <c r="AI3357"/>
      <c r="AJ3357"/>
      <c r="AK3357"/>
      <c r="AL3357"/>
      <c r="AM3357"/>
      <c r="AN3357"/>
      <c r="AO3357"/>
    </row>
    <row r="3358" spans="1:41" ht="15">
      <c r="A3358"/>
      <c r="B3358"/>
      <c r="C3358" s="137"/>
      <c r="D3358" s="30"/>
      <c r="E3358" s="30"/>
      <c r="F3358" s="10"/>
      <c r="G3358" s="10"/>
      <c r="H3358" s="15"/>
      <c r="I3358" s="15"/>
      <c r="J3358" s="15"/>
      <c r="K3358" s="15"/>
      <c r="L3358" s="15"/>
      <c r="M3358" s="15"/>
      <c r="N3358" s="15"/>
      <c r="O3358" s="15"/>
      <c r="P3358" s="15"/>
      <c r="Q3358" s="71"/>
      <c r="R3358" s="84"/>
      <c r="S3358" s="10"/>
      <c r="T3358" s="10"/>
      <c r="U3358" s="10"/>
      <c r="V3358" s="10"/>
      <c r="W3358" s="138"/>
      <c r="Y3358"/>
      <c r="Z3358"/>
      <c r="AA3358"/>
      <c r="AB3358"/>
      <c r="AC3358"/>
      <c r="AD3358"/>
      <c r="AE3358"/>
      <c r="AF3358"/>
      <c r="AG3358"/>
      <c r="AH3358"/>
      <c r="AI3358"/>
      <c r="AJ3358"/>
      <c r="AK3358"/>
      <c r="AL3358"/>
      <c r="AM3358"/>
      <c r="AN3358"/>
      <c r="AO3358"/>
    </row>
    <row r="3359" spans="1:41" ht="15">
      <c r="A3359"/>
      <c r="B3359"/>
      <c r="C3359" s="137"/>
      <c r="D3359" s="30"/>
      <c r="E3359" s="30"/>
      <c r="F3359" s="10"/>
      <c r="G3359" s="10"/>
      <c r="H3359" s="15"/>
      <c r="I3359" s="15"/>
      <c r="J3359" s="15"/>
      <c r="K3359" s="15"/>
      <c r="L3359" s="15"/>
      <c r="M3359" s="15"/>
      <c r="N3359" s="15"/>
      <c r="O3359" s="15"/>
      <c r="P3359" s="15"/>
      <c r="Q3359" s="71"/>
      <c r="R3359" s="84"/>
      <c r="S3359" s="10"/>
      <c r="T3359" s="10"/>
      <c r="U3359" s="10"/>
      <c r="V3359" s="10"/>
      <c r="W3359" s="138"/>
      <c r="Y3359"/>
      <c r="Z3359"/>
      <c r="AA3359"/>
      <c r="AB3359"/>
      <c r="AC3359"/>
      <c r="AD3359"/>
      <c r="AE3359"/>
      <c r="AF3359"/>
      <c r="AG3359"/>
      <c r="AH3359"/>
      <c r="AI3359"/>
      <c r="AJ3359"/>
      <c r="AK3359"/>
      <c r="AL3359"/>
      <c r="AM3359"/>
      <c r="AN3359"/>
      <c r="AO3359"/>
    </row>
    <row r="3360" spans="1:41" ht="15">
      <c r="A3360"/>
      <c r="B3360"/>
      <c r="C3360" s="137"/>
      <c r="D3360" s="30"/>
      <c r="E3360" s="30"/>
      <c r="F3360" s="10"/>
      <c r="G3360" s="10"/>
      <c r="H3360" s="15"/>
      <c r="I3360" s="15"/>
      <c r="J3360" s="15"/>
      <c r="K3360" s="15"/>
      <c r="L3360" s="15"/>
      <c r="M3360" s="15"/>
      <c r="N3360" s="15"/>
      <c r="O3360" s="15"/>
      <c r="P3360" s="15"/>
      <c r="Q3360" s="71"/>
      <c r="R3360" s="84"/>
      <c r="S3360" s="10"/>
      <c r="T3360" s="10"/>
      <c r="U3360" s="10"/>
      <c r="V3360" s="10"/>
      <c r="W3360" s="138"/>
      <c r="Y3360"/>
      <c r="Z3360"/>
      <c r="AA3360"/>
      <c r="AB3360"/>
      <c r="AC3360"/>
      <c r="AD3360"/>
      <c r="AE3360"/>
      <c r="AF3360"/>
      <c r="AG3360"/>
      <c r="AH3360"/>
      <c r="AI3360"/>
      <c r="AJ3360"/>
      <c r="AK3360"/>
      <c r="AL3360"/>
      <c r="AM3360"/>
      <c r="AN3360"/>
      <c r="AO3360"/>
    </row>
    <row r="3361" spans="1:41" ht="15">
      <c r="A3361"/>
      <c r="B3361"/>
      <c r="C3361" s="137"/>
      <c r="D3361" s="30"/>
      <c r="E3361" s="30"/>
      <c r="F3361" s="10"/>
      <c r="G3361" s="10"/>
      <c r="H3361" s="15"/>
      <c r="I3361" s="15"/>
      <c r="J3361" s="15"/>
      <c r="K3361" s="15"/>
      <c r="L3361" s="15"/>
      <c r="M3361" s="15"/>
      <c r="N3361" s="15"/>
      <c r="O3361" s="15"/>
      <c r="P3361" s="15"/>
      <c r="Q3361" s="71"/>
      <c r="R3361" s="84"/>
      <c r="S3361" s="10"/>
      <c r="T3361" s="10"/>
      <c r="U3361" s="10"/>
      <c r="V3361" s="10"/>
      <c r="W3361" s="138"/>
      <c r="Y3361"/>
      <c r="Z3361"/>
      <c r="AA3361"/>
      <c r="AB3361"/>
      <c r="AC3361"/>
      <c r="AD3361"/>
      <c r="AE3361"/>
      <c r="AF3361"/>
      <c r="AG3361"/>
      <c r="AH3361"/>
      <c r="AI3361"/>
      <c r="AJ3361"/>
      <c r="AK3361"/>
      <c r="AL3361"/>
      <c r="AM3361"/>
      <c r="AN3361"/>
      <c r="AO3361"/>
    </row>
    <row r="3362" spans="1:41" ht="15">
      <c r="A3362"/>
      <c r="B3362"/>
      <c r="C3362" s="137"/>
      <c r="D3362" s="30"/>
      <c r="E3362" s="30"/>
      <c r="F3362" s="10"/>
      <c r="G3362" s="10"/>
      <c r="H3362" s="15"/>
      <c r="I3362" s="15"/>
      <c r="J3362" s="15"/>
      <c r="K3362" s="15"/>
      <c r="L3362" s="15"/>
      <c r="M3362" s="15"/>
      <c r="N3362" s="15"/>
      <c r="O3362" s="15"/>
      <c r="P3362" s="15"/>
      <c r="Q3362" s="71"/>
      <c r="R3362" s="84"/>
      <c r="S3362" s="10"/>
      <c r="T3362" s="10"/>
      <c r="U3362" s="10"/>
      <c r="V3362" s="10"/>
      <c r="W3362" s="138"/>
      <c r="Y3362"/>
      <c r="Z3362"/>
      <c r="AA3362"/>
      <c r="AB3362"/>
      <c r="AC3362"/>
      <c r="AD3362"/>
      <c r="AE3362"/>
      <c r="AF3362"/>
      <c r="AG3362"/>
      <c r="AH3362"/>
      <c r="AI3362"/>
      <c r="AJ3362"/>
      <c r="AK3362"/>
      <c r="AL3362"/>
      <c r="AM3362"/>
      <c r="AN3362"/>
      <c r="AO3362"/>
    </row>
    <row r="3363" spans="1:41" ht="15">
      <c r="A3363"/>
      <c r="B3363"/>
      <c r="C3363" s="137"/>
      <c r="D3363" s="30"/>
      <c r="E3363" s="30"/>
      <c r="F3363" s="10"/>
      <c r="G3363" s="10"/>
      <c r="H3363" s="15"/>
      <c r="I3363" s="15"/>
      <c r="J3363" s="15"/>
      <c r="K3363" s="15"/>
      <c r="L3363" s="15"/>
      <c r="M3363" s="15"/>
      <c r="N3363" s="15"/>
      <c r="O3363" s="15"/>
      <c r="P3363" s="15"/>
      <c r="Q3363" s="71"/>
      <c r="R3363" s="84"/>
      <c r="S3363" s="10"/>
      <c r="T3363" s="10"/>
      <c r="U3363" s="10"/>
      <c r="V3363" s="10"/>
      <c r="W3363" s="138"/>
      <c r="Y3363"/>
      <c r="Z3363"/>
      <c r="AA3363"/>
      <c r="AB3363"/>
      <c r="AC3363"/>
      <c r="AD3363"/>
      <c r="AE3363"/>
      <c r="AF3363"/>
      <c r="AG3363"/>
      <c r="AH3363"/>
      <c r="AI3363"/>
      <c r="AJ3363"/>
      <c r="AK3363"/>
      <c r="AL3363"/>
      <c r="AM3363"/>
      <c r="AN3363"/>
      <c r="AO3363"/>
    </row>
    <row r="3364" spans="1:41" ht="15">
      <c r="A3364"/>
      <c r="B3364"/>
      <c r="C3364" s="137"/>
      <c r="D3364" s="30"/>
      <c r="E3364" s="30"/>
      <c r="F3364" s="10"/>
      <c r="G3364" s="10"/>
      <c r="H3364" s="15"/>
      <c r="I3364" s="15"/>
      <c r="J3364" s="15"/>
      <c r="K3364" s="15"/>
      <c r="L3364" s="15"/>
      <c r="M3364" s="15"/>
      <c r="N3364" s="15"/>
      <c r="O3364" s="15"/>
      <c r="P3364" s="15"/>
      <c r="Q3364" s="71"/>
      <c r="R3364" s="84"/>
      <c r="S3364" s="10"/>
      <c r="T3364" s="10"/>
      <c r="U3364" s="10"/>
      <c r="V3364" s="10"/>
      <c r="W3364" s="138"/>
      <c r="Y3364"/>
      <c r="Z3364"/>
      <c r="AA3364"/>
      <c r="AB3364"/>
      <c r="AC3364"/>
      <c r="AD3364"/>
      <c r="AE3364"/>
      <c r="AF3364"/>
      <c r="AG3364"/>
      <c r="AH3364"/>
      <c r="AI3364"/>
      <c r="AJ3364"/>
      <c r="AK3364"/>
      <c r="AL3364"/>
      <c r="AM3364"/>
      <c r="AN3364"/>
      <c r="AO3364"/>
    </row>
    <row r="3365" spans="1:41" ht="15">
      <c r="A3365"/>
      <c r="B3365"/>
      <c r="C3365" s="137"/>
      <c r="D3365" s="30"/>
      <c r="E3365" s="30"/>
      <c r="F3365" s="10"/>
      <c r="G3365" s="10"/>
      <c r="H3365" s="15"/>
      <c r="I3365" s="15"/>
      <c r="J3365" s="15"/>
      <c r="K3365" s="15"/>
      <c r="L3365" s="15"/>
      <c r="M3365" s="15"/>
      <c r="N3365" s="15"/>
      <c r="O3365" s="15"/>
      <c r="P3365" s="15"/>
      <c r="Q3365" s="71"/>
      <c r="R3365" s="84"/>
      <c r="S3365" s="10"/>
      <c r="T3365" s="10"/>
      <c r="U3365" s="10"/>
      <c r="V3365" s="10"/>
      <c r="W3365" s="138"/>
      <c r="Y3365"/>
      <c r="Z3365"/>
      <c r="AA3365"/>
      <c r="AB3365"/>
      <c r="AC3365"/>
      <c r="AD3365"/>
      <c r="AE3365"/>
      <c r="AF3365"/>
      <c r="AG3365"/>
      <c r="AH3365"/>
      <c r="AI3365"/>
      <c r="AJ3365"/>
      <c r="AK3365"/>
      <c r="AL3365"/>
      <c r="AM3365"/>
      <c r="AN3365"/>
      <c r="AO3365"/>
    </row>
    <row r="3366" spans="1:41" ht="15">
      <c r="A3366"/>
      <c r="B3366"/>
      <c r="C3366" s="137"/>
      <c r="D3366" s="30"/>
      <c r="E3366" s="30"/>
      <c r="F3366" s="10"/>
      <c r="G3366" s="10"/>
      <c r="H3366" s="15"/>
      <c r="I3366" s="15"/>
      <c r="J3366" s="15"/>
      <c r="K3366" s="15"/>
      <c r="L3366" s="15"/>
      <c r="M3366" s="15"/>
      <c r="N3366" s="15"/>
      <c r="O3366" s="15"/>
      <c r="P3366" s="15"/>
      <c r="Q3366" s="71"/>
      <c r="R3366" s="84"/>
      <c r="S3366" s="10"/>
      <c r="T3366" s="10"/>
      <c r="U3366" s="10"/>
      <c r="V3366" s="10"/>
      <c r="W3366" s="138"/>
      <c r="Y3366"/>
      <c r="Z3366"/>
      <c r="AA3366"/>
      <c r="AB3366"/>
      <c r="AC3366"/>
      <c r="AD3366"/>
      <c r="AE3366"/>
      <c r="AF3366"/>
      <c r="AG3366"/>
      <c r="AH3366"/>
      <c r="AI3366"/>
      <c r="AJ3366"/>
      <c r="AK3366"/>
      <c r="AL3366"/>
      <c r="AM3366"/>
      <c r="AN3366"/>
      <c r="AO3366"/>
    </row>
    <row r="3367" spans="1:41" ht="15">
      <c r="A3367"/>
      <c r="B3367"/>
      <c r="C3367" s="137"/>
      <c r="D3367" s="30"/>
      <c r="E3367" s="30"/>
      <c r="F3367" s="10"/>
      <c r="G3367" s="10"/>
      <c r="H3367" s="15"/>
      <c r="I3367" s="15"/>
      <c r="J3367" s="15"/>
      <c r="K3367" s="15"/>
      <c r="L3367" s="15"/>
      <c r="M3367" s="15"/>
      <c r="N3367" s="15"/>
      <c r="O3367" s="15"/>
      <c r="P3367" s="15"/>
      <c r="Q3367" s="71"/>
      <c r="R3367" s="84"/>
      <c r="S3367" s="10"/>
      <c r="T3367" s="10"/>
      <c r="U3367" s="10"/>
      <c r="V3367" s="10"/>
      <c r="W3367" s="138"/>
      <c r="Y3367"/>
      <c r="Z3367"/>
      <c r="AA3367"/>
      <c r="AB3367"/>
      <c r="AC3367"/>
      <c r="AD3367"/>
      <c r="AE3367"/>
      <c r="AF3367"/>
      <c r="AG3367"/>
      <c r="AH3367"/>
      <c r="AI3367"/>
      <c r="AJ3367"/>
      <c r="AK3367"/>
      <c r="AL3367"/>
      <c r="AM3367"/>
      <c r="AN3367"/>
      <c r="AO3367"/>
    </row>
    <row r="3368" spans="1:41" ht="15">
      <c r="A3368"/>
      <c r="B3368"/>
      <c r="C3368" s="137"/>
      <c r="D3368" s="30"/>
      <c r="E3368" s="30"/>
      <c r="F3368" s="10"/>
      <c r="G3368" s="10"/>
      <c r="H3368" s="15"/>
      <c r="I3368" s="15"/>
      <c r="J3368" s="15"/>
      <c r="K3368" s="15"/>
      <c r="L3368" s="15"/>
      <c r="M3368" s="15"/>
      <c r="N3368" s="15"/>
      <c r="O3368" s="15"/>
      <c r="P3368" s="15"/>
      <c r="Q3368" s="71"/>
      <c r="R3368" s="84"/>
      <c r="S3368" s="10"/>
      <c r="T3368" s="10"/>
      <c r="U3368" s="10"/>
      <c r="V3368" s="10"/>
      <c r="W3368" s="138"/>
      <c r="Y3368"/>
      <c r="Z3368"/>
      <c r="AA3368"/>
      <c r="AB3368"/>
      <c r="AC3368"/>
      <c r="AD3368"/>
      <c r="AE3368"/>
      <c r="AF3368"/>
      <c r="AG3368"/>
      <c r="AH3368"/>
      <c r="AI3368"/>
      <c r="AJ3368"/>
      <c r="AK3368"/>
      <c r="AL3368"/>
      <c r="AM3368"/>
      <c r="AN3368"/>
      <c r="AO3368"/>
    </row>
    <row r="3369" spans="1:41" ht="15">
      <c r="A3369"/>
      <c r="B3369"/>
      <c r="C3369" s="137"/>
      <c r="D3369" s="30"/>
      <c r="E3369" s="30"/>
      <c r="F3369" s="10"/>
      <c r="G3369" s="10"/>
      <c r="H3369" s="15"/>
      <c r="I3369" s="15"/>
      <c r="J3369" s="15"/>
      <c r="K3369" s="15"/>
      <c r="L3369" s="15"/>
      <c r="M3369" s="15"/>
      <c r="N3369" s="15"/>
      <c r="O3369" s="15"/>
      <c r="P3369" s="15"/>
      <c r="Q3369" s="71"/>
      <c r="R3369" s="84"/>
      <c r="S3369" s="10"/>
      <c r="T3369" s="10"/>
      <c r="U3369" s="10"/>
      <c r="V3369" s="10"/>
      <c r="W3369" s="138"/>
      <c r="Y3369"/>
      <c r="Z3369"/>
      <c r="AA3369"/>
      <c r="AB3369"/>
      <c r="AC3369"/>
      <c r="AD3369"/>
      <c r="AE3369"/>
      <c r="AF3369"/>
      <c r="AG3369"/>
      <c r="AH3369"/>
      <c r="AI3369"/>
      <c r="AJ3369"/>
      <c r="AK3369"/>
      <c r="AL3369"/>
      <c r="AM3369"/>
      <c r="AN3369"/>
      <c r="AO3369"/>
    </row>
    <row r="3370" spans="1:41" ht="15">
      <c r="A3370"/>
      <c r="B3370"/>
      <c r="C3370" s="137"/>
      <c r="D3370" s="30"/>
      <c r="E3370" s="30"/>
      <c r="F3370" s="10"/>
      <c r="G3370" s="10"/>
      <c r="H3370" s="15"/>
      <c r="I3370" s="15"/>
      <c r="J3370" s="15"/>
      <c r="K3370" s="15"/>
      <c r="L3370" s="15"/>
      <c r="M3370" s="15"/>
      <c r="N3370" s="15"/>
      <c r="O3370" s="15"/>
      <c r="P3370" s="15"/>
      <c r="Q3370" s="71"/>
      <c r="R3370" s="84"/>
      <c r="S3370" s="10"/>
      <c r="T3370" s="10"/>
      <c r="U3370" s="10"/>
      <c r="V3370" s="10"/>
      <c r="W3370" s="138"/>
      <c r="Y3370"/>
      <c r="Z3370"/>
      <c r="AA3370"/>
      <c r="AB3370"/>
      <c r="AC3370"/>
      <c r="AD3370"/>
      <c r="AE3370"/>
      <c r="AF3370"/>
      <c r="AG3370"/>
      <c r="AH3370"/>
      <c r="AI3370"/>
      <c r="AJ3370"/>
      <c r="AK3370"/>
      <c r="AL3370"/>
      <c r="AM3370"/>
      <c r="AN3370"/>
      <c r="AO3370"/>
    </row>
    <row r="3371" spans="1:41" ht="15">
      <c r="A3371"/>
      <c r="B3371"/>
      <c r="C3371" s="137"/>
      <c r="D3371" s="30"/>
      <c r="E3371" s="30"/>
      <c r="F3371" s="10"/>
      <c r="G3371" s="10"/>
      <c r="H3371" s="15"/>
      <c r="I3371" s="15"/>
      <c r="J3371" s="15"/>
      <c r="K3371" s="15"/>
      <c r="L3371" s="15"/>
      <c r="M3371" s="15"/>
      <c r="N3371" s="15"/>
      <c r="O3371" s="15"/>
      <c r="P3371" s="15"/>
      <c r="Q3371" s="71"/>
      <c r="R3371" s="84"/>
      <c r="S3371" s="10"/>
      <c r="T3371" s="10"/>
      <c r="U3371" s="10"/>
      <c r="V3371" s="10"/>
      <c r="W3371" s="138"/>
      <c r="Y3371"/>
      <c r="Z3371"/>
      <c r="AA3371"/>
      <c r="AB3371"/>
      <c r="AC3371"/>
      <c r="AD3371"/>
      <c r="AE3371"/>
      <c r="AF3371"/>
      <c r="AG3371"/>
      <c r="AH3371"/>
      <c r="AI3371"/>
      <c r="AJ3371"/>
      <c r="AK3371"/>
      <c r="AL3371"/>
      <c r="AM3371"/>
      <c r="AN3371"/>
      <c r="AO3371"/>
    </row>
    <row r="3372" spans="1:41" ht="15">
      <c r="A3372"/>
      <c r="B3372"/>
      <c r="C3372" s="137"/>
      <c r="D3372" s="30"/>
      <c r="E3372" s="30"/>
      <c r="F3372" s="10"/>
      <c r="G3372" s="10"/>
      <c r="H3372" s="15"/>
      <c r="I3372" s="15"/>
      <c r="J3372" s="15"/>
      <c r="K3372" s="15"/>
      <c r="L3372" s="15"/>
      <c r="M3372" s="15"/>
      <c r="N3372" s="15"/>
      <c r="O3372" s="15"/>
      <c r="P3372" s="15"/>
      <c r="Q3372" s="71"/>
      <c r="R3372" s="84"/>
      <c r="S3372" s="10"/>
      <c r="T3372" s="10"/>
      <c r="U3372" s="10"/>
      <c r="V3372" s="10"/>
      <c r="W3372" s="138"/>
      <c r="Y3372"/>
      <c r="Z3372"/>
      <c r="AA3372"/>
      <c r="AB3372"/>
      <c r="AC3372"/>
      <c r="AD3372"/>
      <c r="AE3372"/>
      <c r="AF3372"/>
      <c r="AG3372"/>
      <c r="AH3372"/>
      <c r="AI3372"/>
      <c r="AJ3372"/>
      <c r="AK3372"/>
      <c r="AL3372"/>
      <c r="AM3372"/>
      <c r="AN3372"/>
      <c r="AO3372"/>
    </row>
    <row r="3373" spans="1:41" ht="15">
      <c r="A3373"/>
      <c r="B3373"/>
      <c r="C3373" s="137"/>
      <c r="D3373" s="30"/>
      <c r="E3373" s="30"/>
      <c r="F3373" s="10"/>
      <c r="G3373" s="10"/>
      <c r="H3373" s="15"/>
      <c r="I3373" s="15"/>
      <c r="J3373" s="15"/>
      <c r="K3373" s="15"/>
      <c r="L3373" s="15"/>
      <c r="M3373" s="15"/>
      <c r="N3373" s="15"/>
      <c r="O3373" s="15"/>
      <c r="P3373" s="15"/>
      <c r="Q3373" s="71"/>
      <c r="R3373" s="84"/>
      <c r="S3373" s="10"/>
      <c r="T3373" s="10"/>
      <c r="U3373" s="10"/>
      <c r="V3373" s="10"/>
      <c r="W3373" s="138"/>
      <c r="Y3373"/>
      <c r="Z3373"/>
      <c r="AA3373"/>
      <c r="AB3373"/>
      <c r="AC3373"/>
      <c r="AD3373"/>
      <c r="AE3373"/>
      <c r="AF3373"/>
      <c r="AG3373"/>
      <c r="AH3373"/>
      <c r="AI3373"/>
      <c r="AJ3373"/>
      <c r="AK3373"/>
      <c r="AL3373"/>
      <c r="AM3373"/>
      <c r="AN3373"/>
      <c r="AO3373"/>
    </row>
    <row r="3374" spans="1:41" ht="15">
      <c r="A3374"/>
      <c r="B3374"/>
      <c r="C3374" s="137"/>
      <c r="D3374" s="30"/>
      <c r="E3374" s="30"/>
      <c r="F3374" s="10"/>
      <c r="G3374" s="10"/>
      <c r="H3374" s="15"/>
      <c r="I3374" s="15"/>
      <c r="J3374" s="15"/>
      <c r="K3374" s="15"/>
      <c r="L3374" s="15"/>
      <c r="M3374" s="15"/>
      <c r="N3374" s="15"/>
      <c r="O3374" s="15"/>
      <c r="P3374" s="15"/>
      <c r="Q3374" s="71"/>
      <c r="R3374" s="84"/>
      <c r="S3374" s="10"/>
      <c r="T3374" s="10"/>
      <c r="U3374" s="10"/>
      <c r="V3374" s="10"/>
      <c r="W3374" s="138"/>
      <c r="Y3374"/>
      <c r="Z3374"/>
      <c r="AA3374"/>
      <c r="AB3374"/>
      <c r="AC3374"/>
      <c r="AD3374"/>
      <c r="AE3374"/>
      <c r="AF3374"/>
      <c r="AG3374"/>
      <c r="AH3374"/>
      <c r="AI3374"/>
      <c r="AJ3374"/>
      <c r="AK3374"/>
      <c r="AL3374"/>
      <c r="AM3374"/>
      <c r="AN3374"/>
      <c r="AO3374"/>
    </row>
    <row r="3375" spans="1:41" ht="15">
      <c r="A3375"/>
      <c r="B3375"/>
      <c r="C3375" s="137"/>
      <c r="D3375" s="30"/>
      <c r="E3375" s="30"/>
      <c r="F3375" s="10"/>
      <c r="G3375" s="10"/>
      <c r="H3375" s="15"/>
      <c r="I3375" s="15"/>
      <c r="J3375" s="15"/>
      <c r="K3375" s="15"/>
      <c r="L3375" s="15"/>
      <c r="M3375" s="15"/>
      <c r="N3375" s="15"/>
      <c r="O3375" s="15"/>
      <c r="P3375" s="15"/>
      <c r="Q3375" s="71"/>
      <c r="R3375" s="84"/>
      <c r="S3375" s="10"/>
      <c r="T3375" s="10"/>
      <c r="U3375" s="10"/>
      <c r="V3375" s="10"/>
      <c r="W3375" s="138"/>
      <c r="Y3375"/>
      <c r="Z3375"/>
      <c r="AA3375"/>
      <c r="AB3375"/>
      <c r="AC3375"/>
      <c r="AD3375"/>
      <c r="AE3375"/>
      <c r="AF3375"/>
      <c r="AG3375"/>
      <c r="AH3375"/>
      <c r="AI3375"/>
      <c r="AJ3375"/>
      <c r="AK3375"/>
      <c r="AL3375"/>
      <c r="AM3375"/>
      <c r="AN3375"/>
      <c r="AO3375"/>
    </row>
    <row r="3376" spans="1:41" ht="15">
      <c r="A3376"/>
      <c r="B3376"/>
      <c r="C3376" s="137"/>
      <c r="D3376" s="30"/>
      <c r="E3376" s="30"/>
      <c r="F3376" s="10"/>
      <c r="G3376" s="10"/>
      <c r="H3376" s="15"/>
      <c r="I3376" s="15"/>
      <c r="J3376" s="15"/>
      <c r="K3376" s="15"/>
      <c r="L3376" s="15"/>
      <c r="M3376" s="15"/>
      <c r="N3376" s="15"/>
      <c r="O3376" s="15"/>
      <c r="P3376" s="15"/>
      <c r="Q3376" s="71"/>
      <c r="R3376" s="84"/>
      <c r="S3376" s="10"/>
      <c r="T3376" s="10"/>
      <c r="U3376" s="10"/>
      <c r="V3376" s="10"/>
      <c r="W3376" s="138"/>
      <c r="Y3376"/>
      <c r="Z3376"/>
      <c r="AA3376"/>
      <c r="AB3376"/>
      <c r="AC3376"/>
      <c r="AD3376"/>
      <c r="AE3376"/>
      <c r="AF3376"/>
      <c r="AG3376"/>
      <c r="AH3376"/>
      <c r="AI3376"/>
      <c r="AJ3376"/>
      <c r="AK3376"/>
      <c r="AL3376"/>
      <c r="AM3376"/>
      <c r="AN3376"/>
      <c r="AO3376"/>
    </row>
    <row r="3377" spans="1:41" ht="15">
      <c r="A3377"/>
      <c r="B3377"/>
      <c r="C3377" s="137"/>
      <c r="D3377" s="30"/>
      <c r="E3377" s="30"/>
      <c r="F3377" s="10"/>
      <c r="G3377" s="10"/>
      <c r="H3377" s="15"/>
      <c r="I3377" s="15"/>
      <c r="J3377" s="15"/>
      <c r="K3377" s="15"/>
      <c r="L3377" s="15"/>
      <c r="M3377" s="15"/>
      <c r="N3377" s="15"/>
      <c r="O3377" s="15"/>
      <c r="P3377" s="15"/>
      <c r="Q3377" s="71"/>
      <c r="R3377" s="84"/>
      <c r="S3377" s="10"/>
      <c r="T3377" s="10"/>
      <c r="U3377" s="10"/>
      <c r="V3377" s="10"/>
      <c r="W3377" s="138"/>
      <c r="Y3377"/>
      <c r="Z3377"/>
      <c r="AA3377"/>
      <c r="AB3377"/>
      <c r="AC3377"/>
      <c r="AD3377"/>
      <c r="AE3377"/>
      <c r="AF3377"/>
      <c r="AG3377"/>
      <c r="AH3377"/>
      <c r="AI3377"/>
      <c r="AJ3377"/>
      <c r="AK3377"/>
      <c r="AL3377"/>
      <c r="AM3377"/>
      <c r="AN3377"/>
      <c r="AO3377"/>
    </row>
    <row r="3378" spans="1:41" ht="15">
      <c r="A3378"/>
      <c r="B3378"/>
      <c r="C3378" s="137"/>
      <c r="D3378" s="30"/>
      <c r="E3378" s="30"/>
      <c r="F3378" s="10"/>
      <c r="G3378" s="10"/>
      <c r="H3378" s="15"/>
      <c r="I3378" s="15"/>
      <c r="J3378" s="15"/>
      <c r="K3378" s="15"/>
      <c r="L3378" s="15"/>
      <c r="M3378" s="15"/>
      <c r="N3378" s="15"/>
      <c r="O3378" s="15"/>
      <c r="P3378" s="15"/>
      <c r="Q3378" s="71"/>
      <c r="R3378" s="84"/>
      <c r="S3378" s="10"/>
      <c r="T3378" s="10"/>
      <c r="U3378" s="10"/>
      <c r="V3378" s="10"/>
      <c r="W3378" s="138"/>
      <c r="Y3378"/>
      <c r="Z3378"/>
      <c r="AA3378"/>
      <c r="AB3378"/>
      <c r="AC3378"/>
      <c r="AD3378"/>
      <c r="AE3378"/>
      <c r="AF3378"/>
      <c r="AG3378"/>
      <c r="AH3378"/>
      <c r="AI3378"/>
      <c r="AJ3378"/>
      <c r="AK3378"/>
      <c r="AL3378"/>
      <c r="AM3378"/>
      <c r="AN3378"/>
      <c r="AO3378"/>
    </row>
    <row r="3379" spans="1:41" ht="15">
      <c r="A3379"/>
      <c r="B3379"/>
      <c r="C3379" s="137"/>
      <c r="D3379" s="30"/>
      <c r="E3379" s="30"/>
      <c r="F3379" s="10"/>
      <c r="G3379" s="10"/>
      <c r="H3379" s="15"/>
      <c r="I3379" s="15"/>
      <c r="J3379" s="15"/>
      <c r="K3379" s="15"/>
      <c r="L3379" s="15"/>
      <c r="M3379" s="15"/>
      <c r="N3379" s="15"/>
      <c r="O3379" s="15"/>
      <c r="P3379" s="15"/>
      <c r="Q3379" s="71"/>
      <c r="R3379" s="84"/>
      <c r="S3379" s="10"/>
      <c r="T3379" s="10"/>
      <c r="U3379" s="10"/>
      <c r="V3379" s="10"/>
      <c r="W3379" s="138"/>
      <c r="Y3379"/>
      <c r="Z3379"/>
      <c r="AA3379"/>
      <c r="AB3379"/>
      <c r="AC3379"/>
      <c r="AD3379"/>
      <c r="AE3379"/>
      <c r="AF3379"/>
      <c r="AG3379"/>
      <c r="AH3379"/>
      <c r="AI3379"/>
      <c r="AJ3379"/>
      <c r="AK3379"/>
      <c r="AL3379"/>
      <c r="AM3379"/>
      <c r="AN3379"/>
      <c r="AO3379"/>
    </row>
    <row r="3380" spans="1:41" ht="15">
      <c r="A3380"/>
      <c r="B3380"/>
      <c r="C3380" s="137"/>
      <c r="D3380" s="30"/>
      <c r="E3380" s="30"/>
      <c r="F3380" s="10"/>
      <c r="G3380" s="10"/>
      <c r="H3380" s="15"/>
      <c r="I3380" s="15"/>
      <c r="J3380" s="15"/>
      <c r="K3380" s="15"/>
      <c r="L3380" s="15"/>
      <c r="M3380" s="15"/>
      <c r="N3380" s="15"/>
      <c r="O3380" s="15"/>
      <c r="P3380" s="15"/>
      <c r="Q3380" s="71"/>
      <c r="R3380" s="84"/>
      <c r="S3380" s="10"/>
      <c r="T3380" s="10"/>
      <c r="U3380" s="10"/>
      <c r="V3380" s="10"/>
      <c r="W3380" s="138"/>
      <c r="Y3380"/>
      <c r="Z3380"/>
      <c r="AA3380"/>
      <c r="AB3380"/>
      <c r="AC3380"/>
      <c r="AD3380"/>
      <c r="AE3380"/>
      <c r="AF3380"/>
      <c r="AG3380"/>
      <c r="AH3380"/>
      <c r="AI3380"/>
      <c r="AJ3380"/>
      <c r="AK3380"/>
      <c r="AL3380"/>
      <c r="AM3380"/>
      <c r="AN3380"/>
      <c r="AO3380"/>
    </row>
    <row r="3381" spans="1:41" ht="15">
      <c r="A3381"/>
      <c r="B3381"/>
      <c r="C3381" s="137"/>
      <c r="D3381" s="30"/>
      <c r="E3381" s="30"/>
      <c r="F3381" s="10"/>
      <c r="G3381" s="10"/>
      <c r="H3381" s="15"/>
      <c r="I3381" s="15"/>
      <c r="J3381" s="15"/>
      <c r="K3381" s="15"/>
      <c r="L3381" s="15"/>
      <c r="M3381" s="15"/>
      <c r="N3381" s="15"/>
      <c r="O3381" s="15"/>
      <c r="P3381" s="15"/>
      <c r="Q3381" s="71"/>
      <c r="R3381" s="84"/>
      <c r="S3381" s="10"/>
      <c r="T3381" s="10"/>
      <c r="U3381" s="10"/>
      <c r="V3381" s="10"/>
      <c r="W3381" s="138"/>
      <c r="Y3381"/>
      <c r="Z3381"/>
      <c r="AA3381"/>
      <c r="AB3381"/>
      <c r="AC3381"/>
      <c r="AD3381"/>
      <c r="AE3381"/>
      <c r="AF3381"/>
      <c r="AG3381"/>
      <c r="AH3381"/>
      <c r="AI3381"/>
      <c r="AJ3381"/>
      <c r="AK3381"/>
      <c r="AL3381"/>
      <c r="AM3381"/>
      <c r="AN3381"/>
      <c r="AO3381"/>
    </row>
    <row r="3382" spans="1:41" ht="15">
      <c r="A3382"/>
      <c r="B3382"/>
      <c r="C3382" s="137"/>
      <c r="D3382" s="30"/>
      <c r="E3382" s="30"/>
      <c r="F3382" s="10"/>
      <c r="G3382" s="10"/>
      <c r="H3382" s="15"/>
      <c r="I3382" s="15"/>
      <c r="J3382" s="15"/>
      <c r="K3382" s="15"/>
      <c r="L3382" s="15"/>
      <c r="M3382" s="15"/>
      <c r="N3382" s="15"/>
      <c r="O3382" s="15"/>
      <c r="P3382" s="15"/>
      <c r="Q3382" s="71"/>
      <c r="R3382" s="84"/>
      <c r="S3382" s="10"/>
      <c r="T3382" s="10"/>
      <c r="U3382" s="10"/>
      <c r="V3382" s="10"/>
      <c r="W3382" s="138"/>
      <c r="Y3382"/>
      <c r="Z3382"/>
      <c r="AA3382"/>
      <c r="AB3382"/>
      <c r="AC3382"/>
      <c r="AD3382"/>
      <c r="AE3382"/>
      <c r="AF3382"/>
      <c r="AG3382"/>
      <c r="AH3382"/>
      <c r="AI3382"/>
      <c r="AJ3382"/>
      <c r="AK3382"/>
      <c r="AL3382"/>
      <c r="AM3382"/>
      <c r="AN3382"/>
      <c r="AO3382"/>
    </row>
    <row r="3383" spans="1:41" ht="15">
      <c r="A3383"/>
      <c r="B3383"/>
      <c r="C3383" s="137"/>
      <c r="D3383" s="30"/>
      <c r="E3383" s="30"/>
      <c r="F3383" s="10"/>
      <c r="G3383" s="10"/>
      <c r="H3383" s="15"/>
      <c r="I3383" s="15"/>
      <c r="J3383" s="15"/>
      <c r="K3383" s="15"/>
      <c r="L3383" s="15"/>
      <c r="M3383" s="15"/>
      <c r="N3383" s="15"/>
      <c r="O3383" s="15"/>
      <c r="P3383" s="15"/>
      <c r="Q3383" s="71"/>
      <c r="R3383" s="84"/>
      <c r="S3383" s="10"/>
      <c r="T3383" s="10"/>
      <c r="U3383" s="10"/>
      <c r="V3383" s="10"/>
      <c r="W3383" s="138"/>
      <c r="Y3383"/>
      <c r="Z3383"/>
      <c r="AA3383"/>
      <c r="AB3383"/>
      <c r="AC3383"/>
      <c r="AD3383"/>
      <c r="AE3383"/>
      <c r="AF3383"/>
      <c r="AG3383"/>
      <c r="AH3383"/>
      <c r="AI3383"/>
      <c r="AJ3383"/>
      <c r="AK3383"/>
      <c r="AL3383"/>
      <c r="AM3383"/>
      <c r="AN3383"/>
      <c r="AO3383"/>
    </row>
    <row r="3384" spans="1:41" ht="15">
      <c r="A3384"/>
      <c r="B3384"/>
      <c r="C3384" s="137"/>
      <c r="D3384" s="30"/>
      <c r="E3384" s="30"/>
      <c r="F3384" s="10"/>
      <c r="G3384" s="10"/>
      <c r="H3384" s="15"/>
      <c r="I3384" s="15"/>
      <c r="J3384" s="15"/>
      <c r="K3384" s="15"/>
      <c r="L3384" s="15"/>
      <c r="M3384" s="15"/>
      <c r="N3384" s="15"/>
      <c r="O3384" s="15"/>
      <c r="P3384" s="15"/>
      <c r="Q3384" s="71"/>
      <c r="R3384" s="84"/>
      <c r="S3384" s="10"/>
      <c r="T3384" s="10"/>
      <c r="U3384" s="10"/>
      <c r="V3384" s="10"/>
      <c r="W3384" s="138"/>
      <c r="Y3384"/>
      <c r="Z3384"/>
      <c r="AA3384"/>
      <c r="AB3384"/>
      <c r="AC3384"/>
      <c r="AD3384"/>
      <c r="AE3384"/>
      <c r="AF3384"/>
      <c r="AG3384"/>
      <c r="AH3384"/>
      <c r="AI3384"/>
      <c r="AJ3384"/>
      <c r="AK3384"/>
      <c r="AL3384"/>
      <c r="AM3384"/>
      <c r="AN3384"/>
      <c r="AO3384"/>
    </row>
    <row r="3385" spans="1:41" ht="15">
      <c r="A3385"/>
      <c r="B3385"/>
      <c r="C3385" s="137"/>
      <c r="D3385" s="30"/>
      <c r="E3385" s="30"/>
      <c r="F3385" s="10"/>
      <c r="G3385" s="10"/>
      <c r="H3385" s="15"/>
      <c r="I3385" s="15"/>
      <c r="J3385" s="15"/>
      <c r="K3385" s="15"/>
      <c r="L3385" s="15"/>
      <c r="M3385" s="15"/>
      <c r="N3385" s="15"/>
      <c r="O3385" s="15"/>
      <c r="P3385" s="15"/>
      <c r="Q3385" s="71"/>
      <c r="R3385" s="84"/>
      <c r="S3385" s="10"/>
      <c r="T3385" s="10"/>
      <c r="U3385" s="10"/>
      <c r="V3385" s="10"/>
      <c r="W3385" s="138"/>
      <c r="Y3385"/>
      <c r="Z3385"/>
      <c r="AA3385"/>
      <c r="AB3385"/>
      <c r="AC3385"/>
      <c r="AD3385"/>
      <c r="AE3385"/>
      <c r="AF3385"/>
      <c r="AG3385"/>
      <c r="AH3385"/>
      <c r="AI3385"/>
      <c r="AJ3385"/>
      <c r="AK3385"/>
      <c r="AL3385"/>
      <c r="AM3385"/>
      <c r="AN3385"/>
      <c r="AO3385"/>
    </row>
    <row r="3386" spans="1:41" ht="15">
      <c r="A3386"/>
      <c r="B3386"/>
      <c r="C3386" s="137"/>
      <c r="D3386" s="30"/>
      <c r="E3386" s="30"/>
      <c r="F3386" s="10"/>
      <c r="G3386" s="10"/>
      <c r="H3386" s="15"/>
      <c r="I3386" s="15"/>
      <c r="J3386" s="15"/>
      <c r="K3386" s="15"/>
      <c r="L3386" s="15"/>
      <c r="M3386" s="15"/>
      <c r="N3386" s="15"/>
      <c r="O3386" s="15"/>
      <c r="P3386" s="15"/>
      <c r="Q3386" s="71"/>
      <c r="R3386" s="84"/>
      <c r="S3386" s="10"/>
      <c r="T3386" s="10"/>
      <c r="U3386" s="10"/>
      <c r="V3386" s="10"/>
      <c r="W3386" s="138"/>
      <c r="Y3386"/>
      <c r="Z3386"/>
      <c r="AA3386"/>
      <c r="AB3386"/>
      <c r="AC3386"/>
      <c r="AD3386"/>
      <c r="AE3386"/>
      <c r="AF3386"/>
      <c r="AG3386"/>
      <c r="AH3386"/>
      <c r="AI3386"/>
      <c r="AJ3386"/>
      <c r="AK3386"/>
      <c r="AL3386"/>
      <c r="AM3386"/>
      <c r="AN3386"/>
      <c r="AO3386"/>
    </row>
    <row r="3387" spans="1:41" ht="15">
      <c r="A3387"/>
      <c r="B3387"/>
      <c r="C3387" s="137"/>
      <c r="D3387" s="30"/>
      <c r="E3387" s="30"/>
      <c r="F3387" s="10"/>
      <c r="G3387" s="10"/>
      <c r="H3387" s="15"/>
      <c r="I3387" s="15"/>
      <c r="J3387" s="15"/>
      <c r="K3387" s="15"/>
      <c r="L3387" s="15"/>
      <c r="M3387" s="15"/>
      <c r="N3387" s="15"/>
      <c r="O3387" s="15"/>
      <c r="P3387" s="15"/>
      <c r="Q3387" s="71"/>
      <c r="R3387" s="84"/>
      <c r="S3387" s="10"/>
      <c r="T3387" s="10"/>
      <c r="U3387" s="10"/>
      <c r="V3387" s="10"/>
      <c r="W3387" s="138"/>
      <c r="Y3387"/>
      <c r="Z3387"/>
      <c r="AA3387"/>
      <c r="AB3387"/>
      <c r="AC3387"/>
      <c r="AD3387"/>
      <c r="AE3387"/>
      <c r="AF3387"/>
      <c r="AG3387"/>
      <c r="AH3387"/>
      <c r="AI3387"/>
      <c r="AJ3387"/>
      <c r="AK3387"/>
      <c r="AL3387"/>
      <c r="AM3387"/>
      <c r="AN3387"/>
      <c r="AO3387"/>
    </row>
    <row r="3388" spans="1:41" ht="15">
      <c r="A3388"/>
      <c r="B3388"/>
      <c r="C3388" s="137"/>
      <c r="D3388" s="30"/>
      <c r="E3388" s="30"/>
      <c r="F3388" s="10"/>
      <c r="G3388" s="10"/>
      <c r="H3388" s="15"/>
      <c r="I3388" s="15"/>
      <c r="J3388" s="15"/>
      <c r="K3388" s="15"/>
      <c r="L3388" s="15"/>
      <c r="M3388" s="15"/>
      <c r="N3388" s="15"/>
      <c r="O3388" s="15"/>
      <c r="P3388" s="15"/>
      <c r="Q3388" s="71"/>
      <c r="R3388" s="84"/>
      <c r="S3388" s="10"/>
      <c r="T3388" s="10"/>
      <c r="U3388" s="10"/>
      <c r="V3388" s="10"/>
      <c r="W3388" s="138"/>
      <c r="Y3388"/>
      <c r="Z3388"/>
      <c r="AA3388"/>
      <c r="AB3388"/>
      <c r="AC3388"/>
      <c r="AD3388"/>
      <c r="AE3388"/>
      <c r="AF3388"/>
      <c r="AG3388"/>
      <c r="AH3388"/>
      <c r="AI3388"/>
      <c r="AJ3388"/>
      <c r="AK3388"/>
      <c r="AL3388"/>
      <c r="AM3388"/>
      <c r="AN3388"/>
      <c r="AO3388"/>
    </row>
    <row r="3389" spans="1:41" ht="15">
      <c r="A3389"/>
      <c r="B3389"/>
      <c r="C3389" s="137"/>
      <c r="D3389" s="30"/>
      <c r="E3389" s="30"/>
      <c r="F3389" s="10"/>
      <c r="G3389" s="10"/>
      <c r="H3389" s="15"/>
      <c r="I3389" s="15"/>
      <c r="J3389" s="15"/>
      <c r="K3389" s="15"/>
      <c r="L3389" s="15"/>
      <c r="M3389" s="15"/>
      <c r="N3389" s="15"/>
      <c r="O3389" s="15"/>
      <c r="P3389" s="15"/>
      <c r="Q3389" s="71"/>
      <c r="R3389" s="84"/>
      <c r="S3389" s="10"/>
      <c r="T3389" s="10"/>
      <c r="U3389" s="10"/>
      <c r="V3389" s="10"/>
      <c r="W3389" s="138"/>
      <c r="Y3389"/>
      <c r="Z3389"/>
      <c r="AA3389"/>
      <c r="AB3389"/>
      <c r="AC3389"/>
      <c r="AD3389"/>
      <c r="AE3389"/>
      <c r="AF3389"/>
      <c r="AG3389"/>
      <c r="AH3389"/>
      <c r="AI3389"/>
      <c r="AJ3389"/>
      <c r="AK3389"/>
      <c r="AL3389"/>
      <c r="AM3389"/>
      <c r="AN3389"/>
      <c r="AO3389"/>
    </row>
    <row r="3390" spans="1:41" ht="15">
      <c r="A3390"/>
      <c r="B3390"/>
      <c r="C3390" s="137"/>
      <c r="D3390" s="30"/>
      <c r="E3390" s="30"/>
      <c r="F3390" s="10"/>
      <c r="G3390" s="10"/>
      <c r="H3390" s="15"/>
      <c r="I3390" s="15"/>
      <c r="J3390" s="15"/>
      <c r="K3390" s="15"/>
      <c r="L3390" s="15"/>
      <c r="M3390" s="15"/>
      <c r="N3390" s="15"/>
      <c r="O3390" s="15"/>
      <c r="P3390" s="15"/>
      <c r="Q3390" s="71"/>
      <c r="R3390" s="84"/>
      <c r="S3390" s="10"/>
      <c r="T3390" s="10"/>
      <c r="U3390" s="10"/>
      <c r="V3390" s="10"/>
      <c r="W3390" s="138"/>
      <c r="Y3390"/>
      <c r="Z3390"/>
      <c r="AA3390"/>
      <c r="AB3390"/>
      <c r="AC3390"/>
      <c r="AD3390"/>
      <c r="AE3390"/>
      <c r="AF3390"/>
      <c r="AG3390"/>
      <c r="AH3390"/>
      <c r="AI3390"/>
      <c r="AJ3390"/>
      <c r="AK3390"/>
      <c r="AL3390"/>
      <c r="AM3390"/>
      <c r="AN3390"/>
      <c r="AO3390"/>
    </row>
    <row r="3391" spans="1:41" ht="15">
      <c r="A3391"/>
      <c r="B3391"/>
      <c r="C3391" s="137"/>
      <c r="D3391" s="30"/>
      <c r="E3391" s="30"/>
      <c r="F3391" s="10"/>
      <c r="G3391" s="10"/>
      <c r="H3391" s="15"/>
      <c r="I3391" s="15"/>
      <c r="J3391" s="15"/>
      <c r="K3391" s="15"/>
      <c r="L3391" s="15"/>
      <c r="M3391" s="15"/>
      <c r="N3391" s="15"/>
      <c r="O3391" s="15"/>
      <c r="P3391" s="15"/>
      <c r="Q3391" s="71"/>
      <c r="R3391" s="84"/>
      <c r="S3391" s="10"/>
      <c r="T3391" s="10"/>
      <c r="U3391" s="10"/>
      <c r="V3391" s="10"/>
      <c r="W3391" s="138"/>
      <c r="Y3391"/>
      <c r="Z3391"/>
      <c r="AA3391"/>
      <c r="AB3391"/>
      <c r="AC3391"/>
      <c r="AD3391"/>
      <c r="AE3391"/>
      <c r="AF3391"/>
      <c r="AG3391"/>
      <c r="AH3391"/>
      <c r="AI3391"/>
      <c r="AJ3391"/>
      <c r="AK3391"/>
      <c r="AL3391"/>
      <c r="AM3391"/>
      <c r="AN3391"/>
      <c r="AO3391"/>
    </row>
    <row r="3392" spans="1:41" ht="15">
      <c r="A3392"/>
      <c r="B3392"/>
      <c r="C3392" s="137"/>
      <c r="D3392" s="30"/>
      <c r="E3392" s="30"/>
      <c r="F3392" s="10"/>
      <c r="G3392" s="10"/>
      <c r="H3392" s="15"/>
      <c r="I3392" s="15"/>
      <c r="J3392" s="15"/>
      <c r="K3392" s="15"/>
      <c r="L3392" s="15"/>
      <c r="M3392" s="15"/>
      <c r="N3392" s="15"/>
      <c r="O3392" s="15"/>
      <c r="P3392" s="15"/>
      <c r="Q3392" s="71"/>
      <c r="R3392" s="84"/>
      <c r="S3392" s="10"/>
      <c r="T3392" s="10"/>
      <c r="U3392" s="10"/>
      <c r="V3392" s="10"/>
      <c r="W3392" s="138"/>
      <c r="Y3392"/>
      <c r="Z3392"/>
      <c r="AA3392"/>
      <c r="AB3392"/>
      <c r="AC3392"/>
      <c r="AD3392"/>
      <c r="AE3392"/>
      <c r="AF3392"/>
      <c r="AG3392"/>
      <c r="AH3392"/>
      <c r="AI3392"/>
      <c r="AJ3392"/>
      <c r="AK3392"/>
      <c r="AL3392"/>
      <c r="AM3392"/>
      <c r="AN3392"/>
      <c r="AO3392"/>
    </row>
    <row r="3393" spans="1:41" ht="15">
      <c r="A3393"/>
      <c r="B3393"/>
      <c r="C3393" s="137"/>
      <c r="D3393" s="30"/>
      <c r="E3393" s="30"/>
      <c r="F3393" s="10"/>
      <c r="G3393" s="10"/>
      <c r="H3393" s="15"/>
      <c r="I3393" s="15"/>
      <c r="J3393" s="15"/>
      <c r="K3393" s="15"/>
      <c r="L3393" s="15"/>
      <c r="M3393" s="15"/>
      <c r="N3393" s="15"/>
      <c r="O3393" s="15"/>
      <c r="P3393" s="15"/>
      <c r="Q3393" s="71"/>
      <c r="R3393" s="84"/>
      <c r="S3393" s="10"/>
      <c r="T3393" s="10"/>
      <c r="U3393" s="10"/>
      <c r="V3393" s="10"/>
      <c r="W3393" s="138"/>
      <c r="Y3393"/>
      <c r="Z3393"/>
      <c r="AA3393"/>
      <c r="AB3393"/>
      <c r="AC3393"/>
      <c r="AD3393"/>
      <c r="AE3393"/>
      <c r="AF3393"/>
      <c r="AG3393"/>
      <c r="AH3393"/>
      <c r="AI3393"/>
      <c r="AJ3393"/>
      <c r="AK3393"/>
      <c r="AL3393"/>
      <c r="AM3393"/>
      <c r="AN3393"/>
      <c r="AO3393"/>
    </row>
    <row r="3394" spans="1:41" ht="15">
      <c r="A3394"/>
      <c r="B3394"/>
      <c r="C3394" s="137"/>
      <c r="D3394" s="30"/>
      <c r="E3394" s="30"/>
      <c r="F3394" s="10"/>
      <c r="G3394" s="10"/>
      <c r="H3394" s="15"/>
      <c r="I3394" s="15"/>
      <c r="J3394" s="15"/>
      <c r="K3394" s="15"/>
      <c r="L3394" s="15"/>
      <c r="M3394" s="15"/>
      <c r="N3394" s="15"/>
      <c r="O3394" s="15"/>
      <c r="P3394" s="15"/>
      <c r="Q3394" s="71"/>
      <c r="R3394" s="84"/>
      <c r="S3394" s="10"/>
      <c r="T3394" s="10"/>
      <c r="U3394" s="10"/>
      <c r="V3394" s="10"/>
      <c r="W3394" s="138"/>
      <c r="Y3394"/>
      <c r="Z3394"/>
      <c r="AA3394"/>
      <c r="AB3394"/>
      <c r="AC3394"/>
      <c r="AD3394"/>
      <c r="AE3394"/>
      <c r="AF3394"/>
      <c r="AG3394"/>
      <c r="AH3394"/>
      <c r="AI3394"/>
      <c r="AJ3394"/>
      <c r="AK3394"/>
      <c r="AL3394"/>
      <c r="AM3394"/>
      <c r="AN3394"/>
      <c r="AO3394"/>
    </row>
    <row r="3395" spans="1:41" ht="15">
      <c r="A3395"/>
      <c r="B3395"/>
      <c r="C3395" s="137"/>
      <c r="D3395" s="30"/>
      <c r="E3395" s="30"/>
      <c r="F3395" s="10"/>
      <c r="G3395" s="10"/>
      <c r="H3395" s="15"/>
      <c r="I3395" s="15"/>
      <c r="J3395" s="15"/>
      <c r="K3395" s="15"/>
      <c r="L3395" s="15"/>
      <c r="M3395" s="15"/>
      <c r="N3395" s="15"/>
      <c r="O3395" s="15"/>
      <c r="P3395" s="15"/>
      <c r="Q3395" s="71"/>
      <c r="R3395" s="84"/>
      <c r="S3395" s="10"/>
      <c r="T3395" s="10"/>
      <c r="U3395" s="10"/>
      <c r="V3395" s="10"/>
      <c r="W3395" s="138"/>
      <c r="Y3395"/>
      <c r="Z3395"/>
      <c r="AA3395"/>
      <c r="AB3395"/>
      <c r="AC3395"/>
      <c r="AD3395"/>
      <c r="AE3395"/>
      <c r="AF3395"/>
      <c r="AG3395"/>
      <c r="AH3395"/>
      <c r="AI3395"/>
      <c r="AJ3395"/>
      <c r="AK3395"/>
      <c r="AL3395"/>
      <c r="AM3395"/>
      <c r="AN3395"/>
      <c r="AO3395"/>
    </row>
    <row r="3396" spans="1:41" ht="15">
      <c r="A3396"/>
      <c r="B3396"/>
      <c r="C3396" s="137"/>
      <c r="D3396" s="30"/>
      <c r="E3396" s="30"/>
      <c r="F3396" s="10"/>
      <c r="G3396" s="10"/>
      <c r="H3396" s="15"/>
      <c r="I3396" s="15"/>
      <c r="J3396" s="15"/>
      <c r="K3396" s="15"/>
      <c r="L3396" s="15"/>
      <c r="M3396" s="15"/>
      <c r="N3396" s="15"/>
      <c r="O3396" s="15"/>
      <c r="P3396" s="15"/>
      <c r="Q3396" s="71"/>
      <c r="R3396" s="84"/>
      <c r="S3396" s="10"/>
      <c r="T3396" s="10"/>
      <c r="U3396" s="10"/>
      <c r="V3396" s="10"/>
      <c r="W3396" s="138"/>
      <c r="Y3396"/>
      <c r="Z3396"/>
      <c r="AA3396"/>
      <c r="AB3396"/>
      <c r="AC3396"/>
      <c r="AD3396"/>
      <c r="AE3396"/>
      <c r="AF3396"/>
      <c r="AG3396"/>
      <c r="AH3396"/>
      <c r="AI3396"/>
      <c r="AJ3396"/>
      <c r="AK3396"/>
      <c r="AL3396"/>
      <c r="AM3396"/>
      <c r="AN3396"/>
      <c r="AO3396"/>
    </row>
    <row r="3397" spans="1:41" ht="15">
      <c r="A3397"/>
      <c r="B3397"/>
      <c r="C3397" s="137"/>
      <c r="D3397" s="30"/>
      <c r="E3397" s="30"/>
      <c r="F3397" s="10"/>
      <c r="G3397" s="10"/>
      <c r="H3397" s="15"/>
      <c r="I3397" s="15"/>
      <c r="J3397" s="15"/>
      <c r="K3397" s="15"/>
      <c r="L3397" s="15"/>
      <c r="M3397" s="15"/>
      <c r="N3397" s="15"/>
      <c r="O3397" s="15"/>
      <c r="P3397" s="15"/>
      <c r="Q3397" s="71"/>
      <c r="R3397" s="84"/>
      <c r="S3397" s="10"/>
      <c r="T3397" s="10"/>
      <c r="U3397" s="10"/>
      <c r="V3397" s="10"/>
      <c r="W3397" s="138"/>
      <c r="Y3397"/>
      <c r="Z3397"/>
      <c r="AA3397"/>
      <c r="AB3397"/>
      <c r="AC3397"/>
      <c r="AD3397"/>
      <c r="AE3397"/>
      <c r="AF3397"/>
      <c r="AG3397"/>
      <c r="AH3397"/>
      <c r="AI3397"/>
      <c r="AJ3397"/>
      <c r="AK3397"/>
      <c r="AL3397"/>
      <c r="AM3397"/>
      <c r="AN3397"/>
      <c r="AO3397"/>
    </row>
    <row r="3398" spans="1:41" ht="15">
      <c r="A3398"/>
      <c r="B3398"/>
      <c r="C3398" s="137"/>
      <c r="D3398" s="30"/>
      <c r="E3398" s="30"/>
      <c r="F3398" s="10"/>
      <c r="G3398" s="10"/>
      <c r="H3398" s="15"/>
      <c r="I3398" s="15"/>
      <c r="J3398" s="15"/>
      <c r="K3398" s="15"/>
      <c r="L3398" s="15"/>
      <c r="M3398" s="15"/>
      <c r="N3398" s="15"/>
      <c r="O3398" s="15"/>
      <c r="P3398" s="15"/>
      <c r="Q3398" s="71"/>
      <c r="R3398" s="84"/>
      <c r="S3398" s="10"/>
      <c r="T3398" s="10"/>
      <c r="U3398" s="10"/>
      <c r="V3398" s="10"/>
      <c r="W3398" s="138"/>
      <c r="Y3398"/>
      <c r="Z3398"/>
      <c r="AA3398"/>
      <c r="AB3398"/>
      <c r="AC3398"/>
      <c r="AD3398"/>
      <c r="AE3398"/>
      <c r="AF3398"/>
      <c r="AG3398"/>
      <c r="AH3398"/>
      <c r="AI3398"/>
      <c r="AJ3398"/>
      <c r="AK3398"/>
      <c r="AL3398"/>
      <c r="AM3398"/>
      <c r="AN3398"/>
      <c r="AO3398"/>
    </row>
    <row r="3399" spans="1:41" ht="15">
      <c r="A3399"/>
      <c r="B3399"/>
      <c r="C3399" s="137"/>
      <c r="D3399" s="30"/>
      <c r="E3399" s="30"/>
      <c r="F3399" s="10"/>
      <c r="G3399" s="10"/>
      <c r="H3399" s="15"/>
      <c r="I3399" s="15"/>
      <c r="J3399" s="15"/>
      <c r="K3399" s="15"/>
      <c r="L3399" s="15"/>
      <c r="M3399" s="15"/>
      <c r="N3399" s="15"/>
      <c r="O3399" s="15"/>
      <c r="P3399" s="15"/>
      <c r="Q3399" s="71"/>
      <c r="R3399" s="84"/>
      <c r="S3399" s="10"/>
      <c r="T3399" s="10"/>
      <c r="U3399" s="10"/>
      <c r="V3399" s="10"/>
      <c r="W3399" s="138"/>
      <c r="Y3399"/>
      <c r="Z3399"/>
      <c r="AA3399"/>
      <c r="AB3399"/>
      <c r="AC3399"/>
      <c r="AD3399"/>
      <c r="AE3399"/>
      <c r="AF3399"/>
      <c r="AG3399"/>
      <c r="AH3399"/>
      <c r="AI3399"/>
      <c r="AJ3399"/>
      <c r="AK3399"/>
      <c r="AL3399"/>
      <c r="AM3399"/>
      <c r="AN3399"/>
      <c r="AO3399"/>
    </row>
    <row r="3400" spans="1:41" ht="15">
      <c r="A3400"/>
      <c r="B3400"/>
      <c r="C3400" s="137"/>
      <c r="D3400" s="30"/>
      <c r="E3400" s="30"/>
      <c r="F3400" s="10"/>
      <c r="G3400" s="10"/>
      <c r="H3400" s="15"/>
      <c r="I3400" s="15"/>
      <c r="J3400" s="15"/>
      <c r="K3400" s="15"/>
      <c r="L3400" s="15"/>
      <c r="M3400" s="15"/>
      <c r="N3400" s="15"/>
      <c r="O3400" s="15"/>
      <c r="P3400" s="15"/>
      <c r="Q3400" s="71"/>
      <c r="R3400" s="84"/>
      <c r="S3400" s="10"/>
      <c r="T3400" s="10"/>
      <c r="U3400" s="10"/>
      <c r="V3400" s="10"/>
      <c r="W3400" s="138"/>
      <c r="Y3400"/>
      <c r="Z3400"/>
      <c r="AA3400"/>
      <c r="AB3400"/>
      <c r="AC3400"/>
      <c r="AD3400"/>
      <c r="AE3400"/>
      <c r="AF3400"/>
      <c r="AG3400"/>
      <c r="AH3400"/>
      <c r="AI3400"/>
      <c r="AJ3400"/>
      <c r="AK3400"/>
      <c r="AL3400"/>
      <c r="AM3400"/>
      <c r="AN3400"/>
      <c r="AO3400"/>
    </row>
    <row r="3401" spans="1:41" ht="15">
      <c r="A3401"/>
      <c r="B3401"/>
      <c r="C3401" s="137"/>
      <c r="D3401" s="30"/>
      <c r="E3401" s="30"/>
      <c r="F3401" s="10"/>
      <c r="G3401" s="10"/>
      <c r="H3401" s="15"/>
      <c r="I3401" s="15"/>
      <c r="J3401" s="15"/>
      <c r="K3401" s="15"/>
      <c r="L3401" s="15"/>
      <c r="M3401" s="15"/>
      <c r="N3401" s="15"/>
      <c r="O3401" s="15"/>
      <c r="P3401" s="15"/>
      <c r="Q3401" s="71"/>
      <c r="R3401" s="84"/>
      <c r="S3401" s="10"/>
      <c r="T3401" s="10"/>
      <c r="U3401" s="10"/>
      <c r="V3401" s="10"/>
      <c r="W3401" s="138"/>
      <c r="Y3401"/>
      <c r="Z3401"/>
      <c r="AA3401"/>
      <c r="AB3401"/>
      <c r="AC3401"/>
      <c r="AD3401"/>
      <c r="AE3401"/>
      <c r="AF3401"/>
      <c r="AG3401"/>
      <c r="AH3401"/>
      <c r="AI3401"/>
      <c r="AJ3401"/>
      <c r="AK3401"/>
      <c r="AL3401"/>
      <c r="AM3401"/>
      <c r="AN3401"/>
      <c r="AO3401"/>
    </row>
    <row r="3402" spans="1:41" ht="15">
      <c r="A3402"/>
      <c r="B3402"/>
      <c r="C3402" s="137"/>
      <c r="D3402" s="30"/>
      <c r="E3402" s="30"/>
      <c r="F3402" s="10"/>
      <c r="G3402" s="10"/>
      <c r="H3402" s="15"/>
      <c r="I3402" s="15"/>
      <c r="J3402" s="15"/>
      <c r="K3402" s="15"/>
      <c r="L3402" s="15"/>
      <c r="M3402" s="15"/>
      <c r="N3402" s="15"/>
      <c r="O3402" s="15"/>
      <c r="P3402" s="15"/>
      <c r="Q3402" s="71"/>
      <c r="R3402" s="84"/>
      <c r="S3402" s="10"/>
      <c r="T3402" s="10"/>
      <c r="U3402" s="10"/>
      <c r="V3402" s="10"/>
      <c r="W3402" s="138"/>
      <c r="Y3402"/>
      <c r="Z3402"/>
      <c r="AA3402"/>
      <c r="AB3402"/>
      <c r="AC3402"/>
      <c r="AD3402"/>
      <c r="AE3402"/>
      <c r="AF3402"/>
      <c r="AG3402"/>
      <c r="AH3402"/>
      <c r="AI3402"/>
      <c r="AJ3402"/>
      <c r="AK3402"/>
      <c r="AL3402"/>
      <c r="AM3402"/>
      <c r="AN3402"/>
      <c r="AO3402"/>
    </row>
    <row r="3403" spans="1:41" ht="15">
      <c r="A3403"/>
      <c r="B3403"/>
      <c r="C3403" s="137"/>
      <c r="D3403" s="30"/>
      <c r="E3403" s="30"/>
      <c r="F3403" s="10"/>
      <c r="G3403" s="10"/>
      <c r="H3403" s="15"/>
      <c r="I3403" s="15"/>
      <c r="J3403" s="15"/>
      <c r="K3403" s="15"/>
      <c r="L3403" s="15"/>
      <c r="M3403" s="15"/>
      <c r="N3403" s="15"/>
      <c r="O3403" s="15"/>
      <c r="P3403" s="15"/>
      <c r="Q3403" s="71"/>
      <c r="R3403" s="84"/>
      <c r="S3403" s="10"/>
      <c r="T3403" s="10"/>
      <c r="U3403" s="10"/>
      <c r="V3403" s="10"/>
      <c r="W3403" s="138"/>
      <c r="Y3403"/>
      <c r="Z3403"/>
      <c r="AA3403"/>
      <c r="AB3403"/>
      <c r="AC3403"/>
      <c r="AD3403"/>
      <c r="AE3403"/>
      <c r="AF3403"/>
      <c r="AG3403"/>
      <c r="AH3403"/>
      <c r="AI3403"/>
      <c r="AJ3403"/>
      <c r="AK3403"/>
      <c r="AL3403"/>
      <c r="AM3403"/>
      <c r="AN3403"/>
      <c r="AO3403"/>
    </row>
    <row r="3404" spans="1:41" ht="15">
      <c r="A3404"/>
      <c r="B3404"/>
      <c r="C3404" s="137"/>
      <c r="D3404" s="30"/>
      <c r="E3404" s="30"/>
      <c r="F3404" s="10"/>
      <c r="G3404" s="10"/>
      <c r="H3404" s="15"/>
      <c r="I3404" s="15"/>
      <c r="J3404" s="15"/>
      <c r="K3404" s="15"/>
      <c r="L3404" s="15"/>
      <c r="M3404" s="15"/>
      <c r="N3404" s="15"/>
      <c r="O3404" s="15"/>
      <c r="P3404" s="15"/>
      <c r="Q3404" s="71"/>
      <c r="R3404" s="84"/>
      <c r="S3404" s="10"/>
      <c r="T3404" s="10"/>
      <c r="U3404" s="10"/>
      <c r="V3404" s="10"/>
      <c r="W3404" s="138"/>
      <c r="Y3404"/>
      <c r="Z3404"/>
      <c r="AA3404"/>
      <c r="AB3404"/>
      <c r="AC3404"/>
      <c r="AD3404"/>
      <c r="AE3404"/>
      <c r="AF3404"/>
      <c r="AG3404"/>
      <c r="AH3404"/>
      <c r="AI3404"/>
      <c r="AJ3404"/>
      <c r="AK3404"/>
      <c r="AL3404"/>
      <c r="AM3404"/>
      <c r="AN3404"/>
      <c r="AO3404"/>
    </row>
    <row r="3405" spans="1:41" ht="15">
      <c r="A3405"/>
      <c r="B3405"/>
      <c r="C3405" s="137"/>
      <c r="D3405" s="30"/>
      <c r="E3405" s="30"/>
      <c r="F3405" s="10"/>
      <c r="G3405" s="10"/>
      <c r="H3405" s="15"/>
      <c r="I3405" s="15"/>
      <c r="J3405" s="15"/>
      <c r="K3405" s="15"/>
      <c r="L3405" s="15"/>
      <c r="M3405" s="15"/>
      <c r="N3405" s="15"/>
      <c r="O3405" s="15"/>
      <c r="P3405" s="15"/>
      <c r="Q3405" s="71"/>
      <c r="R3405" s="84"/>
      <c r="S3405" s="10"/>
      <c r="T3405" s="10"/>
      <c r="U3405" s="10"/>
      <c r="V3405" s="10"/>
      <c r="W3405" s="138"/>
      <c r="Y3405"/>
      <c r="Z3405"/>
      <c r="AA3405"/>
      <c r="AB3405"/>
      <c r="AC3405"/>
      <c r="AD3405"/>
      <c r="AE3405"/>
      <c r="AF3405"/>
      <c r="AG3405"/>
      <c r="AH3405"/>
      <c r="AI3405"/>
      <c r="AJ3405"/>
      <c r="AK3405"/>
      <c r="AL3405"/>
      <c r="AM3405"/>
      <c r="AN3405"/>
      <c r="AO3405"/>
    </row>
    <row r="3406" spans="1:41" ht="15">
      <c r="A3406"/>
      <c r="B3406"/>
      <c r="C3406" s="137"/>
      <c r="D3406" s="30"/>
      <c r="E3406" s="30"/>
      <c r="F3406" s="10"/>
      <c r="G3406" s="10"/>
      <c r="H3406" s="15"/>
      <c r="I3406" s="15"/>
      <c r="J3406" s="15"/>
      <c r="K3406" s="15"/>
      <c r="L3406" s="15"/>
      <c r="M3406" s="15"/>
      <c r="N3406" s="15"/>
      <c r="O3406" s="15"/>
      <c r="P3406" s="15"/>
      <c r="Q3406" s="71"/>
      <c r="R3406" s="84"/>
      <c r="S3406" s="10"/>
      <c r="T3406" s="10"/>
      <c r="U3406" s="10"/>
      <c r="V3406" s="10"/>
      <c r="W3406" s="138"/>
      <c r="Y3406"/>
      <c r="Z3406"/>
      <c r="AA3406"/>
      <c r="AB3406"/>
      <c r="AC3406"/>
      <c r="AD3406"/>
      <c r="AE3406"/>
      <c r="AF3406"/>
      <c r="AG3406"/>
      <c r="AH3406"/>
      <c r="AI3406"/>
      <c r="AJ3406"/>
      <c r="AK3406"/>
      <c r="AL3406"/>
      <c r="AM3406"/>
      <c r="AN3406"/>
      <c r="AO3406"/>
    </row>
    <row r="3407" spans="1:41" ht="15">
      <c r="A3407"/>
      <c r="B3407"/>
      <c r="C3407" s="137"/>
      <c r="D3407" s="30"/>
      <c r="E3407" s="30"/>
      <c r="F3407" s="10"/>
      <c r="G3407" s="10"/>
      <c r="H3407" s="15"/>
      <c r="I3407" s="15"/>
      <c r="J3407" s="15"/>
      <c r="K3407" s="15"/>
      <c r="L3407" s="15"/>
      <c r="M3407" s="15"/>
      <c r="N3407" s="15"/>
      <c r="O3407" s="15"/>
      <c r="P3407" s="15"/>
      <c r="Q3407" s="71"/>
      <c r="R3407" s="84"/>
      <c r="S3407" s="10"/>
      <c r="T3407" s="10"/>
      <c r="U3407" s="10"/>
      <c r="V3407" s="10"/>
      <c r="W3407" s="138"/>
      <c r="Y3407"/>
      <c r="Z3407"/>
      <c r="AA3407"/>
      <c r="AB3407"/>
      <c r="AC3407"/>
      <c r="AD3407"/>
      <c r="AE3407"/>
      <c r="AF3407"/>
      <c r="AG3407"/>
      <c r="AH3407"/>
      <c r="AI3407"/>
      <c r="AJ3407"/>
      <c r="AK3407"/>
      <c r="AL3407"/>
      <c r="AM3407"/>
      <c r="AN3407"/>
      <c r="AO3407"/>
    </row>
    <row r="3408" spans="1:41" ht="15">
      <c r="A3408"/>
      <c r="B3408"/>
      <c r="C3408" s="137"/>
      <c r="D3408" s="30"/>
      <c r="E3408" s="30"/>
      <c r="F3408" s="10"/>
      <c r="G3408" s="10"/>
      <c r="H3408" s="15"/>
      <c r="I3408" s="15"/>
      <c r="J3408" s="15"/>
      <c r="K3408" s="15"/>
      <c r="L3408" s="15"/>
      <c r="M3408" s="15"/>
      <c r="N3408" s="15"/>
      <c r="O3408" s="15"/>
      <c r="P3408" s="15"/>
      <c r="Q3408" s="71"/>
      <c r="R3408" s="84"/>
      <c r="S3408" s="10"/>
      <c r="T3408" s="10"/>
      <c r="U3408" s="10"/>
      <c r="V3408" s="10"/>
      <c r="W3408" s="138"/>
      <c r="Y3408"/>
      <c r="Z3408"/>
      <c r="AA3408"/>
      <c r="AB3408"/>
      <c r="AC3408"/>
      <c r="AD3408"/>
      <c r="AE3408"/>
      <c r="AF3408"/>
      <c r="AG3408"/>
      <c r="AH3408"/>
      <c r="AI3408"/>
      <c r="AJ3408"/>
      <c r="AK3408"/>
      <c r="AL3408"/>
      <c r="AM3408"/>
      <c r="AN3408"/>
      <c r="AO3408"/>
    </row>
    <row r="3409" spans="1:41" ht="15">
      <c r="A3409"/>
      <c r="B3409"/>
      <c r="C3409" s="137"/>
      <c r="D3409" s="30"/>
      <c r="E3409" s="30"/>
      <c r="F3409" s="10"/>
      <c r="G3409" s="10"/>
      <c r="H3409" s="15"/>
      <c r="I3409" s="15"/>
      <c r="J3409" s="15"/>
      <c r="K3409" s="15"/>
      <c r="L3409" s="15"/>
      <c r="M3409" s="15"/>
      <c r="N3409" s="15"/>
      <c r="O3409" s="15"/>
      <c r="P3409" s="15"/>
      <c r="Q3409" s="71"/>
      <c r="R3409" s="84"/>
      <c r="S3409" s="10"/>
      <c r="T3409" s="10"/>
      <c r="U3409" s="10"/>
      <c r="V3409" s="10"/>
      <c r="W3409" s="138"/>
      <c r="Y3409"/>
      <c r="Z3409"/>
      <c r="AA3409"/>
      <c r="AB3409"/>
      <c r="AC3409"/>
      <c r="AD3409"/>
      <c r="AE3409"/>
      <c r="AF3409"/>
      <c r="AG3409"/>
      <c r="AH3409"/>
      <c r="AI3409"/>
      <c r="AJ3409"/>
      <c r="AK3409"/>
      <c r="AL3409"/>
      <c r="AM3409"/>
      <c r="AN3409"/>
      <c r="AO3409"/>
    </row>
    <row r="3410" spans="1:41" ht="15">
      <c r="A3410"/>
      <c r="B3410"/>
      <c r="C3410" s="137"/>
      <c r="D3410" s="30"/>
      <c r="E3410" s="30"/>
      <c r="F3410" s="10"/>
      <c r="G3410" s="10"/>
      <c r="H3410" s="15"/>
      <c r="I3410" s="15"/>
      <c r="J3410" s="15"/>
      <c r="K3410" s="15"/>
      <c r="L3410" s="15"/>
      <c r="M3410" s="15"/>
      <c r="N3410" s="15"/>
      <c r="O3410" s="15"/>
      <c r="P3410" s="15"/>
      <c r="Q3410" s="71"/>
      <c r="R3410" s="84"/>
      <c r="S3410" s="10"/>
      <c r="T3410" s="10"/>
      <c r="U3410" s="10"/>
      <c r="V3410" s="10"/>
      <c r="W3410" s="138"/>
      <c r="Y3410"/>
      <c r="Z3410"/>
      <c r="AA3410"/>
      <c r="AB3410"/>
      <c r="AC3410"/>
      <c r="AD3410"/>
      <c r="AE3410"/>
      <c r="AF3410"/>
      <c r="AG3410"/>
      <c r="AH3410"/>
      <c r="AI3410"/>
      <c r="AJ3410"/>
      <c r="AK3410"/>
      <c r="AL3410"/>
      <c r="AM3410"/>
      <c r="AN3410"/>
      <c r="AO3410"/>
    </row>
    <row r="3411" spans="1:41" ht="15">
      <c r="A3411"/>
      <c r="B3411"/>
      <c r="C3411" s="137"/>
      <c r="D3411" s="30"/>
      <c r="E3411" s="30"/>
      <c r="F3411" s="10"/>
      <c r="G3411" s="10"/>
      <c r="H3411" s="15"/>
      <c r="I3411" s="15"/>
      <c r="J3411" s="15"/>
      <c r="K3411" s="15"/>
      <c r="L3411" s="15"/>
      <c r="M3411" s="15"/>
      <c r="N3411" s="15"/>
      <c r="O3411" s="15"/>
      <c r="P3411" s="15"/>
      <c r="Q3411" s="71"/>
      <c r="R3411" s="84"/>
      <c r="S3411" s="10"/>
      <c r="T3411" s="10"/>
      <c r="U3411" s="10"/>
      <c r="V3411" s="10"/>
      <c r="W3411" s="138"/>
      <c r="Y3411"/>
      <c r="Z3411"/>
      <c r="AA3411"/>
      <c r="AB3411"/>
      <c r="AC3411"/>
      <c r="AD3411"/>
      <c r="AE3411"/>
      <c r="AF3411"/>
      <c r="AG3411"/>
      <c r="AH3411"/>
      <c r="AI3411"/>
      <c r="AJ3411"/>
      <c r="AK3411"/>
      <c r="AL3411"/>
      <c r="AM3411"/>
      <c r="AN3411"/>
      <c r="AO3411"/>
    </row>
    <row r="3412" spans="1:41" ht="15">
      <c r="A3412"/>
      <c r="B3412"/>
      <c r="C3412" s="137"/>
      <c r="D3412" s="30"/>
      <c r="E3412" s="30"/>
      <c r="F3412" s="10"/>
      <c r="G3412" s="10"/>
      <c r="H3412" s="15"/>
      <c r="I3412" s="15"/>
      <c r="J3412" s="15"/>
      <c r="K3412" s="15"/>
      <c r="L3412" s="15"/>
      <c r="M3412" s="15"/>
      <c r="N3412" s="15"/>
      <c r="O3412" s="15"/>
      <c r="P3412" s="15"/>
      <c r="Q3412" s="71"/>
      <c r="R3412" s="84"/>
      <c r="S3412" s="10"/>
      <c r="T3412" s="10"/>
      <c r="U3412" s="10"/>
      <c r="V3412" s="10"/>
      <c r="W3412" s="138"/>
      <c r="Y3412"/>
      <c r="Z3412"/>
      <c r="AA3412"/>
      <c r="AB3412"/>
      <c r="AC3412"/>
      <c r="AD3412"/>
      <c r="AE3412"/>
      <c r="AF3412"/>
      <c r="AG3412"/>
      <c r="AH3412"/>
      <c r="AI3412"/>
      <c r="AJ3412"/>
      <c r="AK3412"/>
      <c r="AL3412"/>
      <c r="AM3412"/>
      <c r="AN3412"/>
      <c r="AO3412"/>
    </row>
    <row r="3413" spans="1:41" ht="15">
      <c r="A3413"/>
      <c r="B3413"/>
      <c r="C3413" s="137"/>
      <c r="D3413" s="30"/>
      <c r="E3413" s="30"/>
      <c r="F3413" s="10"/>
      <c r="G3413" s="10"/>
      <c r="H3413" s="15"/>
      <c r="I3413" s="15"/>
      <c r="J3413" s="15"/>
      <c r="K3413" s="15"/>
      <c r="L3413" s="15"/>
      <c r="M3413" s="15"/>
      <c r="N3413" s="15"/>
      <c r="O3413" s="15"/>
      <c r="P3413" s="15"/>
      <c r="Q3413" s="71"/>
      <c r="R3413" s="84"/>
      <c r="S3413" s="10"/>
      <c r="T3413" s="10"/>
      <c r="U3413" s="10"/>
      <c r="V3413" s="10"/>
      <c r="W3413" s="138"/>
      <c r="Y3413"/>
      <c r="Z3413"/>
      <c r="AA3413"/>
      <c r="AB3413"/>
      <c r="AC3413"/>
      <c r="AD3413"/>
      <c r="AE3413"/>
      <c r="AF3413"/>
      <c r="AG3413"/>
      <c r="AH3413"/>
      <c r="AI3413"/>
      <c r="AJ3413"/>
      <c r="AK3413"/>
      <c r="AL3413"/>
      <c r="AM3413"/>
      <c r="AN3413"/>
      <c r="AO3413"/>
    </row>
    <row r="3414" spans="1:41" ht="15">
      <c r="A3414"/>
      <c r="B3414"/>
      <c r="C3414" s="137"/>
      <c r="D3414" s="30"/>
      <c r="E3414" s="30"/>
      <c r="F3414" s="10"/>
      <c r="G3414" s="10"/>
      <c r="H3414" s="15"/>
      <c r="I3414" s="15"/>
      <c r="J3414" s="15"/>
      <c r="K3414" s="15"/>
      <c r="L3414" s="15"/>
      <c r="M3414" s="15"/>
      <c r="N3414" s="15"/>
      <c r="O3414" s="15"/>
      <c r="P3414" s="15"/>
      <c r="Q3414" s="71"/>
      <c r="R3414" s="84"/>
      <c r="S3414" s="10"/>
      <c r="T3414" s="10"/>
      <c r="U3414" s="10"/>
      <c r="V3414" s="10"/>
      <c r="W3414" s="138"/>
      <c r="Y3414"/>
      <c r="Z3414"/>
      <c r="AA3414"/>
      <c r="AB3414"/>
      <c r="AC3414"/>
      <c r="AD3414"/>
      <c r="AE3414"/>
      <c r="AF3414"/>
      <c r="AG3414"/>
      <c r="AH3414"/>
      <c r="AI3414"/>
      <c r="AJ3414"/>
      <c r="AK3414"/>
      <c r="AL3414"/>
      <c r="AM3414"/>
      <c r="AN3414"/>
      <c r="AO3414"/>
    </row>
    <row r="3415" spans="1:41" ht="15">
      <c r="A3415"/>
      <c r="B3415"/>
      <c r="C3415" s="137"/>
      <c r="D3415" s="30"/>
      <c r="E3415" s="30"/>
      <c r="F3415" s="10"/>
      <c r="G3415" s="10"/>
      <c r="H3415" s="15"/>
      <c r="I3415" s="15"/>
      <c r="J3415" s="15"/>
      <c r="K3415" s="15"/>
      <c r="L3415" s="15"/>
      <c r="M3415" s="15"/>
      <c r="N3415" s="15"/>
      <c r="O3415" s="15"/>
      <c r="P3415" s="15"/>
      <c r="Q3415" s="71"/>
      <c r="R3415" s="84"/>
      <c r="S3415" s="10"/>
      <c r="T3415" s="10"/>
      <c r="U3415" s="10"/>
      <c r="V3415" s="10"/>
      <c r="W3415" s="138"/>
      <c r="Y3415"/>
      <c r="Z3415"/>
      <c r="AA3415"/>
      <c r="AB3415"/>
      <c r="AC3415"/>
      <c r="AD3415"/>
      <c r="AE3415"/>
      <c r="AF3415"/>
      <c r="AG3415"/>
      <c r="AH3415"/>
      <c r="AI3415"/>
      <c r="AJ3415"/>
      <c r="AK3415"/>
      <c r="AL3415"/>
      <c r="AM3415"/>
      <c r="AN3415"/>
      <c r="AO3415"/>
    </row>
    <row r="3416" spans="1:41" ht="15">
      <c r="A3416"/>
      <c r="B3416"/>
      <c r="C3416" s="137"/>
      <c r="D3416" s="30"/>
      <c r="E3416" s="30"/>
      <c r="F3416" s="10"/>
      <c r="G3416" s="10"/>
      <c r="H3416" s="15"/>
      <c r="I3416" s="15"/>
      <c r="J3416" s="15"/>
      <c r="K3416" s="15"/>
      <c r="L3416" s="15"/>
      <c r="M3416" s="15"/>
      <c r="N3416" s="15"/>
      <c r="O3416" s="15"/>
      <c r="P3416" s="15"/>
      <c r="Q3416" s="71"/>
      <c r="R3416" s="84"/>
      <c r="S3416" s="10"/>
      <c r="T3416" s="10"/>
      <c r="U3416" s="10"/>
      <c r="V3416" s="10"/>
      <c r="W3416" s="138"/>
      <c r="Y3416"/>
      <c r="Z3416"/>
      <c r="AA3416"/>
      <c r="AB3416"/>
      <c r="AC3416"/>
      <c r="AD3416"/>
      <c r="AE3416"/>
      <c r="AF3416"/>
      <c r="AG3416"/>
      <c r="AH3416"/>
      <c r="AI3416"/>
      <c r="AJ3416"/>
      <c r="AK3416"/>
      <c r="AL3416"/>
      <c r="AM3416"/>
      <c r="AN3416"/>
      <c r="AO3416"/>
    </row>
    <row r="3417" spans="1:41" ht="15">
      <c r="A3417"/>
      <c r="B3417"/>
      <c r="C3417" s="137"/>
      <c r="D3417" s="30"/>
      <c r="E3417" s="30"/>
      <c r="F3417" s="10"/>
      <c r="G3417" s="10"/>
      <c r="H3417" s="15"/>
      <c r="I3417" s="15"/>
      <c r="J3417" s="15"/>
      <c r="K3417" s="15"/>
      <c r="L3417" s="15"/>
      <c r="M3417" s="15"/>
      <c r="N3417" s="15"/>
      <c r="O3417" s="15"/>
      <c r="P3417" s="15"/>
      <c r="Q3417" s="71"/>
      <c r="R3417" s="84"/>
      <c r="S3417" s="10"/>
      <c r="T3417" s="10"/>
      <c r="U3417" s="10"/>
      <c r="V3417" s="10"/>
      <c r="W3417" s="138"/>
      <c r="Y3417"/>
      <c r="Z3417"/>
      <c r="AA3417"/>
      <c r="AB3417"/>
      <c r="AC3417"/>
      <c r="AD3417"/>
      <c r="AE3417"/>
      <c r="AF3417"/>
      <c r="AG3417"/>
      <c r="AH3417"/>
      <c r="AI3417"/>
      <c r="AJ3417"/>
      <c r="AK3417"/>
      <c r="AL3417"/>
      <c r="AM3417"/>
      <c r="AN3417"/>
      <c r="AO3417"/>
    </row>
    <row r="3418" spans="1:41" ht="15">
      <c r="A3418"/>
      <c r="B3418"/>
      <c r="C3418" s="137"/>
      <c r="D3418" s="30"/>
      <c r="E3418" s="30"/>
      <c r="F3418" s="10"/>
      <c r="G3418" s="10"/>
      <c r="H3418" s="15"/>
      <c r="I3418" s="15"/>
      <c r="J3418" s="15"/>
      <c r="K3418" s="15"/>
      <c r="L3418" s="15"/>
      <c r="M3418" s="15"/>
      <c r="N3418" s="15"/>
      <c r="O3418" s="15"/>
      <c r="P3418" s="15"/>
      <c r="Q3418" s="71"/>
      <c r="R3418" s="84"/>
      <c r="S3418" s="10"/>
      <c r="T3418" s="10"/>
      <c r="U3418" s="10"/>
      <c r="V3418" s="10"/>
      <c r="W3418" s="138"/>
      <c r="Y3418"/>
      <c r="Z3418"/>
      <c r="AA3418"/>
      <c r="AB3418"/>
      <c r="AC3418"/>
      <c r="AD3418"/>
      <c r="AE3418"/>
      <c r="AF3418"/>
      <c r="AG3418"/>
      <c r="AH3418"/>
      <c r="AI3418"/>
      <c r="AJ3418"/>
      <c r="AK3418"/>
      <c r="AL3418"/>
      <c r="AM3418"/>
      <c r="AN3418"/>
      <c r="AO3418"/>
    </row>
    <row r="3419" spans="1:41" ht="15">
      <c r="A3419"/>
      <c r="B3419"/>
      <c r="C3419" s="137"/>
      <c r="D3419" s="30"/>
      <c r="E3419" s="30"/>
      <c r="F3419" s="10"/>
      <c r="G3419" s="10"/>
      <c r="H3419" s="15"/>
      <c r="I3419" s="15"/>
      <c r="J3419" s="15"/>
      <c r="K3419" s="15"/>
      <c r="L3419" s="15"/>
      <c r="M3419" s="15"/>
      <c r="N3419" s="15"/>
      <c r="O3419" s="15"/>
      <c r="P3419" s="15"/>
      <c r="Q3419" s="71"/>
      <c r="R3419" s="84"/>
      <c r="S3419" s="10"/>
      <c r="T3419" s="10"/>
      <c r="U3419" s="10"/>
      <c r="V3419" s="10"/>
      <c r="W3419" s="138"/>
      <c r="Y3419"/>
      <c r="Z3419"/>
      <c r="AA3419"/>
      <c r="AB3419"/>
      <c r="AC3419"/>
      <c r="AD3419"/>
      <c r="AE3419"/>
      <c r="AF3419"/>
      <c r="AG3419"/>
      <c r="AH3419"/>
      <c r="AI3419"/>
      <c r="AJ3419"/>
      <c r="AK3419"/>
      <c r="AL3419"/>
      <c r="AM3419"/>
      <c r="AN3419"/>
      <c r="AO3419"/>
    </row>
    <row r="3420" spans="1:41" ht="15">
      <c r="A3420"/>
      <c r="B3420"/>
      <c r="C3420" s="137"/>
      <c r="D3420" s="30"/>
      <c r="E3420" s="30"/>
      <c r="F3420" s="10"/>
      <c r="G3420" s="10"/>
      <c r="H3420" s="15"/>
      <c r="I3420" s="15"/>
      <c r="J3420" s="15"/>
      <c r="K3420" s="15"/>
      <c r="L3420" s="15"/>
      <c r="M3420" s="15"/>
      <c r="N3420" s="15"/>
      <c r="O3420" s="15"/>
      <c r="P3420" s="15"/>
      <c r="Q3420" s="71"/>
      <c r="R3420" s="84"/>
      <c r="S3420" s="10"/>
      <c r="T3420" s="10"/>
      <c r="U3420" s="10"/>
      <c r="V3420" s="10"/>
      <c r="W3420" s="138"/>
      <c r="Y3420"/>
      <c r="Z3420"/>
      <c r="AA3420"/>
      <c r="AB3420"/>
      <c r="AC3420"/>
      <c r="AD3420"/>
      <c r="AE3420"/>
      <c r="AF3420"/>
      <c r="AG3420"/>
      <c r="AH3420"/>
      <c r="AI3420"/>
      <c r="AJ3420"/>
      <c r="AK3420"/>
      <c r="AL3420"/>
      <c r="AM3420"/>
      <c r="AN3420"/>
      <c r="AO3420"/>
    </row>
    <row r="3421" spans="1:41" ht="15">
      <c r="A3421"/>
      <c r="B3421"/>
      <c r="C3421" s="137"/>
      <c r="D3421" s="30"/>
      <c r="E3421" s="30"/>
      <c r="F3421" s="10"/>
      <c r="G3421" s="10"/>
      <c r="H3421" s="15"/>
      <c r="I3421" s="15"/>
      <c r="J3421" s="15"/>
      <c r="K3421" s="15"/>
      <c r="L3421" s="15"/>
      <c r="M3421" s="15"/>
      <c r="N3421" s="15"/>
      <c r="O3421" s="15"/>
      <c r="P3421" s="15"/>
      <c r="Q3421" s="71"/>
      <c r="R3421" s="84"/>
      <c r="S3421" s="10"/>
      <c r="T3421" s="10"/>
      <c r="U3421" s="10"/>
      <c r="V3421" s="10"/>
      <c r="W3421" s="138"/>
      <c r="Y3421"/>
      <c r="Z3421"/>
      <c r="AA3421"/>
      <c r="AB3421"/>
      <c r="AC3421"/>
      <c r="AD3421"/>
      <c r="AE3421"/>
      <c r="AF3421"/>
      <c r="AG3421"/>
      <c r="AH3421"/>
      <c r="AI3421"/>
      <c r="AJ3421"/>
      <c r="AK3421"/>
      <c r="AL3421"/>
      <c r="AM3421"/>
      <c r="AN3421"/>
      <c r="AO3421"/>
    </row>
    <row r="3422" spans="1:41" ht="15">
      <c r="A3422"/>
      <c r="B3422"/>
      <c r="C3422" s="137"/>
      <c r="D3422" s="30"/>
      <c r="E3422" s="30"/>
      <c r="F3422" s="10"/>
      <c r="G3422" s="10"/>
      <c r="H3422" s="15"/>
      <c r="I3422" s="15"/>
      <c r="J3422" s="15"/>
      <c r="K3422" s="15"/>
      <c r="L3422" s="15"/>
      <c r="M3422" s="15"/>
      <c r="N3422" s="15"/>
      <c r="O3422" s="15"/>
      <c r="P3422" s="15"/>
      <c r="Q3422" s="71"/>
      <c r="R3422" s="84"/>
      <c r="S3422" s="10"/>
      <c r="T3422" s="10"/>
      <c r="U3422" s="10"/>
      <c r="V3422" s="10"/>
      <c r="W3422" s="138"/>
      <c r="Y3422"/>
      <c r="Z3422"/>
      <c r="AA3422"/>
      <c r="AB3422"/>
      <c r="AC3422"/>
      <c r="AD3422"/>
      <c r="AE3422"/>
      <c r="AF3422"/>
      <c r="AG3422"/>
      <c r="AH3422"/>
      <c r="AI3422"/>
      <c r="AJ3422"/>
      <c r="AK3422"/>
      <c r="AL3422"/>
      <c r="AM3422"/>
      <c r="AN3422"/>
      <c r="AO3422"/>
    </row>
    <row r="3423" spans="1:41" ht="15">
      <c r="A3423"/>
      <c r="B3423"/>
      <c r="C3423" s="137"/>
      <c r="D3423" s="30"/>
      <c r="E3423" s="30"/>
      <c r="F3423" s="10"/>
      <c r="G3423" s="10"/>
      <c r="H3423" s="15"/>
      <c r="I3423" s="15"/>
      <c r="J3423" s="15"/>
      <c r="K3423" s="15"/>
      <c r="L3423" s="15"/>
      <c r="M3423" s="15"/>
      <c r="N3423" s="15"/>
      <c r="O3423" s="15"/>
      <c r="P3423" s="15"/>
      <c r="Q3423" s="71"/>
      <c r="R3423" s="84"/>
      <c r="S3423" s="10"/>
      <c r="T3423" s="10"/>
      <c r="U3423" s="10"/>
      <c r="V3423" s="10"/>
      <c r="W3423" s="138"/>
      <c r="Y3423"/>
      <c r="Z3423"/>
      <c r="AA3423"/>
      <c r="AB3423"/>
      <c r="AC3423"/>
      <c r="AD3423"/>
      <c r="AE3423"/>
      <c r="AF3423"/>
      <c r="AG3423"/>
      <c r="AH3423"/>
      <c r="AI3423"/>
      <c r="AJ3423"/>
      <c r="AK3423"/>
      <c r="AL3423"/>
      <c r="AM3423"/>
      <c r="AN3423"/>
      <c r="AO3423"/>
    </row>
    <row r="3424" spans="1:41" ht="15">
      <c r="A3424"/>
      <c r="B3424"/>
      <c r="C3424" s="137"/>
      <c r="D3424" s="30"/>
      <c r="E3424" s="30"/>
      <c r="F3424" s="10"/>
      <c r="G3424" s="10"/>
      <c r="H3424" s="15"/>
      <c r="I3424" s="15"/>
      <c r="J3424" s="15"/>
      <c r="K3424" s="15"/>
      <c r="L3424" s="15"/>
      <c r="M3424" s="15"/>
      <c r="N3424" s="15"/>
      <c r="O3424" s="15"/>
      <c r="P3424" s="15"/>
      <c r="Q3424" s="71"/>
      <c r="R3424" s="84"/>
      <c r="S3424" s="10"/>
      <c r="T3424" s="10"/>
      <c r="U3424" s="10"/>
      <c r="V3424" s="10"/>
      <c r="W3424" s="138"/>
      <c r="Y3424"/>
      <c r="Z3424"/>
      <c r="AA3424"/>
      <c r="AB3424"/>
      <c r="AC3424"/>
      <c r="AD3424"/>
      <c r="AE3424"/>
      <c r="AF3424"/>
      <c r="AG3424"/>
      <c r="AH3424"/>
      <c r="AI3424"/>
      <c r="AJ3424"/>
      <c r="AK3424"/>
      <c r="AL3424"/>
      <c r="AM3424"/>
      <c r="AN3424"/>
      <c r="AO3424"/>
    </row>
    <row r="3425" spans="1:41" ht="15">
      <c r="A3425"/>
      <c r="B3425"/>
      <c r="C3425" s="137"/>
      <c r="D3425" s="30"/>
      <c r="E3425" s="30"/>
      <c r="F3425" s="10"/>
      <c r="G3425" s="10"/>
      <c r="H3425" s="15"/>
      <c r="I3425" s="15"/>
      <c r="J3425" s="15"/>
      <c r="K3425" s="15"/>
      <c r="L3425" s="15"/>
      <c r="M3425" s="15"/>
      <c r="N3425" s="15"/>
      <c r="O3425" s="15"/>
      <c r="P3425" s="15"/>
      <c r="Q3425" s="71"/>
      <c r="R3425" s="84"/>
      <c r="S3425" s="10"/>
      <c r="T3425" s="10"/>
      <c r="U3425" s="10"/>
      <c r="V3425" s="10"/>
      <c r="W3425" s="138"/>
      <c r="Y3425"/>
      <c r="Z3425"/>
      <c r="AA3425"/>
      <c r="AB3425"/>
      <c r="AC3425"/>
      <c r="AD3425"/>
      <c r="AE3425"/>
      <c r="AF3425"/>
      <c r="AG3425"/>
      <c r="AH3425"/>
      <c r="AI3425"/>
      <c r="AJ3425"/>
      <c r="AK3425"/>
      <c r="AL3425"/>
      <c r="AM3425"/>
      <c r="AN3425"/>
      <c r="AO3425"/>
    </row>
    <row r="3426" spans="1:41" ht="15">
      <c r="A3426"/>
      <c r="B3426"/>
      <c r="C3426" s="137"/>
      <c r="D3426" s="30"/>
      <c r="E3426" s="30"/>
      <c r="F3426" s="10"/>
      <c r="G3426" s="10"/>
      <c r="H3426" s="15"/>
      <c r="I3426" s="15"/>
      <c r="J3426" s="15"/>
      <c r="K3426" s="15"/>
      <c r="L3426" s="15"/>
      <c r="M3426" s="15"/>
      <c r="N3426" s="15"/>
      <c r="O3426" s="15"/>
      <c r="P3426" s="15"/>
      <c r="Q3426" s="71"/>
      <c r="R3426" s="84"/>
      <c r="S3426" s="10"/>
      <c r="T3426" s="10"/>
      <c r="U3426" s="10"/>
      <c r="V3426" s="10"/>
      <c r="W3426" s="138"/>
      <c r="Y3426"/>
      <c r="Z3426"/>
      <c r="AA3426"/>
      <c r="AB3426"/>
      <c r="AC3426"/>
      <c r="AD3426"/>
      <c r="AE3426"/>
      <c r="AF3426"/>
      <c r="AG3426"/>
      <c r="AH3426"/>
      <c r="AI3426"/>
      <c r="AJ3426"/>
      <c r="AK3426"/>
      <c r="AL3426"/>
      <c r="AM3426"/>
      <c r="AN3426"/>
      <c r="AO3426"/>
    </row>
    <row r="3427" spans="1:41" ht="15">
      <c r="A3427"/>
      <c r="B3427"/>
      <c r="C3427" s="137"/>
      <c r="D3427" s="30"/>
      <c r="E3427" s="30"/>
      <c r="F3427" s="10"/>
      <c r="G3427" s="10"/>
      <c r="H3427" s="15"/>
      <c r="I3427" s="15"/>
      <c r="J3427" s="15"/>
      <c r="K3427" s="15"/>
      <c r="L3427" s="15"/>
      <c r="M3427" s="15"/>
      <c r="N3427" s="15"/>
      <c r="O3427" s="15"/>
      <c r="P3427" s="15"/>
      <c r="Q3427" s="71"/>
      <c r="R3427" s="84"/>
      <c r="S3427" s="10"/>
      <c r="T3427" s="10"/>
      <c r="U3427" s="10"/>
      <c r="V3427" s="10"/>
      <c r="W3427" s="138"/>
      <c r="Y3427"/>
      <c r="Z3427"/>
      <c r="AA3427"/>
      <c r="AB3427"/>
      <c r="AC3427"/>
      <c r="AD3427"/>
      <c r="AE3427"/>
      <c r="AF3427"/>
      <c r="AG3427"/>
      <c r="AH3427"/>
      <c r="AI3427"/>
      <c r="AJ3427"/>
      <c r="AK3427"/>
      <c r="AL3427"/>
      <c r="AM3427"/>
      <c r="AN3427"/>
      <c r="AO3427"/>
    </row>
    <row r="3428" spans="1:41" ht="15">
      <c r="A3428"/>
      <c r="B3428"/>
      <c r="C3428" s="137"/>
      <c r="D3428" s="30"/>
      <c r="E3428" s="30"/>
      <c r="F3428" s="10"/>
      <c r="G3428" s="10"/>
      <c r="H3428" s="15"/>
      <c r="I3428" s="15"/>
      <c r="J3428" s="15"/>
      <c r="K3428" s="15"/>
      <c r="L3428" s="15"/>
      <c r="M3428" s="15"/>
      <c r="N3428" s="15"/>
      <c r="O3428" s="15"/>
      <c r="P3428" s="15"/>
      <c r="Q3428" s="71"/>
      <c r="R3428" s="84"/>
      <c r="S3428" s="10"/>
      <c r="T3428" s="10"/>
      <c r="U3428" s="10"/>
      <c r="V3428" s="10"/>
      <c r="W3428" s="138"/>
      <c r="Y3428"/>
      <c r="Z3428"/>
      <c r="AA3428"/>
      <c r="AB3428"/>
      <c r="AC3428"/>
      <c r="AD3428"/>
      <c r="AE3428"/>
      <c r="AF3428"/>
      <c r="AG3428"/>
      <c r="AH3428"/>
      <c r="AI3428"/>
      <c r="AJ3428"/>
      <c r="AK3428"/>
      <c r="AL3428"/>
      <c r="AM3428"/>
      <c r="AN3428"/>
      <c r="AO3428"/>
    </row>
    <row r="3429" spans="1:41" ht="15">
      <c r="A3429"/>
      <c r="B3429"/>
      <c r="C3429" s="137"/>
      <c r="D3429" s="30"/>
      <c r="E3429" s="30"/>
      <c r="F3429" s="10"/>
      <c r="G3429" s="10"/>
      <c r="H3429" s="15"/>
      <c r="I3429" s="15"/>
      <c r="J3429" s="15"/>
      <c r="K3429" s="15"/>
      <c r="L3429" s="15"/>
      <c r="M3429" s="15"/>
      <c r="N3429" s="15"/>
      <c r="O3429" s="15"/>
      <c r="P3429" s="15"/>
      <c r="Q3429" s="71"/>
      <c r="R3429" s="84"/>
      <c r="S3429" s="10"/>
      <c r="T3429" s="10"/>
      <c r="U3429" s="10"/>
      <c r="V3429" s="10"/>
      <c r="W3429" s="138"/>
      <c r="Y3429"/>
      <c r="Z3429"/>
      <c r="AA3429"/>
      <c r="AB3429"/>
      <c r="AC3429"/>
      <c r="AD3429"/>
      <c r="AE3429"/>
      <c r="AF3429"/>
      <c r="AG3429"/>
      <c r="AH3429"/>
      <c r="AI3429"/>
      <c r="AJ3429"/>
      <c r="AK3429"/>
      <c r="AL3429"/>
      <c r="AM3429"/>
      <c r="AN3429"/>
      <c r="AO3429"/>
    </row>
    <row r="3430" spans="1:41" ht="15">
      <c r="A3430"/>
      <c r="B3430"/>
      <c r="C3430" s="137"/>
      <c r="D3430" s="30"/>
      <c r="E3430" s="30"/>
      <c r="F3430" s="10"/>
      <c r="G3430" s="10"/>
      <c r="H3430" s="15"/>
      <c r="I3430" s="15"/>
      <c r="J3430" s="15"/>
      <c r="K3430" s="15"/>
      <c r="L3430" s="15"/>
      <c r="M3430" s="15"/>
      <c r="N3430" s="15"/>
      <c r="O3430" s="15"/>
      <c r="P3430" s="15"/>
      <c r="Q3430" s="71"/>
      <c r="R3430" s="84"/>
      <c r="S3430" s="10"/>
      <c r="T3430" s="10"/>
      <c r="U3430" s="10"/>
      <c r="V3430" s="10"/>
      <c r="W3430" s="138"/>
      <c r="Y3430"/>
      <c r="Z3430"/>
      <c r="AA3430"/>
      <c r="AB3430"/>
      <c r="AC3430"/>
      <c r="AD3430"/>
      <c r="AE3430"/>
      <c r="AF3430"/>
      <c r="AG3430"/>
      <c r="AH3430"/>
      <c r="AI3430"/>
      <c r="AJ3430"/>
      <c r="AK3430"/>
      <c r="AL3430"/>
      <c r="AM3430"/>
      <c r="AN3430"/>
      <c r="AO3430"/>
    </row>
    <row r="3431" spans="1:41" ht="15">
      <c r="A3431"/>
      <c r="B3431"/>
      <c r="C3431" s="137"/>
      <c r="D3431" s="30"/>
      <c r="E3431" s="30"/>
      <c r="F3431" s="10"/>
      <c r="G3431" s="10"/>
      <c r="H3431" s="15"/>
      <c r="I3431" s="15"/>
      <c r="J3431" s="15"/>
      <c r="K3431" s="15"/>
      <c r="L3431" s="15"/>
      <c r="M3431" s="15"/>
      <c r="N3431" s="15"/>
      <c r="O3431" s="15"/>
      <c r="P3431" s="15"/>
      <c r="Q3431" s="71"/>
      <c r="R3431" s="84"/>
      <c r="S3431" s="10"/>
      <c r="T3431" s="10"/>
      <c r="U3431" s="10"/>
      <c r="V3431" s="10"/>
      <c r="W3431" s="138"/>
      <c r="Y3431"/>
      <c r="Z3431"/>
      <c r="AA3431"/>
      <c r="AB3431"/>
      <c r="AC3431"/>
      <c r="AD3431"/>
      <c r="AE3431"/>
      <c r="AF3431"/>
      <c r="AG3431"/>
      <c r="AH3431"/>
      <c r="AI3431"/>
      <c r="AJ3431"/>
      <c r="AK3431"/>
      <c r="AL3431"/>
      <c r="AM3431"/>
      <c r="AN3431"/>
      <c r="AO3431"/>
    </row>
    <row r="3432" spans="1:41" ht="15">
      <c r="A3432"/>
      <c r="B3432"/>
      <c r="C3432" s="137"/>
      <c r="D3432" s="30"/>
      <c r="E3432" s="30"/>
      <c r="F3432" s="10"/>
      <c r="G3432" s="10"/>
      <c r="H3432" s="15"/>
      <c r="I3432" s="15"/>
      <c r="J3432" s="15"/>
      <c r="K3432" s="15"/>
      <c r="L3432" s="15"/>
      <c r="M3432" s="15"/>
      <c r="N3432" s="15"/>
      <c r="O3432" s="15"/>
      <c r="P3432" s="15"/>
      <c r="Q3432" s="71"/>
      <c r="R3432" s="84"/>
      <c r="S3432" s="10"/>
      <c r="T3432" s="10"/>
      <c r="U3432" s="10"/>
      <c r="V3432" s="10"/>
      <c r="W3432" s="138"/>
      <c r="Y3432"/>
      <c r="Z3432"/>
      <c r="AA3432"/>
      <c r="AB3432"/>
      <c r="AC3432"/>
      <c r="AD3432"/>
      <c r="AE3432"/>
      <c r="AF3432"/>
      <c r="AG3432"/>
      <c r="AH3432"/>
      <c r="AI3432"/>
      <c r="AJ3432"/>
      <c r="AK3432"/>
      <c r="AL3432"/>
      <c r="AM3432"/>
      <c r="AN3432"/>
      <c r="AO3432"/>
    </row>
    <row r="3433" spans="1:41" ht="15">
      <c r="A3433"/>
      <c r="B3433"/>
      <c r="C3433" s="137"/>
      <c r="D3433" s="30"/>
      <c r="E3433" s="30"/>
      <c r="F3433" s="10"/>
      <c r="G3433" s="10"/>
      <c r="H3433" s="15"/>
      <c r="I3433" s="15"/>
      <c r="J3433" s="15"/>
      <c r="K3433" s="15"/>
      <c r="L3433" s="15"/>
      <c r="M3433" s="15"/>
      <c r="N3433" s="15"/>
      <c r="O3433" s="15"/>
      <c r="P3433" s="15"/>
      <c r="Q3433" s="71"/>
      <c r="R3433" s="84"/>
      <c r="S3433" s="10"/>
      <c r="T3433" s="10"/>
      <c r="U3433" s="10"/>
      <c r="V3433" s="10"/>
      <c r="W3433" s="138"/>
      <c r="Y3433"/>
      <c r="Z3433"/>
      <c r="AA3433"/>
      <c r="AB3433"/>
      <c r="AC3433"/>
      <c r="AD3433"/>
      <c r="AE3433"/>
      <c r="AF3433"/>
      <c r="AG3433"/>
      <c r="AH3433"/>
      <c r="AI3433"/>
      <c r="AJ3433"/>
      <c r="AK3433"/>
      <c r="AL3433"/>
      <c r="AM3433"/>
      <c r="AN3433"/>
      <c r="AO3433"/>
    </row>
    <row r="3434" spans="1:41" ht="15">
      <c r="A3434"/>
      <c r="B3434"/>
      <c r="C3434" s="137"/>
      <c r="D3434" s="30"/>
      <c r="E3434" s="30"/>
      <c r="F3434" s="10"/>
      <c r="G3434" s="10"/>
      <c r="H3434" s="15"/>
      <c r="I3434" s="15"/>
      <c r="J3434" s="15"/>
      <c r="K3434" s="15"/>
      <c r="L3434" s="15"/>
      <c r="M3434" s="15"/>
      <c r="N3434" s="15"/>
      <c r="O3434" s="15"/>
      <c r="P3434" s="15"/>
      <c r="Q3434" s="71"/>
      <c r="R3434" s="84"/>
      <c r="S3434" s="10"/>
      <c r="T3434" s="10"/>
      <c r="U3434" s="10"/>
      <c r="V3434" s="10"/>
      <c r="W3434" s="138"/>
      <c r="Y3434"/>
      <c r="Z3434"/>
      <c r="AA3434"/>
      <c r="AB3434"/>
      <c r="AC3434"/>
      <c r="AD3434"/>
      <c r="AE3434"/>
      <c r="AF3434"/>
      <c r="AG3434"/>
      <c r="AH3434"/>
      <c r="AI3434"/>
      <c r="AJ3434"/>
      <c r="AK3434"/>
      <c r="AL3434"/>
      <c r="AM3434"/>
      <c r="AN3434"/>
      <c r="AO3434"/>
    </row>
    <row r="3435" spans="1:41" ht="15">
      <c r="A3435"/>
      <c r="B3435"/>
      <c r="C3435" s="137"/>
      <c r="D3435" s="30"/>
      <c r="E3435" s="30"/>
      <c r="F3435" s="10"/>
      <c r="G3435" s="10"/>
      <c r="H3435" s="15"/>
      <c r="I3435" s="15"/>
      <c r="J3435" s="15"/>
      <c r="K3435" s="15"/>
      <c r="L3435" s="15"/>
      <c r="M3435" s="15"/>
      <c r="N3435" s="15"/>
      <c r="O3435" s="15"/>
      <c r="P3435" s="15"/>
      <c r="Q3435" s="71"/>
      <c r="R3435" s="84"/>
      <c r="S3435" s="10"/>
      <c r="T3435" s="10"/>
      <c r="U3435" s="10"/>
      <c r="V3435" s="10"/>
      <c r="W3435" s="138"/>
      <c r="Y3435"/>
      <c r="Z3435"/>
      <c r="AA3435"/>
      <c r="AB3435"/>
      <c r="AC3435"/>
      <c r="AD3435"/>
      <c r="AE3435"/>
      <c r="AF3435"/>
      <c r="AG3435"/>
      <c r="AH3435"/>
      <c r="AI3435"/>
      <c r="AJ3435"/>
      <c r="AK3435"/>
      <c r="AL3435"/>
      <c r="AM3435"/>
      <c r="AN3435"/>
      <c r="AO3435"/>
    </row>
    <row r="3436" spans="1:41" ht="15">
      <c r="A3436"/>
      <c r="B3436"/>
      <c r="C3436" s="137"/>
      <c r="D3436" s="30"/>
      <c r="E3436" s="30"/>
      <c r="F3436" s="10"/>
      <c r="G3436" s="10"/>
      <c r="H3436" s="15"/>
      <c r="I3436" s="15"/>
      <c r="J3436" s="15"/>
      <c r="K3436" s="15"/>
      <c r="L3436" s="15"/>
      <c r="M3436" s="15"/>
      <c r="N3436" s="15"/>
      <c r="O3436" s="15"/>
      <c r="P3436" s="15"/>
      <c r="Q3436" s="71"/>
      <c r="R3436" s="84"/>
      <c r="S3436" s="10"/>
      <c r="T3436" s="10"/>
      <c r="U3436" s="10"/>
      <c r="V3436" s="10"/>
      <c r="W3436" s="138"/>
      <c r="Y3436"/>
      <c r="Z3436"/>
      <c r="AA3436"/>
      <c r="AB3436"/>
      <c r="AC3436"/>
      <c r="AD3436"/>
      <c r="AE3436"/>
      <c r="AF3436"/>
      <c r="AG3436"/>
      <c r="AH3436"/>
      <c r="AI3436"/>
      <c r="AJ3436"/>
      <c r="AK3436"/>
      <c r="AL3436"/>
      <c r="AM3436"/>
      <c r="AN3436"/>
      <c r="AO3436"/>
    </row>
    <row r="3437" spans="1:41" ht="15">
      <c r="A3437"/>
      <c r="B3437"/>
      <c r="C3437" s="137"/>
      <c r="D3437" s="30"/>
      <c r="E3437" s="30"/>
      <c r="F3437" s="10"/>
      <c r="G3437" s="10"/>
      <c r="H3437" s="15"/>
      <c r="I3437" s="15"/>
      <c r="J3437" s="15"/>
      <c r="K3437" s="15"/>
      <c r="L3437" s="15"/>
      <c r="M3437" s="15"/>
      <c r="N3437" s="15"/>
      <c r="O3437" s="15"/>
      <c r="P3437" s="15"/>
      <c r="Q3437" s="71"/>
      <c r="R3437" s="84"/>
      <c r="S3437" s="10"/>
      <c r="T3437" s="10"/>
      <c r="U3437" s="10"/>
      <c r="V3437" s="10"/>
      <c r="W3437" s="138"/>
      <c r="Y3437"/>
      <c r="Z3437"/>
      <c r="AA3437"/>
      <c r="AB3437"/>
      <c r="AC3437"/>
      <c r="AD3437"/>
      <c r="AE3437"/>
      <c r="AF3437"/>
      <c r="AG3437"/>
      <c r="AH3437"/>
      <c r="AI3437"/>
      <c r="AJ3437"/>
      <c r="AK3437"/>
      <c r="AL3437"/>
      <c r="AM3437"/>
      <c r="AN3437"/>
      <c r="AO3437"/>
    </row>
    <row r="3438" spans="1:41" ht="15">
      <c r="A3438"/>
      <c r="B3438"/>
      <c r="C3438" s="137"/>
      <c r="D3438" s="30"/>
      <c r="E3438" s="30"/>
      <c r="F3438" s="10"/>
      <c r="G3438" s="10"/>
      <c r="H3438" s="15"/>
      <c r="I3438" s="15"/>
      <c r="J3438" s="15"/>
      <c r="K3438" s="15"/>
      <c r="L3438" s="15"/>
      <c r="M3438" s="15"/>
      <c r="N3438" s="15"/>
      <c r="O3438" s="15"/>
      <c r="P3438" s="15"/>
      <c r="Q3438" s="71"/>
      <c r="R3438" s="84"/>
      <c r="S3438" s="10"/>
      <c r="T3438" s="10"/>
      <c r="U3438" s="10"/>
      <c r="V3438" s="10"/>
      <c r="W3438" s="138"/>
      <c r="Y3438"/>
      <c r="Z3438"/>
      <c r="AA3438"/>
      <c r="AB3438"/>
      <c r="AC3438"/>
      <c r="AD3438"/>
      <c r="AE3438"/>
      <c r="AF3438"/>
      <c r="AG3438"/>
      <c r="AH3438"/>
      <c r="AI3438"/>
      <c r="AJ3438"/>
      <c r="AK3438"/>
      <c r="AL3438"/>
      <c r="AM3438"/>
      <c r="AN3438"/>
      <c r="AO3438"/>
    </row>
    <row r="3439" spans="1:41" ht="15">
      <c r="A3439"/>
      <c r="B3439"/>
      <c r="C3439" s="137"/>
      <c r="D3439" s="30"/>
      <c r="E3439" s="30"/>
      <c r="F3439" s="10"/>
      <c r="G3439" s="10"/>
      <c r="H3439" s="15"/>
      <c r="I3439" s="15"/>
      <c r="J3439" s="15"/>
      <c r="K3439" s="15"/>
      <c r="L3439" s="15"/>
      <c r="M3439" s="15"/>
      <c r="N3439" s="15"/>
      <c r="O3439" s="15"/>
      <c r="P3439" s="15"/>
      <c r="Q3439" s="71"/>
      <c r="R3439" s="84"/>
      <c r="S3439" s="10"/>
      <c r="T3439" s="10"/>
      <c r="U3439" s="10"/>
      <c r="V3439" s="10"/>
      <c r="W3439" s="138"/>
      <c r="Y3439"/>
      <c r="Z3439"/>
      <c r="AA3439"/>
      <c r="AB3439"/>
      <c r="AC3439"/>
      <c r="AD3439"/>
      <c r="AE3439"/>
      <c r="AF3439"/>
      <c r="AG3439"/>
      <c r="AH3439"/>
      <c r="AI3439"/>
      <c r="AJ3439"/>
      <c r="AK3439"/>
      <c r="AL3439"/>
      <c r="AM3439"/>
      <c r="AN3439"/>
      <c r="AO3439"/>
    </row>
    <row r="3440" spans="1:41" ht="15">
      <c r="A3440"/>
      <c r="B3440"/>
      <c r="C3440" s="137"/>
      <c r="D3440" s="30"/>
      <c r="E3440" s="30"/>
      <c r="F3440" s="10"/>
      <c r="G3440" s="10"/>
      <c r="H3440" s="15"/>
      <c r="I3440" s="15"/>
      <c r="J3440" s="15"/>
      <c r="K3440" s="15"/>
      <c r="L3440" s="15"/>
      <c r="M3440" s="15"/>
      <c r="N3440" s="15"/>
      <c r="O3440" s="15"/>
      <c r="P3440" s="15"/>
      <c r="Q3440" s="71"/>
      <c r="R3440" s="84"/>
      <c r="S3440" s="10"/>
      <c r="T3440" s="10"/>
      <c r="U3440" s="10"/>
      <c r="V3440" s="10"/>
      <c r="W3440" s="138"/>
      <c r="Y3440"/>
      <c r="Z3440"/>
      <c r="AA3440"/>
      <c r="AB3440"/>
      <c r="AC3440"/>
      <c r="AD3440"/>
      <c r="AE3440"/>
      <c r="AF3440"/>
      <c r="AG3440"/>
      <c r="AH3440"/>
      <c r="AI3440"/>
      <c r="AJ3440"/>
      <c r="AK3440"/>
      <c r="AL3440"/>
      <c r="AM3440"/>
      <c r="AN3440"/>
      <c r="AO3440"/>
    </row>
    <row r="3441" spans="1:41" ht="15">
      <c r="A3441"/>
      <c r="B3441"/>
      <c r="C3441" s="137"/>
      <c r="D3441" s="30"/>
      <c r="E3441" s="30"/>
      <c r="F3441" s="10"/>
      <c r="G3441" s="10"/>
      <c r="H3441" s="15"/>
      <c r="I3441" s="15"/>
      <c r="J3441" s="15"/>
      <c r="K3441" s="15"/>
      <c r="L3441" s="15"/>
      <c r="M3441" s="15"/>
      <c r="N3441" s="15"/>
      <c r="O3441" s="15"/>
      <c r="P3441" s="15"/>
      <c r="Q3441" s="71"/>
      <c r="R3441" s="84"/>
      <c r="S3441" s="10"/>
      <c r="T3441" s="10"/>
      <c r="U3441" s="10"/>
      <c r="V3441" s="10"/>
      <c r="W3441" s="138"/>
      <c r="Y3441"/>
      <c r="Z3441"/>
      <c r="AA3441"/>
      <c r="AB3441"/>
      <c r="AC3441"/>
      <c r="AD3441"/>
      <c r="AE3441"/>
      <c r="AF3441"/>
      <c r="AG3441"/>
      <c r="AH3441"/>
      <c r="AI3441"/>
      <c r="AJ3441"/>
      <c r="AK3441"/>
      <c r="AL3441"/>
      <c r="AM3441"/>
      <c r="AN3441"/>
      <c r="AO3441"/>
    </row>
    <row r="3442" spans="1:41" ht="15">
      <c r="A3442"/>
      <c r="B3442"/>
      <c r="C3442" s="137"/>
      <c r="D3442" s="30"/>
      <c r="E3442" s="30"/>
      <c r="F3442" s="10"/>
      <c r="G3442" s="10"/>
      <c r="H3442" s="15"/>
      <c r="I3442" s="15"/>
      <c r="J3442" s="15"/>
      <c r="K3442" s="15"/>
      <c r="L3442" s="15"/>
      <c r="M3442" s="15"/>
      <c r="N3442" s="15"/>
      <c r="O3442" s="15"/>
      <c r="P3442" s="15"/>
      <c r="Q3442" s="71"/>
      <c r="R3442" s="84"/>
      <c r="S3442" s="10"/>
      <c r="T3442" s="10"/>
      <c r="U3442" s="10"/>
      <c r="V3442" s="10"/>
      <c r="W3442" s="138"/>
      <c r="Y3442"/>
      <c r="Z3442"/>
      <c r="AA3442"/>
      <c r="AB3442"/>
      <c r="AC3442"/>
      <c r="AD3442"/>
      <c r="AE3442"/>
      <c r="AF3442"/>
      <c r="AG3442"/>
      <c r="AH3442"/>
      <c r="AI3442"/>
      <c r="AJ3442"/>
      <c r="AK3442"/>
      <c r="AL3442"/>
      <c r="AM3442"/>
      <c r="AN3442"/>
      <c r="AO3442"/>
    </row>
    <row r="3443" spans="1:41" ht="15">
      <c r="A3443"/>
      <c r="B3443"/>
      <c r="C3443" s="137"/>
      <c r="D3443" s="30"/>
      <c r="E3443" s="30"/>
      <c r="F3443" s="10"/>
      <c r="G3443" s="10"/>
      <c r="H3443" s="15"/>
      <c r="I3443" s="15"/>
      <c r="J3443" s="15"/>
      <c r="K3443" s="15"/>
      <c r="L3443" s="15"/>
      <c r="M3443" s="15"/>
      <c r="N3443" s="15"/>
      <c r="O3443" s="15"/>
      <c r="P3443" s="15"/>
      <c r="Q3443" s="71"/>
      <c r="R3443" s="84"/>
      <c r="S3443" s="10"/>
      <c r="T3443" s="10"/>
      <c r="U3443" s="10"/>
      <c r="V3443" s="10"/>
      <c r="W3443" s="138"/>
      <c r="Y3443"/>
      <c r="Z3443"/>
      <c r="AA3443"/>
      <c r="AB3443"/>
      <c r="AC3443"/>
      <c r="AD3443"/>
      <c r="AE3443"/>
      <c r="AF3443"/>
      <c r="AG3443"/>
      <c r="AH3443"/>
      <c r="AI3443"/>
      <c r="AJ3443"/>
      <c r="AK3443"/>
      <c r="AL3443"/>
      <c r="AM3443"/>
      <c r="AN3443"/>
      <c r="AO3443"/>
    </row>
    <row r="3444" spans="1:41" ht="15">
      <c r="A3444"/>
      <c r="B3444"/>
      <c r="C3444" s="137"/>
      <c r="D3444" s="30"/>
      <c r="E3444" s="30"/>
      <c r="F3444" s="10"/>
      <c r="G3444" s="10"/>
      <c r="H3444" s="15"/>
      <c r="I3444" s="15"/>
      <c r="J3444" s="15"/>
      <c r="K3444" s="15"/>
      <c r="L3444" s="15"/>
      <c r="M3444" s="15"/>
      <c r="N3444" s="15"/>
      <c r="O3444" s="15"/>
      <c r="P3444" s="15"/>
      <c r="Q3444" s="71"/>
      <c r="R3444" s="84"/>
      <c r="S3444" s="10"/>
      <c r="T3444" s="10"/>
      <c r="U3444" s="10"/>
      <c r="V3444" s="10"/>
      <c r="W3444" s="138"/>
      <c r="Y3444"/>
      <c r="Z3444"/>
      <c r="AA3444"/>
      <c r="AB3444"/>
      <c r="AC3444"/>
      <c r="AD3444"/>
      <c r="AE3444"/>
      <c r="AF3444"/>
      <c r="AG3444"/>
      <c r="AH3444"/>
      <c r="AI3444"/>
      <c r="AJ3444"/>
      <c r="AK3444"/>
      <c r="AL3444"/>
      <c r="AM3444"/>
      <c r="AN3444"/>
      <c r="AO3444"/>
    </row>
    <row r="3445" spans="1:41" ht="15">
      <c r="A3445"/>
      <c r="B3445"/>
      <c r="C3445" s="137"/>
      <c r="D3445" s="30"/>
      <c r="E3445" s="30"/>
      <c r="F3445" s="10"/>
      <c r="G3445" s="10"/>
      <c r="H3445" s="15"/>
      <c r="I3445" s="15"/>
      <c r="J3445" s="15"/>
      <c r="K3445" s="15"/>
      <c r="L3445" s="15"/>
      <c r="M3445" s="15"/>
      <c r="N3445" s="15"/>
      <c r="O3445" s="15"/>
      <c r="P3445" s="15"/>
      <c r="Q3445" s="71"/>
      <c r="R3445" s="84"/>
      <c r="S3445" s="10"/>
      <c r="T3445" s="10"/>
      <c r="U3445" s="10"/>
      <c r="V3445" s="10"/>
      <c r="W3445" s="138"/>
      <c r="Y3445"/>
      <c r="Z3445"/>
      <c r="AA3445"/>
      <c r="AB3445"/>
      <c r="AC3445"/>
      <c r="AD3445"/>
      <c r="AE3445"/>
      <c r="AF3445"/>
      <c r="AG3445"/>
      <c r="AH3445"/>
      <c r="AI3445"/>
      <c r="AJ3445"/>
      <c r="AK3445"/>
      <c r="AL3445"/>
      <c r="AM3445"/>
      <c r="AN3445"/>
      <c r="AO3445"/>
    </row>
    <row r="3446" spans="1:41" ht="15">
      <c r="A3446"/>
      <c r="B3446"/>
      <c r="C3446" s="137"/>
      <c r="D3446" s="30"/>
      <c r="E3446" s="30"/>
      <c r="F3446" s="10"/>
      <c r="G3446" s="10"/>
      <c r="H3446" s="15"/>
      <c r="I3446" s="15"/>
      <c r="J3446" s="15"/>
      <c r="K3446" s="15"/>
      <c r="L3446" s="15"/>
      <c r="M3446" s="15"/>
      <c r="N3446" s="15"/>
      <c r="O3446" s="15"/>
      <c r="P3446" s="15"/>
      <c r="Q3446" s="71"/>
      <c r="R3446" s="84"/>
      <c r="S3446" s="10"/>
      <c r="T3446" s="10"/>
      <c r="U3446" s="10"/>
      <c r="V3446" s="10"/>
      <c r="W3446" s="138"/>
      <c r="Y3446"/>
      <c r="Z3446"/>
      <c r="AA3446"/>
      <c r="AB3446"/>
      <c r="AC3446"/>
      <c r="AD3446"/>
      <c r="AE3446"/>
      <c r="AF3446"/>
      <c r="AG3446"/>
      <c r="AH3446"/>
      <c r="AI3446"/>
      <c r="AJ3446"/>
      <c r="AK3446"/>
      <c r="AL3446"/>
      <c r="AM3446"/>
      <c r="AN3446"/>
      <c r="AO3446"/>
    </row>
    <row r="3447" spans="1:41" ht="15">
      <c r="A3447"/>
      <c r="B3447"/>
      <c r="C3447" s="137"/>
      <c r="D3447" s="30"/>
      <c r="E3447" s="30"/>
      <c r="F3447" s="10"/>
      <c r="G3447" s="10"/>
      <c r="H3447" s="15"/>
      <c r="I3447" s="15"/>
      <c r="J3447" s="15"/>
      <c r="K3447" s="15"/>
      <c r="L3447" s="15"/>
      <c r="M3447" s="15"/>
      <c r="N3447" s="15"/>
      <c r="O3447" s="15"/>
      <c r="P3447" s="15"/>
      <c r="Q3447" s="71"/>
      <c r="R3447" s="84"/>
      <c r="S3447" s="10"/>
      <c r="T3447" s="10"/>
      <c r="U3447" s="10"/>
      <c r="V3447" s="10"/>
      <c r="W3447" s="138"/>
      <c r="Y3447"/>
      <c r="Z3447"/>
      <c r="AA3447"/>
      <c r="AB3447"/>
      <c r="AC3447"/>
      <c r="AD3447"/>
      <c r="AE3447"/>
      <c r="AF3447"/>
      <c r="AG3447"/>
      <c r="AH3447"/>
      <c r="AI3447"/>
      <c r="AJ3447"/>
      <c r="AK3447"/>
      <c r="AL3447"/>
      <c r="AM3447"/>
      <c r="AN3447"/>
      <c r="AO3447"/>
    </row>
    <row r="3448" spans="1:41" ht="15">
      <c r="A3448"/>
      <c r="B3448"/>
      <c r="C3448" s="137"/>
      <c r="D3448" s="30"/>
      <c r="E3448" s="30"/>
      <c r="F3448" s="10"/>
      <c r="G3448" s="10"/>
      <c r="H3448" s="15"/>
      <c r="I3448" s="15"/>
      <c r="J3448" s="15"/>
      <c r="K3448" s="15"/>
      <c r="L3448" s="15"/>
      <c r="M3448" s="15"/>
      <c r="N3448" s="15"/>
      <c r="O3448" s="15"/>
      <c r="P3448" s="15"/>
      <c r="Q3448" s="71"/>
      <c r="R3448" s="84"/>
      <c r="S3448" s="10"/>
      <c r="T3448" s="10"/>
      <c r="U3448" s="10"/>
      <c r="V3448" s="10"/>
      <c r="W3448" s="138"/>
      <c r="Y3448"/>
      <c r="Z3448"/>
      <c r="AA3448"/>
      <c r="AB3448"/>
      <c r="AC3448"/>
      <c r="AD3448"/>
      <c r="AE3448"/>
      <c r="AF3448"/>
      <c r="AG3448"/>
      <c r="AH3448"/>
      <c r="AI3448"/>
      <c r="AJ3448"/>
      <c r="AK3448"/>
      <c r="AL3448"/>
      <c r="AM3448"/>
      <c r="AN3448"/>
      <c r="AO3448"/>
    </row>
    <row r="3449" spans="1:41" ht="15">
      <c r="A3449"/>
      <c r="B3449"/>
      <c r="C3449" s="137"/>
      <c r="D3449" s="30"/>
      <c r="E3449" s="30"/>
      <c r="F3449" s="10"/>
      <c r="G3449" s="10"/>
      <c r="H3449" s="15"/>
      <c r="I3449" s="15"/>
      <c r="J3449" s="15"/>
      <c r="K3449" s="15"/>
      <c r="L3449" s="15"/>
      <c r="M3449" s="15"/>
      <c r="N3449" s="15"/>
      <c r="O3449" s="15"/>
      <c r="P3449" s="15"/>
      <c r="Q3449" s="71"/>
      <c r="R3449" s="84"/>
      <c r="S3449" s="10"/>
      <c r="T3449" s="10"/>
      <c r="U3449" s="10"/>
      <c r="V3449" s="10"/>
      <c r="W3449" s="138"/>
      <c r="Y3449"/>
      <c r="Z3449"/>
      <c r="AA3449"/>
      <c r="AB3449"/>
      <c r="AC3449"/>
      <c r="AD3449"/>
      <c r="AE3449"/>
      <c r="AF3449"/>
      <c r="AG3449"/>
      <c r="AH3449"/>
      <c r="AI3449"/>
      <c r="AJ3449"/>
      <c r="AK3449"/>
      <c r="AL3449"/>
      <c r="AM3449"/>
      <c r="AN3449"/>
      <c r="AO3449"/>
    </row>
    <row r="3450" spans="1:41" ht="15">
      <c r="A3450"/>
      <c r="B3450"/>
      <c r="C3450" s="137"/>
      <c r="D3450" s="30"/>
      <c r="E3450" s="30"/>
      <c r="F3450" s="10"/>
      <c r="G3450" s="10"/>
      <c r="H3450" s="15"/>
      <c r="I3450" s="15"/>
      <c r="J3450" s="15"/>
      <c r="K3450" s="15"/>
      <c r="L3450" s="15"/>
      <c r="M3450" s="15"/>
      <c r="N3450" s="15"/>
      <c r="O3450" s="15"/>
      <c r="P3450" s="15"/>
      <c r="Q3450" s="71"/>
      <c r="R3450" s="84"/>
      <c r="S3450" s="10"/>
      <c r="T3450" s="10"/>
      <c r="U3450" s="10"/>
      <c r="V3450" s="10"/>
      <c r="W3450" s="138"/>
      <c r="Y3450"/>
      <c r="Z3450"/>
      <c r="AA3450"/>
      <c r="AB3450"/>
      <c r="AC3450"/>
      <c r="AD3450"/>
      <c r="AE3450"/>
      <c r="AF3450"/>
      <c r="AG3450"/>
      <c r="AH3450"/>
      <c r="AI3450"/>
      <c r="AJ3450"/>
      <c r="AK3450"/>
      <c r="AL3450"/>
      <c r="AM3450"/>
      <c r="AN3450"/>
      <c r="AO3450"/>
    </row>
    <row r="3451" spans="1:41" ht="15">
      <c r="A3451"/>
      <c r="B3451"/>
      <c r="C3451" s="137"/>
      <c r="D3451" s="30"/>
      <c r="E3451" s="30"/>
      <c r="F3451" s="10"/>
      <c r="G3451" s="10"/>
      <c r="H3451" s="15"/>
      <c r="I3451" s="15"/>
      <c r="J3451" s="15"/>
      <c r="K3451" s="15"/>
      <c r="L3451" s="15"/>
      <c r="M3451" s="15"/>
      <c r="N3451" s="15"/>
      <c r="O3451" s="15"/>
      <c r="P3451" s="15"/>
      <c r="Q3451" s="71"/>
      <c r="R3451" s="84"/>
      <c r="S3451" s="10"/>
      <c r="T3451" s="10"/>
      <c r="U3451" s="10"/>
      <c r="V3451" s="10"/>
      <c r="W3451" s="138"/>
      <c r="Y3451"/>
      <c r="Z3451"/>
      <c r="AA3451"/>
      <c r="AB3451"/>
      <c r="AC3451"/>
      <c r="AD3451"/>
      <c r="AE3451"/>
      <c r="AF3451"/>
      <c r="AG3451"/>
      <c r="AH3451"/>
      <c r="AI3451"/>
      <c r="AJ3451"/>
      <c r="AK3451"/>
      <c r="AL3451"/>
      <c r="AM3451"/>
      <c r="AN3451"/>
      <c r="AO3451"/>
    </row>
    <row r="3452" spans="1:41" ht="15">
      <c r="A3452"/>
      <c r="B3452"/>
      <c r="C3452" s="137"/>
      <c r="D3452" s="30"/>
      <c r="E3452" s="30"/>
      <c r="F3452" s="10"/>
      <c r="G3452" s="10"/>
      <c r="H3452" s="15"/>
      <c r="I3452" s="15"/>
      <c r="J3452" s="15"/>
      <c r="K3452" s="15"/>
      <c r="L3452" s="15"/>
      <c r="M3452" s="15"/>
      <c r="N3452" s="15"/>
      <c r="O3452" s="15"/>
      <c r="P3452" s="15"/>
      <c r="Q3452" s="71"/>
      <c r="R3452" s="84"/>
      <c r="S3452" s="10"/>
      <c r="T3452" s="10"/>
      <c r="U3452" s="10"/>
      <c r="V3452" s="10"/>
      <c r="W3452" s="138"/>
      <c r="Y3452"/>
      <c r="Z3452"/>
      <c r="AA3452"/>
      <c r="AB3452"/>
      <c r="AC3452"/>
      <c r="AD3452"/>
      <c r="AE3452"/>
      <c r="AF3452"/>
      <c r="AG3452"/>
      <c r="AH3452"/>
      <c r="AI3452"/>
      <c r="AJ3452"/>
      <c r="AK3452"/>
      <c r="AL3452"/>
      <c r="AM3452"/>
      <c r="AN3452"/>
      <c r="AO3452"/>
    </row>
    <row r="3453" spans="1:41" ht="15">
      <c r="A3453"/>
      <c r="B3453"/>
      <c r="C3453" s="137"/>
      <c r="D3453" s="30"/>
      <c r="E3453" s="30"/>
      <c r="F3453" s="10"/>
      <c r="G3453" s="10"/>
      <c r="H3453" s="15"/>
      <c r="I3453" s="15"/>
      <c r="J3453" s="15"/>
      <c r="K3453" s="15"/>
      <c r="L3453" s="15"/>
      <c r="M3453" s="15"/>
      <c r="N3453" s="15"/>
      <c r="O3453" s="15"/>
      <c r="P3453" s="15"/>
      <c r="Q3453" s="71"/>
      <c r="R3453" s="84"/>
      <c r="S3453" s="10"/>
      <c r="T3453" s="10"/>
      <c r="U3453" s="10"/>
      <c r="V3453" s="10"/>
      <c r="W3453" s="138"/>
      <c r="Y3453"/>
      <c r="Z3453"/>
      <c r="AA3453"/>
      <c r="AB3453"/>
      <c r="AC3453"/>
      <c r="AD3453"/>
      <c r="AE3453"/>
      <c r="AF3453"/>
      <c r="AG3453"/>
      <c r="AH3453"/>
      <c r="AI3453"/>
      <c r="AJ3453"/>
      <c r="AK3453"/>
      <c r="AL3453"/>
      <c r="AM3453"/>
      <c r="AN3453"/>
      <c r="AO3453"/>
    </row>
    <row r="3454" spans="1:41" ht="15">
      <c r="A3454"/>
      <c r="B3454"/>
      <c r="C3454" s="137"/>
      <c r="D3454" s="30"/>
      <c r="E3454" s="30"/>
      <c r="F3454" s="10"/>
      <c r="G3454" s="10"/>
      <c r="H3454" s="15"/>
      <c r="I3454" s="15"/>
      <c r="J3454" s="15"/>
      <c r="K3454" s="15"/>
      <c r="L3454" s="15"/>
      <c r="M3454" s="15"/>
      <c r="N3454" s="15"/>
      <c r="O3454" s="15"/>
      <c r="P3454" s="15"/>
      <c r="Q3454" s="71"/>
      <c r="R3454" s="84"/>
      <c r="S3454" s="10"/>
      <c r="T3454" s="10"/>
      <c r="U3454" s="10"/>
      <c r="V3454" s="10"/>
      <c r="W3454" s="138"/>
      <c r="Y3454"/>
      <c r="Z3454"/>
      <c r="AA3454"/>
      <c r="AB3454"/>
      <c r="AC3454"/>
      <c r="AD3454"/>
      <c r="AE3454"/>
      <c r="AF3454"/>
      <c r="AG3454"/>
      <c r="AH3454"/>
      <c r="AI3454"/>
      <c r="AJ3454"/>
      <c r="AK3454"/>
      <c r="AL3454"/>
      <c r="AM3454"/>
      <c r="AN3454"/>
      <c r="AO3454"/>
    </row>
    <row r="3455" spans="1:41" ht="15">
      <c r="A3455"/>
      <c r="B3455"/>
      <c r="C3455" s="137"/>
      <c r="D3455" s="30"/>
      <c r="E3455" s="30"/>
      <c r="F3455" s="10"/>
      <c r="G3455" s="10"/>
      <c r="H3455" s="15"/>
      <c r="I3455" s="15"/>
      <c r="J3455" s="15"/>
      <c r="K3455" s="15"/>
      <c r="L3455" s="15"/>
      <c r="M3455" s="15"/>
      <c r="N3455" s="15"/>
      <c r="O3455" s="15"/>
      <c r="P3455" s="15"/>
      <c r="Q3455" s="71"/>
      <c r="R3455" s="84"/>
      <c r="S3455" s="10"/>
      <c r="T3455" s="10"/>
      <c r="U3455" s="10"/>
      <c r="V3455" s="10"/>
      <c r="W3455" s="138"/>
      <c r="Y3455"/>
      <c r="Z3455"/>
      <c r="AA3455"/>
      <c r="AB3455"/>
      <c r="AC3455"/>
      <c r="AD3455"/>
      <c r="AE3455"/>
      <c r="AF3455"/>
      <c r="AG3455"/>
      <c r="AH3455"/>
      <c r="AI3455"/>
      <c r="AJ3455"/>
      <c r="AK3455"/>
      <c r="AL3455"/>
      <c r="AM3455"/>
      <c r="AN3455"/>
      <c r="AO3455"/>
    </row>
    <row r="3456" spans="1:41" ht="15">
      <c r="A3456"/>
      <c r="B3456"/>
      <c r="C3456" s="137"/>
      <c r="D3456" s="30"/>
      <c r="E3456" s="30"/>
      <c r="F3456" s="10"/>
      <c r="G3456" s="10"/>
      <c r="H3456" s="15"/>
      <c r="I3456" s="15"/>
      <c r="J3456" s="15"/>
      <c r="K3456" s="15"/>
      <c r="L3456" s="15"/>
      <c r="M3456" s="15"/>
      <c r="N3456" s="15"/>
      <c r="O3456" s="15"/>
      <c r="P3456" s="15"/>
      <c r="Q3456" s="71"/>
      <c r="R3456" s="84"/>
      <c r="S3456" s="10"/>
      <c r="T3456" s="10"/>
      <c r="U3456" s="10"/>
      <c r="V3456" s="10"/>
      <c r="W3456" s="138"/>
      <c r="Y3456"/>
      <c r="Z3456"/>
      <c r="AA3456"/>
      <c r="AB3456"/>
      <c r="AC3456"/>
      <c r="AD3456"/>
      <c r="AE3456"/>
      <c r="AF3456"/>
      <c r="AG3456"/>
      <c r="AH3456"/>
      <c r="AI3456"/>
      <c r="AJ3456"/>
      <c r="AK3456"/>
      <c r="AL3456"/>
      <c r="AM3456"/>
      <c r="AN3456"/>
      <c r="AO3456"/>
    </row>
    <row r="3457" spans="1:41" ht="15">
      <c r="A3457"/>
      <c r="B3457"/>
      <c r="C3457" s="137"/>
      <c r="D3457" s="30"/>
      <c r="E3457" s="30"/>
      <c r="F3457" s="10"/>
      <c r="G3457" s="10"/>
      <c r="H3457" s="15"/>
      <c r="I3457" s="15"/>
      <c r="J3457" s="15"/>
      <c r="K3457" s="15"/>
      <c r="L3457" s="15"/>
      <c r="M3457" s="15"/>
      <c r="N3457" s="15"/>
      <c r="O3457" s="15"/>
      <c r="P3457" s="15"/>
      <c r="Q3457" s="71"/>
      <c r="R3457" s="84"/>
      <c r="S3457" s="10"/>
      <c r="T3457" s="10"/>
      <c r="U3457" s="10"/>
      <c r="V3457" s="10"/>
      <c r="W3457" s="138"/>
      <c r="Y3457"/>
      <c r="Z3457"/>
      <c r="AA3457"/>
      <c r="AB3457"/>
      <c r="AC3457"/>
      <c r="AD3457"/>
      <c r="AE3457"/>
      <c r="AF3457"/>
      <c r="AG3457"/>
      <c r="AH3457"/>
      <c r="AI3457"/>
      <c r="AJ3457"/>
      <c r="AK3457"/>
      <c r="AL3457"/>
      <c r="AM3457"/>
      <c r="AN3457"/>
      <c r="AO3457"/>
    </row>
    <row r="3458" spans="1:41" ht="15">
      <c r="A3458"/>
      <c r="B3458"/>
      <c r="C3458" s="137"/>
      <c r="D3458" s="30"/>
      <c r="E3458" s="30"/>
      <c r="F3458" s="10"/>
      <c r="G3458" s="10"/>
      <c r="H3458" s="15"/>
      <c r="I3458" s="15"/>
      <c r="J3458" s="15"/>
      <c r="K3458" s="15"/>
      <c r="L3458" s="15"/>
      <c r="M3458" s="15"/>
      <c r="N3458" s="15"/>
      <c r="O3458" s="15"/>
      <c r="P3458" s="15"/>
      <c r="Q3458" s="71"/>
      <c r="R3458" s="84"/>
      <c r="S3458" s="10"/>
      <c r="T3458" s="10"/>
      <c r="U3458" s="10"/>
      <c r="V3458" s="10"/>
      <c r="W3458" s="138"/>
      <c r="Y3458"/>
      <c r="Z3458"/>
      <c r="AA3458"/>
      <c r="AB3458"/>
      <c r="AC3458"/>
      <c r="AD3458"/>
      <c r="AE3458"/>
      <c r="AF3458"/>
      <c r="AG3458"/>
      <c r="AH3458"/>
      <c r="AI3458"/>
      <c r="AJ3458"/>
      <c r="AK3458"/>
      <c r="AL3458"/>
      <c r="AM3458"/>
      <c r="AN3458"/>
      <c r="AO3458"/>
    </row>
    <row r="3459" spans="1:41" ht="15">
      <c r="A3459"/>
      <c r="B3459"/>
      <c r="C3459" s="137"/>
      <c r="D3459" s="30"/>
      <c r="E3459" s="30"/>
      <c r="F3459" s="10"/>
      <c r="G3459" s="10"/>
      <c r="H3459" s="15"/>
      <c r="I3459" s="15"/>
      <c r="J3459" s="15"/>
      <c r="K3459" s="15"/>
      <c r="L3459" s="15"/>
      <c r="M3459" s="15"/>
      <c r="N3459" s="15"/>
      <c r="O3459" s="15"/>
      <c r="P3459" s="15"/>
      <c r="Q3459" s="71"/>
      <c r="R3459" s="84"/>
      <c r="S3459" s="10"/>
      <c r="T3459" s="10"/>
      <c r="U3459" s="10"/>
      <c r="V3459" s="10"/>
      <c r="W3459" s="138"/>
      <c r="Y3459"/>
      <c r="Z3459"/>
      <c r="AA3459"/>
      <c r="AB3459"/>
      <c r="AC3459"/>
      <c r="AD3459"/>
      <c r="AE3459"/>
      <c r="AF3459"/>
      <c r="AG3459"/>
      <c r="AH3459"/>
      <c r="AI3459"/>
      <c r="AJ3459"/>
      <c r="AK3459"/>
      <c r="AL3459"/>
      <c r="AM3459"/>
      <c r="AN3459"/>
      <c r="AO3459"/>
    </row>
    <row r="3460" spans="1:41" ht="15">
      <c r="A3460"/>
      <c r="B3460"/>
      <c r="C3460" s="137"/>
      <c r="D3460" s="30"/>
      <c r="E3460" s="30"/>
      <c r="F3460" s="10"/>
      <c r="G3460" s="10"/>
      <c r="H3460" s="15"/>
      <c r="I3460" s="15"/>
      <c r="J3460" s="15"/>
      <c r="K3460" s="15"/>
      <c r="L3460" s="15"/>
      <c r="M3460" s="15"/>
      <c r="N3460" s="15"/>
      <c r="O3460" s="15"/>
      <c r="P3460" s="15"/>
      <c r="Q3460" s="71"/>
      <c r="R3460" s="84"/>
      <c r="S3460" s="10"/>
      <c r="T3460" s="10"/>
      <c r="U3460" s="10"/>
      <c r="V3460" s="10"/>
      <c r="W3460" s="138"/>
      <c r="Y3460"/>
      <c r="Z3460"/>
      <c r="AA3460"/>
      <c r="AB3460"/>
      <c r="AC3460"/>
      <c r="AD3460"/>
      <c r="AE3460"/>
      <c r="AF3460"/>
      <c r="AG3460"/>
      <c r="AH3460"/>
      <c r="AI3460"/>
      <c r="AJ3460"/>
      <c r="AK3460"/>
      <c r="AL3460"/>
      <c r="AM3460"/>
      <c r="AN3460"/>
      <c r="AO3460"/>
    </row>
    <row r="3461" spans="1:41" ht="15">
      <c r="A3461"/>
      <c r="B3461"/>
      <c r="C3461" s="137"/>
      <c r="D3461" s="30"/>
      <c r="E3461" s="30"/>
      <c r="F3461" s="10"/>
      <c r="G3461" s="10"/>
      <c r="H3461" s="15"/>
      <c r="I3461" s="15"/>
      <c r="J3461" s="15"/>
      <c r="K3461" s="15"/>
      <c r="L3461" s="15"/>
      <c r="M3461" s="15"/>
      <c r="N3461" s="15"/>
      <c r="O3461" s="15"/>
      <c r="P3461" s="15"/>
      <c r="Q3461" s="71"/>
      <c r="R3461" s="84"/>
      <c r="S3461" s="10"/>
      <c r="T3461" s="10"/>
      <c r="U3461" s="10"/>
      <c r="V3461" s="10"/>
      <c r="W3461" s="138"/>
      <c r="Y3461"/>
      <c r="Z3461"/>
      <c r="AA3461"/>
      <c r="AB3461"/>
      <c r="AC3461"/>
      <c r="AD3461"/>
      <c r="AE3461"/>
      <c r="AF3461"/>
      <c r="AG3461"/>
      <c r="AH3461"/>
      <c r="AI3461"/>
      <c r="AJ3461"/>
      <c r="AK3461"/>
      <c r="AL3461"/>
      <c r="AM3461"/>
      <c r="AN3461"/>
      <c r="AO3461"/>
    </row>
    <row r="3462" spans="1:41" ht="15">
      <c r="A3462"/>
      <c r="B3462"/>
      <c r="C3462" s="137"/>
      <c r="D3462" s="30"/>
      <c r="E3462" s="30"/>
      <c r="F3462" s="10"/>
      <c r="G3462" s="10"/>
      <c r="H3462" s="15"/>
      <c r="I3462" s="15"/>
      <c r="J3462" s="15"/>
      <c r="K3462" s="15"/>
      <c r="L3462" s="15"/>
      <c r="M3462" s="15"/>
      <c r="N3462" s="15"/>
      <c r="O3462" s="15"/>
      <c r="P3462" s="15"/>
      <c r="Q3462" s="71"/>
      <c r="R3462" s="84"/>
      <c r="S3462" s="10"/>
      <c r="T3462" s="10"/>
      <c r="U3462" s="10"/>
      <c r="V3462" s="10"/>
      <c r="W3462" s="138"/>
      <c r="Y3462"/>
      <c r="Z3462"/>
      <c r="AA3462"/>
      <c r="AB3462"/>
      <c r="AC3462"/>
      <c r="AD3462"/>
      <c r="AE3462"/>
      <c r="AF3462"/>
      <c r="AG3462"/>
      <c r="AH3462"/>
      <c r="AI3462"/>
      <c r="AJ3462"/>
      <c r="AK3462"/>
      <c r="AL3462"/>
      <c r="AM3462"/>
      <c r="AN3462"/>
      <c r="AO3462"/>
    </row>
    <row r="3463" spans="1:41" ht="15">
      <c r="A3463"/>
      <c r="B3463"/>
      <c r="C3463" s="137"/>
      <c r="D3463" s="30"/>
      <c r="E3463" s="30"/>
      <c r="F3463" s="10"/>
      <c r="G3463" s="10"/>
      <c r="H3463" s="15"/>
      <c r="I3463" s="15"/>
      <c r="J3463" s="15"/>
      <c r="K3463" s="15"/>
      <c r="L3463" s="15"/>
      <c r="M3463" s="15"/>
      <c r="N3463" s="15"/>
      <c r="O3463" s="15"/>
      <c r="P3463" s="15"/>
      <c r="Q3463" s="71"/>
      <c r="R3463" s="84"/>
      <c r="S3463" s="10"/>
      <c r="T3463" s="10"/>
      <c r="U3463" s="10"/>
      <c r="V3463" s="10"/>
      <c r="W3463" s="138"/>
      <c r="Y3463"/>
      <c r="Z3463"/>
      <c r="AA3463"/>
      <c r="AB3463"/>
      <c r="AC3463"/>
      <c r="AD3463"/>
      <c r="AE3463"/>
      <c r="AF3463"/>
      <c r="AG3463"/>
      <c r="AH3463"/>
      <c r="AI3463"/>
      <c r="AJ3463"/>
      <c r="AK3463"/>
      <c r="AL3463"/>
      <c r="AM3463"/>
      <c r="AN3463"/>
      <c r="AO3463"/>
    </row>
    <row r="3464" spans="1:41" ht="15">
      <c r="A3464"/>
      <c r="B3464"/>
      <c r="C3464" s="137"/>
      <c r="D3464" s="30"/>
      <c r="E3464" s="30"/>
      <c r="F3464" s="10"/>
      <c r="G3464" s="10"/>
      <c r="H3464" s="15"/>
      <c r="I3464" s="15"/>
      <c r="J3464" s="15"/>
      <c r="K3464" s="15"/>
      <c r="L3464" s="15"/>
      <c r="M3464" s="15"/>
      <c r="N3464" s="15"/>
      <c r="O3464" s="15"/>
      <c r="P3464" s="15"/>
      <c r="Q3464" s="71"/>
      <c r="R3464" s="84"/>
      <c r="S3464" s="10"/>
      <c r="T3464" s="10"/>
      <c r="U3464" s="10"/>
      <c r="V3464" s="10"/>
      <c r="W3464" s="138"/>
      <c r="Y3464"/>
      <c r="Z3464"/>
      <c r="AA3464"/>
      <c r="AB3464"/>
      <c r="AC3464"/>
      <c r="AD3464"/>
      <c r="AE3464"/>
      <c r="AF3464"/>
      <c r="AG3464"/>
      <c r="AH3464"/>
      <c r="AI3464"/>
      <c r="AJ3464"/>
      <c r="AK3464"/>
      <c r="AL3464"/>
      <c r="AM3464"/>
      <c r="AN3464"/>
      <c r="AO3464"/>
    </row>
    <row r="3465" spans="1:41" ht="15">
      <c r="A3465"/>
      <c r="B3465"/>
      <c r="C3465" s="137"/>
      <c r="D3465" s="30"/>
      <c r="E3465" s="30"/>
      <c r="F3465" s="10"/>
      <c r="G3465" s="10"/>
      <c r="H3465" s="15"/>
      <c r="I3465" s="15"/>
      <c r="J3465" s="15"/>
      <c r="K3465" s="15"/>
      <c r="L3465" s="15"/>
      <c r="M3465" s="15"/>
      <c r="N3465" s="15"/>
      <c r="O3465" s="15"/>
      <c r="P3465" s="15"/>
      <c r="Q3465" s="71"/>
      <c r="R3465" s="84"/>
      <c r="S3465" s="10"/>
      <c r="T3465" s="10"/>
      <c r="U3465" s="10"/>
      <c r="V3465" s="10"/>
      <c r="W3465" s="138"/>
      <c r="Y3465"/>
      <c r="Z3465"/>
      <c r="AA3465"/>
      <c r="AB3465"/>
      <c r="AC3465"/>
      <c r="AD3465"/>
      <c r="AE3465"/>
      <c r="AF3465"/>
      <c r="AG3465"/>
      <c r="AH3465"/>
      <c r="AI3465"/>
      <c r="AJ3465"/>
      <c r="AK3465"/>
      <c r="AL3465"/>
      <c r="AM3465"/>
      <c r="AN3465"/>
      <c r="AO3465"/>
    </row>
    <row r="3466" spans="1:41" ht="15">
      <c r="A3466"/>
      <c r="B3466"/>
      <c r="C3466" s="137"/>
      <c r="D3466" s="30"/>
      <c r="E3466" s="30"/>
      <c r="F3466" s="10"/>
      <c r="G3466" s="10"/>
      <c r="H3466" s="15"/>
      <c r="I3466" s="15"/>
      <c r="J3466" s="15"/>
      <c r="K3466" s="15"/>
      <c r="L3466" s="15"/>
      <c r="M3466" s="15"/>
      <c r="N3466" s="15"/>
      <c r="O3466" s="15"/>
      <c r="P3466" s="15"/>
      <c r="Q3466" s="71"/>
      <c r="R3466" s="84"/>
      <c r="S3466" s="10"/>
      <c r="T3466" s="10"/>
      <c r="U3466" s="10"/>
      <c r="V3466" s="10"/>
      <c r="W3466" s="138"/>
      <c r="Y3466"/>
      <c r="Z3466"/>
      <c r="AA3466"/>
      <c r="AB3466"/>
      <c r="AC3466"/>
      <c r="AD3466"/>
      <c r="AE3466"/>
      <c r="AF3466"/>
      <c r="AG3466"/>
      <c r="AH3466"/>
      <c r="AI3466"/>
      <c r="AJ3466"/>
      <c r="AK3466"/>
      <c r="AL3466"/>
      <c r="AM3466"/>
      <c r="AN3466"/>
      <c r="AO3466"/>
    </row>
    <row r="3467" spans="1:41" ht="15">
      <c r="A3467"/>
      <c r="B3467"/>
      <c r="C3467" s="137"/>
      <c r="D3467" s="30"/>
      <c r="E3467" s="30"/>
      <c r="F3467" s="10"/>
      <c r="G3467" s="10"/>
      <c r="H3467" s="15"/>
      <c r="I3467" s="15"/>
      <c r="J3467" s="15"/>
      <c r="K3467" s="15"/>
      <c r="L3467" s="15"/>
      <c r="M3467" s="15"/>
      <c r="N3467" s="15"/>
      <c r="O3467" s="15"/>
      <c r="P3467" s="15"/>
      <c r="Q3467" s="71"/>
      <c r="R3467" s="84"/>
      <c r="S3467" s="10"/>
      <c r="T3467" s="10"/>
      <c r="U3467" s="10"/>
      <c r="V3467" s="10"/>
      <c r="W3467" s="138"/>
      <c r="Y3467"/>
      <c r="Z3467"/>
      <c r="AA3467"/>
      <c r="AB3467"/>
      <c r="AC3467"/>
      <c r="AD3467"/>
      <c r="AE3467"/>
      <c r="AF3467"/>
      <c r="AG3467"/>
      <c r="AH3467"/>
      <c r="AI3467"/>
      <c r="AJ3467"/>
      <c r="AK3467"/>
      <c r="AL3467"/>
      <c r="AM3467"/>
      <c r="AN3467"/>
      <c r="AO3467"/>
    </row>
    <row r="3468" spans="1:41" ht="15">
      <c r="A3468"/>
      <c r="B3468"/>
      <c r="C3468" s="137"/>
      <c r="D3468" s="30"/>
      <c r="E3468" s="30"/>
      <c r="F3468" s="10"/>
      <c r="G3468" s="10"/>
      <c r="H3468" s="15"/>
      <c r="I3468" s="15"/>
      <c r="J3468" s="15"/>
      <c r="K3468" s="15"/>
      <c r="L3468" s="15"/>
      <c r="M3468" s="15"/>
      <c r="N3468" s="15"/>
      <c r="O3468" s="15"/>
      <c r="P3468" s="15"/>
      <c r="Q3468" s="71"/>
      <c r="R3468" s="84"/>
      <c r="S3468" s="10"/>
      <c r="T3468" s="10"/>
      <c r="U3468" s="10"/>
      <c r="V3468" s="10"/>
      <c r="W3468" s="138"/>
      <c r="Y3468"/>
      <c r="Z3468"/>
      <c r="AA3468"/>
      <c r="AB3468"/>
      <c r="AC3468"/>
      <c r="AD3468"/>
      <c r="AE3468"/>
      <c r="AF3468"/>
      <c r="AG3468"/>
      <c r="AH3468"/>
      <c r="AI3468"/>
      <c r="AJ3468"/>
      <c r="AK3468"/>
      <c r="AL3468"/>
      <c r="AM3468"/>
      <c r="AN3468"/>
      <c r="AO3468"/>
    </row>
    <row r="3469" spans="1:41" ht="15">
      <c r="A3469"/>
      <c r="B3469"/>
      <c r="C3469" s="137"/>
      <c r="D3469" s="30"/>
      <c r="E3469" s="30"/>
      <c r="F3469" s="10"/>
      <c r="G3469" s="10"/>
      <c r="H3469" s="15"/>
      <c r="I3469" s="15"/>
      <c r="J3469" s="15"/>
      <c r="K3469" s="15"/>
      <c r="L3469" s="15"/>
      <c r="M3469" s="15"/>
      <c r="N3469" s="15"/>
      <c r="O3469" s="15"/>
      <c r="P3469" s="15"/>
      <c r="Q3469" s="71"/>
      <c r="R3469" s="84"/>
      <c r="S3469" s="10"/>
      <c r="T3469" s="10"/>
      <c r="U3469" s="10"/>
      <c r="V3469" s="10"/>
      <c r="W3469" s="138"/>
      <c r="Y3469"/>
      <c r="Z3469"/>
      <c r="AA3469"/>
      <c r="AB3469"/>
      <c r="AC3469"/>
      <c r="AD3469"/>
      <c r="AE3469"/>
      <c r="AF3469"/>
      <c r="AG3469"/>
      <c r="AH3469"/>
      <c r="AI3469"/>
      <c r="AJ3469"/>
      <c r="AK3469"/>
      <c r="AL3469"/>
      <c r="AM3469"/>
      <c r="AN3469"/>
      <c r="AO3469"/>
    </row>
    <row r="3470" spans="1:41" ht="15">
      <c r="A3470"/>
      <c r="B3470"/>
      <c r="C3470" s="137"/>
      <c r="D3470" s="30"/>
      <c r="E3470" s="30"/>
      <c r="F3470" s="10"/>
      <c r="G3470" s="10"/>
      <c r="H3470" s="15"/>
      <c r="I3470" s="15"/>
      <c r="J3470" s="15"/>
      <c r="K3470" s="15"/>
      <c r="L3470" s="15"/>
      <c r="M3470" s="15"/>
      <c r="N3470" s="15"/>
      <c r="O3470" s="15"/>
      <c r="P3470" s="15"/>
      <c r="Q3470" s="71"/>
      <c r="R3470" s="84"/>
      <c r="S3470" s="10"/>
      <c r="T3470" s="10"/>
      <c r="U3470" s="10"/>
      <c r="V3470" s="10"/>
      <c r="W3470" s="138"/>
      <c r="Y3470"/>
      <c r="Z3470"/>
      <c r="AA3470"/>
      <c r="AB3470"/>
      <c r="AC3470"/>
      <c r="AD3470"/>
      <c r="AE3470"/>
      <c r="AF3470"/>
      <c r="AG3470"/>
      <c r="AH3470"/>
      <c r="AI3470"/>
      <c r="AJ3470"/>
      <c r="AK3470"/>
      <c r="AL3470"/>
      <c r="AM3470"/>
      <c r="AN3470"/>
      <c r="AO3470"/>
    </row>
    <row r="3471" spans="1:41" ht="15">
      <c r="A3471"/>
      <c r="B3471"/>
      <c r="C3471" s="137"/>
      <c r="D3471" s="30"/>
      <c r="E3471" s="30"/>
      <c r="F3471" s="10"/>
      <c r="G3471" s="10"/>
      <c r="H3471" s="15"/>
      <c r="I3471" s="15"/>
      <c r="J3471" s="15"/>
      <c r="K3471" s="15"/>
      <c r="L3471" s="15"/>
      <c r="M3471" s="15"/>
      <c r="N3471" s="15"/>
      <c r="O3471" s="15"/>
      <c r="P3471" s="15"/>
      <c r="Q3471" s="71"/>
      <c r="R3471" s="84"/>
      <c r="S3471" s="10"/>
      <c r="T3471" s="10"/>
      <c r="U3471" s="10"/>
      <c r="V3471" s="10"/>
      <c r="W3471" s="138"/>
      <c r="Y3471"/>
      <c r="Z3471"/>
      <c r="AA3471"/>
      <c r="AB3471"/>
      <c r="AC3471"/>
      <c r="AD3471"/>
      <c r="AE3471"/>
      <c r="AF3471"/>
      <c r="AG3471"/>
      <c r="AH3471"/>
      <c r="AI3471"/>
      <c r="AJ3471"/>
      <c r="AK3471"/>
      <c r="AL3471"/>
      <c r="AM3471"/>
      <c r="AN3471"/>
      <c r="AO3471"/>
    </row>
    <row r="3472" spans="1:41" ht="15">
      <c r="A3472"/>
      <c r="B3472"/>
      <c r="C3472" s="137"/>
      <c r="D3472" s="30"/>
      <c r="E3472" s="30"/>
      <c r="F3472" s="10"/>
      <c r="G3472" s="10"/>
      <c r="H3472" s="15"/>
      <c r="I3472" s="15"/>
      <c r="J3472" s="15"/>
      <c r="K3472" s="15"/>
      <c r="L3472" s="15"/>
      <c r="M3472" s="15"/>
      <c r="N3472" s="15"/>
      <c r="O3472" s="15"/>
      <c r="P3472" s="15"/>
      <c r="Q3472" s="71"/>
      <c r="R3472" s="84"/>
      <c r="S3472" s="10"/>
      <c r="T3472" s="10"/>
      <c r="U3472" s="10"/>
      <c r="V3472" s="10"/>
      <c r="W3472" s="138"/>
      <c r="Y3472"/>
      <c r="Z3472"/>
      <c r="AA3472"/>
      <c r="AB3472"/>
      <c r="AC3472"/>
      <c r="AD3472"/>
      <c r="AE3472"/>
      <c r="AF3472"/>
      <c r="AG3472"/>
      <c r="AH3472"/>
      <c r="AI3472"/>
      <c r="AJ3472"/>
      <c r="AK3472"/>
      <c r="AL3472"/>
      <c r="AM3472"/>
      <c r="AN3472"/>
      <c r="AO3472"/>
    </row>
    <row r="3473" spans="1:41" ht="15">
      <c r="A3473"/>
      <c r="B3473"/>
      <c r="C3473" s="137"/>
      <c r="D3473" s="30"/>
      <c r="E3473" s="30"/>
      <c r="F3473" s="10"/>
      <c r="G3473" s="10"/>
      <c r="H3473" s="15"/>
      <c r="I3473" s="15"/>
      <c r="J3473" s="15"/>
      <c r="K3473" s="15"/>
      <c r="L3473" s="15"/>
      <c r="M3473" s="15"/>
      <c r="N3473" s="15"/>
      <c r="O3473" s="15"/>
      <c r="P3473" s="15"/>
      <c r="Q3473" s="71"/>
      <c r="R3473" s="84"/>
      <c r="S3473" s="10"/>
      <c r="T3473" s="10"/>
      <c r="U3473" s="10"/>
      <c r="V3473" s="10"/>
      <c r="W3473" s="138"/>
      <c r="Y3473"/>
      <c r="Z3473"/>
      <c r="AA3473"/>
      <c r="AB3473"/>
      <c r="AC3473"/>
      <c r="AD3473"/>
      <c r="AE3473"/>
      <c r="AF3473"/>
      <c r="AG3473"/>
      <c r="AH3473"/>
      <c r="AI3473"/>
      <c r="AJ3473"/>
      <c r="AK3473"/>
      <c r="AL3473"/>
      <c r="AM3473"/>
      <c r="AN3473"/>
      <c r="AO3473"/>
    </row>
    <row r="3474" spans="1:41" ht="15">
      <c r="A3474"/>
      <c r="B3474"/>
      <c r="C3474" s="137"/>
      <c r="D3474" s="30"/>
      <c r="E3474" s="30"/>
      <c r="F3474" s="10"/>
      <c r="G3474" s="10"/>
      <c r="H3474" s="15"/>
      <c r="I3474" s="15"/>
      <c r="J3474" s="15"/>
      <c r="K3474" s="15"/>
      <c r="L3474" s="15"/>
      <c r="M3474" s="15"/>
      <c r="N3474" s="15"/>
      <c r="O3474" s="15"/>
      <c r="P3474" s="15"/>
      <c r="Q3474" s="71"/>
      <c r="R3474" s="84"/>
      <c r="S3474" s="10"/>
      <c r="T3474" s="10"/>
      <c r="U3474" s="10"/>
      <c r="V3474" s="10"/>
      <c r="W3474" s="138"/>
      <c r="Y3474"/>
      <c r="Z3474"/>
      <c r="AA3474"/>
      <c r="AB3474"/>
      <c r="AC3474"/>
      <c r="AD3474"/>
      <c r="AE3474"/>
      <c r="AF3474"/>
      <c r="AG3474"/>
      <c r="AH3474"/>
      <c r="AI3474"/>
      <c r="AJ3474"/>
      <c r="AK3474"/>
      <c r="AL3474"/>
      <c r="AM3474"/>
      <c r="AN3474"/>
      <c r="AO3474"/>
    </row>
    <row r="3475" spans="1:41" ht="15">
      <c r="A3475"/>
      <c r="B3475"/>
      <c r="C3475" s="137"/>
      <c r="D3475" s="30"/>
      <c r="E3475" s="30"/>
      <c r="F3475" s="10"/>
      <c r="G3475" s="10"/>
      <c r="H3475" s="15"/>
      <c r="I3475" s="15"/>
      <c r="J3475" s="15"/>
      <c r="K3475" s="15"/>
      <c r="L3475" s="15"/>
      <c r="M3475" s="15"/>
      <c r="N3475" s="15"/>
      <c r="O3475" s="15"/>
      <c r="P3475" s="15"/>
      <c r="Q3475" s="71"/>
      <c r="R3475" s="84"/>
      <c r="S3475" s="10"/>
      <c r="T3475" s="10"/>
      <c r="U3475" s="10"/>
      <c r="V3475" s="10"/>
      <c r="W3475" s="138"/>
      <c r="Y3475"/>
      <c r="Z3475"/>
      <c r="AA3475"/>
      <c r="AB3475"/>
      <c r="AC3475"/>
      <c r="AD3475"/>
      <c r="AE3475"/>
      <c r="AF3475"/>
      <c r="AG3475"/>
      <c r="AH3475"/>
      <c r="AI3475"/>
      <c r="AJ3475"/>
      <c r="AK3475"/>
      <c r="AL3475"/>
      <c r="AM3475"/>
      <c r="AN3475"/>
      <c r="AO3475"/>
    </row>
    <row r="3476" spans="1:41" ht="15">
      <c r="A3476"/>
      <c r="B3476"/>
      <c r="C3476" s="137"/>
      <c r="D3476" s="30"/>
      <c r="E3476" s="30"/>
      <c r="F3476" s="10"/>
      <c r="G3476" s="10"/>
      <c r="H3476" s="15"/>
      <c r="I3476" s="15"/>
      <c r="J3476" s="15"/>
      <c r="K3476" s="15"/>
      <c r="L3476" s="15"/>
      <c r="M3476" s="15"/>
      <c r="N3476" s="15"/>
      <c r="O3476" s="15"/>
      <c r="P3476" s="15"/>
      <c r="Q3476" s="71"/>
      <c r="R3476" s="84"/>
      <c r="S3476" s="10"/>
      <c r="T3476" s="10"/>
      <c r="U3476" s="10"/>
      <c r="V3476" s="10"/>
      <c r="W3476" s="138"/>
      <c r="Y3476"/>
      <c r="Z3476"/>
      <c r="AA3476"/>
      <c r="AB3476"/>
      <c r="AC3476"/>
      <c r="AD3476"/>
      <c r="AE3476"/>
      <c r="AF3476"/>
      <c r="AG3476"/>
      <c r="AH3476"/>
      <c r="AI3476"/>
      <c r="AJ3476"/>
      <c r="AK3476"/>
      <c r="AL3476"/>
      <c r="AM3476"/>
      <c r="AN3476"/>
      <c r="AO3476"/>
    </row>
    <row r="3477" spans="1:41" ht="15">
      <c r="A3477"/>
      <c r="B3477"/>
      <c r="C3477" s="137"/>
      <c r="D3477" s="30"/>
      <c r="E3477" s="30"/>
      <c r="F3477" s="10"/>
      <c r="G3477" s="10"/>
      <c r="H3477" s="15"/>
      <c r="I3477" s="15"/>
      <c r="J3477" s="15"/>
      <c r="K3477" s="15"/>
      <c r="L3477" s="15"/>
      <c r="M3477" s="15"/>
      <c r="N3477" s="15"/>
      <c r="O3477" s="15"/>
      <c r="P3477" s="15"/>
      <c r="Q3477" s="71"/>
      <c r="R3477" s="84"/>
      <c r="S3477" s="10"/>
      <c r="T3477" s="10"/>
      <c r="U3477" s="10"/>
      <c r="V3477" s="10"/>
      <c r="W3477" s="138"/>
      <c r="Y3477"/>
      <c r="Z3477"/>
      <c r="AA3477"/>
      <c r="AB3477"/>
      <c r="AC3477"/>
      <c r="AD3477"/>
      <c r="AE3477"/>
      <c r="AF3477"/>
      <c r="AG3477"/>
      <c r="AH3477"/>
      <c r="AI3477"/>
      <c r="AJ3477"/>
      <c r="AK3477"/>
      <c r="AL3477"/>
      <c r="AM3477"/>
      <c r="AN3477"/>
      <c r="AO3477"/>
    </row>
    <row r="3478" spans="1:41" ht="15">
      <c r="A3478"/>
      <c r="B3478"/>
      <c r="C3478" s="137"/>
      <c r="D3478" s="30"/>
      <c r="E3478" s="30"/>
      <c r="F3478" s="10"/>
      <c r="G3478" s="10"/>
      <c r="H3478" s="15"/>
      <c r="I3478" s="15"/>
      <c r="J3478" s="15"/>
      <c r="K3478" s="15"/>
      <c r="L3478" s="15"/>
      <c r="M3478" s="15"/>
      <c r="N3478" s="15"/>
      <c r="O3478" s="15"/>
      <c r="P3478" s="15"/>
      <c r="Q3478" s="71"/>
      <c r="R3478" s="84"/>
      <c r="S3478" s="10"/>
      <c r="T3478" s="10"/>
      <c r="U3478" s="10"/>
      <c r="V3478" s="10"/>
      <c r="W3478" s="138"/>
      <c r="Y3478"/>
      <c r="Z3478"/>
      <c r="AA3478"/>
      <c r="AB3478"/>
      <c r="AC3478"/>
      <c r="AD3478"/>
      <c r="AE3478"/>
      <c r="AF3478"/>
      <c r="AG3478"/>
      <c r="AH3478"/>
      <c r="AI3478"/>
      <c r="AJ3478"/>
      <c r="AK3478"/>
      <c r="AL3478"/>
      <c r="AM3478"/>
      <c r="AN3478"/>
      <c r="AO3478"/>
    </row>
    <row r="3479" spans="1:41" ht="15">
      <c r="A3479"/>
      <c r="B3479"/>
      <c r="C3479" s="137"/>
      <c r="D3479" s="30"/>
      <c r="E3479" s="30"/>
      <c r="F3479" s="10"/>
      <c r="G3479" s="10"/>
      <c r="H3479" s="15"/>
      <c r="I3479" s="15"/>
      <c r="J3479" s="15"/>
      <c r="K3479" s="15"/>
      <c r="L3479" s="15"/>
      <c r="M3479" s="15"/>
      <c r="N3479" s="15"/>
      <c r="O3479" s="15"/>
      <c r="P3479" s="15"/>
      <c r="Q3479" s="71"/>
      <c r="R3479" s="84"/>
      <c r="S3479" s="10"/>
      <c r="T3479" s="10"/>
      <c r="U3479" s="10"/>
      <c r="V3479" s="10"/>
      <c r="W3479" s="138"/>
      <c r="Y3479"/>
      <c r="Z3479"/>
      <c r="AA3479"/>
      <c r="AB3479"/>
      <c r="AC3479"/>
      <c r="AD3479"/>
      <c r="AE3479"/>
      <c r="AF3479"/>
      <c r="AG3479"/>
      <c r="AH3479"/>
      <c r="AI3479"/>
      <c r="AJ3479"/>
      <c r="AK3479"/>
      <c r="AL3479"/>
      <c r="AM3479"/>
      <c r="AN3479"/>
      <c r="AO3479"/>
    </row>
    <row r="3480" spans="1:41" ht="15">
      <c r="A3480"/>
      <c r="B3480"/>
      <c r="C3480" s="137"/>
      <c r="D3480" s="30"/>
      <c r="E3480" s="30"/>
      <c r="F3480" s="10"/>
      <c r="G3480" s="10"/>
      <c r="H3480" s="15"/>
      <c r="I3480" s="15"/>
      <c r="J3480" s="15"/>
      <c r="K3480" s="15"/>
      <c r="L3480" s="15"/>
      <c r="M3480" s="15"/>
      <c r="N3480" s="15"/>
      <c r="O3480" s="15"/>
      <c r="P3480" s="15"/>
      <c r="Q3480" s="71"/>
      <c r="R3480" s="84"/>
      <c r="S3480" s="10"/>
      <c r="T3480" s="10"/>
      <c r="U3480" s="10"/>
      <c r="V3480" s="10"/>
      <c r="W3480" s="138"/>
      <c r="Y3480"/>
      <c r="Z3480"/>
      <c r="AA3480"/>
      <c r="AB3480"/>
      <c r="AC3480"/>
      <c r="AD3480"/>
      <c r="AE3480"/>
      <c r="AF3480"/>
      <c r="AG3480"/>
      <c r="AH3480"/>
      <c r="AI3480"/>
      <c r="AJ3480"/>
      <c r="AK3480"/>
      <c r="AL3480"/>
      <c r="AM3480"/>
      <c r="AN3480"/>
      <c r="AO3480"/>
    </row>
    <row r="3481" spans="1:41" ht="15">
      <c r="A3481"/>
      <c r="B3481"/>
      <c r="C3481" s="137"/>
      <c r="D3481" s="30"/>
      <c r="E3481" s="30"/>
      <c r="F3481" s="10"/>
      <c r="G3481" s="10"/>
      <c r="H3481" s="15"/>
      <c r="I3481" s="15"/>
      <c r="J3481" s="15"/>
      <c r="K3481" s="15"/>
      <c r="L3481" s="15"/>
      <c r="M3481" s="15"/>
      <c r="N3481" s="15"/>
      <c r="O3481" s="15"/>
      <c r="P3481" s="15"/>
      <c r="Q3481" s="71"/>
      <c r="R3481" s="84"/>
      <c r="S3481" s="10"/>
      <c r="T3481" s="10"/>
      <c r="U3481" s="10"/>
      <c r="V3481" s="10"/>
      <c r="W3481" s="138"/>
      <c r="Y3481"/>
      <c r="Z3481"/>
      <c r="AA3481"/>
      <c r="AB3481"/>
      <c r="AC3481"/>
      <c r="AD3481"/>
      <c r="AE3481"/>
      <c r="AF3481"/>
      <c r="AG3481"/>
      <c r="AH3481"/>
      <c r="AI3481"/>
      <c r="AJ3481"/>
      <c r="AK3481"/>
      <c r="AL3481"/>
      <c r="AM3481"/>
      <c r="AN3481"/>
      <c r="AO3481"/>
    </row>
    <row r="3482" spans="1:41" ht="15">
      <c r="A3482"/>
      <c r="B3482"/>
      <c r="C3482" s="137"/>
      <c r="D3482" s="30"/>
      <c r="E3482" s="30"/>
      <c r="F3482" s="10"/>
      <c r="G3482" s="10"/>
      <c r="H3482" s="15"/>
      <c r="I3482" s="15"/>
      <c r="J3482" s="15"/>
      <c r="K3482" s="15"/>
      <c r="L3482" s="15"/>
      <c r="M3482" s="15"/>
      <c r="N3482" s="15"/>
      <c r="O3482" s="15"/>
      <c r="P3482" s="15"/>
      <c r="Q3482" s="71"/>
      <c r="R3482" s="84"/>
      <c r="S3482" s="10"/>
      <c r="T3482" s="10"/>
      <c r="U3482" s="10"/>
      <c r="V3482" s="10"/>
      <c r="W3482" s="138"/>
      <c r="Y3482"/>
      <c r="Z3482"/>
      <c r="AA3482"/>
      <c r="AB3482"/>
      <c r="AC3482"/>
      <c r="AD3482"/>
      <c r="AE3482"/>
      <c r="AF3482"/>
      <c r="AG3482"/>
      <c r="AH3482"/>
      <c r="AI3482"/>
      <c r="AJ3482"/>
      <c r="AK3482"/>
      <c r="AL3482"/>
      <c r="AM3482"/>
      <c r="AN3482"/>
      <c r="AO3482"/>
    </row>
    <row r="3483" spans="1:41" ht="15">
      <c r="A3483"/>
      <c r="B3483"/>
      <c r="C3483" s="137"/>
      <c r="D3483" s="30"/>
      <c r="E3483" s="30"/>
      <c r="F3483" s="10"/>
      <c r="G3483" s="10"/>
      <c r="H3483" s="15"/>
      <c r="I3483" s="15"/>
      <c r="J3483" s="15"/>
      <c r="K3483" s="15"/>
      <c r="L3483" s="15"/>
      <c r="M3483" s="15"/>
      <c r="N3483" s="15"/>
      <c r="O3483" s="15"/>
      <c r="P3483" s="15"/>
      <c r="Q3483" s="71"/>
      <c r="R3483" s="84"/>
      <c r="S3483" s="10"/>
      <c r="T3483" s="10"/>
      <c r="U3483" s="10"/>
      <c r="V3483" s="10"/>
      <c r="W3483" s="138"/>
      <c r="Y3483"/>
      <c r="Z3483"/>
      <c r="AA3483"/>
      <c r="AB3483"/>
      <c r="AC3483"/>
      <c r="AD3483"/>
      <c r="AE3483"/>
      <c r="AF3483"/>
      <c r="AG3483"/>
      <c r="AH3483"/>
      <c r="AI3483"/>
      <c r="AJ3483"/>
      <c r="AK3483"/>
      <c r="AL3483"/>
      <c r="AM3483"/>
      <c r="AN3483"/>
      <c r="AO3483"/>
    </row>
    <row r="3484" spans="1:41" ht="15">
      <c r="A3484"/>
      <c r="B3484"/>
      <c r="C3484" s="137"/>
      <c r="D3484" s="30"/>
      <c r="E3484" s="30"/>
      <c r="F3484" s="10"/>
      <c r="G3484" s="10"/>
      <c r="H3484" s="15"/>
      <c r="I3484" s="15"/>
      <c r="J3484" s="15"/>
      <c r="K3484" s="15"/>
      <c r="L3484" s="15"/>
      <c r="M3484" s="15"/>
      <c r="N3484" s="15"/>
      <c r="O3484" s="15"/>
      <c r="P3484" s="15"/>
      <c r="Q3484" s="71"/>
      <c r="R3484" s="84"/>
      <c r="S3484" s="10"/>
      <c r="T3484" s="10"/>
      <c r="U3484" s="10"/>
      <c r="V3484" s="10"/>
      <c r="W3484" s="138"/>
      <c r="Y3484"/>
      <c r="Z3484"/>
      <c r="AA3484"/>
      <c r="AB3484"/>
      <c r="AC3484"/>
      <c r="AD3484"/>
      <c r="AE3484"/>
      <c r="AF3484"/>
      <c r="AG3484"/>
      <c r="AH3484"/>
      <c r="AI3484"/>
      <c r="AJ3484"/>
      <c r="AK3484"/>
      <c r="AL3484"/>
      <c r="AM3484"/>
      <c r="AN3484"/>
      <c r="AO3484"/>
    </row>
    <row r="3485" spans="1:41" ht="15">
      <c r="A3485"/>
      <c r="B3485"/>
      <c r="C3485" s="137"/>
      <c r="D3485" s="30"/>
      <c r="E3485" s="30"/>
      <c r="F3485" s="10"/>
      <c r="G3485" s="10"/>
      <c r="H3485" s="15"/>
      <c r="I3485" s="15"/>
      <c r="J3485" s="15"/>
      <c r="K3485" s="15"/>
      <c r="L3485" s="15"/>
      <c r="M3485" s="15"/>
      <c r="N3485" s="15"/>
      <c r="O3485" s="15"/>
      <c r="P3485" s="15"/>
      <c r="Q3485" s="71"/>
      <c r="R3485" s="84"/>
      <c r="S3485" s="10"/>
      <c r="T3485" s="10"/>
      <c r="U3485" s="10"/>
      <c r="V3485" s="10"/>
      <c r="W3485" s="138"/>
      <c r="Y3485"/>
      <c r="Z3485"/>
      <c r="AA3485"/>
      <c r="AB3485"/>
      <c r="AC3485"/>
      <c r="AD3485"/>
      <c r="AE3485"/>
      <c r="AF3485"/>
      <c r="AG3485"/>
      <c r="AH3485"/>
      <c r="AI3485"/>
      <c r="AJ3485"/>
      <c r="AK3485"/>
      <c r="AL3485"/>
      <c r="AM3485"/>
      <c r="AN3485"/>
      <c r="AO3485"/>
    </row>
    <row r="3486" spans="1:41" ht="15">
      <c r="A3486"/>
      <c r="B3486"/>
      <c r="C3486" s="137"/>
      <c r="D3486" s="30"/>
      <c r="E3486" s="30"/>
      <c r="F3486" s="10"/>
      <c r="G3486" s="10"/>
      <c r="H3486" s="15"/>
      <c r="I3486" s="15"/>
      <c r="J3486" s="15"/>
      <c r="K3486" s="15"/>
      <c r="L3486" s="15"/>
      <c r="M3486" s="15"/>
      <c r="N3486" s="15"/>
      <c r="O3486" s="15"/>
      <c r="P3486" s="15"/>
      <c r="Q3486" s="71"/>
      <c r="R3486" s="84"/>
      <c r="S3486" s="10"/>
      <c r="T3486" s="10"/>
      <c r="U3486" s="10"/>
      <c r="V3486" s="10"/>
      <c r="W3486" s="138"/>
      <c r="Y3486"/>
      <c r="Z3486"/>
      <c r="AA3486"/>
      <c r="AB3486"/>
      <c r="AC3486"/>
      <c r="AD3486"/>
      <c r="AE3486"/>
      <c r="AF3486"/>
      <c r="AG3486"/>
      <c r="AH3486"/>
      <c r="AI3486"/>
      <c r="AJ3486"/>
      <c r="AK3486"/>
      <c r="AL3486"/>
      <c r="AM3486"/>
      <c r="AN3486"/>
      <c r="AO3486"/>
    </row>
    <row r="3487" spans="1:41" ht="15">
      <c r="A3487"/>
      <c r="B3487"/>
      <c r="C3487" s="137"/>
      <c r="D3487" s="30"/>
      <c r="E3487" s="30"/>
      <c r="F3487" s="10"/>
      <c r="G3487" s="10"/>
      <c r="H3487" s="15"/>
      <c r="I3487" s="15"/>
      <c r="J3487" s="15"/>
      <c r="K3487" s="15"/>
      <c r="L3487" s="15"/>
      <c r="M3487" s="15"/>
      <c r="N3487" s="15"/>
      <c r="O3487" s="15"/>
      <c r="P3487" s="15"/>
      <c r="Q3487" s="71"/>
      <c r="R3487" s="84"/>
      <c r="S3487" s="10"/>
      <c r="T3487" s="10"/>
      <c r="U3487" s="10"/>
      <c r="V3487" s="10"/>
      <c r="W3487" s="138"/>
      <c r="Y3487"/>
      <c r="Z3487"/>
      <c r="AA3487"/>
      <c r="AB3487"/>
      <c r="AC3487"/>
      <c r="AD3487"/>
      <c r="AE3487"/>
      <c r="AF3487"/>
      <c r="AG3487"/>
      <c r="AH3487"/>
      <c r="AI3487"/>
      <c r="AJ3487"/>
      <c r="AK3487"/>
      <c r="AL3487"/>
      <c r="AM3487"/>
      <c r="AN3487"/>
      <c r="AO3487"/>
    </row>
    <row r="3488" spans="1:41" ht="15">
      <c r="A3488"/>
      <c r="B3488"/>
      <c r="C3488" s="137"/>
      <c r="D3488" s="30"/>
      <c r="E3488" s="30"/>
      <c r="F3488" s="10"/>
      <c r="G3488" s="10"/>
      <c r="H3488" s="15"/>
      <c r="I3488" s="15"/>
      <c r="J3488" s="15"/>
      <c r="K3488" s="15"/>
      <c r="L3488" s="15"/>
      <c r="M3488" s="15"/>
      <c r="N3488" s="15"/>
      <c r="O3488" s="15"/>
      <c r="P3488" s="15"/>
      <c r="Q3488" s="71"/>
      <c r="R3488" s="84"/>
      <c r="S3488" s="10"/>
      <c r="T3488" s="10"/>
      <c r="U3488" s="10"/>
      <c r="V3488" s="10"/>
      <c r="W3488" s="138"/>
      <c r="Y3488"/>
      <c r="Z3488"/>
      <c r="AA3488"/>
      <c r="AB3488"/>
      <c r="AC3488"/>
      <c r="AD3488"/>
      <c r="AE3488"/>
      <c r="AF3488"/>
      <c r="AG3488"/>
      <c r="AH3488"/>
      <c r="AI3488"/>
      <c r="AJ3488"/>
      <c r="AK3488"/>
      <c r="AL3488"/>
      <c r="AM3488"/>
      <c r="AN3488"/>
      <c r="AO3488"/>
    </row>
    <row r="3489" spans="1:41" ht="15">
      <c r="A3489"/>
      <c r="B3489"/>
      <c r="C3489" s="137"/>
      <c r="D3489" s="30"/>
      <c r="E3489" s="30"/>
      <c r="F3489" s="10"/>
      <c r="G3489" s="10"/>
      <c r="H3489" s="15"/>
      <c r="I3489" s="15"/>
      <c r="J3489" s="15"/>
      <c r="K3489" s="15"/>
      <c r="L3489" s="15"/>
      <c r="M3489" s="15"/>
      <c r="N3489" s="15"/>
      <c r="O3489" s="15"/>
      <c r="P3489" s="15"/>
      <c r="Q3489" s="71"/>
      <c r="R3489" s="84"/>
      <c r="S3489" s="10"/>
      <c r="T3489" s="10"/>
      <c r="U3489" s="10"/>
      <c r="V3489" s="10"/>
      <c r="W3489" s="138"/>
      <c r="Y3489"/>
      <c r="Z3489"/>
      <c r="AA3489"/>
      <c r="AB3489"/>
      <c r="AC3489"/>
      <c r="AD3489"/>
      <c r="AE3489"/>
      <c r="AF3489"/>
      <c r="AG3489"/>
      <c r="AH3489"/>
      <c r="AI3489"/>
      <c r="AJ3489"/>
      <c r="AK3489"/>
      <c r="AL3489"/>
      <c r="AM3489"/>
      <c r="AN3489"/>
      <c r="AO3489"/>
    </row>
    <row r="3490" spans="1:41" ht="15">
      <c r="A3490"/>
      <c r="B3490"/>
      <c r="C3490" s="137"/>
      <c r="D3490" s="30"/>
      <c r="E3490" s="30"/>
      <c r="F3490" s="10"/>
      <c r="G3490" s="10"/>
      <c r="H3490" s="15"/>
      <c r="I3490" s="15"/>
      <c r="J3490" s="15"/>
      <c r="K3490" s="15"/>
      <c r="L3490" s="15"/>
      <c r="M3490" s="15"/>
      <c r="N3490" s="15"/>
      <c r="O3490" s="15"/>
      <c r="P3490" s="15"/>
      <c r="Q3490" s="71"/>
      <c r="R3490" s="84"/>
      <c r="S3490" s="10"/>
      <c r="T3490" s="10"/>
      <c r="U3490" s="10"/>
      <c r="V3490" s="10"/>
      <c r="W3490" s="138"/>
      <c r="Y3490"/>
      <c r="Z3490"/>
      <c r="AA3490"/>
      <c r="AB3490"/>
      <c r="AC3490"/>
      <c r="AD3490"/>
      <c r="AE3490"/>
      <c r="AF3490"/>
      <c r="AG3490"/>
      <c r="AH3490"/>
      <c r="AI3490"/>
      <c r="AJ3490"/>
      <c r="AK3490"/>
      <c r="AL3490"/>
      <c r="AM3490"/>
      <c r="AN3490"/>
      <c r="AO3490"/>
    </row>
    <row r="3491" spans="1:41" ht="15">
      <c r="A3491"/>
      <c r="B3491"/>
      <c r="C3491" s="137"/>
      <c r="D3491" s="30"/>
      <c r="E3491" s="30"/>
      <c r="F3491" s="10"/>
      <c r="G3491" s="10"/>
      <c r="H3491" s="15"/>
      <c r="I3491" s="15"/>
      <c r="J3491" s="15"/>
      <c r="K3491" s="15"/>
      <c r="L3491" s="15"/>
      <c r="M3491" s="15"/>
      <c r="N3491" s="15"/>
      <c r="O3491" s="15"/>
      <c r="P3491" s="15"/>
      <c r="Q3491" s="71"/>
      <c r="R3491" s="84"/>
      <c r="S3491" s="10"/>
      <c r="T3491" s="10"/>
      <c r="U3491" s="10"/>
      <c r="V3491" s="10"/>
      <c r="W3491" s="138"/>
      <c r="Y3491"/>
      <c r="Z3491"/>
      <c r="AA3491"/>
      <c r="AB3491"/>
      <c r="AC3491"/>
      <c r="AD3491"/>
      <c r="AE3491"/>
      <c r="AF3491"/>
      <c r="AG3491"/>
      <c r="AH3491"/>
      <c r="AI3491"/>
      <c r="AJ3491"/>
      <c r="AK3491"/>
      <c r="AL3491"/>
      <c r="AM3491"/>
      <c r="AN3491"/>
      <c r="AO3491"/>
    </row>
    <row r="3492" spans="1:41" ht="15">
      <c r="A3492"/>
      <c r="B3492"/>
      <c r="C3492" s="137"/>
      <c r="D3492" s="30"/>
      <c r="E3492" s="30"/>
      <c r="F3492" s="10"/>
      <c r="G3492" s="10"/>
      <c r="H3492" s="15"/>
      <c r="I3492" s="15"/>
      <c r="J3492" s="15"/>
      <c r="K3492" s="15"/>
      <c r="L3492" s="15"/>
      <c r="M3492" s="15"/>
      <c r="N3492" s="15"/>
      <c r="O3492" s="15"/>
      <c r="P3492" s="15"/>
      <c r="Q3492" s="71"/>
      <c r="R3492" s="84"/>
      <c r="S3492" s="10"/>
      <c r="T3492" s="10"/>
      <c r="U3492" s="10"/>
      <c r="V3492" s="10"/>
      <c r="W3492" s="138"/>
      <c r="Y3492"/>
      <c r="Z3492"/>
      <c r="AA3492"/>
      <c r="AB3492"/>
      <c r="AC3492"/>
      <c r="AD3492"/>
      <c r="AE3492"/>
      <c r="AF3492"/>
      <c r="AG3492"/>
      <c r="AH3492"/>
      <c r="AI3492"/>
      <c r="AJ3492"/>
      <c r="AK3492"/>
      <c r="AL3492"/>
      <c r="AM3492"/>
      <c r="AN3492"/>
      <c r="AO3492"/>
    </row>
    <row r="3493" spans="1:41" ht="15">
      <c r="A3493"/>
      <c r="B3493"/>
      <c r="C3493" s="137"/>
      <c r="D3493" s="30"/>
      <c r="E3493" s="30"/>
      <c r="F3493" s="10"/>
      <c r="G3493" s="10"/>
      <c r="H3493" s="15"/>
      <c r="I3493" s="15"/>
      <c r="J3493" s="15"/>
      <c r="K3493" s="15"/>
      <c r="L3493" s="15"/>
      <c r="M3493" s="15"/>
      <c r="N3493" s="15"/>
      <c r="O3493" s="15"/>
      <c r="P3493" s="15"/>
      <c r="Q3493" s="71"/>
      <c r="R3493" s="84"/>
      <c r="S3493" s="10"/>
      <c r="T3493" s="10"/>
      <c r="U3493" s="10"/>
      <c r="V3493" s="10"/>
      <c r="W3493" s="138"/>
      <c r="Y3493"/>
      <c r="Z3493"/>
      <c r="AA3493"/>
      <c r="AB3493"/>
      <c r="AC3493"/>
      <c r="AD3493"/>
      <c r="AE3493"/>
      <c r="AF3493"/>
      <c r="AG3493"/>
      <c r="AH3493"/>
      <c r="AI3493"/>
      <c r="AJ3493"/>
      <c r="AK3493"/>
      <c r="AL3493"/>
      <c r="AM3493"/>
      <c r="AN3493"/>
      <c r="AO3493"/>
    </row>
    <row r="3494" spans="1:41" ht="15">
      <c r="A3494"/>
      <c r="B3494"/>
      <c r="C3494" s="137"/>
      <c r="D3494" s="30"/>
      <c r="E3494" s="30"/>
      <c r="F3494" s="10"/>
      <c r="G3494" s="10"/>
      <c r="H3494" s="15"/>
      <c r="I3494" s="15"/>
      <c r="J3494" s="15"/>
      <c r="K3494" s="15"/>
      <c r="L3494" s="15"/>
      <c r="M3494" s="15"/>
      <c r="N3494" s="15"/>
      <c r="O3494" s="15"/>
      <c r="P3494" s="15"/>
      <c r="Q3494" s="71"/>
      <c r="R3494" s="84"/>
      <c r="S3494" s="10"/>
      <c r="T3494" s="10"/>
      <c r="U3494" s="10"/>
      <c r="V3494" s="10"/>
      <c r="W3494" s="138"/>
      <c r="Y3494"/>
      <c r="Z3494"/>
      <c r="AA3494"/>
      <c r="AB3494"/>
      <c r="AC3494"/>
      <c r="AD3494"/>
      <c r="AE3494"/>
      <c r="AF3494"/>
      <c r="AG3494"/>
      <c r="AH3494"/>
      <c r="AI3494"/>
      <c r="AJ3494"/>
      <c r="AK3494"/>
      <c r="AL3494"/>
      <c r="AM3494"/>
      <c r="AN3494"/>
      <c r="AO3494"/>
    </row>
    <row r="3495" spans="1:41" ht="15">
      <c r="A3495"/>
      <c r="B3495"/>
      <c r="C3495" s="137"/>
      <c r="D3495" s="30"/>
      <c r="E3495" s="30"/>
      <c r="F3495" s="10"/>
      <c r="G3495" s="10"/>
      <c r="H3495" s="15"/>
      <c r="I3495" s="15"/>
      <c r="J3495" s="15"/>
      <c r="K3495" s="15"/>
      <c r="L3495" s="15"/>
      <c r="M3495" s="15"/>
      <c r="N3495" s="15"/>
      <c r="O3495" s="15"/>
      <c r="P3495" s="15"/>
      <c r="Q3495" s="71"/>
      <c r="R3495" s="84"/>
      <c r="S3495" s="10"/>
      <c r="T3495" s="10"/>
      <c r="U3495" s="10"/>
      <c r="V3495" s="10"/>
      <c r="W3495" s="138"/>
      <c r="Y3495"/>
      <c r="Z3495"/>
      <c r="AA3495"/>
      <c r="AB3495"/>
      <c r="AC3495"/>
      <c r="AD3495"/>
      <c r="AE3495"/>
      <c r="AF3495"/>
      <c r="AG3495"/>
      <c r="AH3495"/>
      <c r="AI3495"/>
      <c r="AJ3495"/>
      <c r="AK3495"/>
      <c r="AL3495"/>
      <c r="AM3495"/>
      <c r="AN3495"/>
      <c r="AO3495"/>
    </row>
    <row r="3496" spans="1:41" ht="15">
      <c r="A3496"/>
      <c r="B3496"/>
      <c r="C3496" s="137"/>
      <c r="D3496" s="30"/>
      <c r="E3496" s="30"/>
      <c r="F3496" s="10"/>
      <c r="G3496" s="10"/>
      <c r="H3496" s="15"/>
      <c r="I3496" s="15"/>
      <c r="J3496" s="15"/>
      <c r="K3496" s="15"/>
      <c r="L3496" s="15"/>
      <c r="M3496" s="15"/>
      <c r="N3496" s="15"/>
      <c r="O3496" s="15"/>
      <c r="P3496" s="15"/>
      <c r="Q3496" s="71"/>
      <c r="R3496" s="84"/>
      <c r="S3496" s="10"/>
      <c r="T3496" s="10"/>
      <c r="U3496" s="10"/>
      <c r="V3496" s="10"/>
      <c r="W3496" s="138"/>
      <c r="Y3496"/>
      <c r="Z3496"/>
      <c r="AA3496"/>
      <c r="AB3496"/>
      <c r="AC3496"/>
      <c r="AD3496"/>
      <c r="AE3496"/>
      <c r="AF3496"/>
      <c r="AG3496"/>
      <c r="AH3496"/>
      <c r="AI3496"/>
      <c r="AJ3496"/>
      <c r="AK3496"/>
      <c r="AL3496"/>
      <c r="AM3496"/>
      <c r="AN3496"/>
      <c r="AO3496"/>
    </row>
    <row r="3497" spans="1:41" ht="15">
      <c r="A3497"/>
      <c r="B3497"/>
      <c r="C3497" s="137"/>
      <c r="D3497" s="30"/>
      <c r="E3497" s="30"/>
      <c r="F3497" s="10"/>
      <c r="G3497" s="10"/>
      <c r="H3497" s="15"/>
      <c r="I3497" s="15"/>
      <c r="J3497" s="15"/>
      <c r="K3497" s="15"/>
      <c r="L3497" s="15"/>
      <c r="M3497" s="15"/>
      <c r="N3497" s="15"/>
      <c r="O3497" s="15"/>
      <c r="P3497" s="15"/>
      <c r="Q3497" s="71"/>
      <c r="R3497" s="84"/>
      <c r="S3497" s="10"/>
      <c r="T3497" s="10"/>
      <c r="U3497" s="10"/>
      <c r="V3497" s="10"/>
      <c r="W3497" s="138"/>
      <c r="Y3497"/>
      <c r="Z3497"/>
      <c r="AA3497"/>
      <c r="AB3497"/>
      <c r="AC3497"/>
      <c r="AD3497"/>
      <c r="AE3497"/>
      <c r="AF3497"/>
      <c r="AG3497"/>
      <c r="AH3497"/>
      <c r="AI3497"/>
      <c r="AJ3497"/>
      <c r="AK3497"/>
      <c r="AL3497"/>
      <c r="AM3497"/>
      <c r="AN3497"/>
      <c r="AO3497"/>
    </row>
    <row r="3498" spans="1:41" ht="15">
      <c r="A3498"/>
      <c r="B3498"/>
      <c r="C3498" s="137"/>
      <c r="D3498" s="30"/>
      <c r="E3498" s="30"/>
      <c r="F3498" s="10"/>
      <c r="G3498" s="10"/>
      <c r="H3498" s="15"/>
      <c r="I3498" s="15"/>
      <c r="J3498" s="15"/>
      <c r="K3498" s="15"/>
      <c r="L3498" s="15"/>
      <c r="M3498" s="15"/>
      <c r="N3498" s="15"/>
      <c r="O3498" s="15"/>
      <c r="P3498" s="15"/>
      <c r="Q3498" s="71"/>
      <c r="R3498" s="84"/>
      <c r="S3498" s="10"/>
      <c r="T3498" s="10"/>
      <c r="U3498" s="10"/>
      <c r="V3498" s="10"/>
      <c r="W3498" s="138"/>
      <c r="Y3498"/>
      <c r="Z3498"/>
      <c r="AA3498"/>
      <c r="AB3498"/>
      <c r="AC3498"/>
      <c r="AD3498"/>
      <c r="AE3498"/>
      <c r="AF3498"/>
      <c r="AG3498"/>
      <c r="AH3498"/>
      <c r="AI3498"/>
      <c r="AJ3498"/>
      <c r="AK3498"/>
      <c r="AL3498"/>
      <c r="AM3498"/>
      <c r="AN3498"/>
      <c r="AO3498"/>
    </row>
    <row r="3499" spans="1:41" ht="15">
      <c r="A3499"/>
      <c r="B3499"/>
      <c r="C3499" s="137"/>
      <c r="D3499" s="30"/>
      <c r="E3499" s="30"/>
      <c r="F3499" s="10"/>
      <c r="G3499" s="10"/>
      <c r="H3499" s="15"/>
      <c r="I3499" s="15"/>
      <c r="J3499" s="15"/>
      <c r="K3499" s="15"/>
      <c r="L3499" s="15"/>
      <c r="M3499" s="15"/>
      <c r="N3499" s="15"/>
      <c r="O3499" s="15"/>
      <c r="P3499" s="15"/>
      <c r="Q3499" s="71"/>
      <c r="R3499" s="84"/>
      <c r="S3499" s="10"/>
      <c r="T3499" s="10"/>
      <c r="U3499" s="10"/>
      <c r="V3499" s="10"/>
      <c r="W3499" s="138"/>
      <c r="Y3499"/>
      <c r="Z3499"/>
      <c r="AA3499"/>
      <c r="AB3499"/>
      <c r="AC3499"/>
      <c r="AD3499"/>
      <c r="AE3499"/>
      <c r="AF3499"/>
      <c r="AG3499"/>
      <c r="AH3499"/>
      <c r="AI3499"/>
      <c r="AJ3499"/>
      <c r="AK3499"/>
      <c r="AL3499"/>
      <c r="AM3499"/>
      <c r="AN3499"/>
      <c r="AO3499"/>
    </row>
    <row r="3500" spans="1:41" ht="15">
      <c r="A3500"/>
      <c r="B3500"/>
      <c r="C3500" s="137"/>
      <c r="D3500" s="30"/>
      <c r="E3500" s="30"/>
      <c r="F3500" s="10"/>
      <c r="G3500" s="10"/>
      <c r="H3500" s="15"/>
      <c r="I3500" s="15"/>
      <c r="J3500" s="15"/>
      <c r="K3500" s="15"/>
      <c r="L3500" s="15"/>
      <c r="M3500" s="15"/>
      <c r="N3500" s="15"/>
      <c r="O3500" s="15"/>
      <c r="P3500" s="15"/>
      <c r="Q3500" s="71"/>
      <c r="R3500" s="84"/>
      <c r="S3500" s="10"/>
      <c r="T3500" s="10"/>
      <c r="U3500" s="10"/>
      <c r="V3500" s="10"/>
      <c r="W3500" s="138"/>
      <c r="Y3500"/>
      <c r="Z3500"/>
      <c r="AA3500"/>
      <c r="AB3500"/>
      <c r="AC3500"/>
      <c r="AD3500"/>
      <c r="AE3500"/>
      <c r="AF3500"/>
      <c r="AG3500"/>
      <c r="AH3500"/>
      <c r="AI3500"/>
      <c r="AJ3500"/>
      <c r="AK3500"/>
      <c r="AL3500"/>
      <c r="AM3500"/>
      <c r="AN3500"/>
      <c r="AO3500"/>
    </row>
    <row r="3501" spans="1:41" ht="15">
      <c r="A3501"/>
      <c r="B3501"/>
      <c r="C3501" s="137"/>
      <c r="D3501" s="30"/>
      <c r="E3501" s="30"/>
      <c r="F3501" s="10"/>
      <c r="G3501" s="10"/>
      <c r="H3501" s="15"/>
      <c r="I3501" s="15"/>
      <c r="J3501" s="15"/>
      <c r="K3501" s="15"/>
      <c r="L3501" s="15"/>
      <c r="M3501" s="15"/>
      <c r="N3501" s="15"/>
      <c r="O3501" s="15"/>
      <c r="P3501" s="15"/>
      <c r="Q3501" s="71"/>
      <c r="R3501" s="84"/>
      <c r="S3501" s="10"/>
      <c r="T3501" s="10"/>
      <c r="U3501" s="10"/>
      <c r="V3501" s="10"/>
      <c r="W3501" s="138"/>
      <c r="Y3501"/>
      <c r="Z3501"/>
      <c r="AA3501"/>
      <c r="AB3501"/>
      <c r="AC3501"/>
      <c r="AD3501"/>
      <c r="AE3501"/>
      <c r="AF3501"/>
      <c r="AG3501"/>
      <c r="AH3501"/>
      <c r="AI3501"/>
      <c r="AJ3501"/>
      <c r="AK3501"/>
      <c r="AL3501"/>
      <c r="AM3501"/>
      <c r="AN3501"/>
      <c r="AO3501"/>
    </row>
    <row r="3502" spans="1:41" ht="15">
      <c r="A3502"/>
      <c r="B3502"/>
      <c r="C3502" s="137"/>
      <c r="D3502" s="30"/>
      <c r="E3502" s="30"/>
      <c r="F3502" s="10"/>
      <c r="G3502" s="10"/>
      <c r="H3502" s="15"/>
      <c r="I3502" s="15"/>
      <c r="J3502" s="15"/>
      <c r="K3502" s="15"/>
      <c r="L3502" s="15"/>
      <c r="M3502" s="15"/>
      <c r="N3502" s="15"/>
      <c r="O3502" s="15"/>
      <c r="P3502" s="15"/>
      <c r="Q3502" s="71"/>
      <c r="R3502" s="84"/>
      <c r="S3502" s="10"/>
      <c r="T3502" s="10"/>
      <c r="U3502" s="10"/>
      <c r="V3502" s="10"/>
      <c r="W3502" s="138"/>
      <c r="Y3502"/>
      <c r="Z3502"/>
      <c r="AA3502"/>
      <c r="AB3502"/>
      <c r="AC3502"/>
      <c r="AD3502"/>
      <c r="AE3502"/>
      <c r="AF3502"/>
      <c r="AG3502"/>
      <c r="AH3502"/>
      <c r="AI3502"/>
      <c r="AJ3502"/>
      <c r="AK3502"/>
      <c r="AL3502"/>
      <c r="AM3502"/>
      <c r="AN3502"/>
      <c r="AO3502"/>
    </row>
    <row r="3503" spans="1:41" ht="15">
      <c r="A3503"/>
      <c r="B3503"/>
      <c r="C3503" s="137"/>
      <c r="D3503" s="30"/>
      <c r="E3503" s="30"/>
      <c r="F3503" s="10"/>
      <c r="G3503" s="10"/>
      <c r="H3503" s="15"/>
      <c r="I3503" s="15"/>
      <c r="J3503" s="15"/>
      <c r="K3503" s="15"/>
      <c r="L3503" s="15"/>
      <c r="M3503" s="15"/>
      <c r="N3503" s="15"/>
      <c r="O3503" s="15"/>
      <c r="P3503" s="15"/>
      <c r="Q3503" s="71"/>
      <c r="R3503" s="84"/>
      <c r="S3503" s="10"/>
      <c r="T3503" s="10"/>
      <c r="U3503" s="10"/>
      <c r="V3503" s="10"/>
      <c r="W3503" s="138"/>
      <c r="Y3503"/>
      <c r="Z3503"/>
      <c r="AA3503"/>
      <c r="AB3503"/>
      <c r="AC3503"/>
      <c r="AD3503"/>
      <c r="AE3503"/>
      <c r="AF3503"/>
      <c r="AG3503"/>
      <c r="AH3503"/>
      <c r="AI3503"/>
      <c r="AJ3503"/>
      <c r="AK3503"/>
      <c r="AL3503"/>
      <c r="AM3503"/>
      <c r="AN3503"/>
      <c r="AO3503"/>
    </row>
    <row r="3504" spans="1:41" ht="15">
      <c r="A3504"/>
      <c r="B3504"/>
      <c r="C3504" s="137"/>
      <c r="D3504" s="30"/>
      <c r="E3504" s="30"/>
      <c r="F3504" s="10"/>
      <c r="G3504" s="10"/>
      <c r="H3504" s="15"/>
      <c r="I3504" s="15"/>
      <c r="J3504" s="15"/>
      <c r="K3504" s="15"/>
      <c r="L3504" s="15"/>
      <c r="M3504" s="15"/>
      <c r="N3504" s="15"/>
      <c r="O3504" s="15"/>
      <c r="P3504" s="15"/>
      <c r="Q3504" s="71"/>
      <c r="R3504" s="84"/>
      <c r="S3504" s="10"/>
      <c r="T3504" s="10"/>
      <c r="U3504" s="10"/>
      <c r="V3504" s="10"/>
      <c r="W3504" s="138"/>
      <c r="Y3504"/>
      <c r="Z3504"/>
      <c r="AA3504"/>
      <c r="AB3504"/>
      <c r="AC3504"/>
      <c r="AD3504"/>
      <c r="AE3504"/>
      <c r="AF3504"/>
      <c r="AG3504"/>
      <c r="AH3504"/>
      <c r="AI3504"/>
      <c r="AJ3504"/>
      <c r="AK3504"/>
      <c r="AL3504"/>
      <c r="AM3504"/>
      <c r="AN3504"/>
      <c r="AO3504"/>
    </row>
    <row r="3505" spans="1:41" ht="15">
      <c r="A3505"/>
      <c r="B3505"/>
      <c r="C3505" s="137"/>
      <c r="D3505" s="30"/>
      <c r="E3505" s="30"/>
      <c r="F3505" s="10"/>
      <c r="G3505" s="10"/>
      <c r="H3505" s="15"/>
      <c r="I3505" s="15"/>
      <c r="J3505" s="15"/>
      <c r="K3505" s="15"/>
      <c r="L3505" s="15"/>
      <c r="M3505" s="15"/>
      <c r="N3505" s="15"/>
      <c r="O3505" s="15"/>
      <c r="P3505" s="15"/>
      <c r="Q3505" s="71"/>
      <c r="R3505" s="84"/>
      <c r="S3505" s="10"/>
      <c r="T3505" s="10"/>
      <c r="U3505" s="10"/>
      <c r="V3505" s="10"/>
      <c r="W3505" s="138"/>
      <c r="Y3505"/>
      <c r="Z3505"/>
      <c r="AA3505"/>
      <c r="AB3505"/>
      <c r="AC3505"/>
      <c r="AD3505"/>
      <c r="AE3505"/>
      <c r="AF3505"/>
      <c r="AG3505"/>
      <c r="AH3505"/>
      <c r="AI3505"/>
      <c r="AJ3505"/>
      <c r="AK3505"/>
      <c r="AL3505"/>
      <c r="AM3505"/>
      <c r="AN3505"/>
      <c r="AO3505"/>
    </row>
    <row r="3506" spans="1:41" ht="15">
      <c r="A3506"/>
      <c r="B3506"/>
      <c r="C3506" s="137"/>
      <c r="D3506" s="30"/>
      <c r="E3506" s="30"/>
      <c r="F3506" s="10"/>
      <c r="G3506" s="10"/>
      <c r="H3506" s="15"/>
      <c r="I3506" s="15"/>
      <c r="J3506" s="15"/>
      <c r="K3506" s="15"/>
      <c r="L3506" s="15"/>
      <c r="M3506" s="15"/>
      <c r="N3506" s="15"/>
      <c r="O3506" s="15"/>
      <c r="P3506" s="15"/>
      <c r="Q3506" s="71"/>
      <c r="R3506" s="84"/>
      <c r="S3506" s="10"/>
      <c r="T3506" s="10"/>
      <c r="U3506" s="10"/>
      <c r="V3506" s="10"/>
      <c r="W3506" s="138"/>
      <c r="Y3506"/>
      <c r="Z3506"/>
      <c r="AA3506"/>
      <c r="AB3506"/>
      <c r="AC3506"/>
      <c r="AD3506"/>
      <c r="AE3506"/>
      <c r="AF3506"/>
      <c r="AG3506"/>
      <c r="AH3506"/>
      <c r="AI3506"/>
      <c r="AJ3506"/>
      <c r="AK3506"/>
      <c r="AL3506"/>
      <c r="AM3506"/>
      <c r="AN3506"/>
      <c r="AO3506"/>
    </row>
    <row r="3507" spans="1:41" ht="15">
      <c r="A3507"/>
      <c r="B3507"/>
      <c r="C3507" s="137"/>
      <c r="D3507" s="30"/>
      <c r="E3507" s="30"/>
      <c r="F3507" s="10"/>
      <c r="G3507" s="10"/>
      <c r="H3507" s="15"/>
      <c r="I3507" s="15"/>
      <c r="J3507" s="15"/>
      <c r="K3507" s="15"/>
      <c r="L3507" s="15"/>
      <c r="M3507" s="15"/>
      <c r="N3507" s="15"/>
      <c r="O3507" s="15"/>
      <c r="P3507" s="15"/>
      <c r="Q3507" s="71"/>
      <c r="R3507" s="84"/>
      <c r="S3507" s="10"/>
      <c r="T3507" s="10"/>
      <c r="U3507" s="10"/>
      <c r="V3507" s="10"/>
      <c r="W3507" s="138"/>
      <c r="Y3507"/>
      <c r="Z3507"/>
      <c r="AA3507"/>
      <c r="AB3507"/>
      <c r="AC3507"/>
      <c r="AD3507"/>
      <c r="AE3507"/>
      <c r="AF3507"/>
      <c r="AG3507"/>
      <c r="AH3507"/>
      <c r="AI3507"/>
      <c r="AJ3507"/>
      <c r="AK3507"/>
      <c r="AL3507"/>
      <c r="AM3507"/>
      <c r="AN3507"/>
      <c r="AO3507"/>
    </row>
    <row r="3508" spans="1:41" ht="15">
      <c r="A3508"/>
      <c r="B3508"/>
      <c r="C3508" s="137"/>
      <c r="D3508" s="30"/>
      <c r="E3508" s="30"/>
      <c r="F3508" s="10"/>
      <c r="G3508" s="10"/>
      <c r="H3508" s="15"/>
      <c r="I3508" s="15"/>
      <c r="J3508" s="15"/>
      <c r="K3508" s="15"/>
      <c r="L3508" s="15"/>
      <c r="M3508" s="15"/>
      <c r="N3508" s="15"/>
      <c r="O3508" s="15"/>
      <c r="P3508" s="15"/>
      <c r="Q3508" s="71"/>
      <c r="R3508" s="84"/>
      <c r="S3508" s="10"/>
      <c r="T3508" s="10"/>
      <c r="U3508" s="10"/>
      <c r="V3508" s="10"/>
      <c r="W3508" s="138"/>
      <c r="Y3508"/>
      <c r="Z3508"/>
      <c r="AA3508"/>
      <c r="AB3508"/>
      <c r="AC3508"/>
      <c r="AD3508"/>
      <c r="AE3508"/>
      <c r="AF3508"/>
      <c r="AG3508"/>
      <c r="AH3508"/>
      <c r="AI3508"/>
      <c r="AJ3508"/>
      <c r="AK3508"/>
      <c r="AL3508"/>
      <c r="AM3508"/>
      <c r="AN3508"/>
      <c r="AO3508"/>
    </row>
    <row r="3509" spans="1:41" ht="15">
      <c r="A3509"/>
      <c r="B3509"/>
      <c r="C3509" s="137"/>
      <c r="D3509" s="30"/>
      <c r="E3509" s="30"/>
      <c r="F3509" s="10"/>
      <c r="G3509" s="10"/>
      <c r="H3509" s="15"/>
      <c r="I3509" s="15"/>
      <c r="J3509" s="15"/>
      <c r="K3509" s="15"/>
      <c r="L3509" s="15"/>
      <c r="M3509" s="15"/>
      <c r="N3509" s="15"/>
      <c r="O3509" s="15"/>
      <c r="P3509" s="15"/>
      <c r="Q3509" s="71"/>
      <c r="R3509" s="84"/>
      <c r="S3509" s="10"/>
      <c r="T3509" s="10"/>
      <c r="U3509" s="10"/>
      <c r="V3509" s="10"/>
      <c r="W3509" s="138"/>
      <c r="Y3509"/>
      <c r="Z3509"/>
      <c r="AA3509"/>
      <c r="AB3509"/>
      <c r="AC3509"/>
      <c r="AD3509"/>
      <c r="AE3509"/>
      <c r="AF3509"/>
      <c r="AG3509"/>
      <c r="AH3509"/>
      <c r="AI3509"/>
      <c r="AJ3509"/>
      <c r="AK3509"/>
      <c r="AL3509"/>
      <c r="AM3509"/>
      <c r="AN3509"/>
      <c r="AO3509"/>
    </row>
    <row r="3510" spans="1:41" ht="15">
      <c r="A3510"/>
      <c r="B3510"/>
      <c r="C3510" s="137"/>
      <c r="D3510" s="30"/>
      <c r="E3510" s="30"/>
      <c r="F3510" s="10"/>
      <c r="G3510" s="10"/>
      <c r="H3510" s="15"/>
      <c r="I3510" s="15"/>
      <c r="J3510" s="15"/>
      <c r="K3510" s="15"/>
      <c r="L3510" s="15"/>
      <c r="M3510" s="15"/>
      <c r="N3510" s="15"/>
      <c r="O3510" s="15"/>
      <c r="P3510" s="15"/>
      <c r="Q3510" s="71"/>
      <c r="R3510" s="84"/>
      <c r="S3510" s="10"/>
      <c r="T3510" s="10"/>
      <c r="U3510" s="10"/>
      <c r="V3510" s="10"/>
      <c r="W3510" s="138"/>
      <c r="Y3510"/>
      <c r="Z3510"/>
      <c r="AA3510"/>
      <c r="AB3510"/>
      <c r="AC3510"/>
      <c r="AD3510"/>
      <c r="AE3510"/>
      <c r="AF3510"/>
      <c r="AG3510"/>
      <c r="AH3510"/>
      <c r="AI3510"/>
      <c r="AJ3510"/>
      <c r="AK3510"/>
      <c r="AL3510"/>
      <c r="AM3510"/>
      <c r="AN3510"/>
      <c r="AO3510"/>
    </row>
    <row r="3511" spans="1:41" ht="15">
      <c r="A3511"/>
      <c r="B3511"/>
      <c r="C3511" s="137"/>
      <c r="D3511" s="30"/>
      <c r="E3511" s="30"/>
      <c r="F3511" s="10"/>
      <c r="G3511" s="10"/>
      <c r="H3511" s="15"/>
      <c r="I3511" s="15"/>
      <c r="J3511" s="15"/>
      <c r="K3511" s="15"/>
      <c r="L3511" s="15"/>
      <c r="M3511" s="15"/>
      <c r="N3511" s="15"/>
      <c r="O3511" s="15"/>
      <c r="P3511" s="15"/>
      <c r="Q3511" s="71"/>
      <c r="R3511" s="84"/>
      <c r="S3511" s="10"/>
      <c r="T3511" s="10"/>
      <c r="U3511" s="10"/>
      <c r="V3511" s="10"/>
      <c r="W3511" s="138"/>
      <c r="Y3511"/>
      <c r="Z3511"/>
      <c r="AA3511"/>
      <c r="AB3511"/>
      <c r="AC3511"/>
      <c r="AD3511"/>
      <c r="AE3511"/>
      <c r="AF3511"/>
      <c r="AG3511"/>
      <c r="AH3511"/>
      <c r="AI3511"/>
      <c r="AJ3511"/>
      <c r="AK3511"/>
      <c r="AL3511"/>
      <c r="AM3511"/>
      <c r="AN3511"/>
      <c r="AO3511"/>
    </row>
    <row r="3512" spans="1:41" ht="15">
      <c r="A3512"/>
      <c r="B3512"/>
      <c r="C3512" s="137"/>
      <c r="D3512" s="30"/>
      <c r="E3512" s="30"/>
      <c r="F3512" s="10"/>
      <c r="G3512" s="10"/>
      <c r="H3512" s="15"/>
      <c r="I3512" s="15"/>
      <c r="J3512" s="15"/>
      <c r="K3512" s="15"/>
      <c r="L3512" s="15"/>
      <c r="M3512" s="15"/>
      <c r="N3512" s="15"/>
      <c r="O3512" s="15"/>
      <c r="P3512" s="15"/>
      <c r="Q3512" s="71"/>
      <c r="R3512" s="84"/>
      <c r="S3512" s="10"/>
      <c r="T3512" s="10"/>
      <c r="U3512" s="10"/>
      <c r="V3512" s="10"/>
      <c r="W3512" s="138"/>
      <c r="Y3512"/>
      <c r="Z3512"/>
      <c r="AA3512"/>
      <c r="AB3512"/>
      <c r="AC3512"/>
      <c r="AD3512"/>
      <c r="AE3512"/>
      <c r="AF3512"/>
      <c r="AG3512"/>
      <c r="AH3512"/>
      <c r="AI3512"/>
      <c r="AJ3512"/>
      <c r="AK3512"/>
      <c r="AL3512"/>
      <c r="AM3512"/>
      <c r="AN3512"/>
      <c r="AO3512"/>
    </row>
    <row r="3513" spans="1:41" ht="15">
      <c r="A3513"/>
      <c r="B3513"/>
      <c r="C3513" s="137"/>
      <c r="D3513" s="30"/>
      <c r="E3513" s="30"/>
      <c r="F3513" s="10"/>
      <c r="G3513" s="10"/>
      <c r="H3513" s="15"/>
      <c r="I3513" s="15"/>
      <c r="J3513" s="15"/>
      <c r="K3513" s="15"/>
      <c r="L3513" s="15"/>
      <c r="M3513" s="15"/>
      <c r="N3513" s="15"/>
      <c r="O3513" s="15"/>
      <c r="P3513" s="15"/>
      <c r="Q3513" s="71"/>
      <c r="R3513" s="84"/>
      <c r="S3513" s="10"/>
      <c r="T3513" s="10"/>
      <c r="U3513" s="10"/>
      <c r="V3513" s="10"/>
      <c r="W3513" s="138"/>
      <c r="Y3513"/>
      <c r="Z3513"/>
      <c r="AA3513"/>
      <c r="AB3513"/>
      <c r="AC3513"/>
      <c r="AD3513"/>
      <c r="AE3513"/>
      <c r="AF3513"/>
      <c r="AG3513"/>
      <c r="AH3513"/>
      <c r="AI3513"/>
      <c r="AJ3513"/>
      <c r="AK3513"/>
      <c r="AL3513"/>
      <c r="AM3513"/>
      <c r="AN3513"/>
      <c r="AO3513"/>
    </row>
    <row r="3514" spans="1:41" ht="15">
      <c r="A3514"/>
      <c r="B3514"/>
      <c r="C3514" s="137"/>
      <c r="D3514" s="30"/>
      <c r="E3514" s="30"/>
      <c r="F3514" s="10"/>
      <c r="G3514" s="10"/>
      <c r="H3514" s="15"/>
      <c r="I3514" s="15"/>
      <c r="J3514" s="15"/>
      <c r="K3514" s="15"/>
      <c r="L3514" s="15"/>
      <c r="M3514" s="15"/>
      <c r="N3514" s="15"/>
      <c r="O3514" s="15"/>
      <c r="P3514" s="15"/>
      <c r="Q3514" s="71"/>
      <c r="R3514" s="84"/>
      <c r="S3514" s="10"/>
      <c r="T3514" s="10"/>
      <c r="U3514" s="10"/>
      <c r="V3514" s="10"/>
      <c r="W3514" s="138"/>
      <c r="Y3514"/>
      <c r="Z3514"/>
      <c r="AA3514"/>
      <c r="AB3514"/>
      <c r="AC3514"/>
      <c r="AD3514"/>
      <c r="AE3514"/>
      <c r="AF3514"/>
      <c r="AG3514"/>
      <c r="AH3514"/>
      <c r="AI3514"/>
      <c r="AJ3514"/>
      <c r="AK3514"/>
      <c r="AL3514"/>
      <c r="AM3514"/>
      <c r="AN3514"/>
      <c r="AO3514"/>
    </row>
    <row r="3515" spans="1:41" ht="15">
      <c r="A3515"/>
      <c r="B3515"/>
      <c r="C3515" s="137"/>
      <c r="D3515" s="30"/>
      <c r="E3515" s="30"/>
      <c r="F3515" s="10"/>
      <c r="G3515" s="10"/>
      <c r="H3515" s="15"/>
      <c r="I3515" s="15"/>
      <c r="J3515" s="15"/>
      <c r="K3515" s="15"/>
      <c r="L3515" s="15"/>
      <c r="M3515" s="15"/>
      <c r="N3515" s="15"/>
      <c r="O3515" s="15"/>
      <c r="P3515" s="15"/>
      <c r="Q3515" s="71"/>
      <c r="R3515" s="84"/>
      <c r="S3515" s="10"/>
      <c r="T3515" s="10"/>
      <c r="U3515" s="10"/>
      <c r="V3515" s="10"/>
      <c r="W3515" s="138"/>
      <c r="Y3515"/>
      <c r="Z3515"/>
      <c r="AA3515"/>
      <c r="AB3515"/>
      <c r="AC3515"/>
      <c r="AD3515"/>
      <c r="AE3515"/>
      <c r="AF3515"/>
      <c r="AG3515"/>
      <c r="AH3515"/>
      <c r="AI3515"/>
      <c r="AJ3515"/>
      <c r="AK3515"/>
      <c r="AL3515"/>
      <c r="AM3515"/>
      <c r="AN3515"/>
      <c r="AO3515"/>
    </row>
    <row r="3516" spans="1:41" ht="15">
      <c r="A3516"/>
      <c r="B3516"/>
      <c r="C3516" s="137"/>
      <c r="D3516" s="30"/>
      <c r="E3516" s="30"/>
      <c r="F3516" s="10"/>
      <c r="G3516" s="10"/>
      <c r="H3516" s="15"/>
      <c r="I3516" s="15"/>
      <c r="J3516" s="15"/>
      <c r="K3516" s="15"/>
      <c r="L3516" s="15"/>
      <c r="M3516" s="15"/>
      <c r="N3516" s="15"/>
      <c r="O3516" s="15"/>
      <c r="P3516" s="15"/>
      <c r="Q3516" s="71"/>
      <c r="R3516" s="84"/>
      <c r="S3516" s="10"/>
      <c r="T3516" s="10"/>
      <c r="U3516" s="10"/>
      <c r="V3516" s="10"/>
      <c r="W3516" s="138"/>
      <c r="Y3516"/>
      <c r="Z3516"/>
      <c r="AA3516"/>
      <c r="AB3516"/>
      <c r="AC3516"/>
      <c r="AD3516"/>
      <c r="AE3516"/>
      <c r="AF3516"/>
      <c r="AG3516"/>
      <c r="AH3516"/>
      <c r="AI3516"/>
      <c r="AJ3516"/>
      <c r="AK3516"/>
      <c r="AL3516"/>
      <c r="AM3516"/>
      <c r="AN3516"/>
      <c r="AO3516"/>
    </row>
    <row r="3517" spans="1:41" ht="15">
      <c r="A3517"/>
      <c r="B3517"/>
      <c r="C3517" s="137"/>
      <c r="D3517" s="30"/>
      <c r="E3517" s="30"/>
      <c r="F3517" s="10"/>
      <c r="G3517" s="10"/>
      <c r="H3517" s="15"/>
      <c r="I3517" s="15"/>
      <c r="J3517" s="15"/>
      <c r="K3517" s="15"/>
      <c r="L3517" s="15"/>
      <c r="M3517" s="15"/>
      <c r="N3517" s="15"/>
      <c r="O3517" s="15"/>
      <c r="P3517" s="15"/>
      <c r="Q3517" s="71"/>
      <c r="R3517" s="84"/>
      <c r="S3517" s="10"/>
      <c r="T3517" s="10"/>
      <c r="U3517" s="10"/>
      <c r="V3517" s="10"/>
      <c r="W3517" s="138"/>
      <c r="Y3517"/>
      <c r="Z3517"/>
      <c r="AA3517"/>
      <c r="AB3517"/>
      <c r="AC3517"/>
      <c r="AD3517"/>
      <c r="AE3517"/>
      <c r="AF3517"/>
      <c r="AG3517"/>
      <c r="AH3517"/>
      <c r="AI3517"/>
      <c r="AJ3517"/>
      <c r="AK3517"/>
      <c r="AL3517"/>
      <c r="AM3517"/>
      <c r="AN3517"/>
      <c r="AO3517"/>
    </row>
    <row r="3518" spans="1:41" ht="15">
      <c r="A3518"/>
      <c r="B3518"/>
      <c r="C3518" s="137"/>
      <c r="D3518" s="30"/>
      <c r="E3518" s="30"/>
      <c r="F3518" s="10"/>
      <c r="G3518" s="10"/>
      <c r="H3518" s="15"/>
      <c r="I3518" s="15"/>
      <c r="J3518" s="15"/>
      <c r="K3518" s="15"/>
      <c r="L3518" s="15"/>
      <c r="M3518" s="15"/>
      <c r="N3518" s="15"/>
      <c r="O3518" s="15"/>
      <c r="P3518" s="15"/>
      <c r="Q3518" s="71"/>
      <c r="R3518" s="84"/>
      <c r="S3518" s="10"/>
      <c r="T3518" s="10"/>
      <c r="U3518" s="10"/>
      <c r="V3518" s="10"/>
      <c r="W3518" s="138"/>
      <c r="Y3518"/>
      <c r="Z3518"/>
      <c r="AA3518"/>
      <c r="AB3518"/>
      <c r="AC3518"/>
      <c r="AD3518"/>
      <c r="AE3518"/>
      <c r="AF3518"/>
      <c r="AG3518"/>
      <c r="AH3518"/>
      <c r="AI3518"/>
      <c r="AJ3518"/>
      <c r="AK3518"/>
      <c r="AL3518"/>
      <c r="AM3518"/>
      <c r="AN3518"/>
      <c r="AO3518"/>
    </row>
    <row r="3519" spans="1:41" ht="15">
      <c r="A3519"/>
      <c r="B3519"/>
      <c r="C3519" s="137"/>
      <c r="D3519" s="30"/>
      <c r="E3519" s="30"/>
      <c r="F3519" s="10"/>
      <c r="G3519" s="10"/>
      <c r="H3519" s="15"/>
      <c r="I3519" s="15"/>
      <c r="J3519" s="15"/>
      <c r="K3519" s="15"/>
      <c r="L3519" s="15"/>
      <c r="M3519" s="15"/>
      <c r="N3519" s="15"/>
      <c r="O3519" s="15"/>
      <c r="P3519" s="15"/>
      <c r="Q3519" s="71"/>
      <c r="R3519" s="84"/>
      <c r="S3519" s="10"/>
      <c r="T3519" s="10"/>
      <c r="U3519" s="10"/>
      <c r="V3519" s="10"/>
      <c r="W3519" s="138"/>
      <c r="Y3519"/>
      <c r="Z3519"/>
      <c r="AA3519"/>
      <c r="AB3519"/>
      <c r="AC3519"/>
      <c r="AD3519"/>
      <c r="AE3519"/>
      <c r="AF3519"/>
      <c r="AG3519"/>
      <c r="AH3519"/>
      <c r="AI3519"/>
      <c r="AJ3519"/>
      <c r="AK3519"/>
      <c r="AL3519"/>
      <c r="AM3519"/>
      <c r="AN3519"/>
      <c r="AO3519"/>
    </row>
    <row r="3520" spans="1:41" ht="15">
      <c r="A3520"/>
      <c r="B3520"/>
      <c r="C3520" s="137"/>
      <c r="D3520" s="30"/>
      <c r="E3520" s="30"/>
      <c r="F3520" s="10"/>
      <c r="G3520" s="10"/>
      <c r="H3520" s="15"/>
      <c r="I3520" s="15"/>
      <c r="J3520" s="15"/>
      <c r="K3520" s="15"/>
      <c r="L3520" s="15"/>
      <c r="M3520" s="15"/>
      <c r="N3520" s="15"/>
      <c r="O3520" s="15"/>
      <c r="P3520" s="15"/>
      <c r="Q3520" s="71"/>
      <c r="R3520" s="84"/>
      <c r="S3520" s="10"/>
      <c r="T3520" s="10"/>
      <c r="U3520" s="10"/>
      <c r="V3520" s="10"/>
      <c r="W3520" s="138"/>
      <c r="Y3520"/>
      <c r="Z3520"/>
      <c r="AA3520"/>
      <c r="AB3520"/>
      <c r="AC3520"/>
      <c r="AD3520"/>
      <c r="AE3520"/>
      <c r="AF3520"/>
      <c r="AG3520"/>
      <c r="AH3520"/>
      <c r="AI3520"/>
      <c r="AJ3520"/>
      <c r="AK3520"/>
      <c r="AL3520"/>
      <c r="AM3520"/>
      <c r="AN3520"/>
      <c r="AO3520"/>
    </row>
    <row r="3521" spans="1:41" ht="15">
      <c r="A3521"/>
      <c r="B3521"/>
      <c r="C3521" s="137"/>
      <c r="D3521" s="30"/>
      <c r="E3521" s="30"/>
      <c r="F3521" s="10"/>
      <c r="G3521" s="10"/>
      <c r="H3521" s="15"/>
      <c r="I3521" s="15"/>
      <c r="J3521" s="15"/>
      <c r="K3521" s="15"/>
      <c r="L3521" s="15"/>
      <c r="M3521" s="15"/>
      <c r="N3521" s="15"/>
      <c r="O3521" s="15"/>
      <c r="P3521" s="15"/>
      <c r="Q3521" s="71"/>
      <c r="R3521" s="84"/>
      <c r="S3521" s="10"/>
      <c r="T3521" s="10"/>
      <c r="U3521" s="10"/>
      <c r="V3521" s="10"/>
      <c r="W3521" s="138"/>
      <c r="Y3521"/>
      <c r="Z3521"/>
      <c r="AA3521"/>
      <c r="AB3521"/>
      <c r="AC3521"/>
      <c r="AD3521"/>
      <c r="AE3521"/>
      <c r="AF3521"/>
      <c r="AG3521"/>
      <c r="AH3521"/>
      <c r="AI3521"/>
      <c r="AJ3521"/>
      <c r="AK3521"/>
      <c r="AL3521"/>
      <c r="AM3521"/>
      <c r="AN3521"/>
      <c r="AO3521"/>
    </row>
    <row r="3522" spans="1:41" ht="15">
      <c r="A3522"/>
      <c r="B3522"/>
      <c r="C3522" s="137"/>
      <c r="D3522" s="30"/>
      <c r="E3522" s="30"/>
      <c r="F3522" s="10"/>
      <c r="G3522" s="10"/>
      <c r="H3522" s="15"/>
      <c r="I3522" s="15"/>
      <c r="J3522" s="15"/>
      <c r="K3522" s="15"/>
      <c r="L3522" s="15"/>
      <c r="M3522" s="15"/>
      <c r="N3522" s="15"/>
      <c r="O3522" s="15"/>
      <c r="P3522" s="15"/>
      <c r="Q3522" s="71"/>
      <c r="R3522" s="84"/>
      <c r="S3522" s="10"/>
      <c r="T3522" s="10"/>
      <c r="U3522" s="10"/>
      <c r="V3522" s="10"/>
      <c r="W3522" s="138"/>
      <c r="Y3522"/>
      <c r="Z3522"/>
      <c r="AA3522"/>
      <c r="AB3522"/>
      <c r="AC3522"/>
      <c r="AD3522"/>
      <c r="AE3522"/>
      <c r="AF3522"/>
      <c r="AG3522"/>
      <c r="AH3522"/>
      <c r="AI3522"/>
      <c r="AJ3522"/>
      <c r="AK3522"/>
      <c r="AL3522"/>
      <c r="AM3522"/>
      <c r="AN3522"/>
      <c r="AO3522"/>
    </row>
    <row r="3523" spans="1:41" ht="15">
      <c r="A3523"/>
      <c r="B3523"/>
      <c r="C3523" s="137"/>
      <c r="D3523" s="30"/>
      <c r="E3523" s="30"/>
      <c r="F3523" s="10"/>
      <c r="G3523" s="10"/>
      <c r="H3523" s="15"/>
      <c r="I3523" s="15"/>
      <c r="J3523" s="15"/>
      <c r="K3523" s="15"/>
      <c r="L3523" s="15"/>
      <c r="M3523" s="15"/>
      <c r="N3523" s="15"/>
      <c r="O3523" s="15"/>
      <c r="P3523" s="15"/>
      <c r="Q3523" s="71"/>
      <c r="R3523" s="84"/>
      <c r="S3523" s="10"/>
      <c r="T3523" s="10"/>
      <c r="U3523" s="10"/>
      <c r="V3523" s="10"/>
      <c r="W3523" s="138"/>
      <c r="Y3523"/>
      <c r="Z3523"/>
      <c r="AA3523"/>
      <c r="AB3523"/>
      <c r="AC3523"/>
      <c r="AD3523"/>
      <c r="AE3523"/>
      <c r="AF3523"/>
      <c r="AG3523"/>
      <c r="AH3523"/>
      <c r="AI3523"/>
      <c r="AJ3523"/>
      <c r="AK3523"/>
      <c r="AL3523"/>
      <c r="AM3523"/>
      <c r="AN3523"/>
      <c r="AO3523"/>
    </row>
    <row r="3524" spans="1:41" ht="15">
      <c r="A3524"/>
      <c r="B3524"/>
      <c r="C3524" s="137"/>
      <c r="D3524" s="30"/>
      <c r="E3524" s="30"/>
      <c r="F3524" s="10"/>
      <c r="G3524" s="10"/>
      <c r="H3524" s="15"/>
      <c r="I3524" s="15"/>
      <c r="J3524" s="15"/>
      <c r="K3524" s="15"/>
      <c r="L3524" s="15"/>
      <c r="M3524" s="15"/>
      <c r="N3524" s="15"/>
      <c r="O3524" s="15"/>
      <c r="P3524" s="15"/>
      <c r="Q3524" s="71"/>
      <c r="R3524" s="84"/>
      <c r="S3524" s="10"/>
      <c r="T3524" s="10"/>
      <c r="U3524" s="10"/>
      <c r="V3524" s="10"/>
      <c r="W3524" s="138"/>
      <c r="Y3524"/>
      <c r="Z3524"/>
      <c r="AA3524"/>
      <c r="AB3524"/>
      <c r="AC3524"/>
      <c r="AD3524"/>
      <c r="AE3524"/>
      <c r="AF3524"/>
      <c r="AG3524"/>
      <c r="AH3524"/>
      <c r="AI3524"/>
      <c r="AJ3524"/>
      <c r="AK3524"/>
      <c r="AL3524"/>
      <c r="AM3524"/>
      <c r="AN3524"/>
      <c r="AO3524"/>
    </row>
    <row r="3525" spans="1:41" ht="15">
      <c r="A3525"/>
      <c r="B3525"/>
      <c r="C3525" s="137"/>
      <c r="D3525" s="30"/>
      <c r="E3525" s="30"/>
      <c r="F3525" s="10"/>
      <c r="G3525" s="10"/>
      <c r="H3525" s="15"/>
      <c r="I3525" s="15"/>
      <c r="J3525" s="15"/>
      <c r="K3525" s="15"/>
      <c r="L3525" s="15"/>
      <c r="M3525" s="15"/>
      <c r="N3525" s="15"/>
      <c r="O3525" s="15"/>
      <c r="P3525" s="15"/>
      <c r="Q3525" s="71"/>
      <c r="R3525" s="84"/>
      <c r="S3525" s="10"/>
      <c r="T3525" s="10"/>
      <c r="U3525" s="10"/>
      <c r="V3525" s="10"/>
      <c r="W3525" s="138"/>
      <c r="Y3525"/>
      <c r="Z3525"/>
      <c r="AA3525"/>
      <c r="AB3525"/>
      <c r="AC3525"/>
      <c r="AD3525"/>
      <c r="AE3525"/>
      <c r="AF3525"/>
      <c r="AG3525"/>
      <c r="AH3525"/>
      <c r="AI3525"/>
      <c r="AJ3525"/>
      <c r="AK3525"/>
      <c r="AL3525"/>
      <c r="AM3525"/>
      <c r="AN3525"/>
      <c r="AO3525"/>
    </row>
    <row r="3526" spans="1:41" ht="15">
      <c r="A3526"/>
      <c r="B3526"/>
      <c r="C3526" s="137"/>
      <c r="D3526" s="30"/>
      <c r="E3526" s="30"/>
      <c r="F3526" s="10"/>
      <c r="G3526" s="10"/>
      <c r="H3526" s="15"/>
      <c r="I3526" s="15"/>
      <c r="J3526" s="15"/>
      <c r="K3526" s="15"/>
      <c r="L3526" s="15"/>
      <c r="M3526" s="15"/>
      <c r="N3526" s="15"/>
      <c r="O3526" s="15"/>
      <c r="P3526" s="15"/>
      <c r="Q3526" s="71"/>
      <c r="R3526" s="84"/>
      <c r="S3526" s="10"/>
      <c r="T3526" s="10"/>
      <c r="U3526" s="10"/>
      <c r="V3526" s="10"/>
      <c r="W3526" s="138"/>
      <c r="Y3526"/>
      <c r="Z3526"/>
      <c r="AA3526"/>
      <c r="AB3526"/>
      <c r="AC3526"/>
      <c r="AD3526"/>
      <c r="AE3526"/>
      <c r="AF3526"/>
      <c r="AG3526"/>
      <c r="AH3526"/>
      <c r="AI3526"/>
      <c r="AJ3526"/>
      <c r="AK3526"/>
      <c r="AL3526"/>
      <c r="AM3526"/>
      <c r="AN3526"/>
      <c r="AO3526"/>
    </row>
    <row r="3527" spans="1:41" ht="15">
      <c r="A3527"/>
      <c r="B3527"/>
      <c r="C3527" s="137"/>
      <c r="D3527" s="30"/>
      <c r="E3527" s="30"/>
      <c r="F3527" s="10"/>
      <c r="G3527" s="10"/>
      <c r="H3527" s="15"/>
      <c r="I3527" s="15"/>
      <c r="J3527" s="15"/>
      <c r="K3527" s="15"/>
      <c r="L3527" s="15"/>
      <c r="M3527" s="15"/>
      <c r="N3527" s="15"/>
      <c r="O3527" s="15"/>
      <c r="P3527" s="15"/>
      <c r="Q3527" s="71"/>
      <c r="R3527" s="84"/>
      <c r="S3527" s="10"/>
      <c r="T3527" s="10"/>
      <c r="U3527" s="10"/>
      <c r="V3527" s="10"/>
      <c r="W3527" s="138"/>
      <c r="Y3527"/>
      <c r="Z3527"/>
      <c r="AA3527"/>
      <c r="AB3527"/>
      <c r="AC3527"/>
      <c r="AD3527"/>
      <c r="AE3527"/>
      <c r="AF3527"/>
      <c r="AG3527"/>
      <c r="AH3527"/>
      <c r="AI3527"/>
      <c r="AJ3527"/>
      <c r="AK3527"/>
      <c r="AL3527"/>
      <c r="AM3527"/>
      <c r="AN3527"/>
      <c r="AO3527"/>
    </row>
    <row r="3528" spans="1:41" ht="15">
      <c r="A3528"/>
      <c r="B3528"/>
      <c r="C3528" s="137"/>
      <c r="D3528" s="30"/>
      <c r="E3528" s="30"/>
      <c r="F3528" s="10"/>
      <c r="G3528" s="10"/>
      <c r="H3528" s="15"/>
      <c r="I3528" s="15"/>
      <c r="J3528" s="15"/>
      <c r="K3528" s="15"/>
      <c r="L3528" s="15"/>
      <c r="M3528" s="15"/>
      <c r="N3528" s="15"/>
      <c r="O3528" s="15"/>
      <c r="P3528" s="15"/>
      <c r="Q3528" s="71"/>
      <c r="R3528" s="84"/>
      <c r="S3528" s="10"/>
      <c r="T3528" s="10"/>
      <c r="U3528" s="10"/>
      <c r="V3528" s="10"/>
      <c r="W3528" s="138"/>
      <c r="Y3528"/>
      <c r="Z3528"/>
      <c r="AA3528"/>
      <c r="AB3528"/>
      <c r="AC3528"/>
      <c r="AD3528"/>
      <c r="AE3528"/>
      <c r="AF3528"/>
      <c r="AG3528"/>
      <c r="AH3528"/>
      <c r="AI3528"/>
      <c r="AJ3528"/>
      <c r="AK3528"/>
      <c r="AL3528"/>
      <c r="AM3528"/>
      <c r="AN3528"/>
      <c r="AO3528"/>
    </row>
    <row r="3529" spans="1:41" ht="15">
      <c r="A3529"/>
      <c r="B3529"/>
      <c r="C3529" s="137"/>
      <c r="D3529" s="30"/>
      <c r="E3529" s="30"/>
      <c r="F3529" s="10"/>
      <c r="G3529" s="10"/>
      <c r="H3529" s="15"/>
      <c r="I3529" s="15"/>
      <c r="J3529" s="15"/>
      <c r="K3529" s="15"/>
      <c r="L3529" s="15"/>
      <c r="M3529" s="15"/>
      <c r="N3529" s="15"/>
      <c r="O3529" s="15"/>
      <c r="P3529" s="15"/>
      <c r="Q3529" s="71"/>
      <c r="R3529" s="84"/>
      <c r="S3529" s="10"/>
      <c r="T3529" s="10"/>
      <c r="U3529" s="10"/>
      <c r="V3529" s="10"/>
      <c r="W3529" s="138"/>
      <c r="Y3529"/>
      <c r="Z3529"/>
      <c r="AA3529"/>
      <c r="AB3529"/>
      <c r="AC3529"/>
      <c r="AD3529"/>
      <c r="AE3529"/>
      <c r="AF3529"/>
      <c r="AG3529"/>
      <c r="AH3529"/>
      <c r="AI3529"/>
      <c r="AJ3529"/>
      <c r="AK3529"/>
      <c r="AL3529"/>
      <c r="AM3529"/>
      <c r="AN3529"/>
      <c r="AO3529"/>
    </row>
    <row r="3530" spans="1:41" ht="15">
      <c r="A3530"/>
      <c r="B3530"/>
      <c r="C3530" s="137"/>
      <c r="D3530" s="30"/>
      <c r="E3530" s="30"/>
      <c r="F3530" s="10"/>
      <c r="G3530" s="10"/>
      <c r="H3530" s="15"/>
      <c r="I3530" s="15"/>
      <c r="J3530" s="15"/>
      <c r="K3530" s="15"/>
      <c r="L3530" s="15"/>
      <c r="M3530" s="15"/>
      <c r="N3530" s="15"/>
      <c r="O3530" s="15"/>
      <c r="P3530" s="15"/>
      <c r="Q3530" s="71"/>
      <c r="R3530" s="84"/>
      <c r="S3530" s="10"/>
      <c r="T3530" s="10"/>
      <c r="U3530" s="10"/>
      <c r="V3530" s="10"/>
      <c r="W3530" s="138"/>
      <c r="Y3530"/>
      <c r="Z3530"/>
      <c r="AA3530"/>
      <c r="AB3530"/>
      <c r="AC3530"/>
      <c r="AD3530"/>
      <c r="AE3530"/>
      <c r="AF3530"/>
      <c r="AG3530"/>
      <c r="AH3530"/>
      <c r="AI3530"/>
      <c r="AJ3530"/>
      <c r="AK3530"/>
      <c r="AL3530"/>
      <c r="AM3530"/>
      <c r="AN3530"/>
      <c r="AO3530"/>
    </row>
    <row r="3531" spans="1:41" ht="15">
      <c r="A3531"/>
      <c r="B3531"/>
      <c r="C3531" s="137"/>
      <c r="D3531" s="30"/>
      <c r="E3531" s="30"/>
      <c r="F3531" s="10"/>
      <c r="G3531" s="10"/>
      <c r="H3531" s="15"/>
      <c r="I3531" s="15"/>
      <c r="J3531" s="15"/>
      <c r="K3531" s="15"/>
      <c r="L3531" s="15"/>
      <c r="M3531" s="15"/>
      <c r="N3531" s="15"/>
      <c r="O3531" s="15"/>
      <c r="P3531" s="15"/>
      <c r="Q3531" s="71"/>
      <c r="R3531" s="84"/>
      <c r="S3531" s="10"/>
      <c r="T3531" s="10"/>
      <c r="U3531" s="10"/>
      <c r="V3531" s="10"/>
      <c r="W3531" s="138"/>
      <c r="Y3531"/>
      <c r="Z3531"/>
      <c r="AA3531"/>
      <c r="AB3531"/>
      <c r="AC3531"/>
      <c r="AD3531"/>
      <c r="AE3531"/>
      <c r="AF3531"/>
      <c r="AG3531"/>
      <c r="AH3531"/>
      <c r="AI3531"/>
      <c r="AJ3531"/>
      <c r="AK3531"/>
      <c r="AL3531"/>
      <c r="AM3531"/>
      <c r="AN3531"/>
      <c r="AO3531"/>
    </row>
    <row r="3532" spans="1:41" ht="15">
      <c r="A3532"/>
      <c r="B3532"/>
      <c r="C3532" s="137"/>
      <c r="D3532" s="30"/>
      <c r="E3532" s="30"/>
      <c r="F3532" s="10"/>
      <c r="G3532" s="10"/>
      <c r="H3532" s="15"/>
      <c r="I3532" s="15"/>
      <c r="J3532" s="15"/>
      <c r="K3532" s="15"/>
      <c r="L3532" s="15"/>
      <c r="M3532" s="15"/>
      <c r="N3532" s="15"/>
      <c r="O3532" s="15"/>
      <c r="P3532" s="15"/>
      <c r="Q3532" s="71"/>
      <c r="R3532" s="84"/>
      <c r="S3532" s="10"/>
      <c r="T3532" s="10"/>
      <c r="U3532" s="10"/>
      <c r="V3532" s="10"/>
      <c r="W3532" s="138"/>
      <c r="Y3532"/>
      <c r="Z3532"/>
      <c r="AA3532"/>
      <c r="AB3532"/>
      <c r="AC3532"/>
      <c r="AD3532"/>
      <c r="AE3532"/>
      <c r="AF3532"/>
      <c r="AG3532"/>
      <c r="AH3532"/>
      <c r="AI3532"/>
      <c r="AJ3532"/>
      <c r="AK3532"/>
      <c r="AL3532"/>
      <c r="AM3532"/>
      <c r="AN3532"/>
      <c r="AO3532"/>
    </row>
    <row r="3533" spans="1:41" ht="15">
      <c r="A3533"/>
      <c r="B3533"/>
      <c r="C3533" s="137"/>
      <c r="D3533" s="30"/>
      <c r="E3533" s="30"/>
      <c r="F3533" s="10"/>
      <c r="G3533" s="10"/>
      <c r="H3533" s="15"/>
      <c r="I3533" s="15"/>
      <c r="J3533" s="15"/>
      <c r="K3533" s="15"/>
      <c r="L3533" s="15"/>
      <c r="M3533" s="15"/>
      <c r="N3533" s="15"/>
      <c r="O3533" s="15"/>
      <c r="P3533" s="15"/>
      <c r="Q3533" s="71"/>
      <c r="R3533" s="84"/>
      <c r="S3533" s="10"/>
      <c r="T3533" s="10"/>
      <c r="U3533" s="10"/>
      <c r="V3533" s="10"/>
      <c r="W3533" s="138"/>
      <c r="Y3533"/>
      <c r="Z3533"/>
      <c r="AA3533"/>
      <c r="AB3533"/>
      <c r="AC3533"/>
      <c r="AD3533"/>
      <c r="AE3533"/>
      <c r="AF3533"/>
      <c r="AG3533"/>
      <c r="AH3533"/>
      <c r="AI3533"/>
      <c r="AJ3533"/>
      <c r="AK3533"/>
      <c r="AL3533"/>
      <c r="AM3533"/>
      <c r="AN3533"/>
      <c r="AO3533"/>
    </row>
    <row r="3534" spans="1:41" ht="15">
      <c r="A3534"/>
      <c r="B3534"/>
      <c r="C3534" s="137"/>
      <c r="D3534" s="30"/>
      <c r="E3534" s="30"/>
      <c r="F3534" s="10"/>
      <c r="G3534" s="10"/>
      <c r="H3534" s="15"/>
      <c r="I3534" s="15"/>
      <c r="J3534" s="15"/>
      <c r="K3534" s="15"/>
      <c r="L3534" s="15"/>
      <c r="M3534" s="15"/>
      <c r="N3534" s="15"/>
      <c r="O3534" s="15"/>
      <c r="P3534" s="15"/>
      <c r="Q3534" s="71"/>
      <c r="R3534" s="84"/>
      <c r="S3534" s="10"/>
      <c r="T3534" s="10"/>
      <c r="U3534" s="10"/>
      <c r="V3534" s="10"/>
      <c r="W3534" s="138"/>
      <c r="Y3534"/>
      <c r="Z3534"/>
      <c r="AA3534"/>
      <c r="AB3534"/>
      <c r="AC3534"/>
      <c r="AD3534"/>
      <c r="AE3534"/>
      <c r="AF3534"/>
      <c r="AG3534"/>
      <c r="AH3534"/>
      <c r="AI3534"/>
      <c r="AJ3534"/>
      <c r="AK3534"/>
      <c r="AL3534"/>
      <c r="AM3534"/>
      <c r="AN3534"/>
      <c r="AO3534"/>
    </row>
    <row r="3535" spans="1:41" ht="15">
      <c r="A3535"/>
      <c r="B3535"/>
      <c r="C3535" s="137"/>
      <c r="D3535" s="30"/>
      <c r="E3535" s="30"/>
      <c r="F3535" s="10"/>
      <c r="G3535" s="10"/>
      <c r="H3535" s="15"/>
      <c r="I3535" s="15"/>
      <c r="J3535" s="15"/>
      <c r="K3535" s="15"/>
      <c r="L3535" s="15"/>
      <c r="M3535" s="15"/>
      <c r="N3535" s="15"/>
      <c r="O3535" s="15"/>
      <c r="P3535" s="15"/>
      <c r="Q3535" s="71"/>
      <c r="R3535" s="84"/>
      <c r="S3535" s="10"/>
      <c r="T3535" s="10"/>
      <c r="U3535" s="10"/>
      <c r="V3535" s="10"/>
      <c r="W3535" s="138"/>
      <c r="Y3535"/>
      <c r="Z3535"/>
      <c r="AA3535"/>
      <c r="AB3535"/>
      <c r="AC3535"/>
      <c r="AD3535"/>
      <c r="AE3535"/>
      <c r="AF3535"/>
      <c r="AG3535"/>
      <c r="AH3535"/>
      <c r="AI3535"/>
      <c r="AJ3535"/>
      <c r="AK3535"/>
      <c r="AL3535"/>
      <c r="AM3535"/>
      <c r="AN3535"/>
      <c r="AO3535"/>
    </row>
    <row r="3536" spans="1:41" ht="15">
      <c r="A3536"/>
      <c r="B3536"/>
      <c r="C3536" s="137"/>
      <c r="D3536" s="30"/>
      <c r="E3536" s="30"/>
      <c r="F3536" s="10"/>
      <c r="G3536" s="10"/>
      <c r="H3536" s="15"/>
      <c r="I3536" s="15"/>
      <c r="J3536" s="15"/>
      <c r="K3536" s="15"/>
      <c r="L3536" s="15"/>
      <c r="M3536" s="15"/>
      <c r="N3536" s="15"/>
      <c r="O3536" s="15"/>
      <c r="P3536" s="15"/>
      <c r="Q3536" s="71"/>
      <c r="R3536" s="84"/>
      <c r="S3536" s="10"/>
      <c r="T3536" s="10"/>
      <c r="U3536" s="10"/>
      <c r="V3536" s="10"/>
      <c r="W3536" s="138"/>
      <c r="Y3536"/>
      <c r="Z3536"/>
      <c r="AA3536"/>
      <c r="AB3536"/>
      <c r="AC3536"/>
      <c r="AD3536"/>
      <c r="AE3536"/>
      <c r="AF3536"/>
      <c r="AG3536"/>
      <c r="AH3536"/>
      <c r="AI3536"/>
      <c r="AJ3536"/>
      <c r="AK3536"/>
      <c r="AL3536"/>
      <c r="AM3536"/>
      <c r="AN3536"/>
      <c r="AO3536"/>
    </row>
    <row r="3537" spans="1:41" ht="15">
      <c r="A3537"/>
      <c r="B3537"/>
      <c r="C3537" s="137"/>
      <c r="D3537" s="30"/>
      <c r="E3537" s="30"/>
      <c r="F3537" s="10"/>
      <c r="G3537" s="10"/>
      <c r="H3537" s="15"/>
      <c r="I3537" s="15"/>
      <c r="J3537" s="15"/>
      <c r="K3537" s="15"/>
      <c r="L3537" s="15"/>
      <c r="M3537" s="15"/>
      <c r="N3537" s="15"/>
      <c r="O3537" s="15"/>
      <c r="P3537" s="15"/>
      <c r="Q3537" s="71"/>
      <c r="R3537" s="84"/>
      <c r="S3537" s="10"/>
      <c r="T3537" s="10"/>
      <c r="U3537" s="10"/>
      <c r="V3537" s="10"/>
      <c r="W3537" s="138"/>
      <c r="Y3537"/>
      <c r="Z3537"/>
      <c r="AA3537"/>
      <c r="AB3537"/>
      <c r="AC3537"/>
      <c r="AD3537"/>
      <c r="AE3537"/>
      <c r="AF3537"/>
      <c r="AG3537"/>
      <c r="AH3537"/>
      <c r="AI3537"/>
      <c r="AJ3537"/>
      <c r="AK3537"/>
      <c r="AL3537"/>
      <c r="AM3537"/>
      <c r="AN3537"/>
      <c r="AO3537"/>
    </row>
    <row r="3538" spans="1:41" ht="15">
      <c r="A3538"/>
      <c r="B3538"/>
      <c r="C3538" s="137"/>
      <c r="D3538" s="30"/>
      <c r="E3538" s="30"/>
      <c r="F3538" s="10"/>
      <c r="G3538" s="10"/>
      <c r="H3538" s="15"/>
      <c r="I3538" s="15"/>
      <c r="J3538" s="15"/>
      <c r="K3538" s="15"/>
      <c r="L3538" s="15"/>
      <c r="M3538" s="15"/>
      <c r="N3538" s="15"/>
      <c r="O3538" s="15"/>
      <c r="P3538" s="15"/>
      <c r="Q3538" s="71"/>
      <c r="R3538" s="84"/>
      <c r="S3538" s="10"/>
      <c r="T3538" s="10"/>
      <c r="U3538" s="10"/>
      <c r="V3538" s="10"/>
      <c r="W3538" s="138"/>
      <c r="Y3538"/>
      <c r="Z3538"/>
      <c r="AA3538"/>
      <c r="AB3538"/>
      <c r="AC3538"/>
      <c r="AD3538"/>
      <c r="AE3538"/>
      <c r="AF3538"/>
      <c r="AG3538"/>
      <c r="AH3538"/>
      <c r="AI3538"/>
      <c r="AJ3538"/>
      <c r="AK3538"/>
      <c r="AL3538"/>
      <c r="AM3538"/>
      <c r="AN3538"/>
      <c r="AO3538"/>
    </row>
    <row r="3539" spans="1:41" ht="15">
      <c r="A3539"/>
      <c r="B3539"/>
      <c r="C3539" s="137"/>
      <c r="D3539" s="30"/>
      <c r="E3539" s="30"/>
      <c r="F3539" s="10"/>
      <c r="G3539" s="10"/>
      <c r="H3539" s="15"/>
      <c r="I3539" s="15"/>
      <c r="J3539" s="15"/>
      <c r="K3539" s="15"/>
      <c r="L3539" s="15"/>
      <c r="M3539" s="15"/>
      <c r="N3539" s="15"/>
      <c r="O3539" s="15"/>
      <c r="P3539" s="15"/>
      <c r="Q3539" s="71"/>
      <c r="R3539" s="84"/>
      <c r="S3539" s="10"/>
      <c r="T3539" s="10"/>
      <c r="U3539" s="10"/>
      <c r="V3539" s="10"/>
      <c r="W3539" s="138"/>
      <c r="Y3539"/>
      <c r="Z3539"/>
      <c r="AA3539"/>
      <c r="AB3539"/>
      <c r="AC3539"/>
      <c r="AD3539"/>
      <c r="AE3539"/>
      <c r="AF3539"/>
      <c r="AG3539"/>
      <c r="AH3539"/>
      <c r="AI3539"/>
      <c r="AJ3539"/>
      <c r="AK3539"/>
      <c r="AL3539"/>
      <c r="AM3539"/>
      <c r="AN3539"/>
      <c r="AO3539"/>
    </row>
    <row r="3540" spans="1:41" ht="15">
      <c r="A3540"/>
      <c r="B3540"/>
      <c r="C3540" s="137"/>
      <c r="D3540" s="30"/>
      <c r="E3540" s="30"/>
      <c r="F3540" s="10"/>
      <c r="G3540" s="10"/>
      <c r="H3540" s="15"/>
      <c r="I3540" s="15"/>
      <c r="J3540" s="15"/>
      <c r="K3540" s="15"/>
      <c r="L3540" s="15"/>
      <c r="M3540" s="15"/>
      <c r="N3540" s="15"/>
      <c r="O3540" s="15"/>
      <c r="P3540" s="15"/>
      <c r="Q3540" s="71"/>
      <c r="R3540" s="84"/>
      <c r="S3540" s="10"/>
      <c r="T3540" s="10"/>
      <c r="U3540" s="10"/>
      <c r="V3540" s="10"/>
      <c r="W3540" s="138"/>
      <c r="Y3540"/>
      <c r="Z3540"/>
      <c r="AA3540"/>
      <c r="AB3540"/>
      <c r="AC3540"/>
      <c r="AD3540"/>
      <c r="AE3540"/>
      <c r="AF3540"/>
      <c r="AG3540"/>
      <c r="AH3540"/>
      <c r="AI3540"/>
      <c r="AJ3540"/>
      <c r="AK3540"/>
      <c r="AL3540"/>
      <c r="AM3540"/>
      <c r="AN3540"/>
      <c r="AO3540"/>
    </row>
    <row r="3541" spans="1:41" ht="15">
      <c r="A3541"/>
      <c r="B3541"/>
      <c r="C3541" s="137"/>
      <c r="D3541" s="30"/>
      <c r="E3541" s="30"/>
      <c r="F3541" s="10"/>
      <c r="G3541" s="10"/>
      <c r="H3541" s="15"/>
      <c r="I3541" s="15"/>
      <c r="J3541" s="15"/>
      <c r="K3541" s="15"/>
      <c r="L3541" s="15"/>
      <c r="M3541" s="15"/>
      <c r="N3541" s="15"/>
      <c r="O3541" s="15"/>
      <c r="P3541" s="15"/>
      <c r="Q3541" s="71"/>
      <c r="R3541" s="84"/>
      <c r="S3541" s="10"/>
      <c r="T3541" s="10"/>
      <c r="U3541" s="10"/>
      <c r="V3541" s="10"/>
      <c r="W3541" s="138"/>
      <c r="Y3541"/>
      <c r="Z3541"/>
      <c r="AA3541"/>
      <c r="AB3541"/>
      <c r="AC3541"/>
      <c r="AD3541"/>
      <c r="AE3541"/>
      <c r="AF3541"/>
      <c r="AG3541"/>
      <c r="AH3541"/>
      <c r="AI3541"/>
      <c r="AJ3541"/>
      <c r="AK3541"/>
      <c r="AL3541"/>
      <c r="AM3541"/>
      <c r="AN3541"/>
      <c r="AO3541"/>
    </row>
    <row r="3542" spans="1:41" ht="15">
      <c r="A3542"/>
      <c r="B3542"/>
      <c r="C3542" s="137"/>
      <c r="D3542" s="30"/>
      <c r="E3542" s="30"/>
      <c r="F3542" s="10"/>
      <c r="G3542" s="10"/>
      <c r="H3542" s="15"/>
      <c r="I3542" s="15"/>
      <c r="J3542" s="15"/>
      <c r="K3542" s="15"/>
      <c r="L3542" s="15"/>
      <c r="M3542" s="15"/>
      <c r="N3542" s="15"/>
      <c r="O3542" s="15"/>
      <c r="P3542" s="15"/>
      <c r="Q3542" s="71"/>
      <c r="R3542" s="84"/>
      <c r="S3542" s="10"/>
      <c r="T3542" s="10"/>
      <c r="U3542" s="10"/>
      <c r="V3542" s="10"/>
      <c r="W3542" s="138"/>
      <c r="Y3542"/>
      <c r="Z3542"/>
      <c r="AA3542"/>
      <c r="AB3542"/>
      <c r="AC3542"/>
      <c r="AD3542"/>
      <c r="AE3542"/>
      <c r="AF3542"/>
      <c r="AG3542"/>
      <c r="AH3542"/>
      <c r="AI3542"/>
      <c r="AJ3542"/>
      <c r="AK3542"/>
      <c r="AL3542"/>
      <c r="AM3542"/>
      <c r="AN3542"/>
      <c r="AO3542"/>
    </row>
    <row r="3543" spans="1:41" ht="15">
      <c r="A3543"/>
      <c r="B3543"/>
      <c r="C3543" s="137"/>
      <c r="D3543" s="30"/>
      <c r="E3543" s="30"/>
      <c r="F3543" s="10"/>
      <c r="G3543" s="10"/>
      <c r="H3543" s="15"/>
      <c r="I3543" s="15"/>
      <c r="J3543" s="15"/>
      <c r="K3543" s="15"/>
      <c r="L3543" s="15"/>
      <c r="M3543" s="15"/>
      <c r="N3543" s="15"/>
      <c r="O3543" s="15"/>
      <c r="P3543" s="15"/>
      <c r="Q3543" s="71"/>
      <c r="R3543" s="84"/>
      <c r="S3543" s="10"/>
      <c r="T3543" s="10"/>
      <c r="U3543" s="10"/>
      <c r="V3543" s="10"/>
      <c r="W3543" s="138"/>
      <c r="Y3543"/>
      <c r="Z3543"/>
      <c r="AA3543"/>
      <c r="AB3543"/>
      <c r="AC3543"/>
      <c r="AD3543"/>
      <c r="AE3543"/>
      <c r="AF3543"/>
      <c r="AG3543"/>
      <c r="AH3543"/>
      <c r="AI3543"/>
      <c r="AJ3543"/>
      <c r="AK3543"/>
      <c r="AL3543"/>
      <c r="AM3543"/>
      <c r="AN3543"/>
      <c r="AO3543"/>
    </row>
    <row r="3544" spans="1:41" ht="15">
      <c r="A3544"/>
      <c r="B3544"/>
      <c r="C3544" s="137"/>
      <c r="D3544" s="30"/>
      <c r="E3544" s="30"/>
      <c r="F3544" s="10"/>
      <c r="G3544" s="10"/>
      <c r="H3544" s="15"/>
      <c r="I3544" s="15"/>
      <c r="J3544" s="15"/>
      <c r="K3544" s="15"/>
      <c r="L3544" s="15"/>
      <c r="M3544" s="15"/>
      <c r="N3544" s="15"/>
      <c r="O3544" s="15"/>
      <c r="P3544" s="15"/>
      <c r="Q3544" s="71"/>
      <c r="R3544" s="84"/>
      <c r="S3544" s="10"/>
      <c r="T3544" s="10"/>
      <c r="U3544" s="10"/>
      <c r="V3544" s="10"/>
      <c r="W3544" s="138"/>
      <c r="Y3544"/>
      <c r="Z3544"/>
      <c r="AA3544"/>
      <c r="AB3544"/>
      <c r="AC3544"/>
      <c r="AD3544"/>
      <c r="AE3544"/>
      <c r="AF3544"/>
      <c r="AG3544"/>
      <c r="AH3544"/>
      <c r="AI3544"/>
      <c r="AJ3544"/>
      <c r="AK3544"/>
      <c r="AL3544"/>
      <c r="AM3544"/>
      <c r="AN3544"/>
      <c r="AO3544"/>
    </row>
    <row r="3545" spans="1:41" ht="15">
      <c r="A3545"/>
      <c r="B3545"/>
      <c r="C3545" s="137"/>
      <c r="D3545" s="30"/>
      <c r="E3545" s="30"/>
      <c r="F3545" s="10"/>
      <c r="G3545" s="10"/>
      <c r="H3545" s="15"/>
      <c r="I3545" s="15"/>
      <c r="J3545" s="15"/>
      <c r="K3545" s="15"/>
      <c r="L3545" s="15"/>
      <c r="M3545" s="15"/>
      <c r="N3545" s="15"/>
      <c r="O3545" s="15"/>
      <c r="P3545" s="15"/>
      <c r="Q3545" s="71"/>
      <c r="R3545" s="84"/>
      <c r="S3545" s="10"/>
      <c r="T3545" s="10"/>
      <c r="U3545" s="10"/>
      <c r="V3545" s="10"/>
      <c r="W3545" s="138"/>
      <c r="Y3545"/>
      <c r="Z3545"/>
      <c r="AA3545"/>
      <c r="AB3545"/>
      <c r="AC3545"/>
      <c r="AD3545"/>
      <c r="AE3545"/>
      <c r="AF3545"/>
      <c r="AG3545"/>
      <c r="AH3545"/>
      <c r="AI3545"/>
      <c r="AJ3545"/>
      <c r="AK3545"/>
      <c r="AL3545"/>
      <c r="AM3545"/>
      <c r="AN3545"/>
      <c r="AO3545"/>
    </row>
    <row r="3546" spans="1:41" ht="15">
      <c r="A3546"/>
      <c r="B3546"/>
      <c r="C3546" s="137"/>
      <c r="D3546" s="30"/>
      <c r="E3546" s="30"/>
      <c r="F3546" s="10"/>
      <c r="G3546" s="10"/>
      <c r="H3546" s="15"/>
      <c r="I3546" s="15"/>
      <c r="J3546" s="15"/>
      <c r="K3546" s="15"/>
      <c r="L3546" s="15"/>
      <c r="M3546" s="15"/>
      <c r="N3546" s="15"/>
      <c r="O3546" s="15"/>
      <c r="P3546" s="15"/>
      <c r="Q3546" s="71"/>
      <c r="R3546" s="84"/>
      <c r="S3546" s="10"/>
      <c r="T3546" s="10"/>
      <c r="U3546" s="10"/>
      <c r="V3546" s="10"/>
      <c r="W3546" s="138"/>
      <c r="Y3546"/>
      <c r="Z3546"/>
      <c r="AA3546"/>
      <c r="AB3546"/>
      <c r="AC3546"/>
      <c r="AD3546"/>
      <c r="AE3546"/>
      <c r="AF3546"/>
      <c r="AG3546"/>
      <c r="AH3546"/>
      <c r="AI3546"/>
      <c r="AJ3546"/>
      <c r="AK3546"/>
      <c r="AL3546"/>
      <c r="AM3546"/>
      <c r="AN3546"/>
      <c r="AO3546"/>
    </row>
    <row r="3547" spans="1:41" ht="15">
      <c r="A3547"/>
      <c r="B3547"/>
      <c r="C3547" s="137"/>
      <c r="D3547" s="30"/>
      <c r="E3547" s="30"/>
      <c r="F3547" s="10"/>
      <c r="G3547" s="10"/>
      <c r="H3547" s="15"/>
      <c r="I3547" s="15"/>
      <c r="J3547" s="15"/>
      <c r="K3547" s="15"/>
      <c r="L3547" s="15"/>
      <c r="M3547" s="15"/>
      <c r="N3547" s="15"/>
      <c r="O3547" s="15"/>
      <c r="P3547" s="15"/>
      <c r="Q3547" s="71"/>
      <c r="R3547" s="84"/>
      <c r="S3547" s="10"/>
      <c r="T3547" s="10"/>
      <c r="U3547" s="10"/>
      <c r="V3547" s="10"/>
      <c r="W3547" s="138"/>
      <c r="Y3547"/>
      <c r="Z3547"/>
      <c r="AA3547"/>
      <c r="AB3547"/>
      <c r="AC3547"/>
      <c r="AD3547"/>
      <c r="AE3547"/>
      <c r="AF3547"/>
      <c r="AG3547"/>
      <c r="AH3547"/>
      <c r="AI3547"/>
      <c r="AJ3547"/>
      <c r="AK3547"/>
      <c r="AL3547"/>
      <c r="AM3547"/>
      <c r="AN3547"/>
      <c r="AO3547"/>
    </row>
    <row r="3548" spans="1:41" ht="15">
      <c r="A3548"/>
      <c r="B3548"/>
      <c r="C3548" s="137"/>
      <c r="D3548" s="30"/>
      <c r="E3548" s="30"/>
      <c r="F3548" s="10"/>
      <c r="G3548" s="10"/>
      <c r="H3548" s="15"/>
      <c r="I3548" s="15"/>
      <c r="J3548" s="15"/>
      <c r="K3548" s="15"/>
      <c r="L3548" s="15"/>
      <c r="M3548" s="15"/>
      <c r="N3548" s="15"/>
      <c r="O3548" s="15"/>
      <c r="P3548" s="15"/>
      <c r="Q3548" s="71"/>
      <c r="R3548" s="84"/>
      <c r="S3548" s="10"/>
      <c r="T3548" s="10"/>
      <c r="U3548" s="10"/>
      <c r="V3548" s="10"/>
      <c r="W3548" s="138"/>
      <c r="Y3548"/>
      <c r="Z3548"/>
      <c r="AA3548"/>
      <c r="AB3548"/>
      <c r="AC3548"/>
      <c r="AD3548"/>
      <c r="AE3548"/>
      <c r="AF3548"/>
      <c r="AG3548"/>
      <c r="AH3548"/>
      <c r="AI3548"/>
      <c r="AJ3548"/>
      <c r="AK3548"/>
      <c r="AL3548"/>
      <c r="AM3548"/>
      <c r="AN3548"/>
      <c r="AO3548"/>
    </row>
    <row r="3549" spans="1:41" ht="15">
      <c r="A3549"/>
      <c r="B3549"/>
      <c r="C3549" s="137"/>
      <c r="D3549" s="30"/>
      <c r="E3549" s="30"/>
      <c r="F3549" s="10"/>
      <c r="G3549" s="10"/>
      <c r="H3549" s="15"/>
      <c r="I3549" s="15"/>
      <c r="J3549" s="15"/>
      <c r="K3549" s="15"/>
      <c r="L3549" s="15"/>
      <c r="M3549" s="15"/>
      <c r="N3549" s="15"/>
      <c r="O3549" s="15"/>
      <c r="P3549" s="15"/>
      <c r="Q3549" s="71"/>
      <c r="R3549" s="84"/>
      <c r="S3549" s="10"/>
      <c r="T3549" s="10"/>
      <c r="U3549" s="10"/>
      <c r="V3549" s="10"/>
      <c r="W3549" s="138"/>
      <c r="Y3549"/>
      <c r="Z3549"/>
      <c r="AA3549"/>
      <c r="AB3549"/>
      <c r="AC3549"/>
      <c r="AD3549"/>
      <c r="AE3549"/>
      <c r="AF3549"/>
      <c r="AG3549"/>
      <c r="AH3549"/>
      <c r="AI3549"/>
      <c r="AJ3549"/>
      <c r="AK3549"/>
      <c r="AL3549"/>
      <c r="AM3549"/>
      <c r="AN3549"/>
      <c r="AO3549"/>
    </row>
    <row r="3550" spans="1:41" ht="15">
      <c r="A3550"/>
      <c r="B3550"/>
      <c r="C3550" s="137"/>
      <c r="D3550" s="30"/>
      <c r="E3550" s="30"/>
      <c r="F3550" s="10"/>
      <c r="G3550" s="10"/>
      <c r="H3550" s="15"/>
      <c r="I3550" s="15"/>
      <c r="J3550" s="15"/>
      <c r="K3550" s="15"/>
      <c r="L3550" s="15"/>
      <c r="M3550" s="15"/>
      <c r="N3550" s="15"/>
      <c r="O3550" s="15"/>
      <c r="P3550" s="15"/>
      <c r="Q3550" s="71"/>
      <c r="R3550" s="84"/>
      <c r="S3550" s="10"/>
      <c r="T3550" s="10"/>
      <c r="U3550" s="10"/>
      <c r="V3550" s="10"/>
      <c r="W3550" s="138"/>
      <c r="Y3550"/>
      <c r="Z3550"/>
      <c r="AA3550"/>
      <c r="AB3550"/>
      <c r="AC3550"/>
      <c r="AD3550"/>
      <c r="AE3550"/>
      <c r="AF3550"/>
      <c r="AG3550"/>
      <c r="AH3550"/>
      <c r="AI3550"/>
      <c r="AJ3550"/>
      <c r="AK3550"/>
      <c r="AL3550"/>
      <c r="AM3550"/>
      <c r="AN3550"/>
      <c r="AO3550"/>
    </row>
    <row r="3551" spans="1:41" ht="15">
      <c r="A3551"/>
      <c r="B3551"/>
      <c r="C3551" s="137"/>
      <c r="D3551" s="30"/>
      <c r="E3551" s="30"/>
      <c r="F3551" s="10"/>
      <c r="G3551" s="10"/>
      <c r="H3551" s="15"/>
      <c r="I3551" s="15"/>
      <c r="J3551" s="15"/>
      <c r="K3551" s="15"/>
      <c r="L3551" s="15"/>
      <c r="M3551" s="15"/>
      <c r="N3551" s="15"/>
      <c r="O3551" s="15"/>
      <c r="P3551" s="15"/>
      <c r="Q3551" s="71"/>
      <c r="R3551" s="84"/>
      <c r="S3551" s="10"/>
      <c r="T3551" s="10"/>
      <c r="U3551" s="10"/>
      <c r="V3551" s="10"/>
      <c r="W3551" s="138"/>
      <c r="Y3551"/>
      <c r="Z3551"/>
      <c r="AA3551"/>
      <c r="AB3551"/>
      <c r="AC3551"/>
      <c r="AD3551"/>
      <c r="AE3551"/>
      <c r="AF3551"/>
      <c r="AG3551"/>
      <c r="AH3551"/>
      <c r="AI3551"/>
      <c r="AJ3551"/>
      <c r="AK3551"/>
      <c r="AL3551"/>
      <c r="AM3551"/>
      <c r="AN3551"/>
      <c r="AO3551"/>
    </row>
    <row r="3552" spans="1:41" ht="15">
      <c r="A3552"/>
      <c r="B3552"/>
      <c r="C3552" s="137"/>
      <c r="D3552" s="30"/>
      <c r="E3552" s="30"/>
      <c r="F3552" s="10"/>
      <c r="G3552" s="10"/>
      <c r="H3552" s="15"/>
      <c r="I3552" s="15"/>
      <c r="J3552" s="15"/>
      <c r="K3552" s="15"/>
      <c r="L3552" s="15"/>
      <c r="M3552" s="15"/>
      <c r="N3552" s="15"/>
      <c r="O3552" s="15"/>
      <c r="P3552" s="15"/>
      <c r="Q3552" s="71"/>
      <c r="R3552" s="84"/>
      <c r="S3552" s="10"/>
      <c r="T3552" s="10"/>
      <c r="U3552" s="10"/>
      <c r="V3552" s="10"/>
      <c r="W3552" s="138"/>
      <c r="Y3552"/>
      <c r="Z3552"/>
      <c r="AA3552"/>
      <c r="AB3552"/>
      <c r="AC3552"/>
      <c r="AD3552"/>
      <c r="AE3552"/>
      <c r="AF3552"/>
      <c r="AG3552"/>
      <c r="AH3552"/>
      <c r="AI3552"/>
      <c r="AJ3552"/>
      <c r="AK3552"/>
      <c r="AL3552"/>
      <c r="AM3552"/>
      <c r="AN3552"/>
      <c r="AO3552"/>
    </row>
    <row r="3553" spans="1:41" ht="15">
      <c r="A3553"/>
      <c r="B3553"/>
      <c r="C3553" s="137"/>
      <c r="D3553" s="30"/>
      <c r="E3553" s="30"/>
      <c r="F3553" s="10"/>
      <c r="G3553" s="10"/>
      <c r="H3553" s="15"/>
      <c r="I3553" s="15"/>
      <c r="J3553" s="15"/>
      <c r="K3553" s="15"/>
      <c r="L3553" s="15"/>
      <c r="M3553" s="15"/>
      <c r="N3553" s="15"/>
      <c r="O3553" s="15"/>
      <c r="P3553" s="15"/>
      <c r="Q3553" s="71"/>
      <c r="R3553" s="84"/>
      <c r="S3553" s="10"/>
      <c r="T3553" s="10"/>
      <c r="U3553" s="10"/>
      <c r="V3553" s="10"/>
      <c r="W3553" s="138"/>
      <c r="Y3553"/>
      <c r="Z3553"/>
      <c r="AA3553"/>
      <c r="AB3553"/>
      <c r="AC3553"/>
      <c r="AD3553"/>
      <c r="AE3553"/>
      <c r="AF3553"/>
      <c r="AG3553"/>
      <c r="AH3553"/>
      <c r="AI3553"/>
      <c r="AJ3553"/>
      <c r="AK3553"/>
      <c r="AL3553"/>
      <c r="AM3553"/>
      <c r="AN3553"/>
      <c r="AO3553"/>
    </row>
    <row r="3554" spans="1:41" ht="15">
      <c r="A3554"/>
      <c r="B3554"/>
      <c r="C3554" s="137"/>
      <c r="D3554" s="30"/>
      <c r="E3554" s="30"/>
      <c r="F3554" s="10"/>
      <c r="G3554" s="10"/>
      <c r="H3554" s="15"/>
      <c r="I3554" s="15"/>
      <c r="J3554" s="15"/>
      <c r="K3554" s="15"/>
      <c r="L3554" s="15"/>
      <c r="M3554" s="15"/>
      <c r="N3554" s="15"/>
      <c r="O3554" s="15"/>
      <c r="P3554" s="15"/>
      <c r="Q3554" s="71"/>
      <c r="R3554" s="84"/>
      <c r="S3554" s="10"/>
      <c r="T3554" s="10"/>
      <c r="U3554" s="10"/>
      <c r="V3554" s="10"/>
      <c r="W3554" s="138"/>
      <c r="Y3554"/>
      <c r="Z3554"/>
      <c r="AA3554"/>
      <c r="AB3554"/>
      <c r="AC3554"/>
      <c r="AD3554"/>
      <c r="AE3554"/>
      <c r="AF3554"/>
      <c r="AG3554"/>
      <c r="AH3554"/>
      <c r="AI3554"/>
      <c r="AJ3554"/>
      <c r="AK3554"/>
      <c r="AL3554"/>
      <c r="AM3554"/>
      <c r="AN3554"/>
      <c r="AO3554"/>
    </row>
    <row r="3555" spans="1:41" ht="15">
      <c r="A3555"/>
      <c r="B3555"/>
      <c r="C3555" s="137"/>
      <c r="D3555" s="30"/>
      <c r="E3555" s="30"/>
      <c r="F3555" s="10"/>
      <c r="G3555" s="10"/>
      <c r="H3555" s="15"/>
      <c r="I3555" s="15"/>
      <c r="J3555" s="15"/>
      <c r="K3555" s="15"/>
      <c r="L3555" s="15"/>
      <c r="M3555" s="15"/>
      <c r="N3555" s="15"/>
      <c r="O3555" s="15"/>
      <c r="P3555" s="15"/>
      <c r="Q3555" s="71"/>
      <c r="R3555" s="84"/>
      <c r="S3555" s="10"/>
      <c r="T3555" s="10"/>
      <c r="U3555" s="10"/>
      <c r="V3555" s="10"/>
      <c r="W3555" s="138"/>
      <c r="Y3555"/>
      <c r="Z3555"/>
      <c r="AA3555"/>
      <c r="AB3555"/>
      <c r="AC3555"/>
      <c r="AD3555"/>
      <c r="AE3555"/>
      <c r="AF3555"/>
      <c r="AG3555"/>
      <c r="AH3555"/>
      <c r="AI3555"/>
      <c r="AJ3555"/>
      <c r="AK3555"/>
      <c r="AL3555"/>
      <c r="AM3555"/>
      <c r="AN3555"/>
      <c r="AO3555"/>
    </row>
    <row r="3556" spans="1:41" ht="15">
      <c r="A3556"/>
      <c r="B3556"/>
      <c r="C3556" s="137"/>
      <c r="D3556" s="30"/>
      <c r="E3556" s="30"/>
      <c r="F3556" s="10"/>
      <c r="G3556" s="10"/>
      <c r="H3556" s="15"/>
      <c r="I3556" s="15"/>
      <c r="J3556" s="15"/>
      <c r="K3556" s="15"/>
      <c r="L3556" s="15"/>
      <c r="M3556" s="15"/>
      <c r="N3556" s="15"/>
      <c r="O3556" s="15"/>
      <c r="P3556" s="15"/>
      <c r="Q3556" s="71"/>
      <c r="R3556" s="84"/>
      <c r="S3556" s="10"/>
      <c r="T3556" s="10"/>
      <c r="U3556" s="10"/>
      <c r="V3556" s="10"/>
      <c r="W3556" s="138"/>
      <c r="Y3556"/>
      <c r="Z3556"/>
      <c r="AA3556"/>
      <c r="AB3556"/>
      <c r="AC3556"/>
      <c r="AD3556"/>
      <c r="AE3556"/>
      <c r="AF3556"/>
      <c r="AG3556"/>
      <c r="AH3556"/>
      <c r="AI3556"/>
      <c r="AJ3556"/>
      <c r="AK3556"/>
      <c r="AL3556"/>
      <c r="AM3556"/>
      <c r="AN3556"/>
      <c r="AO3556"/>
    </row>
    <row r="3557" spans="1:41" ht="15">
      <c r="A3557"/>
      <c r="B3557"/>
      <c r="C3557" s="137"/>
      <c r="D3557" s="30"/>
      <c r="E3557" s="30"/>
      <c r="F3557" s="10"/>
      <c r="G3557" s="10"/>
      <c r="H3557" s="15"/>
      <c r="I3557" s="15"/>
      <c r="J3557" s="15"/>
      <c r="K3557" s="15"/>
      <c r="L3557" s="15"/>
      <c r="M3557" s="15"/>
      <c r="N3557" s="15"/>
      <c r="O3557" s="15"/>
      <c r="P3557" s="15"/>
      <c r="Q3557" s="71"/>
      <c r="R3557" s="84"/>
      <c r="S3557" s="10"/>
      <c r="T3557" s="10"/>
      <c r="U3557" s="10"/>
      <c r="V3557" s="10"/>
      <c r="W3557" s="138"/>
      <c r="Y3557"/>
      <c r="Z3557"/>
      <c r="AA3557"/>
      <c r="AB3557"/>
      <c r="AC3557"/>
      <c r="AD3557"/>
      <c r="AE3557"/>
      <c r="AF3557"/>
      <c r="AG3557"/>
      <c r="AH3557"/>
      <c r="AI3557"/>
      <c r="AJ3557"/>
      <c r="AK3557"/>
      <c r="AL3557"/>
      <c r="AM3557"/>
      <c r="AN3557"/>
      <c r="AO3557"/>
    </row>
    <row r="3558" spans="1:41" ht="15">
      <c r="A3558"/>
      <c r="B3558"/>
      <c r="C3558" s="137"/>
      <c r="D3558" s="30"/>
      <c r="E3558" s="30"/>
      <c r="F3558" s="10"/>
      <c r="G3558" s="10"/>
      <c r="H3558" s="15"/>
      <c r="I3558" s="15"/>
      <c r="J3558" s="15"/>
      <c r="K3558" s="15"/>
      <c r="L3558" s="15"/>
      <c r="M3558" s="15"/>
      <c r="N3558" s="15"/>
      <c r="O3558" s="15"/>
      <c r="P3558" s="15"/>
      <c r="Q3558" s="71"/>
      <c r="R3558" s="84"/>
      <c r="S3558" s="10"/>
      <c r="T3558" s="10"/>
      <c r="U3558" s="10"/>
      <c r="V3558" s="10"/>
      <c r="W3558" s="138"/>
      <c r="Y3558"/>
      <c r="Z3558"/>
      <c r="AA3558"/>
      <c r="AB3558"/>
      <c r="AC3558"/>
      <c r="AD3558"/>
      <c r="AE3558"/>
      <c r="AF3558"/>
      <c r="AG3558"/>
      <c r="AH3558"/>
      <c r="AI3558"/>
      <c r="AJ3558"/>
      <c r="AK3558"/>
      <c r="AL3558"/>
      <c r="AM3558"/>
      <c r="AN3558"/>
      <c r="AO3558"/>
    </row>
    <row r="3559" spans="1:41" ht="15">
      <c r="A3559"/>
      <c r="B3559"/>
      <c r="C3559" s="137"/>
      <c r="D3559" s="30"/>
      <c r="E3559" s="30"/>
      <c r="F3559" s="10"/>
      <c r="G3559" s="10"/>
      <c r="H3559" s="15"/>
      <c r="I3559" s="15"/>
      <c r="J3559" s="15"/>
      <c r="K3559" s="15"/>
      <c r="L3559" s="15"/>
      <c r="M3559" s="15"/>
      <c r="N3559" s="15"/>
      <c r="O3559" s="15"/>
      <c r="P3559" s="15"/>
      <c r="Q3559" s="71"/>
      <c r="R3559" s="84"/>
      <c r="S3559" s="10"/>
      <c r="T3559" s="10"/>
      <c r="U3559" s="10"/>
      <c r="V3559" s="10"/>
      <c r="W3559" s="138"/>
      <c r="Y3559"/>
      <c r="Z3559"/>
      <c r="AA3559"/>
      <c r="AB3559"/>
      <c r="AC3559"/>
      <c r="AD3559"/>
      <c r="AE3559"/>
      <c r="AF3559"/>
      <c r="AG3559"/>
      <c r="AH3559"/>
      <c r="AI3559"/>
      <c r="AJ3559"/>
      <c r="AK3559"/>
      <c r="AL3559"/>
      <c r="AM3559"/>
      <c r="AN3559"/>
      <c r="AO3559"/>
    </row>
    <row r="3560" spans="1:41" ht="15">
      <c r="A3560"/>
      <c r="B3560"/>
      <c r="C3560" s="137"/>
      <c r="D3560" s="30"/>
      <c r="E3560" s="30"/>
      <c r="F3560" s="10"/>
      <c r="G3560" s="10"/>
      <c r="H3560" s="15"/>
      <c r="I3560" s="15"/>
      <c r="J3560" s="15"/>
      <c r="K3560" s="15"/>
      <c r="L3560" s="15"/>
      <c r="M3560" s="15"/>
      <c r="N3560" s="15"/>
      <c r="O3560" s="15"/>
      <c r="P3560" s="15"/>
      <c r="Q3560" s="71"/>
      <c r="R3560" s="84"/>
      <c r="S3560" s="10"/>
      <c r="T3560" s="10"/>
      <c r="U3560" s="10"/>
      <c r="V3560" s="10"/>
      <c r="W3560" s="138"/>
      <c r="Y3560"/>
      <c r="Z3560"/>
      <c r="AA3560"/>
      <c r="AB3560"/>
      <c r="AC3560"/>
      <c r="AD3560"/>
      <c r="AE3560"/>
      <c r="AF3560"/>
      <c r="AG3560"/>
      <c r="AH3560"/>
      <c r="AI3560"/>
      <c r="AJ3560"/>
      <c r="AK3560"/>
      <c r="AL3560"/>
      <c r="AM3560"/>
      <c r="AN3560"/>
      <c r="AO3560"/>
    </row>
    <row r="3561" spans="1:41" ht="15">
      <c r="A3561"/>
      <c r="B3561"/>
      <c r="C3561" s="137"/>
      <c r="D3561" s="30"/>
      <c r="E3561" s="30"/>
      <c r="F3561" s="10"/>
      <c r="G3561" s="10"/>
      <c r="H3561" s="15"/>
      <c r="I3561" s="15"/>
      <c r="J3561" s="15"/>
      <c r="K3561" s="15"/>
      <c r="L3561" s="15"/>
      <c r="M3561" s="15"/>
      <c r="N3561" s="15"/>
      <c r="O3561" s="15"/>
      <c r="P3561" s="15"/>
      <c r="Q3561" s="71"/>
      <c r="R3561" s="84"/>
      <c r="S3561" s="10"/>
      <c r="T3561" s="10"/>
      <c r="U3561" s="10"/>
      <c r="V3561" s="10"/>
      <c r="W3561" s="138"/>
      <c r="Y3561"/>
      <c r="Z3561"/>
      <c r="AA3561"/>
      <c r="AB3561"/>
      <c r="AC3561"/>
      <c r="AD3561"/>
      <c r="AE3561"/>
      <c r="AF3561"/>
      <c r="AG3561"/>
      <c r="AH3561"/>
      <c r="AI3561"/>
      <c r="AJ3561"/>
      <c r="AK3561"/>
      <c r="AL3561"/>
      <c r="AM3561"/>
      <c r="AN3561"/>
      <c r="AO3561"/>
    </row>
    <row r="3562" spans="1:41" ht="15">
      <c r="A3562"/>
      <c r="B3562"/>
      <c r="C3562" s="137"/>
      <c r="D3562" s="30"/>
      <c r="E3562" s="30"/>
      <c r="F3562" s="10"/>
      <c r="G3562" s="10"/>
      <c r="H3562" s="15"/>
      <c r="I3562" s="15"/>
      <c r="J3562" s="15"/>
      <c r="K3562" s="15"/>
      <c r="L3562" s="15"/>
      <c r="M3562" s="15"/>
      <c r="N3562" s="15"/>
      <c r="O3562" s="15"/>
      <c r="P3562" s="15"/>
      <c r="Q3562" s="71"/>
      <c r="R3562" s="84"/>
      <c r="S3562" s="10"/>
      <c r="T3562" s="10"/>
      <c r="U3562" s="10"/>
      <c r="V3562" s="10"/>
      <c r="W3562" s="138"/>
      <c r="Y3562"/>
      <c r="Z3562"/>
      <c r="AA3562"/>
      <c r="AB3562"/>
      <c r="AC3562"/>
      <c r="AD3562"/>
      <c r="AE3562"/>
      <c r="AF3562"/>
      <c r="AG3562"/>
      <c r="AH3562"/>
      <c r="AI3562"/>
      <c r="AJ3562"/>
      <c r="AK3562"/>
      <c r="AL3562"/>
      <c r="AM3562"/>
      <c r="AN3562"/>
      <c r="AO3562"/>
    </row>
    <row r="3563" spans="1:41" ht="15">
      <c r="A3563"/>
      <c r="B3563"/>
      <c r="C3563" s="137"/>
      <c r="D3563" s="30"/>
      <c r="E3563" s="30"/>
      <c r="F3563" s="10"/>
      <c r="G3563" s="10"/>
      <c r="H3563" s="15"/>
      <c r="I3563" s="15"/>
      <c r="J3563" s="15"/>
      <c r="K3563" s="15"/>
      <c r="L3563" s="15"/>
      <c r="M3563" s="15"/>
      <c r="N3563" s="15"/>
      <c r="O3563" s="15"/>
      <c r="P3563" s="15"/>
      <c r="Q3563" s="71"/>
      <c r="R3563" s="84"/>
      <c r="S3563" s="10"/>
      <c r="T3563" s="10"/>
      <c r="U3563" s="10"/>
      <c r="V3563" s="10"/>
      <c r="W3563" s="138"/>
      <c r="Y3563"/>
      <c r="Z3563"/>
      <c r="AA3563"/>
      <c r="AB3563"/>
      <c r="AC3563"/>
      <c r="AD3563"/>
      <c r="AE3563"/>
      <c r="AF3563"/>
      <c r="AG3563"/>
      <c r="AH3563"/>
      <c r="AI3563"/>
      <c r="AJ3563"/>
      <c r="AK3563"/>
      <c r="AL3563"/>
      <c r="AM3563"/>
      <c r="AN3563"/>
      <c r="AO3563"/>
    </row>
    <row r="3564" spans="1:41" ht="15">
      <c r="A3564"/>
      <c r="B3564"/>
      <c r="C3564" s="137"/>
      <c r="D3564" s="30"/>
      <c r="E3564" s="30"/>
      <c r="F3564" s="10"/>
      <c r="G3564" s="10"/>
      <c r="H3564" s="15"/>
      <c r="I3564" s="15"/>
      <c r="J3564" s="15"/>
      <c r="K3564" s="15"/>
      <c r="L3564" s="15"/>
      <c r="M3564" s="15"/>
      <c r="N3564" s="15"/>
      <c r="O3564" s="15"/>
      <c r="P3564" s="15"/>
      <c r="Q3564" s="71"/>
      <c r="R3564" s="84"/>
      <c r="S3564" s="10"/>
      <c r="T3564" s="10"/>
      <c r="U3564" s="10"/>
      <c r="V3564" s="10"/>
      <c r="W3564" s="138"/>
      <c r="Y3564"/>
      <c r="Z3564"/>
      <c r="AA3564"/>
      <c r="AB3564"/>
      <c r="AC3564"/>
      <c r="AD3564"/>
      <c r="AE3564"/>
      <c r="AF3564"/>
      <c r="AG3564"/>
      <c r="AH3564"/>
      <c r="AI3564"/>
      <c r="AJ3564"/>
      <c r="AK3564"/>
      <c r="AL3564"/>
      <c r="AM3564"/>
      <c r="AN3564"/>
      <c r="AO3564"/>
    </row>
    <row r="3565" spans="1:41" ht="15">
      <c r="A3565"/>
      <c r="B3565"/>
      <c r="C3565" s="137"/>
      <c r="D3565" s="30"/>
      <c r="E3565" s="30"/>
      <c r="F3565" s="10"/>
      <c r="G3565" s="10"/>
      <c r="H3565" s="15"/>
      <c r="I3565" s="15"/>
      <c r="J3565" s="15"/>
      <c r="K3565" s="15"/>
      <c r="L3565" s="15"/>
      <c r="M3565" s="15"/>
      <c r="N3565" s="15"/>
      <c r="O3565" s="15"/>
      <c r="P3565" s="15"/>
      <c r="Q3565" s="71"/>
      <c r="R3565" s="84"/>
      <c r="S3565" s="10"/>
      <c r="T3565" s="10"/>
      <c r="U3565" s="10"/>
      <c r="V3565" s="10"/>
      <c r="W3565" s="138"/>
      <c r="Y3565"/>
      <c r="Z3565"/>
      <c r="AA3565"/>
      <c r="AB3565"/>
      <c r="AC3565"/>
      <c r="AD3565"/>
      <c r="AE3565"/>
      <c r="AF3565"/>
      <c r="AG3565"/>
      <c r="AH3565"/>
      <c r="AI3565"/>
      <c r="AJ3565"/>
      <c r="AK3565"/>
      <c r="AL3565"/>
      <c r="AM3565"/>
      <c r="AN3565"/>
      <c r="AO3565"/>
    </row>
    <row r="3566" spans="1:41" ht="15">
      <c r="A3566"/>
      <c r="B3566"/>
      <c r="C3566" s="137"/>
      <c r="D3566" s="30"/>
      <c r="E3566" s="30"/>
      <c r="F3566" s="10"/>
      <c r="G3566" s="10"/>
      <c r="H3566" s="15"/>
      <c r="I3566" s="15"/>
      <c r="J3566" s="15"/>
      <c r="K3566" s="15"/>
      <c r="L3566" s="15"/>
      <c r="M3566" s="15"/>
      <c r="N3566" s="15"/>
      <c r="O3566" s="15"/>
      <c r="P3566" s="15"/>
      <c r="Q3566" s="71"/>
      <c r="R3566" s="84"/>
      <c r="S3566" s="10"/>
      <c r="T3566" s="10"/>
      <c r="U3566" s="10"/>
      <c r="V3566" s="10"/>
      <c r="W3566" s="138"/>
      <c r="Y3566"/>
      <c r="Z3566"/>
      <c r="AA3566"/>
      <c r="AB3566"/>
      <c r="AC3566"/>
      <c r="AD3566"/>
      <c r="AE3566"/>
      <c r="AF3566"/>
      <c r="AG3566"/>
      <c r="AH3566"/>
      <c r="AI3566"/>
      <c r="AJ3566"/>
      <c r="AK3566"/>
      <c r="AL3566"/>
      <c r="AM3566"/>
      <c r="AN3566"/>
      <c r="AO3566"/>
    </row>
    <row r="3567" spans="1:41" ht="15">
      <c r="A3567"/>
      <c r="B3567"/>
      <c r="C3567" s="137"/>
      <c r="D3567" s="30"/>
      <c r="E3567" s="30"/>
      <c r="F3567" s="10"/>
      <c r="G3567" s="10"/>
      <c r="H3567" s="15"/>
      <c r="I3567" s="15"/>
      <c r="J3567" s="15"/>
      <c r="K3567" s="15"/>
      <c r="L3567" s="15"/>
      <c r="M3567" s="15"/>
      <c r="N3567" s="15"/>
      <c r="O3567" s="15"/>
      <c r="P3567" s="15"/>
      <c r="Q3567" s="71"/>
      <c r="R3567" s="84"/>
      <c r="S3567" s="10"/>
      <c r="T3567" s="10"/>
      <c r="U3567" s="10"/>
      <c r="V3567" s="10"/>
      <c r="W3567" s="138"/>
      <c r="Y3567"/>
      <c r="Z3567"/>
      <c r="AA3567"/>
      <c r="AB3567"/>
      <c r="AC3567"/>
      <c r="AD3567"/>
      <c r="AE3567"/>
      <c r="AF3567"/>
      <c r="AG3567"/>
      <c r="AH3567"/>
      <c r="AI3567"/>
      <c r="AJ3567"/>
      <c r="AK3567"/>
      <c r="AL3567"/>
      <c r="AM3567"/>
      <c r="AN3567"/>
      <c r="AO3567"/>
    </row>
    <row r="3568" spans="1:41" ht="15">
      <c r="A3568"/>
      <c r="B3568"/>
      <c r="C3568" s="137"/>
      <c r="D3568" s="30"/>
      <c r="E3568" s="30"/>
      <c r="F3568" s="10"/>
      <c r="G3568" s="10"/>
      <c r="H3568" s="15"/>
      <c r="I3568" s="15"/>
      <c r="J3568" s="15"/>
      <c r="K3568" s="15"/>
      <c r="L3568" s="15"/>
      <c r="M3568" s="15"/>
      <c r="N3568" s="15"/>
      <c r="O3568" s="15"/>
      <c r="P3568" s="15"/>
      <c r="Q3568" s="71"/>
      <c r="R3568" s="84"/>
      <c r="S3568" s="10"/>
      <c r="T3568" s="10"/>
      <c r="U3568" s="10"/>
      <c r="V3568" s="10"/>
      <c r="W3568" s="138"/>
      <c r="Y3568"/>
      <c r="Z3568"/>
      <c r="AA3568"/>
      <c r="AB3568"/>
      <c r="AC3568"/>
      <c r="AD3568"/>
      <c r="AE3568"/>
      <c r="AF3568"/>
      <c r="AG3568"/>
      <c r="AH3568"/>
      <c r="AI3568"/>
      <c r="AJ3568"/>
      <c r="AK3568"/>
      <c r="AL3568"/>
      <c r="AM3568"/>
      <c r="AN3568"/>
      <c r="AO3568"/>
    </row>
    <row r="3569" spans="1:41" ht="15">
      <c r="A3569"/>
      <c r="B3569"/>
      <c r="C3569" s="137"/>
      <c r="D3569" s="30"/>
      <c r="E3569" s="30"/>
      <c r="F3569" s="10"/>
      <c r="G3569" s="10"/>
      <c r="H3569" s="15"/>
      <c r="I3569" s="15"/>
      <c r="J3569" s="15"/>
      <c r="K3569" s="15"/>
      <c r="L3569" s="15"/>
      <c r="M3569" s="15"/>
      <c r="N3569" s="15"/>
      <c r="O3569" s="15"/>
      <c r="P3569" s="15"/>
      <c r="Q3569" s="71"/>
      <c r="R3569" s="84"/>
      <c r="S3569" s="10"/>
      <c r="T3569" s="10"/>
      <c r="U3569" s="10"/>
      <c r="V3569" s="10"/>
      <c r="W3569" s="138"/>
      <c r="Y3569"/>
      <c r="Z3569"/>
      <c r="AA3569"/>
      <c r="AB3569"/>
      <c r="AC3569"/>
      <c r="AD3569"/>
      <c r="AE3569"/>
      <c r="AF3569"/>
      <c r="AG3569"/>
      <c r="AH3569"/>
      <c r="AI3569"/>
      <c r="AJ3569"/>
      <c r="AK3569"/>
      <c r="AL3569"/>
      <c r="AM3569"/>
      <c r="AN3569"/>
      <c r="AO3569"/>
    </row>
    <row r="3570" spans="1:41" ht="15">
      <c r="A3570"/>
      <c r="B3570"/>
      <c r="C3570" s="137"/>
      <c r="D3570" s="30"/>
      <c r="E3570" s="30"/>
      <c r="F3570" s="10"/>
      <c r="G3570" s="10"/>
      <c r="H3570" s="15"/>
      <c r="I3570" s="15"/>
      <c r="J3570" s="15"/>
      <c r="K3570" s="15"/>
      <c r="L3570" s="15"/>
      <c r="M3570" s="15"/>
      <c r="N3570" s="15"/>
      <c r="O3570" s="15"/>
      <c r="P3570" s="15"/>
      <c r="Q3570" s="71"/>
      <c r="R3570" s="84"/>
      <c r="S3570" s="10"/>
      <c r="T3570" s="10"/>
      <c r="U3570" s="10"/>
      <c r="V3570" s="10"/>
      <c r="W3570" s="138"/>
      <c r="Y3570"/>
      <c r="Z3570"/>
      <c r="AA3570"/>
      <c r="AB3570"/>
      <c r="AC3570"/>
      <c r="AD3570"/>
      <c r="AE3570"/>
      <c r="AF3570"/>
      <c r="AG3570"/>
      <c r="AH3570"/>
      <c r="AI3570"/>
      <c r="AJ3570"/>
      <c r="AK3570"/>
      <c r="AL3570"/>
      <c r="AM3570"/>
      <c r="AN3570"/>
      <c r="AO3570"/>
    </row>
    <row r="3571" spans="1:41" ht="15">
      <c r="A3571"/>
      <c r="B3571"/>
      <c r="C3571" s="137"/>
      <c r="D3571" s="30"/>
      <c r="E3571" s="30"/>
      <c r="F3571" s="10"/>
      <c r="G3571" s="10"/>
      <c r="H3571" s="15"/>
      <c r="I3571" s="15"/>
      <c r="J3571" s="15"/>
      <c r="K3571" s="15"/>
      <c r="L3571" s="15"/>
      <c r="M3571" s="15"/>
      <c r="N3571" s="15"/>
      <c r="O3571" s="15"/>
      <c r="P3571" s="15"/>
      <c r="Q3571" s="71"/>
      <c r="R3571" s="84"/>
      <c r="S3571" s="10"/>
      <c r="T3571" s="10"/>
      <c r="U3571" s="10"/>
      <c r="V3571" s="10"/>
      <c r="W3571" s="138"/>
      <c r="Y3571"/>
      <c r="Z3571"/>
      <c r="AA3571"/>
      <c r="AB3571"/>
      <c r="AC3571"/>
      <c r="AD3571"/>
      <c r="AE3571"/>
      <c r="AF3571"/>
      <c r="AG3571"/>
      <c r="AH3571"/>
      <c r="AI3571"/>
      <c r="AJ3571"/>
      <c r="AK3571"/>
      <c r="AL3571"/>
      <c r="AM3571"/>
      <c r="AN3571"/>
      <c r="AO3571"/>
    </row>
    <row r="3572" spans="1:41" ht="15">
      <c r="A3572"/>
      <c r="B3572"/>
      <c r="C3572" s="137"/>
      <c r="D3572" s="30"/>
      <c r="E3572" s="30"/>
      <c r="F3572" s="10"/>
      <c r="G3572" s="10"/>
      <c r="H3572" s="15"/>
      <c r="I3572" s="15"/>
      <c r="J3572" s="15"/>
      <c r="K3572" s="15"/>
      <c r="L3572" s="15"/>
      <c r="M3572" s="15"/>
      <c r="N3572" s="15"/>
      <c r="O3572" s="15"/>
      <c r="P3572" s="15"/>
      <c r="Q3572" s="71"/>
      <c r="R3572" s="84"/>
      <c r="S3572" s="10"/>
      <c r="T3572" s="10"/>
      <c r="U3572" s="10"/>
      <c r="V3572" s="10"/>
      <c r="W3572" s="138"/>
      <c r="Y3572"/>
      <c r="Z3572"/>
      <c r="AA3572"/>
      <c r="AB3572"/>
      <c r="AC3572"/>
      <c r="AD3572"/>
      <c r="AE3572"/>
      <c r="AF3572"/>
      <c r="AG3572"/>
      <c r="AH3572"/>
      <c r="AI3572"/>
      <c r="AJ3572"/>
      <c r="AK3572"/>
      <c r="AL3572"/>
      <c r="AM3572"/>
      <c r="AN3572"/>
      <c r="AO3572"/>
    </row>
    <row r="3573" spans="1:41" ht="15">
      <c r="A3573"/>
      <c r="B3573"/>
      <c r="C3573" s="137"/>
      <c r="D3573" s="30"/>
      <c r="E3573" s="30"/>
      <c r="F3573" s="10"/>
      <c r="G3573" s="10"/>
      <c r="H3573" s="15"/>
      <c r="I3573" s="15"/>
      <c r="J3573" s="15"/>
      <c r="K3573" s="15"/>
      <c r="L3573" s="15"/>
      <c r="M3573" s="15"/>
      <c r="N3573" s="15"/>
      <c r="O3573" s="15"/>
      <c r="P3573" s="15"/>
      <c r="Q3573" s="71"/>
      <c r="R3573" s="84"/>
      <c r="S3573" s="10"/>
      <c r="T3573" s="10"/>
      <c r="U3573" s="10"/>
      <c r="V3573" s="10"/>
      <c r="W3573" s="138"/>
      <c r="Y3573"/>
      <c r="Z3573"/>
      <c r="AA3573"/>
      <c r="AB3573"/>
      <c r="AC3573"/>
      <c r="AD3573"/>
      <c r="AE3573"/>
      <c r="AF3573"/>
      <c r="AG3573"/>
      <c r="AH3573"/>
      <c r="AI3573"/>
      <c r="AJ3573"/>
      <c r="AK3573"/>
      <c r="AL3573"/>
      <c r="AM3573"/>
      <c r="AN3573"/>
      <c r="AO3573"/>
    </row>
    <row r="3574" spans="1:41" ht="15">
      <c r="A3574"/>
      <c r="B3574"/>
      <c r="C3574" s="137"/>
      <c r="D3574" s="30"/>
      <c r="E3574" s="30"/>
      <c r="F3574" s="10"/>
      <c r="G3574" s="10"/>
      <c r="H3574" s="15"/>
      <c r="I3574" s="15"/>
      <c r="J3574" s="15"/>
      <c r="K3574" s="15"/>
      <c r="L3574" s="15"/>
      <c r="M3574" s="15"/>
      <c r="N3574" s="15"/>
      <c r="O3574" s="15"/>
      <c r="P3574" s="15"/>
      <c r="Q3574" s="71"/>
      <c r="R3574" s="84"/>
      <c r="S3574" s="10"/>
      <c r="T3574" s="10"/>
      <c r="U3574" s="10"/>
      <c r="V3574" s="10"/>
      <c r="W3574" s="138"/>
      <c r="Y3574"/>
      <c r="Z3574"/>
      <c r="AA3574"/>
      <c r="AB3574"/>
      <c r="AC3574"/>
      <c r="AD3574"/>
      <c r="AE3574"/>
      <c r="AF3574"/>
      <c r="AG3574"/>
      <c r="AH3574"/>
      <c r="AI3574"/>
      <c r="AJ3574"/>
      <c r="AK3574"/>
      <c r="AL3574"/>
      <c r="AM3574"/>
      <c r="AN3574"/>
      <c r="AO3574"/>
    </row>
    <row r="3575" spans="1:41" ht="15">
      <c r="A3575"/>
      <c r="B3575"/>
      <c r="C3575" s="137"/>
      <c r="D3575" s="30"/>
      <c r="E3575" s="30"/>
      <c r="F3575" s="10"/>
      <c r="G3575" s="10"/>
      <c r="H3575" s="15"/>
      <c r="I3575" s="15"/>
      <c r="J3575" s="15"/>
      <c r="K3575" s="15"/>
      <c r="L3575" s="15"/>
      <c r="M3575" s="15"/>
      <c r="N3575" s="15"/>
      <c r="O3575" s="15"/>
      <c r="P3575" s="15"/>
      <c r="Q3575" s="71"/>
      <c r="R3575" s="84"/>
      <c r="S3575" s="10"/>
      <c r="T3575" s="10"/>
      <c r="U3575" s="10"/>
      <c r="V3575" s="10"/>
      <c r="W3575" s="138"/>
      <c r="Y3575"/>
      <c r="Z3575"/>
      <c r="AA3575"/>
      <c r="AB3575"/>
      <c r="AC3575"/>
      <c r="AD3575"/>
      <c r="AE3575"/>
      <c r="AF3575"/>
      <c r="AG3575"/>
      <c r="AH3575"/>
      <c r="AI3575"/>
      <c r="AJ3575"/>
      <c r="AK3575"/>
      <c r="AL3575"/>
      <c r="AM3575"/>
      <c r="AN3575"/>
      <c r="AO3575"/>
    </row>
    <row r="3576" spans="1:41" ht="15">
      <c r="A3576"/>
      <c r="B3576"/>
      <c r="C3576" s="137"/>
      <c r="D3576" s="30"/>
      <c r="E3576" s="30"/>
      <c r="F3576" s="10"/>
      <c r="G3576" s="10"/>
      <c r="H3576" s="15"/>
      <c r="I3576" s="15"/>
      <c r="J3576" s="15"/>
      <c r="K3576" s="15"/>
      <c r="L3576" s="15"/>
      <c r="M3576" s="15"/>
      <c r="N3576" s="15"/>
      <c r="O3576" s="15"/>
      <c r="P3576" s="15"/>
      <c r="Q3576" s="71"/>
      <c r="R3576" s="84"/>
      <c r="S3576" s="10"/>
      <c r="T3576" s="10"/>
      <c r="U3576" s="10"/>
      <c r="V3576" s="10"/>
      <c r="W3576" s="138"/>
      <c r="Y3576"/>
      <c r="Z3576"/>
      <c r="AA3576"/>
      <c r="AB3576"/>
      <c r="AC3576"/>
      <c r="AD3576"/>
      <c r="AE3576"/>
      <c r="AF3576"/>
      <c r="AG3576"/>
      <c r="AH3576"/>
      <c r="AI3576"/>
      <c r="AJ3576"/>
      <c r="AK3576"/>
      <c r="AL3576"/>
      <c r="AM3576"/>
      <c r="AN3576"/>
      <c r="AO3576"/>
    </row>
    <row r="3577" spans="1:41" ht="15">
      <c r="A3577"/>
      <c r="B3577"/>
      <c r="C3577" s="137"/>
      <c r="D3577" s="30"/>
      <c r="E3577" s="30"/>
      <c r="F3577" s="10"/>
      <c r="G3577" s="10"/>
      <c r="H3577" s="15"/>
      <c r="I3577" s="15"/>
      <c r="J3577" s="15"/>
      <c r="K3577" s="15"/>
      <c r="L3577" s="15"/>
      <c r="M3577" s="15"/>
      <c r="N3577" s="15"/>
      <c r="O3577" s="15"/>
      <c r="P3577" s="15"/>
      <c r="Q3577" s="71"/>
      <c r="R3577" s="84"/>
      <c r="S3577" s="10"/>
      <c r="T3577" s="10"/>
      <c r="U3577" s="10"/>
      <c r="V3577" s="10"/>
      <c r="W3577" s="138"/>
      <c r="Y3577"/>
      <c r="Z3577"/>
      <c r="AA3577"/>
      <c r="AB3577"/>
      <c r="AC3577"/>
      <c r="AD3577"/>
      <c r="AE3577"/>
      <c r="AF3577"/>
      <c r="AG3577"/>
      <c r="AH3577"/>
      <c r="AI3577"/>
      <c r="AJ3577"/>
      <c r="AK3577"/>
      <c r="AL3577"/>
      <c r="AM3577"/>
      <c r="AN3577"/>
      <c r="AO3577"/>
    </row>
    <row r="3578" spans="1:41" ht="15">
      <c r="A3578"/>
      <c r="B3578"/>
      <c r="C3578" s="137"/>
      <c r="D3578" s="30"/>
      <c r="E3578" s="30"/>
      <c r="F3578" s="10"/>
      <c r="G3578" s="10"/>
      <c r="H3578" s="15"/>
      <c r="I3578" s="15"/>
      <c r="J3578" s="15"/>
      <c r="K3578" s="15"/>
      <c r="L3578" s="15"/>
      <c r="M3578" s="15"/>
      <c r="N3578" s="15"/>
      <c r="O3578" s="15"/>
      <c r="P3578" s="15"/>
      <c r="Q3578" s="71"/>
      <c r="R3578" s="84"/>
      <c r="S3578" s="10"/>
      <c r="T3578" s="10"/>
      <c r="U3578" s="10"/>
      <c r="V3578" s="10"/>
      <c r="W3578" s="138"/>
      <c r="Y3578"/>
      <c r="Z3578"/>
      <c r="AA3578"/>
      <c r="AB3578"/>
      <c r="AC3578"/>
      <c r="AD3578"/>
      <c r="AE3578"/>
      <c r="AF3578"/>
      <c r="AG3578"/>
      <c r="AH3578"/>
      <c r="AI3578"/>
      <c r="AJ3578"/>
      <c r="AK3578"/>
      <c r="AL3578"/>
      <c r="AM3578"/>
      <c r="AN3578"/>
      <c r="AO3578"/>
    </row>
    <row r="3579" spans="1:41" ht="15">
      <c r="A3579"/>
      <c r="B3579"/>
      <c r="C3579" s="137"/>
      <c r="D3579" s="30"/>
      <c r="E3579" s="30"/>
      <c r="F3579" s="10"/>
      <c r="G3579" s="10"/>
      <c r="H3579" s="15"/>
      <c r="I3579" s="15"/>
      <c r="J3579" s="15"/>
      <c r="K3579" s="15"/>
      <c r="L3579" s="15"/>
      <c r="M3579" s="15"/>
      <c r="N3579" s="15"/>
      <c r="O3579" s="15"/>
      <c r="P3579" s="15"/>
      <c r="Q3579" s="71"/>
      <c r="R3579" s="84"/>
      <c r="S3579" s="10"/>
      <c r="T3579" s="10"/>
      <c r="U3579" s="10"/>
      <c r="V3579" s="10"/>
      <c r="W3579" s="138"/>
      <c r="Y3579"/>
      <c r="Z3579"/>
      <c r="AA3579"/>
      <c r="AB3579"/>
      <c r="AC3579"/>
      <c r="AD3579"/>
      <c r="AE3579"/>
      <c r="AF3579"/>
      <c r="AG3579"/>
      <c r="AH3579"/>
      <c r="AI3579"/>
      <c r="AJ3579"/>
      <c r="AK3579"/>
      <c r="AL3579"/>
      <c r="AM3579"/>
      <c r="AN3579"/>
      <c r="AO3579"/>
    </row>
    <row r="3580" spans="1:41" ht="15">
      <c r="A3580"/>
      <c r="B3580"/>
      <c r="C3580" s="137"/>
      <c r="D3580" s="30"/>
      <c r="E3580" s="30"/>
      <c r="F3580" s="10"/>
      <c r="G3580" s="10"/>
      <c r="H3580" s="15"/>
      <c r="I3580" s="15"/>
      <c r="J3580" s="15"/>
      <c r="K3580" s="15"/>
      <c r="L3580" s="15"/>
      <c r="M3580" s="15"/>
      <c r="N3580" s="15"/>
      <c r="O3580" s="15"/>
      <c r="P3580" s="15"/>
      <c r="Q3580" s="71"/>
      <c r="R3580" s="84"/>
      <c r="S3580" s="10"/>
      <c r="T3580" s="10"/>
      <c r="U3580" s="10"/>
      <c r="V3580" s="10"/>
      <c r="W3580" s="138"/>
      <c r="Y3580"/>
      <c r="Z3580"/>
      <c r="AA3580"/>
      <c r="AB3580"/>
      <c r="AC3580"/>
      <c r="AD3580"/>
      <c r="AE3580"/>
      <c r="AF3580"/>
      <c r="AG3580"/>
      <c r="AH3580"/>
      <c r="AI3580"/>
      <c r="AJ3580"/>
      <c r="AK3580"/>
      <c r="AL3580"/>
      <c r="AM3580"/>
      <c r="AN3580"/>
      <c r="AO3580"/>
    </row>
    <row r="3581" spans="1:41" ht="15">
      <c r="A3581"/>
      <c r="B3581"/>
      <c r="C3581" s="137"/>
      <c r="D3581" s="30"/>
      <c r="E3581" s="30"/>
      <c r="F3581" s="10"/>
      <c r="G3581" s="10"/>
      <c r="H3581" s="15"/>
      <c r="I3581" s="15"/>
      <c r="J3581" s="15"/>
      <c r="K3581" s="15"/>
      <c r="L3581" s="15"/>
      <c r="M3581" s="15"/>
      <c r="N3581" s="15"/>
      <c r="O3581" s="15"/>
      <c r="P3581" s="15"/>
      <c r="Q3581" s="71"/>
      <c r="R3581" s="84"/>
      <c r="S3581" s="10"/>
      <c r="T3581" s="10"/>
      <c r="U3581" s="10"/>
      <c r="V3581" s="10"/>
      <c r="W3581" s="138"/>
      <c r="Y3581"/>
      <c r="Z3581"/>
      <c r="AA3581"/>
      <c r="AB3581"/>
      <c r="AC3581"/>
      <c r="AD3581"/>
      <c r="AE3581"/>
      <c r="AF3581"/>
      <c r="AG3581"/>
      <c r="AH3581"/>
      <c r="AI3581"/>
      <c r="AJ3581"/>
      <c r="AK3581"/>
      <c r="AL3581"/>
      <c r="AM3581"/>
      <c r="AN3581"/>
      <c r="AO3581"/>
    </row>
    <row r="3582" spans="1:41" ht="15">
      <c r="A3582"/>
      <c r="B3582"/>
      <c r="C3582" s="137"/>
      <c r="D3582" s="30"/>
      <c r="E3582" s="30"/>
      <c r="F3582" s="10"/>
      <c r="G3582" s="10"/>
      <c r="H3582" s="15"/>
      <c r="I3582" s="15"/>
      <c r="J3582" s="15"/>
      <c r="K3582" s="15"/>
      <c r="L3582" s="15"/>
      <c r="M3582" s="15"/>
      <c r="N3582" s="15"/>
      <c r="O3582" s="15"/>
      <c r="P3582" s="15"/>
      <c r="Q3582" s="71"/>
      <c r="R3582" s="84"/>
      <c r="S3582" s="10"/>
      <c r="T3582" s="10"/>
      <c r="U3582" s="10"/>
      <c r="V3582" s="10"/>
      <c r="W3582" s="138"/>
      <c r="Y3582"/>
      <c r="Z3582"/>
      <c r="AA3582"/>
      <c r="AB3582"/>
      <c r="AC3582"/>
      <c r="AD3582"/>
      <c r="AE3582"/>
      <c r="AF3582"/>
      <c r="AG3582"/>
      <c r="AH3582"/>
      <c r="AI3582"/>
      <c r="AJ3582"/>
      <c r="AK3582"/>
      <c r="AL3582"/>
      <c r="AM3582"/>
      <c r="AN3582"/>
      <c r="AO3582"/>
    </row>
    <row r="3583" spans="1:41" ht="15">
      <c r="A3583"/>
      <c r="B3583"/>
      <c r="C3583" s="137"/>
      <c r="D3583" s="30"/>
      <c r="E3583" s="30"/>
      <c r="F3583" s="10"/>
      <c r="G3583" s="10"/>
      <c r="H3583" s="15"/>
      <c r="I3583" s="15"/>
      <c r="J3583" s="15"/>
      <c r="K3583" s="15"/>
      <c r="L3583" s="15"/>
      <c r="M3583" s="15"/>
      <c r="N3583" s="15"/>
      <c r="O3583" s="15"/>
      <c r="P3583" s="15"/>
      <c r="Q3583" s="71"/>
      <c r="R3583" s="84"/>
      <c r="S3583" s="10"/>
      <c r="T3583" s="10"/>
      <c r="U3583" s="10"/>
      <c r="V3583" s="10"/>
      <c r="W3583" s="138"/>
      <c r="Y3583"/>
      <c r="Z3583"/>
      <c r="AA3583"/>
      <c r="AB3583"/>
      <c r="AC3583"/>
      <c r="AD3583"/>
      <c r="AE3583"/>
      <c r="AF3583"/>
      <c r="AG3583"/>
      <c r="AH3583"/>
      <c r="AI3583"/>
      <c r="AJ3583"/>
      <c r="AK3583"/>
      <c r="AL3583"/>
      <c r="AM3583"/>
      <c r="AN3583"/>
      <c r="AO3583"/>
    </row>
    <row r="3584" spans="1:41" ht="15">
      <c r="A3584"/>
      <c r="B3584"/>
      <c r="C3584" s="137"/>
      <c r="D3584" s="30"/>
      <c r="E3584" s="30"/>
      <c r="F3584" s="10"/>
      <c r="G3584" s="10"/>
      <c r="H3584" s="15"/>
      <c r="I3584" s="15"/>
      <c r="J3584" s="15"/>
      <c r="K3584" s="15"/>
      <c r="L3584" s="15"/>
      <c r="M3584" s="15"/>
      <c r="N3584" s="15"/>
      <c r="O3584" s="15"/>
      <c r="P3584" s="15"/>
      <c r="Q3584" s="71"/>
      <c r="R3584" s="84"/>
      <c r="S3584" s="10"/>
      <c r="T3584" s="10"/>
      <c r="U3584" s="10"/>
      <c r="V3584" s="10"/>
      <c r="W3584" s="138"/>
      <c r="Y3584"/>
      <c r="Z3584"/>
      <c r="AA3584"/>
      <c r="AB3584"/>
      <c r="AC3584"/>
      <c r="AD3584"/>
      <c r="AE3584"/>
      <c r="AF3584"/>
      <c r="AG3584"/>
      <c r="AH3584"/>
      <c r="AI3584"/>
      <c r="AJ3584"/>
      <c r="AK3584"/>
      <c r="AL3584"/>
      <c r="AM3584"/>
      <c r="AN3584"/>
      <c r="AO3584"/>
    </row>
    <row r="3585" spans="1:41" ht="15">
      <c r="A3585"/>
      <c r="B3585"/>
      <c r="C3585" s="137"/>
      <c r="D3585" s="30"/>
      <c r="E3585" s="30"/>
      <c r="F3585" s="10"/>
      <c r="G3585" s="10"/>
      <c r="H3585" s="15"/>
      <c r="I3585" s="15"/>
      <c r="J3585" s="15"/>
      <c r="K3585" s="15"/>
      <c r="L3585" s="15"/>
      <c r="M3585" s="15"/>
      <c r="N3585" s="15"/>
      <c r="O3585" s="15"/>
      <c r="P3585" s="15"/>
      <c r="Q3585" s="71"/>
      <c r="R3585" s="84"/>
      <c r="S3585" s="10"/>
      <c r="T3585" s="10"/>
      <c r="U3585" s="10"/>
      <c r="V3585" s="10"/>
      <c r="W3585" s="138"/>
      <c r="Y3585"/>
      <c r="Z3585"/>
      <c r="AA3585"/>
      <c r="AB3585"/>
      <c r="AC3585"/>
      <c r="AD3585"/>
      <c r="AE3585"/>
      <c r="AF3585"/>
      <c r="AG3585"/>
      <c r="AH3585"/>
      <c r="AI3585"/>
      <c r="AJ3585"/>
      <c r="AK3585"/>
      <c r="AL3585"/>
      <c r="AM3585"/>
      <c r="AN3585"/>
      <c r="AO3585"/>
    </row>
    <row r="3586" spans="1:41" ht="15">
      <c r="A3586"/>
      <c r="B3586"/>
      <c r="C3586" s="137"/>
      <c r="D3586" s="30"/>
      <c r="E3586" s="30"/>
      <c r="F3586" s="10"/>
      <c r="G3586" s="10"/>
      <c r="H3586" s="15"/>
      <c r="I3586" s="15"/>
      <c r="J3586" s="15"/>
      <c r="K3586" s="15"/>
      <c r="L3586" s="15"/>
      <c r="M3586" s="15"/>
      <c r="N3586" s="15"/>
      <c r="O3586" s="15"/>
      <c r="P3586" s="15"/>
      <c r="Q3586" s="71"/>
      <c r="R3586" s="84"/>
      <c r="S3586" s="10"/>
      <c r="T3586" s="10"/>
      <c r="U3586" s="10"/>
      <c r="V3586" s="10"/>
      <c r="W3586" s="138"/>
      <c r="Y3586"/>
      <c r="Z3586"/>
      <c r="AA3586"/>
      <c r="AB3586"/>
      <c r="AC3586"/>
      <c r="AD3586"/>
      <c r="AE3586"/>
      <c r="AF3586"/>
      <c r="AG3586"/>
      <c r="AH3586"/>
      <c r="AI3586"/>
      <c r="AJ3586"/>
      <c r="AK3586"/>
      <c r="AL3586"/>
      <c r="AM3586"/>
      <c r="AN3586"/>
      <c r="AO3586"/>
    </row>
    <row r="3587" spans="1:41" ht="15">
      <c r="A3587"/>
      <c r="B3587"/>
      <c r="C3587" s="137"/>
      <c r="D3587" s="30"/>
      <c r="E3587" s="30"/>
      <c r="F3587" s="10"/>
      <c r="G3587" s="10"/>
      <c r="H3587" s="15"/>
      <c r="I3587" s="15"/>
      <c r="J3587" s="15"/>
      <c r="K3587" s="15"/>
      <c r="L3587" s="15"/>
      <c r="M3587" s="15"/>
      <c r="N3587" s="15"/>
      <c r="O3587" s="15"/>
      <c r="P3587" s="15"/>
      <c r="Q3587" s="71"/>
      <c r="R3587" s="84"/>
      <c r="S3587" s="10"/>
      <c r="T3587" s="10"/>
      <c r="U3587" s="10"/>
      <c r="V3587" s="10"/>
      <c r="W3587" s="138"/>
      <c r="Y3587"/>
      <c r="Z3587"/>
      <c r="AA3587"/>
      <c r="AB3587"/>
      <c r="AC3587"/>
      <c r="AD3587"/>
      <c r="AE3587"/>
      <c r="AF3587"/>
      <c r="AG3587"/>
      <c r="AH3587"/>
      <c r="AI3587"/>
      <c r="AJ3587"/>
      <c r="AK3587"/>
      <c r="AL3587"/>
      <c r="AM3587"/>
      <c r="AN3587"/>
      <c r="AO3587"/>
    </row>
    <row r="3588" spans="1:41" ht="15">
      <c r="A3588"/>
      <c r="B3588"/>
      <c r="C3588" s="137"/>
      <c r="D3588" s="30"/>
      <c r="E3588" s="30"/>
      <c r="F3588" s="10"/>
      <c r="G3588" s="10"/>
      <c r="H3588" s="15"/>
      <c r="I3588" s="15"/>
      <c r="J3588" s="15"/>
      <c r="K3588" s="15"/>
      <c r="L3588" s="15"/>
      <c r="M3588" s="15"/>
      <c r="N3588" s="15"/>
      <c r="O3588" s="15"/>
      <c r="P3588" s="15"/>
      <c r="Q3588" s="71"/>
      <c r="R3588" s="84"/>
      <c r="S3588" s="10"/>
      <c r="T3588" s="10"/>
      <c r="U3588" s="10"/>
      <c r="V3588" s="10"/>
      <c r="W3588" s="138"/>
      <c r="Y3588"/>
      <c r="Z3588"/>
      <c r="AA3588"/>
      <c r="AB3588"/>
      <c r="AC3588"/>
      <c r="AD3588"/>
      <c r="AE3588"/>
      <c r="AF3588"/>
      <c r="AG3588"/>
      <c r="AH3588"/>
      <c r="AI3588"/>
      <c r="AJ3588"/>
      <c r="AK3588"/>
      <c r="AL3588"/>
      <c r="AM3588"/>
      <c r="AN3588"/>
      <c r="AO3588"/>
    </row>
    <row r="3589" spans="1:41" ht="15">
      <c r="A3589"/>
      <c r="B3589"/>
      <c r="C3589" s="137"/>
      <c r="D3589" s="30"/>
      <c r="E3589" s="30"/>
      <c r="F3589" s="10"/>
      <c r="G3589" s="10"/>
      <c r="H3589" s="15"/>
      <c r="I3589" s="15"/>
      <c r="J3589" s="15"/>
      <c r="K3589" s="15"/>
      <c r="L3589" s="15"/>
      <c r="M3589" s="15"/>
      <c r="N3589" s="15"/>
      <c r="O3589" s="15"/>
      <c r="P3589" s="15"/>
      <c r="Q3589" s="71"/>
      <c r="R3589" s="84"/>
      <c r="S3589" s="10"/>
      <c r="T3589" s="10"/>
      <c r="U3589" s="10"/>
      <c r="V3589" s="10"/>
      <c r="W3589" s="138"/>
      <c r="Y3589"/>
      <c r="Z3589"/>
      <c r="AA3589"/>
      <c r="AB3589"/>
      <c r="AC3589"/>
      <c r="AD3589"/>
      <c r="AE3589"/>
      <c r="AF3589"/>
      <c r="AG3589"/>
      <c r="AH3589"/>
      <c r="AI3589"/>
      <c r="AJ3589"/>
      <c r="AK3589"/>
      <c r="AL3589"/>
      <c r="AM3589"/>
      <c r="AN3589"/>
      <c r="AO3589"/>
    </row>
    <row r="3590" spans="1:41" ht="15">
      <c r="A3590"/>
      <c r="B3590"/>
      <c r="C3590" s="137"/>
      <c r="D3590" s="30"/>
      <c r="E3590" s="30"/>
      <c r="F3590" s="10"/>
      <c r="G3590" s="10"/>
      <c r="H3590" s="15"/>
      <c r="I3590" s="15"/>
      <c r="J3590" s="15"/>
      <c r="K3590" s="15"/>
      <c r="L3590" s="15"/>
      <c r="M3590" s="15"/>
      <c r="N3590" s="15"/>
      <c r="O3590" s="15"/>
      <c r="P3590" s="15"/>
      <c r="Q3590" s="71"/>
      <c r="R3590" s="84"/>
      <c r="S3590" s="10"/>
      <c r="T3590" s="10"/>
      <c r="U3590" s="10"/>
      <c r="V3590" s="10"/>
      <c r="W3590" s="138"/>
      <c r="Y3590"/>
      <c r="Z3590"/>
      <c r="AA3590"/>
      <c r="AB3590"/>
      <c r="AC3590"/>
      <c r="AD3590"/>
      <c r="AE3590"/>
      <c r="AF3590"/>
      <c r="AG3590"/>
      <c r="AH3590"/>
      <c r="AI3590"/>
      <c r="AJ3590"/>
      <c r="AK3590"/>
      <c r="AL3590"/>
      <c r="AM3590"/>
      <c r="AN3590"/>
      <c r="AO3590"/>
    </row>
    <row r="3591" spans="1:41" ht="15">
      <c r="A3591"/>
      <c r="B3591"/>
      <c r="C3591" s="137"/>
      <c r="D3591" s="30"/>
      <c r="E3591" s="30"/>
      <c r="F3591" s="10"/>
      <c r="G3591" s="10"/>
      <c r="H3591" s="15"/>
      <c r="I3591" s="15"/>
      <c r="J3591" s="15"/>
      <c r="K3591" s="15"/>
      <c r="L3591" s="15"/>
      <c r="M3591" s="15"/>
      <c r="N3591" s="15"/>
      <c r="O3591" s="15"/>
      <c r="P3591" s="15"/>
      <c r="Q3591" s="71"/>
      <c r="R3591" s="84"/>
      <c r="S3591" s="10"/>
      <c r="T3591" s="10"/>
      <c r="U3591" s="10"/>
      <c r="V3591" s="10"/>
      <c r="W3591" s="138"/>
      <c r="Y3591"/>
      <c r="Z3591"/>
      <c r="AA3591"/>
      <c r="AB3591"/>
      <c r="AC3591"/>
      <c r="AD3591"/>
      <c r="AE3591"/>
      <c r="AF3591"/>
      <c r="AG3591"/>
      <c r="AH3591"/>
      <c r="AI3591"/>
      <c r="AJ3591"/>
      <c r="AK3591"/>
      <c r="AL3591"/>
      <c r="AM3591"/>
      <c r="AN3591"/>
      <c r="AO3591"/>
    </row>
    <row r="3592" spans="1:41" ht="15">
      <c r="A3592"/>
      <c r="B3592"/>
      <c r="C3592" s="137"/>
      <c r="D3592" s="30"/>
      <c r="E3592" s="30"/>
      <c r="F3592" s="10"/>
      <c r="G3592" s="10"/>
      <c r="H3592" s="15"/>
      <c r="I3592" s="15"/>
      <c r="J3592" s="15"/>
      <c r="K3592" s="15"/>
      <c r="L3592" s="15"/>
      <c r="M3592" s="15"/>
      <c r="N3592" s="15"/>
      <c r="O3592" s="15"/>
      <c r="P3592" s="15"/>
      <c r="Q3592" s="71"/>
      <c r="R3592" s="84"/>
      <c r="S3592" s="10"/>
      <c r="T3592" s="10"/>
      <c r="U3592" s="10"/>
      <c r="V3592" s="10"/>
      <c r="W3592" s="138"/>
      <c r="Y3592"/>
      <c r="Z3592"/>
      <c r="AA3592"/>
      <c r="AB3592"/>
      <c r="AC3592"/>
      <c r="AD3592"/>
      <c r="AE3592"/>
      <c r="AF3592"/>
      <c r="AG3592"/>
      <c r="AH3592"/>
      <c r="AI3592"/>
      <c r="AJ3592"/>
      <c r="AK3592"/>
      <c r="AL3592"/>
      <c r="AM3592"/>
      <c r="AN3592"/>
      <c r="AO3592"/>
    </row>
    <row r="3593" spans="1:41" ht="15">
      <c r="A3593"/>
      <c r="B3593"/>
      <c r="C3593" s="137"/>
      <c r="D3593" s="30"/>
      <c r="E3593" s="30"/>
      <c r="F3593" s="10"/>
      <c r="G3593" s="10"/>
      <c r="H3593" s="15"/>
      <c r="I3593" s="15"/>
      <c r="J3593" s="15"/>
      <c r="K3593" s="15"/>
      <c r="L3593" s="15"/>
      <c r="M3593" s="15"/>
      <c r="N3593" s="15"/>
      <c r="O3593" s="15"/>
      <c r="P3593" s="15"/>
      <c r="Q3593" s="71"/>
      <c r="R3593" s="84"/>
      <c r="S3593" s="10"/>
      <c r="T3593" s="10"/>
      <c r="U3593" s="10"/>
      <c r="V3593" s="10"/>
      <c r="W3593" s="138"/>
      <c r="Y3593"/>
      <c r="Z3593"/>
      <c r="AA3593"/>
      <c r="AB3593"/>
      <c r="AC3593"/>
      <c r="AD3593"/>
      <c r="AE3593"/>
      <c r="AF3593"/>
      <c r="AG3593"/>
      <c r="AH3593"/>
      <c r="AI3593"/>
      <c r="AJ3593"/>
      <c r="AK3593"/>
      <c r="AL3593"/>
      <c r="AM3593"/>
      <c r="AN3593"/>
      <c r="AO3593"/>
    </row>
    <row r="3594" spans="1:41" ht="15">
      <c r="A3594"/>
      <c r="B3594"/>
      <c r="C3594" s="137"/>
      <c r="D3594" s="30"/>
      <c r="E3594" s="30"/>
      <c r="F3594" s="10"/>
      <c r="G3594" s="10"/>
      <c r="H3594" s="15"/>
      <c r="I3594" s="15"/>
      <c r="J3594" s="15"/>
      <c r="K3594" s="15"/>
      <c r="L3594" s="15"/>
      <c r="M3594" s="15"/>
      <c r="N3594" s="15"/>
      <c r="O3594" s="15"/>
      <c r="P3594" s="15"/>
      <c r="Q3594" s="71"/>
      <c r="R3594" s="84"/>
      <c r="S3594" s="10"/>
      <c r="T3594" s="10"/>
      <c r="U3594" s="10"/>
      <c r="V3594" s="10"/>
      <c r="W3594" s="138"/>
      <c r="Y3594"/>
      <c r="Z3594"/>
      <c r="AA3594"/>
      <c r="AB3594"/>
      <c r="AC3594"/>
      <c r="AD3594"/>
      <c r="AE3594"/>
      <c r="AF3594"/>
      <c r="AG3594"/>
      <c r="AH3594"/>
      <c r="AI3594"/>
      <c r="AJ3594"/>
      <c r="AK3594"/>
      <c r="AL3594"/>
      <c r="AM3594"/>
      <c r="AN3594"/>
      <c r="AO3594"/>
    </row>
    <row r="3595" spans="1:41" ht="15">
      <c r="A3595"/>
      <c r="B3595"/>
      <c r="C3595" s="137"/>
      <c r="D3595" s="30"/>
      <c r="E3595" s="30"/>
      <c r="F3595" s="10"/>
      <c r="G3595" s="10"/>
      <c r="H3595" s="15"/>
      <c r="I3595" s="15"/>
      <c r="J3595" s="15"/>
      <c r="K3595" s="15"/>
      <c r="L3595" s="15"/>
      <c r="M3595" s="15"/>
      <c r="N3595" s="15"/>
      <c r="O3595" s="15"/>
      <c r="P3595" s="15"/>
      <c r="Q3595" s="71"/>
      <c r="R3595" s="84"/>
      <c r="S3595" s="10"/>
      <c r="T3595" s="10"/>
      <c r="U3595" s="10"/>
      <c r="V3595" s="10"/>
      <c r="W3595" s="138"/>
      <c r="Y3595"/>
      <c r="Z3595"/>
      <c r="AA3595"/>
      <c r="AB3595"/>
      <c r="AC3595"/>
      <c r="AD3595"/>
      <c r="AE3595"/>
      <c r="AF3595"/>
      <c r="AG3595"/>
      <c r="AH3595"/>
      <c r="AI3595"/>
      <c r="AJ3595"/>
      <c r="AK3595"/>
      <c r="AL3595"/>
      <c r="AM3595"/>
      <c r="AN3595"/>
      <c r="AO3595"/>
    </row>
    <row r="3596" spans="1:41" ht="15">
      <c r="A3596"/>
      <c r="B3596"/>
      <c r="C3596" s="137"/>
      <c r="D3596" s="30"/>
      <c r="E3596" s="30"/>
      <c r="F3596" s="10"/>
      <c r="G3596" s="10"/>
      <c r="H3596" s="15"/>
      <c r="I3596" s="15"/>
      <c r="J3596" s="15"/>
      <c r="K3596" s="15"/>
      <c r="L3596" s="15"/>
      <c r="M3596" s="15"/>
      <c r="N3596" s="15"/>
      <c r="O3596" s="15"/>
      <c r="P3596" s="15"/>
      <c r="Q3596" s="71"/>
      <c r="R3596" s="84"/>
      <c r="S3596" s="10"/>
      <c r="T3596" s="10"/>
      <c r="U3596" s="10"/>
      <c r="V3596" s="10"/>
      <c r="W3596" s="138"/>
      <c r="Y3596"/>
      <c r="Z3596"/>
      <c r="AA3596"/>
      <c r="AB3596"/>
      <c r="AC3596"/>
      <c r="AD3596"/>
      <c r="AE3596"/>
      <c r="AF3596"/>
      <c r="AG3596"/>
      <c r="AH3596"/>
      <c r="AI3596"/>
      <c r="AJ3596"/>
      <c r="AK3596"/>
      <c r="AL3596"/>
      <c r="AM3596"/>
      <c r="AN3596"/>
      <c r="AO3596"/>
    </row>
    <row r="3597" spans="1:41" ht="15">
      <c r="A3597"/>
      <c r="B3597"/>
      <c r="C3597" s="137"/>
      <c r="D3597" s="30"/>
      <c r="E3597" s="30"/>
      <c r="F3597" s="10"/>
      <c r="G3597" s="10"/>
      <c r="H3597" s="15"/>
      <c r="I3597" s="15"/>
      <c r="J3597" s="15"/>
      <c r="K3597" s="15"/>
      <c r="L3597" s="15"/>
      <c r="M3597" s="15"/>
      <c r="N3597" s="15"/>
      <c r="O3597" s="15"/>
      <c r="P3597" s="15"/>
      <c r="Q3597" s="71"/>
      <c r="R3597" s="84"/>
      <c r="S3597" s="10"/>
      <c r="T3597" s="10"/>
      <c r="U3597" s="10"/>
      <c r="V3597" s="10"/>
      <c r="W3597" s="138"/>
      <c r="Y3597"/>
      <c r="Z3597"/>
      <c r="AA3597"/>
      <c r="AB3597"/>
      <c r="AC3597"/>
      <c r="AD3597"/>
      <c r="AE3597"/>
      <c r="AF3597"/>
      <c r="AG3597"/>
      <c r="AH3597"/>
      <c r="AI3597"/>
      <c r="AJ3597"/>
      <c r="AK3597"/>
      <c r="AL3597"/>
      <c r="AM3597"/>
      <c r="AN3597"/>
      <c r="AO3597"/>
    </row>
    <row r="3598" spans="1:41" ht="15">
      <c r="A3598"/>
      <c r="B3598"/>
      <c r="C3598" s="137"/>
      <c r="D3598" s="30"/>
      <c r="E3598" s="30"/>
      <c r="F3598" s="10"/>
      <c r="G3598" s="10"/>
      <c r="H3598" s="15"/>
      <c r="I3598" s="15"/>
      <c r="J3598" s="15"/>
      <c r="K3598" s="15"/>
      <c r="L3598" s="15"/>
      <c r="M3598" s="15"/>
      <c r="N3598" s="15"/>
      <c r="O3598" s="15"/>
      <c r="P3598" s="15"/>
      <c r="Q3598" s="71"/>
      <c r="R3598" s="84"/>
      <c r="S3598" s="10"/>
      <c r="T3598" s="10"/>
      <c r="U3598" s="10"/>
      <c r="V3598" s="10"/>
      <c r="W3598" s="138"/>
      <c r="Y3598"/>
      <c r="Z3598"/>
      <c r="AA3598"/>
      <c r="AB3598"/>
      <c r="AC3598"/>
      <c r="AD3598"/>
      <c r="AE3598"/>
      <c r="AF3598"/>
      <c r="AG3598"/>
      <c r="AH3598"/>
      <c r="AI3598"/>
      <c r="AJ3598"/>
      <c r="AK3598"/>
      <c r="AL3598"/>
      <c r="AM3598"/>
      <c r="AN3598"/>
      <c r="AO3598"/>
    </row>
    <row r="3599" spans="1:41" ht="15">
      <c r="A3599"/>
      <c r="B3599"/>
      <c r="C3599" s="137"/>
      <c r="D3599" s="30"/>
      <c r="E3599" s="30"/>
      <c r="F3599" s="10"/>
      <c r="G3599" s="10"/>
      <c r="H3599" s="15"/>
      <c r="I3599" s="15"/>
      <c r="J3599" s="15"/>
      <c r="K3599" s="15"/>
      <c r="L3599" s="15"/>
      <c r="M3599" s="15"/>
      <c r="N3599" s="15"/>
      <c r="O3599" s="15"/>
      <c r="P3599" s="15"/>
      <c r="Q3599" s="71"/>
      <c r="R3599" s="84"/>
      <c r="S3599" s="10"/>
      <c r="T3599" s="10"/>
      <c r="U3599" s="10"/>
      <c r="V3599" s="10"/>
      <c r="W3599" s="138"/>
      <c r="Y3599"/>
      <c r="Z3599"/>
      <c r="AA3599"/>
      <c r="AB3599"/>
      <c r="AC3599"/>
      <c r="AD3599"/>
      <c r="AE3599"/>
      <c r="AF3599"/>
      <c r="AG3599"/>
      <c r="AH3599"/>
      <c r="AI3599"/>
      <c r="AJ3599"/>
      <c r="AK3599"/>
      <c r="AL3599"/>
      <c r="AM3599"/>
      <c r="AN3599"/>
      <c r="AO3599"/>
    </row>
    <row r="3600" spans="1:41" ht="15">
      <c r="A3600"/>
      <c r="B3600"/>
      <c r="C3600" s="137"/>
      <c r="D3600" s="30"/>
      <c r="E3600" s="30"/>
      <c r="F3600" s="10"/>
      <c r="G3600" s="10"/>
      <c r="H3600" s="15"/>
      <c r="I3600" s="15"/>
      <c r="J3600" s="15"/>
      <c r="K3600" s="15"/>
      <c r="L3600" s="15"/>
      <c r="M3600" s="15"/>
      <c r="N3600" s="15"/>
      <c r="O3600" s="15"/>
      <c r="P3600" s="15"/>
      <c r="Q3600" s="71"/>
      <c r="R3600" s="84"/>
      <c r="S3600" s="10"/>
      <c r="T3600" s="10"/>
      <c r="U3600" s="10"/>
      <c r="V3600" s="10"/>
      <c r="W3600" s="138"/>
      <c r="Y3600"/>
      <c r="Z3600"/>
      <c r="AA3600"/>
      <c r="AB3600"/>
      <c r="AC3600"/>
      <c r="AD3600"/>
      <c r="AE3600"/>
      <c r="AF3600"/>
      <c r="AG3600"/>
      <c r="AH3600"/>
      <c r="AI3600"/>
      <c r="AJ3600"/>
      <c r="AK3600"/>
      <c r="AL3600"/>
      <c r="AM3600"/>
      <c r="AN3600"/>
      <c r="AO3600"/>
    </row>
    <row r="3601" spans="1:41" ht="15">
      <c r="A3601"/>
      <c r="B3601"/>
      <c r="C3601" s="137"/>
      <c r="D3601" s="30"/>
      <c r="E3601" s="30"/>
      <c r="F3601" s="10"/>
      <c r="G3601" s="10"/>
      <c r="H3601" s="15"/>
      <c r="I3601" s="15"/>
      <c r="J3601" s="15"/>
      <c r="K3601" s="15"/>
      <c r="L3601" s="15"/>
      <c r="M3601" s="15"/>
      <c r="N3601" s="15"/>
      <c r="O3601" s="15"/>
      <c r="P3601" s="15"/>
      <c r="Q3601" s="71"/>
      <c r="R3601" s="84"/>
      <c r="S3601" s="10"/>
      <c r="T3601" s="10"/>
      <c r="U3601" s="10"/>
      <c r="V3601" s="10"/>
      <c r="W3601" s="138"/>
      <c r="Y3601"/>
      <c r="Z3601"/>
      <c r="AA3601"/>
      <c r="AB3601"/>
      <c r="AC3601"/>
      <c r="AD3601"/>
      <c r="AE3601"/>
      <c r="AF3601"/>
      <c r="AG3601"/>
      <c r="AH3601"/>
      <c r="AI3601"/>
      <c r="AJ3601"/>
      <c r="AK3601"/>
      <c r="AL3601"/>
      <c r="AM3601"/>
      <c r="AN3601"/>
      <c r="AO3601"/>
    </row>
    <row r="3602" spans="1:41" ht="15">
      <c r="A3602"/>
      <c r="B3602"/>
      <c r="C3602" s="137"/>
      <c r="D3602" s="30"/>
      <c r="E3602" s="30"/>
      <c r="F3602" s="10"/>
      <c r="G3602" s="10"/>
      <c r="H3602" s="15"/>
      <c r="I3602" s="15"/>
      <c r="J3602" s="15"/>
      <c r="K3602" s="15"/>
      <c r="L3602" s="15"/>
      <c r="M3602" s="15"/>
      <c r="N3602" s="15"/>
      <c r="O3602" s="15"/>
      <c r="P3602" s="15"/>
      <c r="Q3602" s="71"/>
      <c r="R3602" s="84"/>
      <c r="S3602" s="10"/>
      <c r="T3602" s="10"/>
      <c r="U3602" s="10"/>
      <c r="V3602" s="10"/>
      <c r="W3602" s="138"/>
      <c r="Y3602"/>
      <c r="Z3602"/>
      <c r="AA3602"/>
      <c r="AB3602"/>
      <c r="AC3602"/>
      <c r="AD3602"/>
      <c r="AE3602"/>
      <c r="AF3602"/>
      <c r="AG3602"/>
      <c r="AH3602"/>
      <c r="AI3602"/>
      <c r="AJ3602"/>
      <c r="AK3602"/>
      <c r="AL3602"/>
      <c r="AM3602"/>
      <c r="AN3602"/>
      <c r="AO3602"/>
    </row>
    <row r="3603" spans="1:41" ht="15">
      <c r="A3603"/>
      <c r="B3603"/>
      <c r="C3603" s="137"/>
      <c r="D3603" s="30"/>
      <c r="E3603" s="30"/>
      <c r="F3603" s="10"/>
      <c r="G3603" s="10"/>
      <c r="H3603" s="15"/>
      <c r="I3603" s="15"/>
      <c r="J3603" s="15"/>
      <c r="K3603" s="15"/>
      <c r="L3603" s="15"/>
      <c r="M3603" s="15"/>
      <c r="N3603" s="15"/>
      <c r="O3603" s="15"/>
      <c r="P3603" s="15"/>
      <c r="Q3603" s="71"/>
      <c r="R3603" s="84"/>
      <c r="S3603" s="10"/>
      <c r="T3603" s="10"/>
      <c r="U3603" s="10"/>
      <c r="V3603" s="10"/>
      <c r="W3603" s="138"/>
      <c r="Y3603"/>
      <c r="Z3603"/>
      <c r="AA3603"/>
      <c r="AB3603"/>
      <c r="AC3603"/>
      <c r="AD3603"/>
      <c r="AE3603"/>
      <c r="AF3603"/>
      <c r="AG3603"/>
      <c r="AH3603"/>
      <c r="AI3603"/>
      <c r="AJ3603"/>
      <c r="AK3603"/>
      <c r="AL3603"/>
      <c r="AM3603"/>
      <c r="AN3603"/>
      <c r="AO3603"/>
    </row>
    <row r="3604" spans="1:41" ht="15">
      <c r="A3604"/>
      <c r="B3604"/>
      <c r="C3604" s="137"/>
      <c r="D3604" s="30"/>
      <c r="E3604" s="30"/>
      <c r="F3604" s="10"/>
      <c r="G3604" s="10"/>
      <c r="H3604" s="15"/>
      <c r="I3604" s="15"/>
      <c r="J3604" s="15"/>
      <c r="K3604" s="15"/>
      <c r="L3604" s="15"/>
      <c r="M3604" s="15"/>
      <c r="N3604" s="15"/>
      <c r="O3604" s="15"/>
      <c r="P3604" s="15"/>
      <c r="Q3604" s="71"/>
      <c r="R3604" s="84"/>
      <c r="S3604" s="10"/>
      <c r="T3604" s="10"/>
      <c r="U3604" s="10"/>
      <c r="V3604" s="10"/>
      <c r="W3604" s="138"/>
      <c r="Y3604"/>
      <c r="Z3604"/>
      <c r="AA3604"/>
      <c r="AB3604"/>
      <c r="AC3604"/>
      <c r="AD3604"/>
      <c r="AE3604"/>
      <c r="AF3604"/>
      <c r="AG3604"/>
      <c r="AH3604"/>
      <c r="AI3604"/>
      <c r="AJ3604"/>
      <c r="AK3604"/>
      <c r="AL3604"/>
      <c r="AM3604"/>
      <c r="AN3604"/>
      <c r="AO3604"/>
    </row>
    <row r="3605" spans="1:41" ht="15">
      <c r="A3605"/>
      <c r="B3605"/>
      <c r="C3605" s="137"/>
      <c r="D3605" s="30"/>
      <c r="E3605" s="30"/>
      <c r="F3605" s="10"/>
      <c r="G3605" s="10"/>
      <c r="H3605" s="15"/>
      <c r="I3605" s="15"/>
      <c r="J3605" s="15"/>
      <c r="K3605" s="15"/>
      <c r="L3605" s="15"/>
      <c r="M3605" s="15"/>
      <c r="N3605" s="15"/>
      <c r="O3605" s="15"/>
      <c r="P3605" s="15"/>
      <c r="Q3605" s="71"/>
      <c r="R3605" s="84"/>
      <c r="S3605" s="10"/>
      <c r="T3605" s="10"/>
      <c r="U3605" s="10"/>
      <c r="V3605" s="10"/>
      <c r="W3605" s="138"/>
      <c r="Y3605"/>
      <c r="Z3605"/>
      <c r="AA3605"/>
      <c r="AB3605"/>
      <c r="AC3605"/>
      <c r="AD3605"/>
      <c r="AE3605"/>
      <c r="AF3605"/>
      <c r="AG3605"/>
      <c r="AH3605"/>
      <c r="AI3605"/>
      <c r="AJ3605"/>
      <c r="AK3605"/>
      <c r="AL3605"/>
      <c r="AM3605"/>
      <c r="AN3605"/>
      <c r="AO3605"/>
    </row>
    <row r="3606" spans="1:41" ht="15">
      <c r="A3606"/>
      <c r="B3606"/>
      <c r="C3606" s="137"/>
      <c r="D3606" s="30"/>
      <c r="E3606" s="30"/>
      <c r="F3606" s="10"/>
      <c r="G3606" s="10"/>
      <c r="H3606" s="15"/>
      <c r="I3606" s="15"/>
      <c r="J3606" s="15"/>
      <c r="K3606" s="15"/>
      <c r="L3606" s="15"/>
      <c r="M3606" s="15"/>
      <c r="N3606" s="15"/>
      <c r="O3606" s="15"/>
      <c r="P3606" s="15"/>
      <c r="Q3606" s="71"/>
      <c r="R3606" s="84"/>
      <c r="S3606" s="10"/>
      <c r="T3606" s="10"/>
      <c r="U3606" s="10"/>
      <c r="V3606" s="10"/>
      <c r="W3606" s="138"/>
      <c r="Y3606"/>
      <c r="Z3606"/>
      <c r="AA3606"/>
      <c r="AB3606"/>
      <c r="AC3606"/>
      <c r="AD3606"/>
      <c r="AE3606"/>
      <c r="AF3606"/>
      <c r="AG3606"/>
      <c r="AH3606"/>
      <c r="AI3606"/>
      <c r="AJ3606"/>
      <c r="AK3606"/>
      <c r="AL3606"/>
      <c r="AM3606"/>
      <c r="AN3606"/>
      <c r="AO3606"/>
    </row>
    <row r="3607" spans="1:41" ht="15">
      <c r="A3607"/>
      <c r="B3607"/>
      <c r="C3607" s="137"/>
      <c r="D3607" s="30"/>
      <c r="E3607" s="30"/>
      <c r="F3607" s="10"/>
      <c r="G3607" s="10"/>
      <c r="H3607" s="15"/>
      <c r="I3607" s="15"/>
      <c r="J3607" s="15"/>
      <c r="K3607" s="15"/>
      <c r="L3607" s="15"/>
      <c r="M3607" s="15"/>
      <c r="N3607" s="15"/>
      <c r="O3607" s="15"/>
      <c r="P3607" s="15"/>
      <c r="Q3607" s="71"/>
      <c r="R3607" s="84"/>
      <c r="S3607" s="10"/>
      <c r="T3607" s="10"/>
      <c r="U3607" s="10"/>
      <c r="V3607" s="10"/>
      <c r="W3607" s="138"/>
      <c r="Y3607"/>
      <c r="Z3607"/>
      <c r="AA3607"/>
      <c r="AB3607"/>
      <c r="AC3607"/>
      <c r="AD3607"/>
      <c r="AE3607"/>
      <c r="AF3607"/>
      <c r="AG3607"/>
      <c r="AH3607"/>
      <c r="AI3607"/>
      <c r="AJ3607"/>
      <c r="AK3607"/>
      <c r="AL3607"/>
      <c r="AM3607"/>
      <c r="AN3607"/>
      <c r="AO3607"/>
    </row>
    <row r="3608" spans="1:41" ht="15">
      <c r="A3608"/>
      <c r="B3608"/>
      <c r="C3608" s="137"/>
      <c r="D3608" s="30"/>
      <c r="E3608" s="30"/>
      <c r="F3608" s="10"/>
      <c r="G3608" s="10"/>
      <c r="H3608" s="15"/>
      <c r="I3608" s="15"/>
      <c r="J3608" s="15"/>
      <c r="K3608" s="15"/>
      <c r="L3608" s="15"/>
      <c r="M3608" s="15"/>
      <c r="N3608" s="15"/>
      <c r="O3608" s="15"/>
      <c r="P3608" s="15"/>
      <c r="Q3608" s="71"/>
      <c r="R3608" s="84"/>
      <c r="S3608" s="10"/>
      <c r="T3608" s="10"/>
      <c r="U3608" s="10"/>
      <c r="V3608" s="10"/>
      <c r="W3608" s="138"/>
      <c r="Y3608"/>
      <c r="Z3608"/>
      <c r="AA3608"/>
      <c r="AB3608"/>
      <c r="AC3608"/>
      <c r="AD3608"/>
      <c r="AE3608"/>
      <c r="AF3608"/>
      <c r="AG3608"/>
      <c r="AH3608"/>
      <c r="AI3608"/>
      <c r="AJ3608"/>
      <c r="AK3608"/>
      <c r="AL3608"/>
      <c r="AM3608"/>
      <c r="AN3608"/>
      <c r="AO3608"/>
    </row>
    <row r="3609" spans="1:41" ht="15">
      <c r="A3609"/>
      <c r="B3609"/>
      <c r="C3609" s="137"/>
      <c r="D3609" s="30"/>
      <c r="E3609" s="30"/>
      <c r="F3609" s="10"/>
      <c r="G3609" s="10"/>
      <c r="H3609" s="15"/>
      <c r="I3609" s="15"/>
      <c r="J3609" s="15"/>
      <c r="K3609" s="15"/>
      <c r="L3609" s="15"/>
      <c r="M3609" s="15"/>
      <c r="N3609" s="15"/>
      <c r="O3609" s="15"/>
      <c r="P3609" s="15"/>
      <c r="Q3609" s="71"/>
      <c r="R3609" s="84"/>
      <c r="S3609" s="10"/>
      <c r="T3609" s="10"/>
      <c r="U3609" s="10"/>
      <c r="V3609" s="10"/>
      <c r="W3609" s="138"/>
      <c r="Y3609"/>
      <c r="Z3609"/>
      <c r="AA3609"/>
      <c r="AB3609"/>
      <c r="AC3609"/>
      <c r="AD3609"/>
      <c r="AE3609"/>
      <c r="AF3609"/>
      <c r="AG3609"/>
      <c r="AH3609"/>
      <c r="AI3609"/>
      <c r="AJ3609"/>
      <c r="AK3609"/>
      <c r="AL3609"/>
      <c r="AM3609"/>
      <c r="AN3609"/>
      <c r="AO3609"/>
    </row>
    <row r="3610" spans="1:41" ht="15">
      <c r="A3610"/>
      <c r="B3610"/>
      <c r="C3610" s="137"/>
      <c r="D3610" s="30"/>
      <c r="E3610" s="30"/>
      <c r="F3610" s="10"/>
      <c r="G3610" s="10"/>
      <c r="H3610" s="15"/>
      <c r="I3610" s="15"/>
      <c r="J3610" s="15"/>
      <c r="K3610" s="15"/>
      <c r="L3610" s="15"/>
      <c r="M3610" s="15"/>
      <c r="N3610" s="15"/>
      <c r="O3610" s="15"/>
      <c r="P3610" s="15"/>
      <c r="Q3610" s="71"/>
      <c r="R3610" s="84"/>
      <c r="S3610" s="10"/>
      <c r="T3610" s="10"/>
      <c r="U3610" s="10"/>
      <c r="V3610" s="10"/>
      <c r="W3610" s="138"/>
      <c r="Y3610"/>
      <c r="Z3610"/>
      <c r="AA3610"/>
      <c r="AB3610"/>
      <c r="AC3610"/>
      <c r="AD3610"/>
      <c r="AE3610"/>
      <c r="AF3610"/>
      <c r="AG3610"/>
      <c r="AH3610"/>
      <c r="AI3610"/>
      <c r="AJ3610"/>
      <c r="AK3610"/>
      <c r="AL3610"/>
      <c r="AM3610"/>
      <c r="AN3610"/>
      <c r="AO3610"/>
    </row>
    <row r="3611" spans="1:41" ht="15">
      <c r="A3611"/>
      <c r="B3611"/>
      <c r="C3611" s="137"/>
      <c r="D3611" s="30"/>
      <c r="E3611" s="30"/>
      <c r="F3611" s="10"/>
      <c r="G3611" s="10"/>
      <c r="H3611" s="15"/>
      <c r="I3611" s="15"/>
      <c r="J3611" s="15"/>
      <c r="K3611" s="15"/>
      <c r="L3611" s="15"/>
      <c r="M3611" s="15"/>
      <c r="N3611" s="15"/>
      <c r="O3611" s="15"/>
      <c r="P3611" s="15"/>
      <c r="Q3611" s="71"/>
      <c r="R3611" s="84"/>
      <c r="S3611" s="10"/>
      <c r="T3611" s="10"/>
      <c r="U3611" s="10"/>
      <c r="V3611" s="10"/>
      <c r="W3611" s="138"/>
      <c r="Y3611"/>
      <c r="Z3611"/>
      <c r="AA3611"/>
      <c r="AB3611"/>
      <c r="AC3611"/>
      <c r="AD3611"/>
      <c r="AE3611"/>
      <c r="AF3611"/>
      <c r="AG3611"/>
      <c r="AH3611"/>
      <c r="AI3611"/>
      <c r="AJ3611"/>
      <c r="AK3611"/>
      <c r="AL3611"/>
      <c r="AM3611"/>
      <c r="AN3611"/>
      <c r="AO3611"/>
    </row>
    <row r="3612" spans="1:41" ht="15">
      <c r="A3612"/>
      <c r="B3612"/>
      <c r="C3612" s="137"/>
      <c r="D3612" s="30"/>
      <c r="E3612" s="30"/>
      <c r="F3612" s="10"/>
      <c r="G3612" s="10"/>
      <c r="H3612" s="15"/>
      <c r="I3612" s="15"/>
      <c r="J3612" s="15"/>
      <c r="K3612" s="15"/>
      <c r="L3612" s="15"/>
      <c r="M3612" s="15"/>
      <c r="N3612" s="15"/>
      <c r="O3612" s="15"/>
      <c r="P3612" s="15"/>
      <c r="Q3612" s="71"/>
      <c r="R3612" s="84"/>
      <c r="S3612" s="10"/>
      <c r="T3612" s="10"/>
      <c r="U3612" s="10"/>
      <c r="V3612" s="10"/>
      <c r="W3612" s="138"/>
      <c r="Y3612"/>
      <c r="Z3612"/>
      <c r="AA3612"/>
      <c r="AB3612"/>
      <c r="AC3612"/>
      <c r="AD3612"/>
      <c r="AE3612"/>
      <c r="AF3612"/>
      <c r="AG3612"/>
      <c r="AH3612"/>
      <c r="AI3612"/>
      <c r="AJ3612"/>
      <c r="AK3612"/>
      <c r="AL3612"/>
      <c r="AM3612"/>
      <c r="AN3612"/>
      <c r="AO3612"/>
    </row>
    <row r="3613" spans="1:41" ht="15">
      <c r="A3613"/>
      <c r="B3613"/>
      <c r="C3613" s="137"/>
      <c r="D3613" s="30"/>
      <c r="E3613" s="30"/>
      <c r="F3613" s="10"/>
      <c r="G3613" s="10"/>
      <c r="H3613" s="15"/>
      <c r="I3613" s="15"/>
      <c r="J3613" s="15"/>
      <c r="K3613" s="15"/>
      <c r="L3613" s="15"/>
      <c r="M3613" s="15"/>
      <c r="N3613" s="15"/>
      <c r="O3613" s="15"/>
      <c r="P3613" s="15"/>
      <c r="Q3613" s="71"/>
      <c r="R3613" s="84"/>
      <c r="S3613" s="10"/>
      <c r="T3613" s="10"/>
      <c r="U3613" s="10"/>
      <c r="V3613" s="10"/>
      <c r="W3613" s="138"/>
      <c r="Y3613"/>
      <c r="Z3613"/>
      <c r="AA3613"/>
      <c r="AB3613"/>
      <c r="AC3613"/>
      <c r="AD3613"/>
      <c r="AE3613"/>
      <c r="AF3613"/>
      <c r="AG3613"/>
      <c r="AH3613"/>
      <c r="AI3613"/>
      <c r="AJ3613"/>
      <c r="AK3613"/>
      <c r="AL3613"/>
      <c r="AM3613"/>
      <c r="AN3613"/>
      <c r="AO3613"/>
    </row>
    <row r="3614" spans="1:41" ht="15">
      <c r="A3614"/>
      <c r="B3614"/>
      <c r="C3614" s="137"/>
      <c r="D3614" s="30"/>
      <c r="E3614" s="30"/>
      <c r="F3614" s="10"/>
      <c r="G3614" s="10"/>
      <c r="H3614" s="15"/>
      <c r="I3614" s="15"/>
      <c r="J3614" s="15"/>
      <c r="K3614" s="15"/>
      <c r="L3614" s="15"/>
      <c r="M3614" s="15"/>
      <c r="N3614" s="15"/>
      <c r="O3614" s="15"/>
      <c r="P3614" s="15"/>
      <c r="Q3614" s="71"/>
      <c r="R3614" s="84"/>
      <c r="S3614" s="10"/>
      <c r="T3614" s="10"/>
      <c r="U3614" s="10"/>
      <c r="V3614" s="10"/>
      <c r="W3614" s="138"/>
      <c r="Y3614"/>
      <c r="Z3614"/>
      <c r="AA3614"/>
      <c r="AB3614"/>
      <c r="AC3614"/>
      <c r="AD3614"/>
      <c r="AE3614"/>
      <c r="AF3614"/>
      <c r="AG3614"/>
      <c r="AH3614"/>
      <c r="AI3614"/>
      <c r="AJ3614"/>
      <c r="AK3614"/>
      <c r="AL3614"/>
      <c r="AM3614"/>
      <c r="AN3614"/>
      <c r="AO3614"/>
    </row>
    <row r="3615" spans="1:41" ht="15">
      <c r="A3615"/>
      <c r="B3615"/>
      <c r="C3615" s="137"/>
      <c r="D3615" s="30"/>
      <c r="E3615" s="30"/>
      <c r="F3615" s="10"/>
      <c r="G3615" s="10"/>
      <c r="H3615" s="15"/>
      <c r="I3615" s="15"/>
      <c r="J3615" s="15"/>
      <c r="K3615" s="15"/>
      <c r="L3615" s="15"/>
      <c r="M3615" s="15"/>
      <c r="N3615" s="15"/>
      <c r="O3615" s="15"/>
      <c r="P3615" s="15"/>
      <c r="Q3615" s="71"/>
      <c r="R3615" s="84"/>
      <c r="S3615" s="10"/>
      <c r="T3615" s="10"/>
      <c r="U3615" s="10"/>
      <c r="V3615" s="10"/>
      <c r="W3615" s="138"/>
      <c r="Y3615"/>
      <c r="Z3615"/>
      <c r="AA3615"/>
      <c r="AB3615"/>
      <c r="AC3615"/>
      <c r="AD3615"/>
      <c r="AE3615"/>
      <c r="AF3615"/>
      <c r="AG3615"/>
      <c r="AH3615"/>
      <c r="AI3615"/>
      <c r="AJ3615"/>
      <c r="AK3615"/>
      <c r="AL3615"/>
      <c r="AM3615"/>
      <c r="AN3615"/>
      <c r="AO3615"/>
    </row>
    <row r="3616" spans="1:41" ht="15">
      <c r="A3616"/>
      <c r="B3616"/>
      <c r="C3616" s="137"/>
      <c r="D3616" s="30"/>
      <c r="E3616" s="30"/>
      <c r="F3616" s="10"/>
      <c r="G3616" s="10"/>
      <c r="H3616" s="15"/>
      <c r="I3616" s="15"/>
      <c r="J3616" s="15"/>
      <c r="K3616" s="15"/>
      <c r="L3616" s="15"/>
      <c r="M3616" s="15"/>
      <c r="N3616" s="15"/>
      <c r="O3616" s="15"/>
      <c r="P3616" s="15"/>
      <c r="Q3616" s="71"/>
      <c r="R3616" s="84"/>
      <c r="S3616" s="10"/>
      <c r="T3616" s="10"/>
      <c r="U3616" s="10"/>
      <c r="V3616" s="10"/>
      <c r="W3616" s="138"/>
      <c r="Y3616"/>
      <c r="Z3616"/>
      <c r="AA3616"/>
      <c r="AB3616"/>
      <c r="AC3616"/>
      <c r="AD3616"/>
      <c r="AE3616"/>
      <c r="AF3616"/>
      <c r="AG3616"/>
      <c r="AH3616"/>
      <c r="AI3616"/>
      <c r="AJ3616"/>
      <c r="AK3616"/>
      <c r="AL3616"/>
      <c r="AM3616"/>
      <c r="AN3616"/>
      <c r="AO3616"/>
    </row>
    <row r="3617" spans="1:41" ht="15">
      <c r="A3617"/>
      <c r="B3617"/>
      <c r="C3617" s="137"/>
      <c r="D3617" s="30"/>
      <c r="E3617" s="30"/>
      <c r="F3617" s="10"/>
      <c r="G3617" s="10"/>
      <c r="H3617" s="15"/>
      <c r="I3617" s="15"/>
      <c r="J3617" s="15"/>
      <c r="K3617" s="15"/>
      <c r="L3617" s="15"/>
      <c r="M3617" s="15"/>
      <c r="N3617" s="15"/>
      <c r="O3617" s="15"/>
      <c r="P3617" s="15"/>
      <c r="Q3617" s="71"/>
      <c r="R3617" s="84"/>
      <c r="S3617" s="10"/>
      <c r="T3617" s="10"/>
      <c r="U3617" s="10"/>
      <c r="V3617" s="10"/>
      <c r="W3617" s="138"/>
      <c r="Y3617"/>
      <c r="Z3617"/>
      <c r="AA3617"/>
      <c r="AB3617"/>
      <c r="AC3617"/>
      <c r="AD3617"/>
      <c r="AE3617"/>
      <c r="AF3617"/>
      <c r="AG3617"/>
      <c r="AH3617"/>
      <c r="AI3617"/>
      <c r="AJ3617"/>
      <c r="AK3617"/>
      <c r="AL3617"/>
      <c r="AM3617"/>
      <c r="AN3617"/>
      <c r="AO3617"/>
    </row>
    <row r="3618" spans="1:41" ht="15">
      <c r="A3618"/>
      <c r="B3618"/>
      <c r="C3618" s="137"/>
      <c r="D3618" s="30"/>
      <c r="E3618" s="30"/>
      <c r="F3618" s="10"/>
      <c r="G3618" s="10"/>
      <c r="H3618" s="15"/>
      <c r="I3618" s="15"/>
      <c r="J3618" s="15"/>
      <c r="K3618" s="15"/>
      <c r="L3618" s="15"/>
      <c r="M3618" s="15"/>
      <c r="N3618" s="15"/>
      <c r="O3618" s="15"/>
      <c r="P3618" s="15"/>
      <c r="Q3618" s="71"/>
      <c r="R3618" s="84"/>
      <c r="S3618" s="10"/>
      <c r="T3618" s="10"/>
      <c r="U3618" s="10"/>
      <c r="V3618" s="10"/>
      <c r="W3618" s="138"/>
      <c r="Y3618"/>
      <c r="Z3618"/>
      <c r="AA3618"/>
      <c r="AB3618"/>
      <c r="AC3618"/>
      <c r="AD3618"/>
      <c r="AE3618"/>
      <c r="AF3618"/>
      <c r="AG3618"/>
      <c r="AH3618"/>
      <c r="AI3618"/>
      <c r="AJ3618"/>
      <c r="AK3618"/>
      <c r="AL3618"/>
      <c r="AM3618"/>
      <c r="AN3618"/>
      <c r="AO3618"/>
    </row>
    <row r="3619" spans="1:41" ht="15">
      <c r="A3619"/>
      <c r="B3619"/>
      <c r="C3619" s="137"/>
      <c r="D3619" s="30"/>
      <c r="E3619" s="30"/>
      <c r="F3619" s="10"/>
      <c r="G3619" s="10"/>
      <c r="H3619" s="15"/>
      <c r="I3619" s="15"/>
      <c r="J3619" s="15"/>
      <c r="K3619" s="15"/>
      <c r="L3619" s="15"/>
      <c r="M3619" s="15"/>
      <c r="N3619" s="15"/>
      <c r="O3619" s="15"/>
      <c r="P3619" s="15"/>
      <c r="Q3619" s="71"/>
      <c r="R3619" s="84"/>
      <c r="S3619" s="10"/>
      <c r="T3619" s="10"/>
      <c r="U3619" s="10"/>
      <c r="V3619" s="10"/>
      <c r="W3619" s="138"/>
      <c r="Y3619"/>
      <c r="Z3619"/>
      <c r="AA3619"/>
      <c r="AB3619"/>
      <c r="AC3619"/>
      <c r="AD3619"/>
      <c r="AE3619"/>
      <c r="AF3619"/>
      <c r="AG3619"/>
      <c r="AH3619"/>
      <c r="AI3619"/>
      <c r="AJ3619"/>
      <c r="AK3619"/>
      <c r="AL3619"/>
      <c r="AM3619"/>
      <c r="AN3619"/>
      <c r="AO3619"/>
    </row>
    <row r="3620" spans="1:41" ht="15">
      <c r="A3620"/>
      <c r="B3620"/>
      <c r="C3620" s="137"/>
      <c r="D3620" s="30"/>
      <c r="E3620" s="30"/>
      <c r="F3620" s="10"/>
      <c r="G3620" s="10"/>
      <c r="H3620" s="15"/>
      <c r="I3620" s="15"/>
      <c r="J3620" s="15"/>
      <c r="K3620" s="15"/>
      <c r="L3620" s="15"/>
      <c r="M3620" s="15"/>
      <c r="N3620" s="15"/>
      <c r="O3620" s="15"/>
      <c r="P3620" s="15"/>
      <c r="Q3620" s="71"/>
      <c r="R3620" s="84"/>
      <c r="S3620" s="10"/>
      <c r="T3620" s="10"/>
      <c r="U3620" s="10"/>
      <c r="V3620" s="10"/>
      <c r="W3620" s="138"/>
      <c r="Y3620"/>
      <c r="Z3620"/>
      <c r="AA3620"/>
      <c r="AB3620"/>
      <c r="AC3620"/>
      <c r="AD3620"/>
      <c r="AE3620"/>
      <c r="AF3620"/>
      <c r="AG3620"/>
      <c r="AH3620"/>
      <c r="AI3620"/>
      <c r="AJ3620"/>
      <c r="AK3620"/>
      <c r="AL3620"/>
      <c r="AM3620"/>
      <c r="AN3620"/>
      <c r="AO3620"/>
    </row>
    <row r="3621" spans="1:41" ht="15">
      <c r="A3621"/>
      <c r="B3621"/>
      <c r="C3621" s="137"/>
      <c r="D3621" s="30"/>
      <c r="E3621" s="30"/>
      <c r="F3621" s="10"/>
      <c r="G3621" s="10"/>
      <c r="H3621" s="15"/>
      <c r="I3621" s="15"/>
      <c r="J3621" s="15"/>
      <c r="K3621" s="15"/>
      <c r="L3621" s="15"/>
      <c r="M3621" s="15"/>
      <c r="N3621" s="15"/>
      <c r="O3621" s="15"/>
      <c r="P3621" s="15"/>
      <c r="Q3621" s="71"/>
      <c r="R3621" s="84"/>
      <c r="S3621" s="10"/>
      <c r="T3621" s="10"/>
      <c r="U3621" s="10"/>
      <c r="V3621" s="10"/>
      <c r="W3621" s="138"/>
      <c r="Y3621"/>
      <c r="Z3621"/>
      <c r="AA3621"/>
      <c r="AB3621"/>
      <c r="AC3621"/>
      <c r="AD3621"/>
      <c r="AE3621"/>
      <c r="AF3621"/>
      <c r="AG3621"/>
      <c r="AH3621"/>
      <c r="AI3621"/>
      <c r="AJ3621"/>
      <c r="AK3621"/>
      <c r="AL3621"/>
      <c r="AM3621"/>
      <c r="AN3621"/>
      <c r="AO3621"/>
    </row>
    <row r="3622" spans="1:41" ht="15">
      <c r="A3622"/>
      <c r="B3622"/>
      <c r="C3622" s="137"/>
      <c r="D3622" s="30"/>
      <c r="E3622" s="30"/>
      <c r="F3622" s="10"/>
      <c r="G3622" s="10"/>
      <c r="H3622" s="15"/>
      <c r="I3622" s="15"/>
      <c r="J3622" s="15"/>
      <c r="K3622" s="15"/>
      <c r="L3622" s="15"/>
      <c r="M3622" s="15"/>
      <c r="N3622" s="15"/>
      <c r="O3622" s="15"/>
      <c r="P3622" s="15"/>
      <c r="Q3622" s="71"/>
      <c r="R3622" s="84"/>
      <c r="S3622" s="10"/>
      <c r="T3622" s="10"/>
      <c r="U3622" s="10"/>
      <c r="V3622" s="10"/>
      <c r="W3622" s="138"/>
      <c r="Y3622"/>
      <c r="Z3622"/>
      <c r="AA3622"/>
      <c r="AB3622"/>
      <c r="AC3622"/>
      <c r="AD3622"/>
      <c r="AE3622"/>
      <c r="AF3622"/>
      <c r="AG3622"/>
      <c r="AH3622"/>
      <c r="AI3622"/>
      <c r="AJ3622"/>
      <c r="AK3622"/>
      <c r="AL3622"/>
      <c r="AM3622"/>
      <c r="AN3622"/>
      <c r="AO3622"/>
    </row>
    <row r="3623" spans="1:41" ht="15">
      <c r="A3623"/>
      <c r="B3623"/>
      <c r="C3623" s="137"/>
      <c r="D3623" s="30"/>
      <c r="E3623" s="30"/>
      <c r="F3623" s="10"/>
      <c r="G3623" s="10"/>
      <c r="H3623" s="15"/>
      <c r="I3623" s="15"/>
      <c r="J3623" s="15"/>
      <c r="K3623" s="15"/>
      <c r="L3623" s="15"/>
      <c r="M3623" s="15"/>
      <c r="N3623" s="15"/>
      <c r="O3623" s="15"/>
      <c r="P3623" s="15"/>
      <c r="Q3623" s="71"/>
      <c r="R3623" s="84"/>
      <c r="S3623" s="10"/>
      <c r="T3623" s="10"/>
      <c r="U3623" s="10"/>
      <c r="V3623" s="10"/>
      <c r="W3623" s="138"/>
      <c r="Y3623"/>
      <c r="Z3623"/>
      <c r="AA3623"/>
      <c r="AB3623"/>
      <c r="AC3623"/>
      <c r="AD3623"/>
      <c r="AE3623"/>
      <c r="AF3623"/>
      <c r="AG3623"/>
      <c r="AH3623"/>
      <c r="AI3623"/>
      <c r="AJ3623"/>
      <c r="AK3623"/>
      <c r="AL3623"/>
      <c r="AM3623"/>
      <c r="AN3623"/>
      <c r="AO3623"/>
    </row>
    <row r="3624" spans="1:41" ht="15">
      <c r="A3624"/>
      <c r="B3624"/>
      <c r="C3624" s="137"/>
      <c r="D3624" s="30"/>
      <c r="E3624" s="30"/>
      <c r="F3624" s="10"/>
      <c r="G3624" s="10"/>
      <c r="H3624" s="15"/>
      <c r="I3624" s="15"/>
      <c r="J3624" s="15"/>
      <c r="K3624" s="15"/>
      <c r="L3624" s="15"/>
      <c r="M3624" s="15"/>
      <c r="N3624" s="15"/>
      <c r="O3624" s="15"/>
      <c r="P3624" s="15"/>
      <c r="Q3624" s="71"/>
      <c r="R3624" s="84"/>
      <c r="S3624" s="10"/>
      <c r="T3624" s="10"/>
      <c r="U3624" s="10"/>
      <c r="V3624" s="10"/>
      <c r="W3624" s="138"/>
      <c r="Y3624"/>
      <c r="Z3624"/>
      <c r="AA3624"/>
      <c r="AB3624"/>
      <c r="AC3624"/>
      <c r="AD3624"/>
      <c r="AE3624"/>
      <c r="AF3624"/>
      <c r="AG3624"/>
      <c r="AH3624"/>
      <c r="AI3624"/>
      <c r="AJ3624"/>
      <c r="AK3624"/>
      <c r="AL3624"/>
      <c r="AM3624"/>
      <c r="AN3624"/>
      <c r="AO3624"/>
    </row>
    <row r="3625" spans="1:41" ht="15">
      <c r="A3625"/>
      <c r="B3625"/>
      <c r="C3625" s="137"/>
      <c r="D3625" s="30"/>
      <c r="E3625" s="30"/>
      <c r="F3625" s="10"/>
      <c r="G3625" s="10"/>
      <c r="H3625" s="15"/>
      <c r="I3625" s="15"/>
      <c r="J3625" s="15"/>
      <c r="K3625" s="15"/>
      <c r="L3625" s="15"/>
      <c r="M3625" s="15"/>
      <c r="N3625" s="15"/>
      <c r="O3625" s="15"/>
      <c r="P3625" s="15"/>
      <c r="Q3625" s="71"/>
      <c r="R3625" s="84"/>
      <c r="S3625" s="10"/>
      <c r="T3625" s="10"/>
      <c r="U3625" s="10"/>
      <c r="V3625" s="10"/>
      <c r="W3625" s="138"/>
      <c r="Y3625"/>
      <c r="Z3625"/>
      <c r="AA3625"/>
      <c r="AB3625"/>
      <c r="AC3625"/>
      <c r="AD3625"/>
      <c r="AE3625"/>
      <c r="AF3625"/>
      <c r="AG3625"/>
      <c r="AH3625"/>
      <c r="AI3625"/>
      <c r="AJ3625"/>
      <c r="AK3625"/>
      <c r="AL3625"/>
      <c r="AM3625"/>
      <c r="AN3625"/>
      <c r="AO3625"/>
    </row>
    <row r="3626" spans="1:41" ht="15">
      <c r="A3626"/>
      <c r="B3626"/>
      <c r="C3626" s="137"/>
      <c r="D3626" s="30"/>
      <c r="E3626" s="30"/>
      <c r="F3626" s="10"/>
      <c r="G3626" s="10"/>
      <c r="H3626" s="15"/>
      <c r="I3626" s="15"/>
      <c r="J3626" s="15"/>
      <c r="K3626" s="15"/>
      <c r="L3626" s="15"/>
      <c r="M3626" s="15"/>
      <c r="N3626" s="15"/>
      <c r="O3626" s="15"/>
      <c r="P3626" s="15"/>
      <c r="Q3626" s="71"/>
      <c r="R3626" s="84"/>
      <c r="S3626" s="10"/>
      <c r="T3626" s="10"/>
      <c r="U3626" s="10"/>
      <c r="V3626" s="10"/>
      <c r="W3626" s="138"/>
      <c r="Y3626"/>
      <c r="Z3626"/>
      <c r="AA3626"/>
      <c r="AB3626"/>
      <c r="AC3626"/>
      <c r="AD3626"/>
      <c r="AE3626"/>
      <c r="AF3626"/>
      <c r="AG3626"/>
      <c r="AH3626"/>
      <c r="AI3626"/>
      <c r="AJ3626"/>
      <c r="AK3626"/>
      <c r="AL3626"/>
      <c r="AM3626"/>
      <c r="AN3626"/>
      <c r="AO3626"/>
    </row>
    <row r="3627" spans="1:41" ht="15">
      <c r="A3627"/>
      <c r="B3627"/>
      <c r="C3627" s="137"/>
      <c r="D3627" s="30"/>
      <c r="E3627" s="30"/>
      <c r="F3627" s="10"/>
      <c r="G3627" s="10"/>
      <c r="H3627" s="15"/>
      <c r="I3627" s="15"/>
      <c r="J3627" s="15"/>
      <c r="K3627" s="15"/>
      <c r="L3627" s="15"/>
      <c r="M3627" s="15"/>
      <c r="N3627" s="15"/>
      <c r="O3627" s="15"/>
      <c r="P3627" s="15"/>
      <c r="Q3627" s="71"/>
      <c r="R3627" s="84"/>
      <c r="S3627" s="10"/>
      <c r="T3627" s="10"/>
      <c r="U3627" s="10"/>
      <c r="V3627" s="10"/>
      <c r="W3627" s="138"/>
      <c r="Y3627"/>
      <c r="Z3627"/>
      <c r="AA3627"/>
      <c r="AB3627"/>
      <c r="AC3627"/>
      <c r="AD3627"/>
      <c r="AE3627"/>
      <c r="AF3627"/>
      <c r="AG3627"/>
      <c r="AH3627"/>
      <c r="AI3627"/>
      <c r="AJ3627"/>
      <c r="AK3627"/>
      <c r="AL3627"/>
      <c r="AM3627"/>
      <c r="AN3627"/>
      <c r="AO3627"/>
    </row>
    <row r="3628" spans="1:41" ht="15">
      <c r="A3628"/>
      <c r="B3628"/>
      <c r="C3628" s="137"/>
      <c r="D3628" s="30"/>
      <c r="E3628" s="30"/>
      <c r="F3628" s="10"/>
      <c r="G3628" s="10"/>
      <c r="H3628" s="15"/>
      <c r="I3628" s="15"/>
      <c r="J3628" s="15"/>
      <c r="K3628" s="15"/>
      <c r="L3628" s="15"/>
      <c r="M3628" s="15"/>
      <c r="N3628" s="15"/>
      <c r="O3628" s="15"/>
      <c r="P3628" s="15"/>
      <c r="Q3628" s="71"/>
      <c r="R3628" s="84"/>
      <c r="S3628" s="10"/>
      <c r="T3628" s="10"/>
      <c r="U3628" s="10"/>
      <c r="V3628" s="10"/>
      <c r="W3628" s="138"/>
      <c r="Y3628"/>
      <c r="Z3628"/>
      <c r="AA3628"/>
      <c r="AB3628"/>
      <c r="AC3628"/>
      <c r="AD3628"/>
      <c r="AE3628"/>
      <c r="AF3628"/>
      <c r="AG3628"/>
      <c r="AH3628"/>
      <c r="AI3628"/>
      <c r="AJ3628"/>
      <c r="AK3628"/>
      <c r="AL3628"/>
      <c r="AM3628"/>
      <c r="AN3628"/>
      <c r="AO3628"/>
    </row>
    <row r="3629" spans="1:41" ht="15">
      <c r="A3629"/>
      <c r="B3629"/>
      <c r="C3629" s="137"/>
      <c r="D3629" s="30"/>
      <c r="E3629" s="30"/>
      <c r="F3629" s="10"/>
      <c r="G3629" s="10"/>
      <c r="H3629" s="15"/>
      <c r="I3629" s="15"/>
      <c r="J3629" s="15"/>
      <c r="K3629" s="15"/>
      <c r="L3629" s="15"/>
      <c r="M3629" s="15"/>
      <c r="N3629" s="15"/>
      <c r="O3629" s="15"/>
      <c r="P3629" s="15"/>
      <c r="Q3629" s="71"/>
      <c r="R3629" s="84"/>
      <c r="S3629" s="10"/>
      <c r="T3629" s="10"/>
      <c r="U3629" s="10"/>
      <c r="V3629" s="10"/>
      <c r="W3629" s="138"/>
      <c r="Y3629"/>
      <c r="Z3629"/>
      <c r="AA3629"/>
      <c r="AB3629"/>
      <c r="AC3629"/>
      <c r="AD3629"/>
      <c r="AE3629"/>
      <c r="AF3629"/>
      <c r="AG3629"/>
      <c r="AH3629"/>
      <c r="AI3629"/>
      <c r="AJ3629"/>
      <c r="AK3629"/>
      <c r="AL3629"/>
      <c r="AM3629"/>
      <c r="AN3629"/>
      <c r="AO3629"/>
    </row>
    <row r="3630" spans="1:41" ht="15">
      <c r="A3630"/>
      <c r="B3630"/>
      <c r="C3630" s="137"/>
      <c r="D3630" s="30"/>
      <c r="E3630" s="30"/>
      <c r="F3630" s="10"/>
      <c r="G3630" s="10"/>
      <c r="H3630" s="15"/>
      <c r="I3630" s="15"/>
      <c r="J3630" s="15"/>
      <c r="K3630" s="15"/>
      <c r="L3630" s="15"/>
      <c r="M3630" s="15"/>
      <c r="N3630" s="15"/>
      <c r="O3630" s="15"/>
      <c r="P3630" s="15"/>
      <c r="Q3630" s="71"/>
      <c r="R3630" s="84"/>
      <c r="S3630" s="10"/>
      <c r="T3630" s="10"/>
      <c r="U3630" s="10"/>
      <c r="V3630" s="10"/>
      <c r="W3630" s="138"/>
      <c r="Y3630"/>
      <c r="Z3630"/>
      <c r="AA3630"/>
      <c r="AB3630"/>
      <c r="AC3630"/>
      <c r="AD3630"/>
      <c r="AE3630"/>
      <c r="AF3630"/>
      <c r="AG3630"/>
      <c r="AH3630"/>
      <c r="AI3630"/>
      <c r="AJ3630"/>
      <c r="AK3630"/>
      <c r="AL3630"/>
      <c r="AM3630"/>
      <c r="AN3630"/>
      <c r="AO3630"/>
    </row>
    <row r="3631" spans="1:41" ht="15">
      <c r="A3631"/>
      <c r="B3631"/>
      <c r="C3631" s="137"/>
      <c r="D3631" s="30"/>
      <c r="E3631" s="30"/>
      <c r="F3631" s="10"/>
      <c r="G3631" s="10"/>
      <c r="H3631" s="15"/>
      <c r="I3631" s="15"/>
      <c r="J3631" s="15"/>
      <c r="K3631" s="15"/>
      <c r="L3631" s="15"/>
      <c r="M3631" s="15"/>
      <c r="N3631" s="15"/>
      <c r="O3631" s="15"/>
      <c r="P3631" s="15"/>
      <c r="Q3631" s="71"/>
      <c r="R3631" s="84"/>
      <c r="S3631" s="10"/>
      <c r="T3631" s="10"/>
      <c r="U3631" s="10"/>
      <c r="V3631" s="10"/>
      <c r="W3631" s="138"/>
      <c r="Y3631"/>
      <c r="Z3631"/>
      <c r="AA3631"/>
      <c r="AB3631"/>
      <c r="AC3631"/>
      <c r="AD3631"/>
      <c r="AE3631"/>
      <c r="AF3631"/>
      <c r="AG3631"/>
      <c r="AH3631"/>
      <c r="AI3631"/>
      <c r="AJ3631"/>
      <c r="AK3631"/>
      <c r="AL3631"/>
      <c r="AM3631"/>
      <c r="AN3631"/>
      <c r="AO3631"/>
    </row>
    <row r="3632" spans="1:41" ht="15">
      <c r="A3632"/>
      <c r="B3632"/>
      <c r="C3632" s="137"/>
      <c r="D3632" s="30"/>
      <c r="E3632" s="30"/>
      <c r="F3632" s="10"/>
      <c r="G3632" s="10"/>
      <c r="H3632" s="15"/>
      <c r="I3632" s="15"/>
      <c r="J3632" s="15"/>
      <c r="K3632" s="15"/>
      <c r="L3632" s="15"/>
      <c r="M3632" s="15"/>
      <c r="N3632" s="15"/>
      <c r="O3632" s="15"/>
      <c r="P3632" s="15"/>
      <c r="Q3632" s="71"/>
      <c r="R3632" s="84"/>
      <c r="S3632" s="10"/>
      <c r="T3632" s="10"/>
      <c r="U3632" s="10"/>
      <c r="V3632" s="10"/>
      <c r="W3632" s="138"/>
      <c r="Y3632"/>
      <c r="Z3632"/>
      <c r="AA3632"/>
      <c r="AB3632"/>
      <c r="AC3632"/>
      <c r="AD3632"/>
      <c r="AE3632"/>
      <c r="AF3632"/>
      <c r="AG3632"/>
      <c r="AH3632"/>
      <c r="AI3632"/>
      <c r="AJ3632"/>
      <c r="AK3632"/>
      <c r="AL3632"/>
      <c r="AM3632"/>
      <c r="AN3632"/>
      <c r="AO3632"/>
    </row>
    <row r="3633" spans="1:41" ht="15">
      <c r="A3633"/>
      <c r="B3633"/>
      <c r="C3633" s="137"/>
      <c r="D3633" s="30"/>
      <c r="E3633" s="30"/>
      <c r="F3633" s="10"/>
      <c r="G3633" s="10"/>
      <c r="H3633" s="15"/>
      <c r="I3633" s="15"/>
      <c r="J3633" s="15"/>
      <c r="K3633" s="15"/>
      <c r="L3633" s="15"/>
      <c r="M3633" s="15"/>
      <c r="N3633" s="15"/>
      <c r="O3633" s="15"/>
      <c r="P3633" s="15"/>
      <c r="Q3633" s="71"/>
      <c r="R3633" s="84"/>
      <c r="S3633" s="10"/>
      <c r="T3633" s="10"/>
      <c r="U3633" s="10"/>
      <c r="V3633" s="10"/>
      <c r="W3633" s="138"/>
      <c r="Y3633"/>
      <c r="Z3633"/>
      <c r="AA3633"/>
      <c r="AB3633"/>
      <c r="AC3633"/>
      <c r="AD3633"/>
      <c r="AE3633"/>
      <c r="AF3633"/>
      <c r="AG3633"/>
      <c r="AH3633"/>
      <c r="AI3633"/>
      <c r="AJ3633"/>
      <c r="AK3633"/>
      <c r="AL3633"/>
      <c r="AM3633"/>
      <c r="AN3633"/>
      <c r="AO3633"/>
    </row>
    <row r="3634" spans="1:41" ht="15">
      <c r="A3634"/>
      <c r="B3634"/>
      <c r="C3634" s="137"/>
      <c r="D3634" s="30"/>
      <c r="E3634" s="30"/>
      <c r="F3634" s="10"/>
      <c r="G3634" s="10"/>
      <c r="H3634" s="15"/>
      <c r="I3634" s="15"/>
      <c r="J3634" s="15"/>
      <c r="K3634" s="15"/>
      <c r="L3634" s="15"/>
      <c r="M3634" s="15"/>
      <c r="N3634" s="15"/>
      <c r="O3634" s="15"/>
      <c r="P3634" s="15"/>
      <c r="Q3634" s="71"/>
      <c r="R3634" s="84"/>
      <c r="S3634" s="10"/>
      <c r="T3634" s="10"/>
      <c r="U3634" s="10"/>
      <c r="V3634" s="10"/>
      <c r="W3634" s="138"/>
      <c r="Y3634"/>
      <c r="Z3634"/>
      <c r="AA3634"/>
      <c r="AB3634"/>
      <c r="AC3634"/>
      <c r="AD3634"/>
      <c r="AE3634"/>
      <c r="AF3634"/>
      <c r="AG3634"/>
      <c r="AH3634"/>
      <c r="AI3634"/>
      <c r="AJ3634"/>
      <c r="AK3634"/>
      <c r="AL3634"/>
      <c r="AM3634"/>
      <c r="AN3634"/>
      <c r="AO3634"/>
    </row>
    <row r="3635" spans="1:41" ht="15">
      <c r="A3635"/>
      <c r="B3635"/>
      <c r="C3635" s="137"/>
      <c r="D3635" s="30"/>
      <c r="E3635" s="30"/>
      <c r="F3635" s="10"/>
      <c r="G3635" s="10"/>
      <c r="H3635" s="15"/>
      <c r="I3635" s="15"/>
      <c r="J3635" s="15"/>
      <c r="K3635" s="15"/>
      <c r="L3635" s="15"/>
      <c r="M3635" s="15"/>
      <c r="N3635" s="15"/>
      <c r="O3635" s="15"/>
      <c r="P3635" s="15"/>
      <c r="Q3635" s="71"/>
      <c r="R3635" s="84"/>
      <c r="S3635" s="10"/>
      <c r="T3635" s="10"/>
      <c r="U3635" s="10"/>
      <c r="V3635" s="10"/>
      <c r="W3635" s="138"/>
      <c r="Y3635"/>
      <c r="Z3635"/>
      <c r="AA3635"/>
      <c r="AB3635"/>
      <c r="AC3635"/>
      <c r="AD3635"/>
      <c r="AE3635"/>
      <c r="AF3635"/>
      <c r="AG3635"/>
      <c r="AH3635"/>
      <c r="AI3635"/>
      <c r="AJ3635"/>
      <c r="AK3635"/>
      <c r="AL3635"/>
      <c r="AM3635"/>
      <c r="AN3635"/>
      <c r="AO3635"/>
    </row>
    <row r="3636" spans="1:41" ht="15">
      <c r="A3636"/>
      <c r="B3636"/>
      <c r="C3636" s="137"/>
      <c r="D3636" s="30"/>
      <c r="E3636" s="30"/>
      <c r="F3636" s="10"/>
      <c r="G3636" s="10"/>
      <c r="H3636" s="15"/>
      <c r="I3636" s="15"/>
      <c r="J3636" s="15"/>
      <c r="K3636" s="15"/>
      <c r="L3636" s="15"/>
      <c r="M3636" s="15"/>
      <c r="N3636" s="15"/>
      <c r="O3636" s="15"/>
      <c r="P3636" s="15"/>
      <c r="Q3636" s="71"/>
      <c r="R3636" s="84"/>
      <c r="S3636" s="10"/>
      <c r="T3636" s="10"/>
      <c r="U3636" s="10"/>
      <c r="V3636" s="10"/>
      <c r="W3636" s="138"/>
      <c r="Y3636"/>
      <c r="Z3636"/>
      <c r="AA3636"/>
      <c r="AB3636"/>
      <c r="AC3636"/>
      <c r="AD3636"/>
      <c r="AE3636"/>
      <c r="AF3636"/>
      <c r="AG3636"/>
      <c r="AH3636"/>
      <c r="AI3636"/>
      <c r="AJ3636"/>
      <c r="AK3636"/>
      <c r="AL3636"/>
      <c r="AM3636"/>
      <c r="AN3636"/>
      <c r="AO3636"/>
    </row>
    <row r="3637" spans="1:41" ht="15">
      <c r="A3637"/>
      <c r="B3637"/>
      <c r="C3637" s="137"/>
      <c r="D3637" s="30"/>
      <c r="E3637" s="30"/>
      <c r="F3637" s="10"/>
      <c r="G3637" s="10"/>
      <c r="H3637" s="15"/>
      <c r="I3637" s="15"/>
      <c r="J3637" s="15"/>
      <c r="K3637" s="15"/>
      <c r="L3637" s="15"/>
      <c r="M3637" s="15"/>
      <c r="N3637" s="15"/>
      <c r="O3637" s="15"/>
      <c r="P3637" s="15"/>
      <c r="Q3637" s="71"/>
      <c r="R3637" s="84"/>
      <c r="S3637" s="10"/>
      <c r="T3637" s="10"/>
      <c r="U3637" s="10"/>
      <c r="V3637" s="10"/>
      <c r="W3637" s="138"/>
      <c r="Y3637"/>
      <c r="Z3637"/>
      <c r="AA3637"/>
      <c r="AB3637"/>
      <c r="AC3637"/>
      <c r="AD3637"/>
      <c r="AE3637"/>
      <c r="AF3637"/>
      <c r="AG3637"/>
      <c r="AH3637"/>
      <c r="AI3637"/>
      <c r="AJ3637"/>
      <c r="AK3637"/>
      <c r="AL3637"/>
      <c r="AM3637"/>
      <c r="AN3637"/>
      <c r="AO3637"/>
    </row>
    <row r="3638" spans="1:41" ht="15">
      <c r="A3638"/>
      <c r="B3638"/>
      <c r="C3638" s="137"/>
      <c r="D3638" s="30"/>
      <c r="E3638" s="30"/>
      <c r="F3638" s="10"/>
      <c r="G3638" s="10"/>
      <c r="H3638" s="15"/>
      <c r="I3638" s="15"/>
      <c r="J3638" s="15"/>
      <c r="K3638" s="15"/>
      <c r="L3638" s="15"/>
      <c r="M3638" s="15"/>
      <c r="N3638" s="15"/>
      <c r="O3638" s="15"/>
      <c r="P3638" s="15"/>
      <c r="Q3638" s="71"/>
      <c r="R3638" s="84"/>
      <c r="S3638" s="10"/>
      <c r="T3638" s="10"/>
      <c r="U3638" s="10"/>
      <c r="V3638" s="10"/>
      <c r="W3638" s="138"/>
      <c r="Y3638"/>
      <c r="Z3638"/>
      <c r="AA3638"/>
      <c r="AB3638"/>
      <c r="AC3638"/>
      <c r="AD3638"/>
      <c r="AE3638"/>
      <c r="AF3638"/>
      <c r="AG3638"/>
      <c r="AH3638"/>
      <c r="AI3638"/>
      <c r="AJ3638"/>
      <c r="AK3638"/>
      <c r="AL3638"/>
      <c r="AM3638"/>
      <c r="AN3638"/>
      <c r="AO3638"/>
    </row>
    <row r="3639" spans="1:41" ht="15">
      <c r="A3639"/>
      <c r="B3639"/>
      <c r="C3639" s="137"/>
      <c r="D3639" s="30"/>
      <c r="E3639" s="30"/>
      <c r="F3639" s="10"/>
      <c r="G3639" s="10"/>
      <c r="H3639" s="15"/>
      <c r="I3639" s="15"/>
      <c r="J3639" s="15"/>
      <c r="K3639" s="15"/>
      <c r="L3639" s="15"/>
      <c r="M3639" s="15"/>
      <c r="N3639" s="15"/>
      <c r="O3639" s="15"/>
      <c r="P3639" s="15"/>
      <c r="Q3639" s="71"/>
      <c r="R3639" s="84"/>
      <c r="S3639" s="10"/>
      <c r="T3639" s="10"/>
      <c r="U3639" s="10"/>
      <c r="V3639" s="10"/>
      <c r="W3639" s="138"/>
      <c r="Y3639"/>
      <c r="Z3639"/>
      <c r="AA3639"/>
      <c r="AB3639"/>
      <c r="AC3639"/>
      <c r="AD3639"/>
      <c r="AE3639"/>
      <c r="AF3639"/>
      <c r="AG3639"/>
      <c r="AH3639"/>
      <c r="AI3639"/>
      <c r="AJ3639"/>
      <c r="AK3639"/>
      <c r="AL3639"/>
      <c r="AM3639"/>
      <c r="AN3639"/>
      <c r="AO3639"/>
    </row>
    <row r="3640" spans="1:41" ht="15">
      <c r="A3640"/>
      <c r="B3640"/>
      <c r="C3640" s="137"/>
      <c r="D3640" s="30"/>
      <c r="E3640" s="30"/>
      <c r="F3640" s="10"/>
      <c r="G3640" s="10"/>
      <c r="H3640" s="15"/>
      <c r="I3640" s="15"/>
      <c r="J3640" s="15"/>
      <c r="K3640" s="15"/>
      <c r="L3640" s="15"/>
      <c r="M3640" s="15"/>
      <c r="N3640" s="15"/>
      <c r="O3640" s="15"/>
      <c r="P3640" s="15"/>
      <c r="Q3640" s="71"/>
      <c r="R3640" s="84"/>
      <c r="S3640" s="10"/>
      <c r="T3640" s="10"/>
      <c r="U3640" s="10"/>
      <c r="V3640" s="10"/>
      <c r="W3640" s="138"/>
      <c r="Y3640"/>
      <c r="Z3640"/>
      <c r="AA3640"/>
      <c r="AB3640"/>
      <c r="AC3640"/>
      <c r="AD3640"/>
      <c r="AE3640"/>
      <c r="AF3640"/>
      <c r="AG3640"/>
      <c r="AH3640"/>
      <c r="AI3640"/>
      <c r="AJ3640"/>
      <c r="AK3640"/>
      <c r="AL3640"/>
      <c r="AM3640"/>
      <c r="AN3640"/>
      <c r="AO3640"/>
    </row>
    <row r="3641" spans="1:41" ht="15">
      <c r="A3641"/>
      <c r="B3641"/>
      <c r="C3641" s="137"/>
      <c r="D3641" s="30"/>
      <c r="E3641" s="30"/>
      <c r="F3641" s="10"/>
      <c r="G3641" s="10"/>
      <c r="H3641" s="15"/>
      <c r="I3641" s="15"/>
      <c r="J3641" s="15"/>
      <c r="K3641" s="15"/>
      <c r="L3641" s="15"/>
      <c r="M3641" s="15"/>
      <c r="N3641" s="15"/>
      <c r="O3641" s="15"/>
      <c r="P3641" s="15"/>
      <c r="Q3641" s="71"/>
      <c r="R3641" s="84"/>
      <c r="S3641" s="10"/>
      <c r="T3641" s="10"/>
      <c r="U3641" s="10"/>
      <c r="V3641" s="10"/>
      <c r="W3641" s="138"/>
      <c r="Y3641"/>
      <c r="Z3641"/>
      <c r="AA3641"/>
      <c r="AB3641"/>
      <c r="AC3641"/>
      <c r="AD3641"/>
      <c r="AE3641"/>
      <c r="AF3641"/>
      <c r="AG3641"/>
      <c r="AH3641"/>
      <c r="AI3641"/>
      <c r="AJ3641"/>
      <c r="AK3641"/>
      <c r="AL3641"/>
      <c r="AM3641"/>
      <c r="AN3641"/>
      <c r="AO3641"/>
    </row>
    <row r="3642" spans="1:41" ht="15">
      <c r="A3642"/>
      <c r="B3642"/>
      <c r="C3642" s="137"/>
      <c r="D3642" s="30"/>
      <c r="E3642" s="30"/>
      <c r="F3642" s="10"/>
      <c r="G3642" s="10"/>
      <c r="H3642" s="15"/>
      <c r="I3642" s="15"/>
      <c r="J3642" s="15"/>
      <c r="K3642" s="15"/>
      <c r="L3642" s="15"/>
      <c r="M3642" s="15"/>
      <c r="N3642" s="15"/>
      <c r="O3642" s="15"/>
      <c r="P3642" s="15"/>
      <c r="Q3642" s="71"/>
      <c r="R3642" s="84"/>
      <c r="S3642" s="10"/>
      <c r="T3642" s="10"/>
      <c r="U3642" s="10"/>
      <c r="V3642" s="10"/>
      <c r="W3642" s="138"/>
      <c r="Y3642"/>
      <c r="Z3642"/>
      <c r="AA3642"/>
      <c r="AB3642"/>
      <c r="AC3642"/>
      <c r="AD3642"/>
      <c r="AE3642"/>
      <c r="AF3642"/>
      <c r="AG3642"/>
      <c r="AH3642"/>
      <c r="AI3642"/>
      <c r="AJ3642"/>
      <c r="AK3642"/>
      <c r="AL3642"/>
      <c r="AM3642"/>
      <c r="AN3642"/>
      <c r="AO3642"/>
    </row>
    <row r="3643" spans="1:41" ht="15">
      <c r="A3643"/>
      <c r="B3643"/>
      <c r="C3643" s="137"/>
      <c r="D3643" s="30"/>
      <c r="E3643" s="30"/>
      <c r="F3643" s="10"/>
      <c r="G3643" s="10"/>
      <c r="H3643" s="15"/>
      <c r="I3643" s="15"/>
      <c r="J3643" s="15"/>
      <c r="K3643" s="15"/>
      <c r="L3643" s="15"/>
      <c r="M3643" s="15"/>
      <c r="N3643" s="15"/>
      <c r="O3643" s="15"/>
      <c r="P3643" s="15"/>
      <c r="Q3643" s="71"/>
      <c r="R3643" s="84"/>
      <c r="S3643" s="10"/>
      <c r="T3643" s="10"/>
      <c r="U3643" s="10"/>
      <c r="V3643" s="10"/>
      <c r="W3643" s="138"/>
      <c r="Y3643"/>
      <c r="Z3643"/>
      <c r="AA3643"/>
      <c r="AB3643"/>
      <c r="AC3643"/>
      <c r="AD3643"/>
      <c r="AE3643"/>
      <c r="AF3643"/>
      <c r="AG3643"/>
      <c r="AH3643"/>
      <c r="AI3643"/>
      <c r="AJ3643"/>
      <c r="AK3643"/>
      <c r="AL3643"/>
      <c r="AM3643"/>
      <c r="AN3643"/>
      <c r="AO3643"/>
    </row>
    <row r="3644" spans="1:41" ht="15">
      <c r="A3644"/>
      <c r="B3644"/>
      <c r="C3644" s="137"/>
      <c r="D3644" s="30"/>
      <c r="E3644" s="30"/>
      <c r="F3644" s="10"/>
      <c r="G3644" s="10"/>
      <c r="H3644" s="15"/>
      <c r="I3644" s="15"/>
      <c r="J3644" s="15"/>
      <c r="K3644" s="15"/>
      <c r="L3644" s="15"/>
      <c r="M3644" s="15"/>
      <c r="N3644" s="15"/>
      <c r="O3644" s="15"/>
      <c r="P3644" s="15"/>
      <c r="Q3644" s="71"/>
      <c r="R3644" s="84"/>
      <c r="S3644" s="10"/>
      <c r="T3644" s="10"/>
      <c r="U3644" s="10"/>
      <c r="V3644" s="10"/>
      <c r="W3644" s="138"/>
      <c r="Y3644"/>
      <c r="Z3644"/>
      <c r="AA3644"/>
      <c r="AB3644"/>
      <c r="AC3644"/>
      <c r="AD3644"/>
      <c r="AE3644"/>
      <c r="AF3644"/>
      <c r="AG3644"/>
      <c r="AH3644"/>
      <c r="AI3644"/>
      <c r="AJ3644"/>
      <c r="AK3644"/>
      <c r="AL3644"/>
      <c r="AM3644"/>
      <c r="AN3644"/>
      <c r="AO3644"/>
    </row>
    <row r="3645" spans="1:41" ht="15">
      <c r="A3645"/>
      <c r="B3645"/>
      <c r="C3645" s="137"/>
      <c r="D3645" s="30"/>
      <c r="E3645" s="30"/>
      <c r="F3645" s="10"/>
      <c r="G3645" s="10"/>
      <c r="H3645" s="15"/>
      <c r="I3645" s="15"/>
      <c r="J3645" s="15"/>
      <c r="K3645" s="15"/>
      <c r="L3645" s="15"/>
      <c r="M3645" s="15"/>
      <c r="N3645" s="15"/>
      <c r="O3645" s="15"/>
      <c r="P3645" s="15"/>
      <c r="Q3645" s="71"/>
      <c r="R3645" s="84"/>
      <c r="S3645" s="10"/>
      <c r="T3645" s="10"/>
      <c r="U3645" s="10"/>
      <c r="V3645" s="10"/>
      <c r="W3645" s="138"/>
      <c r="Y3645"/>
      <c r="Z3645"/>
      <c r="AA3645"/>
      <c r="AB3645"/>
      <c r="AC3645"/>
      <c r="AD3645"/>
      <c r="AE3645"/>
      <c r="AF3645"/>
      <c r="AG3645"/>
      <c r="AH3645"/>
      <c r="AI3645"/>
      <c r="AJ3645"/>
      <c r="AK3645"/>
      <c r="AL3645"/>
      <c r="AM3645"/>
      <c r="AN3645"/>
      <c r="AO3645"/>
    </row>
    <row r="3646" spans="1:41" ht="15">
      <c r="A3646"/>
      <c r="B3646"/>
      <c r="C3646" s="137"/>
      <c r="D3646" s="30"/>
      <c r="E3646" s="30"/>
      <c r="F3646" s="10"/>
      <c r="G3646" s="10"/>
      <c r="H3646" s="15"/>
      <c r="I3646" s="15"/>
      <c r="J3646" s="15"/>
      <c r="K3646" s="15"/>
      <c r="L3646" s="15"/>
      <c r="M3646" s="15"/>
      <c r="N3646" s="15"/>
      <c r="O3646" s="15"/>
      <c r="P3646" s="15"/>
      <c r="Q3646" s="71"/>
      <c r="R3646" s="84"/>
      <c r="S3646" s="10"/>
      <c r="T3646" s="10"/>
      <c r="U3646" s="10"/>
      <c r="V3646" s="10"/>
      <c r="W3646" s="138"/>
      <c r="Y3646"/>
      <c r="Z3646"/>
      <c r="AA3646"/>
      <c r="AB3646"/>
      <c r="AC3646"/>
      <c r="AD3646"/>
      <c r="AE3646"/>
      <c r="AF3646"/>
      <c r="AG3646"/>
      <c r="AH3646"/>
      <c r="AI3646"/>
      <c r="AJ3646"/>
      <c r="AK3646"/>
      <c r="AL3646"/>
      <c r="AM3646"/>
      <c r="AN3646"/>
      <c r="AO3646"/>
    </row>
    <row r="3647" spans="1:41" ht="15">
      <c r="A3647"/>
      <c r="B3647"/>
      <c r="C3647" s="137"/>
      <c r="D3647" s="30"/>
      <c r="E3647" s="30"/>
      <c r="F3647" s="10"/>
      <c r="G3647" s="10"/>
      <c r="H3647" s="15"/>
      <c r="I3647" s="15"/>
      <c r="J3647" s="15"/>
      <c r="K3647" s="15"/>
      <c r="L3647" s="15"/>
      <c r="M3647" s="15"/>
      <c r="N3647" s="15"/>
      <c r="O3647" s="15"/>
      <c r="P3647" s="15"/>
      <c r="Q3647" s="71"/>
      <c r="R3647" s="84"/>
      <c r="S3647" s="10"/>
      <c r="T3647" s="10"/>
      <c r="U3647" s="10"/>
      <c r="V3647" s="10"/>
      <c r="W3647" s="138"/>
      <c r="Y3647"/>
      <c r="Z3647"/>
      <c r="AA3647"/>
      <c r="AB3647"/>
      <c r="AC3647"/>
      <c r="AD3647"/>
      <c r="AE3647"/>
      <c r="AF3647"/>
      <c r="AG3647"/>
      <c r="AH3647"/>
      <c r="AI3647"/>
      <c r="AJ3647"/>
      <c r="AK3647"/>
      <c r="AL3647"/>
      <c r="AM3647"/>
      <c r="AN3647"/>
      <c r="AO3647"/>
    </row>
    <row r="3648" spans="1:41" ht="15">
      <c r="A3648"/>
      <c r="B3648"/>
      <c r="C3648" s="137"/>
      <c r="D3648" s="30"/>
      <c r="E3648" s="30"/>
      <c r="F3648" s="10"/>
      <c r="G3648" s="10"/>
      <c r="H3648" s="15"/>
      <c r="I3648" s="15"/>
      <c r="J3648" s="15"/>
      <c r="K3648" s="15"/>
      <c r="L3648" s="15"/>
      <c r="M3648" s="15"/>
      <c r="N3648" s="15"/>
      <c r="O3648" s="15"/>
      <c r="P3648" s="15"/>
      <c r="Q3648" s="71"/>
      <c r="R3648" s="84"/>
      <c r="S3648" s="10"/>
      <c r="T3648" s="10"/>
      <c r="U3648" s="10"/>
      <c r="V3648" s="10"/>
      <c r="W3648" s="138"/>
      <c r="Y3648"/>
      <c r="Z3648"/>
      <c r="AA3648"/>
      <c r="AB3648"/>
      <c r="AC3648"/>
      <c r="AD3648"/>
      <c r="AE3648"/>
      <c r="AF3648"/>
      <c r="AG3648"/>
      <c r="AH3648"/>
      <c r="AI3648"/>
      <c r="AJ3648"/>
      <c r="AK3648"/>
      <c r="AL3648"/>
      <c r="AM3648"/>
      <c r="AN3648"/>
      <c r="AO3648"/>
    </row>
    <row r="3649" spans="1:41" ht="15">
      <c r="A3649"/>
      <c r="B3649"/>
      <c r="C3649" s="137"/>
      <c r="D3649" s="30"/>
      <c r="E3649" s="30"/>
      <c r="F3649" s="10"/>
      <c r="G3649" s="10"/>
      <c r="H3649" s="15"/>
      <c r="I3649" s="15"/>
      <c r="J3649" s="15"/>
      <c r="K3649" s="15"/>
      <c r="L3649" s="15"/>
      <c r="M3649" s="15"/>
      <c r="N3649" s="15"/>
      <c r="O3649" s="15"/>
      <c r="P3649" s="15"/>
      <c r="Q3649" s="71"/>
      <c r="R3649" s="84"/>
      <c r="S3649" s="10"/>
      <c r="T3649" s="10"/>
      <c r="U3649" s="10"/>
      <c r="V3649" s="10"/>
      <c r="W3649" s="138"/>
      <c r="Y3649"/>
      <c r="Z3649"/>
      <c r="AA3649"/>
      <c r="AB3649"/>
      <c r="AC3649"/>
      <c r="AD3649"/>
      <c r="AE3649"/>
      <c r="AF3649"/>
      <c r="AG3649"/>
      <c r="AH3649"/>
      <c r="AI3649"/>
      <c r="AJ3649"/>
      <c r="AK3649"/>
      <c r="AL3649"/>
      <c r="AM3649"/>
      <c r="AN3649"/>
      <c r="AO3649"/>
    </row>
    <row r="3650" spans="1:41" ht="15">
      <c r="A3650"/>
      <c r="B3650"/>
      <c r="C3650" s="137"/>
      <c r="D3650" s="30"/>
      <c r="E3650" s="30"/>
      <c r="F3650" s="10"/>
      <c r="G3650" s="10"/>
      <c r="H3650" s="15"/>
      <c r="I3650" s="15"/>
      <c r="J3650" s="15"/>
      <c r="K3650" s="15"/>
      <c r="L3650" s="15"/>
      <c r="M3650" s="15"/>
      <c r="N3650" s="15"/>
      <c r="O3650" s="15"/>
      <c r="P3650" s="15"/>
      <c r="Q3650" s="71"/>
      <c r="R3650" s="84"/>
      <c r="S3650" s="10"/>
      <c r="T3650" s="10"/>
      <c r="U3650" s="10"/>
      <c r="V3650" s="10"/>
      <c r="W3650" s="138"/>
      <c r="Y3650"/>
      <c r="Z3650"/>
      <c r="AA3650"/>
      <c r="AB3650"/>
      <c r="AC3650"/>
      <c r="AD3650"/>
      <c r="AE3650"/>
      <c r="AF3650"/>
      <c r="AG3650"/>
      <c r="AH3650"/>
      <c r="AI3650"/>
      <c r="AJ3650"/>
      <c r="AK3650"/>
      <c r="AL3650"/>
      <c r="AM3650"/>
      <c r="AN3650"/>
      <c r="AO3650"/>
    </row>
    <row r="3651" spans="1:41" ht="15">
      <c r="A3651"/>
      <c r="B3651"/>
      <c r="C3651" s="137"/>
      <c r="D3651" s="30"/>
      <c r="E3651" s="30"/>
      <c r="F3651" s="10"/>
      <c r="G3651" s="10"/>
      <c r="H3651" s="15"/>
      <c r="I3651" s="15"/>
      <c r="J3651" s="15"/>
      <c r="K3651" s="15"/>
      <c r="L3651" s="15"/>
      <c r="M3651" s="15"/>
      <c r="N3651" s="15"/>
      <c r="O3651" s="15"/>
      <c r="P3651" s="15"/>
      <c r="Q3651" s="71"/>
      <c r="R3651" s="84"/>
      <c r="S3651" s="10"/>
      <c r="T3651" s="10"/>
      <c r="U3651" s="10"/>
      <c r="V3651" s="10"/>
      <c r="W3651" s="138"/>
      <c r="Y3651"/>
      <c r="Z3651"/>
      <c r="AA3651"/>
      <c r="AB3651"/>
      <c r="AC3651"/>
      <c r="AD3651"/>
      <c r="AE3651"/>
      <c r="AF3651"/>
      <c r="AG3651"/>
      <c r="AH3651"/>
      <c r="AI3651"/>
      <c r="AJ3651"/>
      <c r="AK3651"/>
      <c r="AL3651"/>
      <c r="AM3651"/>
      <c r="AN3651"/>
      <c r="AO3651"/>
    </row>
    <row r="3652" spans="1:41" ht="15">
      <c r="A3652"/>
      <c r="B3652"/>
      <c r="C3652" s="137"/>
      <c r="D3652" s="30"/>
      <c r="E3652" s="30"/>
      <c r="F3652" s="10"/>
      <c r="G3652" s="10"/>
      <c r="H3652" s="15"/>
      <c r="I3652" s="15"/>
      <c r="J3652" s="15"/>
      <c r="K3652" s="15"/>
      <c r="L3652" s="15"/>
      <c r="M3652" s="15"/>
      <c r="N3652" s="15"/>
      <c r="O3652" s="15"/>
      <c r="P3652" s="15"/>
      <c r="Q3652" s="71"/>
      <c r="R3652" s="84"/>
      <c r="S3652" s="10"/>
      <c r="T3652" s="10"/>
      <c r="U3652" s="10"/>
      <c r="V3652" s="10"/>
      <c r="W3652" s="138"/>
      <c r="Y3652"/>
      <c r="Z3652"/>
      <c r="AA3652"/>
      <c r="AB3652"/>
      <c r="AC3652"/>
      <c r="AD3652"/>
      <c r="AE3652"/>
      <c r="AF3652"/>
      <c r="AG3652"/>
      <c r="AH3652"/>
      <c r="AI3652"/>
      <c r="AJ3652"/>
      <c r="AK3652"/>
      <c r="AL3652"/>
      <c r="AM3652"/>
      <c r="AN3652"/>
      <c r="AO3652"/>
    </row>
    <row r="3653" spans="1:41" ht="15">
      <c r="A3653"/>
      <c r="B3653"/>
      <c r="C3653" s="137"/>
      <c r="D3653" s="30"/>
      <c r="E3653" s="30"/>
      <c r="F3653" s="10"/>
      <c r="G3653" s="10"/>
      <c r="H3653" s="15"/>
      <c r="I3653" s="15"/>
      <c r="J3653" s="15"/>
      <c r="K3653" s="15"/>
      <c r="L3653" s="15"/>
      <c r="M3653" s="15"/>
      <c r="N3653" s="15"/>
      <c r="O3653" s="15"/>
      <c r="P3653" s="15"/>
      <c r="Q3653" s="71"/>
      <c r="R3653" s="84"/>
      <c r="S3653" s="10"/>
      <c r="T3653" s="10"/>
      <c r="U3653" s="10"/>
      <c r="V3653" s="10"/>
      <c r="W3653" s="138"/>
      <c r="Y3653"/>
      <c r="Z3653"/>
      <c r="AA3653"/>
      <c r="AB3653"/>
      <c r="AC3653"/>
      <c r="AD3653"/>
      <c r="AE3653"/>
      <c r="AF3653"/>
      <c r="AG3653"/>
      <c r="AH3653"/>
      <c r="AI3653"/>
      <c r="AJ3653"/>
      <c r="AK3653"/>
      <c r="AL3653"/>
      <c r="AM3653"/>
      <c r="AN3653"/>
      <c r="AO3653"/>
    </row>
    <row r="3654" spans="1:41" ht="15">
      <c r="A3654"/>
      <c r="B3654"/>
      <c r="C3654" s="137"/>
      <c r="D3654" s="30"/>
      <c r="E3654" s="30"/>
      <c r="F3654" s="10"/>
      <c r="G3654" s="10"/>
      <c r="H3654" s="15"/>
      <c r="I3654" s="15"/>
      <c r="J3654" s="15"/>
      <c r="K3654" s="15"/>
      <c r="L3654" s="15"/>
      <c r="M3654" s="15"/>
      <c r="N3654" s="15"/>
      <c r="O3654" s="15"/>
      <c r="P3654" s="15"/>
      <c r="Q3654" s="71"/>
      <c r="R3654" s="84"/>
      <c r="S3654" s="10"/>
      <c r="T3654" s="10"/>
      <c r="U3654" s="10"/>
      <c r="V3654" s="10"/>
      <c r="W3654" s="138"/>
      <c r="Y3654"/>
      <c r="Z3654"/>
      <c r="AA3654"/>
      <c r="AB3654"/>
      <c r="AC3654"/>
      <c r="AD3654"/>
      <c r="AE3654"/>
      <c r="AF3654"/>
      <c r="AG3654"/>
      <c r="AH3654"/>
      <c r="AI3654"/>
      <c r="AJ3654"/>
      <c r="AK3654"/>
      <c r="AL3654"/>
      <c r="AM3654"/>
      <c r="AN3654"/>
      <c r="AO3654"/>
    </row>
    <row r="3655" spans="1:41" ht="15">
      <c r="A3655"/>
      <c r="B3655"/>
      <c r="C3655" s="137"/>
      <c r="D3655" s="30"/>
      <c r="E3655" s="30"/>
      <c r="F3655" s="10"/>
      <c r="G3655" s="10"/>
      <c r="H3655" s="15"/>
      <c r="I3655" s="15"/>
      <c r="J3655" s="15"/>
      <c r="K3655" s="15"/>
      <c r="L3655" s="15"/>
      <c r="M3655" s="15"/>
      <c r="N3655" s="15"/>
      <c r="O3655" s="15"/>
      <c r="P3655" s="15"/>
      <c r="Q3655" s="71"/>
      <c r="R3655" s="84"/>
      <c r="S3655" s="10"/>
      <c r="T3655" s="10"/>
      <c r="U3655" s="10"/>
      <c r="V3655" s="10"/>
      <c r="W3655" s="138"/>
      <c r="Y3655"/>
      <c r="Z3655"/>
      <c r="AA3655"/>
      <c r="AB3655"/>
      <c r="AC3655"/>
      <c r="AD3655"/>
      <c r="AE3655"/>
      <c r="AF3655"/>
      <c r="AG3655"/>
      <c r="AH3655"/>
      <c r="AI3655"/>
      <c r="AJ3655"/>
      <c r="AK3655"/>
      <c r="AL3655"/>
      <c r="AM3655"/>
      <c r="AN3655"/>
      <c r="AO3655"/>
    </row>
    <row r="3656" spans="1:41" ht="15">
      <c r="A3656"/>
      <c r="B3656"/>
      <c r="C3656" s="137"/>
      <c r="D3656" s="30"/>
      <c r="E3656" s="30"/>
      <c r="F3656" s="10"/>
      <c r="G3656" s="10"/>
      <c r="H3656" s="15"/>
      <c r="I3656" s="15"/>
      <c r="J3656" s="15"/>
      <c r="K3656" s="15"/>
      <c r="L3656" s="15"/>
      <c r="M3656" s="15"/>
      <c r="N3656" s="15"/>
      <c r="O3656" s="15"/>
      <c r="P3656" s="15"/>
      <c r="Q3656" s="71"/>
      <c r="R3656" s="84"/>
      <c r="S3656" s="10"/>
      <c r="T3656" s="10"/>
      <c r="U3656" s="10"/>
      <c r="V3656" s="10"/>
      <c r="W3656" s="138"/>
      <c r="Y3656"/>
      <c r="Z3656"/>
      <c r="AA3656"/>
      <c r="AB3656"/>
      <c r="AC3656"/>
      <c r="AD3656"/>
      <c r="AE3656"/>
      <c r="AF3656"/>
      <c r="AG3656"/>
      <c r="AH3656"/>
      <c r="AI3656"/>
      <c r="AJ3656"/>
      <c r="AK3656"/>
      <c r="AL3656"/>
      <c r="AM3656"/>
      <c r="AN3656"/>
      <c r="AO3656"/>
    </row>
    <row r="3657" spans="1:41" ht="15">
      <c r="A3657"/>
      <c r="B3657"/>
      <c r="C3657" s="137"/>
      <c r="D3657" s="30"/>
      <c r="E3657" s="30"/>
      <c r="F3657" s="10"/>
      <c r="G3657" s="10"/>
      <c r="H3657" s="15"/>
      <c r="I3657" s="15"/>
      <c r="J3657" s="15"/>
      <c r="K3657" s="15"/>
      <c r="L3657" s="15"/>
      <c r="M3657" s="15"/>
      <c r="N3657" s="15"/>
      <c r="O3657" s="15"/>
      <c r="P3657" s="15"/>
      <c r="Q3657" s="71"/>
      <c r="R3657" s="84"/>
      <c r="S3657" s="10"/>
      <c r="T3657" s="10"/>
      <c r="U3657" s="10"/>
      <c r="V3657" s="10"/>
      <c r="W3657" s="138"/>
      <c r="Y3657"/>
      <c r="Z3657"/>
      <c r="AA3657"/>
      <c r="AB3657"/>
      <c r="AC3657"/>
      <c r="AD3657"/>
      <c r="AE3657"/>
      <c r="AF3657"/>
      <c r="AG3657"/>
      <c r="AH3657"/>
      <c r="AI3657"/>
      <c r="AJ3657"/>
      <c r="AK3657"/>
      <c r="AL3657"/>
      <c r="AM3657"/>
      <c r="AN3657"/>
      <c r="AO3657"/>
    </row>
    <row r="3658" spans="1:41" ht="15">
      <c r="A3658"/>
      <c r="B3658"/>
      <c r="C3658" s="137"/>
      <c r="D3658" s="30"/>
      <c r="E3658" s="30"/>
      <c r="F3658" s="10"/>
      <c r="G3658" s="10"/>
      <c r="H3658" s="15"/>
      <c r="I3658" s="15"/>
      <c r="J3658" s="15"/>
      <c r="K3658" s="15"/>
      <c r="L3658" s="15"/>
      <c r="M3658" s="15"/>
      <c r="N3658" s="15"/>
      <c r="O3658" s="15"/>
      <c r="P3658" s="15"/>
      <c r="Q3658" s="71"/>
      <c r="R3658" s="84"/>
      <c r="S3658" s="10"/>
      <c r="T3658" s="10"/>
      <c r="U3658" s="10"/>
      <c r="V3658" s="10"/>
      <c r="W3658" s="138"/>
      <c r="Y3658"/>
      <c r="Z3658"/>
      <c r="AA3658"/>
      <c r="AB3658"/>
      <c r="AC3658"/>
      <c r="AD3658"/>
      <c r="AE3658"/>
      <c r="AF3658"/>
      <c r="AG3658"/>
      <c r="AH3658"/>
      <c r="AI3658"/>
      <c r="AJ3658"/>
      <c r="AK3658"/>
      <c r="AL3658"/>
      <c r="AM3658"/>
      <c r="AN3658"/>
      <c r="AO3658"/>
    </row>
    <row r="3659" spans="1:41" ht="15">
      <c r="A3659"/>
      <c r="B3659"/>
      <c r="C3659" s="137"/>
      <c r="D3659" s="30"/>
      <c r="E3659" s="30"/>
      <c r="F3659" s="10"/>
      <c r="G3659" s="10"/>
      <c r="H3659" s="15"/>
      <c r="I3659" s="15"/>
      <c r="J3659" s="15"/>
      <c r="K3659" s="15"/>
      <c r="L3659" s="15"/>
      <c r="M3659" s="15"/>
      <c r="N3659" s="15"/>
      <c r="O3659" s="15"/>
      <c r="P3659" s="15"/>
      <c r="Q3659" s="71"/>
      <c r="R3659" s="84"/>
      <c r="S3659" s="10"/>
      <c r="T3659" s="10"/>
      <c r="U3659" s="10"/>
      <c r="V3659" s="10"/>
      <c r="W3659" s="138"/>
      <c r="Y3659"/>
      <c r="Z3659"/>
      <c r="AA3659"/>
      <c r="AB3659"/>
      <c r="AC3659"/>
      <c r="AD3659"/>
      <c r="AE3659"/>
      <c r="AF3659"/>
      <c r="AG3659"/>
      <c r="AH3659"/>
      <c r="AI3659"/>
      <c r="AJ3659"/>
      <c r="AK3659"/>
      <c r="AL3659"/>
      <c r="AM3659"/>
      <c r="AN3659"/>
      <c r="AO3659"/>
    </row>
    <row r="3660" spans="1:41" ht="15">
      <c r="A3660"/>
      <c r="B3660"/>
      <c r="C3660" s="137"/>
      <c r="D3660" s="30"/>
      <c r="E3660" s="30"/>
      <c r="F3660" s="10"/>
      <c r="G3660" s="10"/>
      <c r="H3660" s="15"/>
      <c r="I3660" s="15"/>
      <c r="J3660" s="15"/>
      <c r="K3660" s="15"/>
      <c r="L3660" s="15"/>
      <c r="M3660" s="15"/>
      <c r="N3660" s="15"/>
      <c r="O3660" s="15"/>
      <c r="P3660" s="15"/>
      <c r="Q3660" s="71"/>
      <c r="R3660" s="84"/>
      <c r="S3660" s="10"/>
      <c r="T3660" s="10"/>
      <c r="U3660" s="10"/>
      <c r="V3660" s="10"/>
      <c r="W3660" s="138"/>
      <c r="Y3660"/>
      <c r="Z3660"/>
      <c r="AA3660"/>
      <c r="AB3660"/>
      <c r="AC3660"/>
      <c r="AD3660"/>
      <c r="AE3660"/>
      <c r="AF3660"/>
      <c r="AG3660"/>
      <c r="AH3660"/>
      <c r="AI3660"/>
      <c r="AJ3660"/>
      <c r="AK3660"/>
      <c r="AL3660"/>
      <c r="AM3660"/>
      <c r="AN3660"/>
      <c r="AO3660"/>
    </row>
    <row r="3661" spans="1:41" ht="15">
      <c r="A3661"/>
      <c r="B3661"/>
      <c r="C3661" s="137"/>
      <c r="D3661" s="30"/>
      <c r="E3661" s="30"/>
      <c r="F3661" s="10"/>
      <c r="G3661" s="10"/>
      <c r="H3661" s="15"/>
      <c r="I3661" s="15"/>
      <c r="J3661" s="15"/>
      <c r="K3661" s="15"/>
      <c r="L3661" s="15"/>
      <c r="M3661" s="15"/>
      <c r="N3661" s="15"/>
      <c r="O3661" s="15"/>
      <c r="P3661" s="15"/>
      <c r="Q3661" s="71"/>
      <c r="R3661" s="84"/>
      <c r="S3661" s="10"/>
      <c r="T3661" s="10"/>
      <c r="U3661" s="10"/>
      <c r="V3661" s="10"/>
      <c r="W3661" s="138"/>
      <c r="Y3661"/>
      <c r="Z3661"/>
      <c r="AA3661"/>
      <c r="AB3661"/>
      <c r="AC3661"/>
      <c r="AD3661"/>
      <c r="AE3661"/>
      <c r="AF3661"/>
      <c r="AG3661"/>
      <c r="AH3661"/>
      <c r="AI3661"/>
      <c r="AJ3661"/>
      <c r="AK3661"/>
      <c r="AL3661"/>
      <c r="AM3661"/>
      <c r="AN3661"/>
      <c r="AO3661"/>
    </row>
    <row r="3662" spans="1:41" ht="15">
      <c r="A3662"/>
      <c r="B3662"/>
      <c r="C3662" s="137"/>
      <c r="D3662" s="30"/>
      <c r="E3662" s="30"/>
      <c r="F3662" s="10"/>
      <c r="G3662" s="10"/>
      <c r="H3662" s="15"/>
      <c r="I3662" s="15"/>
      <c r="J3662" s="15"/>
      <c r="K3662" s="15"/>
      <c r="L3662" s="15"/>
      <c r="M3662" s="15"/>
      <c r="N3662" s="15"/>
      <c r="O3662" s="15"/>
      <c r="P3662" s="15"/>
      <c r="Q3662" s="71"/>
      <c r="R3662" s="84"/>
      <c r="S3662" s="10"/>
      <c r="T3662" s="10"/>
      <c r="U3662" s="10"/>
      <c r="V3662" s="10"/>
      <c r="W3662" s="138"/>
      <c r="Y3662"/>
      <c r="Z3662"/>
      <c r="AA3662"/>
      <c r="AB3662"/>
      <c r="AC3662"/>
      <c r="AD3662"/>
      <c r="AE3662"/>
      <c r="AF3662"/>
      <c r="AG3662"/>
      <c r="AH3662"/>
      <c r="AI3662"/>
      <c r="AJ3662"/>
      <c r="AK3662"/>
      <c r="AL3662"/>
      <c r="AM3662"/>
      <c r="AN3662"/>
      <c r="AO3662"/>
    </row>
    <row r="3663" spans="1:41" ht="15">
      <c r="A3663"/>
      <c r="B3663"/>
      <c r="C3663" s="137"/>
      <c r="D3663" s="30"/>
      <c r="E3663" s="30"/>
      <c r="F3663" s="10"/>
      <c r="G3663" s="10"/>
      <c r="H3663" s="15"/>
      <c r="I3663" s="15"/>
      <c r="J3663" s="15"/>
      <c r="K3663" s="15"/>
      <c r="L3663" s="15"/>
      <c r="M3663" s="15"/>
      <c r="N3663" s="15"/>
      <c r="O3663" s="15"/>
      <c r="P3663" s="15"/>
      <c r="Q3663" s="71"/>
      <c r="R3663" s="84"/>
      <c r="S3663" s="10"/>
      <c r="T3663" s="10"/>
      <c r="U3663" s="10"/>
      <c r="V3663" s="10"/>
      <c r="W3663" s="138"/>
      <c r="Y3663"/>
      <c r="Z3663"/>
      <c r="AA3663"/>
      <c r="AB3663"/>
      <c r="AC3663"/>
      <c r="AD3663"/>
      <c r="AE3663"/>
      <c r="AF3663"/>
      <c r="AG3663"/>
      <c r="AH3663"/>
      <c r="AI3663"/>
      <c r="AJ3663"/>
      <c r="AK3663"/>
      <c r="AL3663"/>
      <c r="AM3663"/>
      <c r="AN3663"/>
      <c r="AO3663"/>
    </row>
    <row r="3664" spans="1:41" ht="15">
      <c r="A3664"/>
      <c r="B3664"/>
      <c r="C3664" s="137"/>
      <c r="D3664" s="30"/>
      <c r="E3664" s="30"/>
      <c r="F3664" s="10"/>
      <c r="G3664" s="10"/>
      <c r="H3664" s="15"/>
      <c r="I3664" s="15"/>
      <c r="J3664" s="15"/>
      <c r="K3664" s="15"/>
      <c r="L3664" s="15"/>
      <c r="M3664" s="15"/>
      <c r="N3664" s="15"/>
      <c r="O3664" s="15"/>
      <c r="P3664" s="15"/>
      <c r="Q3664" s="71"/>
      <c r="R3664" s="84"/>
      <c r="S3664" s="10"/>
      <c r="T3664" s="10"/>
      <c r="U3664" s="10"/>
      <c r="V3664" s="10"/>
      <c r="W3664" s="138"/>
      <c r="Y3664"/>
      <c r="Z3664"/>
      <c r="AA3664"/>
      <c r="AB3664"/>
      <c r="AC3664"/>
      <c r="AD3664"/>
      <c r="AE3664"/>
      <c r="AF3664"/>
      <c r="AG3664"/>
      <c r="AH3664"/>
      <c r="AI3664"/>
      <c r="AJ3664"/>
      <c r="AK3664"/>
      <c r="AL3664"/>
      <c r="AM3664"/>
      <c r="AN3664"/>
      <c r="AO3664"/>
    </row>
    <row r="3665" spans="1:41" ht="15">
      <c r="A3665"/>
      <c r="B3665"/>
      <c r="C3665" s="137"/>
      <c r="D3665" s="30"/>
      <c r="E3665" s="30"/>
      <c r="F3665" s="10"/>
      <c r="G3665" s="10"/>
      <c r="H3665" s="15"/>
      <c r="I3665" s="15"/>
      <c r="J3665" s="15"/>
      <c r="K3665" s="15"/>
      <c r="L3665" s="15"/>
      <c r="M3665" s="15"/>
      <c r="N3665" s="15"/>
      <c r="O3665" s="15"/>
      <c r="P3665" s="15"/>
      <c r="Q3665" s="71"/>
      <c r="R3665" s="84"/>
      <c r="S3665" s="10"/>
      <c r="T3665" s="10"/>
      <c r="U3665" s="10"/>
      <c r="V3665" s="10"/>
      <c r="W3665" s="138"/>
      <c r="Y3665"/>
      <c r="Z3665"/>
      <c r="AA3665"/>
      <c r="AB3665"/>
      <c r="AC3665"/>
      <c r="AD3665"/>
      <c r="AE3665"/>
      <c r="AF3665"/>
      <c r="AG3665"/>
      <c r="AH3665"/>
      <c r="AI3665"/>
      <c r="AJ3665"/>
      <c r="AK3665"/>
      <c r="AL3665"/>
      <c r="AM3665"/>
      <c r="AN3665"/>
      <c r="AO3665"/>
    </row>
    <row r="3666" spans="1:41" ht="15">
      <c r="A3666"/>
      <c r="B3666"/>
      <c r="C3666" s="137"/>
      <c r="D3666" s="30"/>
      <c r="E3666" s="30"/>
      <c r="F3666" s="10"/>
      <c r="G3666" s="10"/>
      <c r="H3666" s="15"/>
      <c r="I3666" s="15"/>
      <c r="J3666" s="15"/>
      <c r="K3666" s="15"/>
      <c r="L3666" s="15"/>
      <c r="M3666" s="15"/>
      <c r="N3666" s="15"/>
      <c r="O3666" s="15"/>
      <c r="P3666" s="15"/>
      <c r="Q3666" s="71"/>
      <c r="R3666" s="84"/>
      <c r="S3666" s="10"/>
      <c r="T3666" s="10"/>
      <c r="U3666" s="10"/>
      <c r="V3666" s="10"/>
      <c r="W3666" s="138"/>
      <c r="Y3666"/>
      <c r="Z3666"/>
      <c r="AA3666"/>
      <c r="AB3666"/>
      <c r="AC3666"/>
      <c r="AD3666"/>
      <c r="AE3666"/>
      <c r="AF3666"/>
      <c r="AG3666"/>
      <c r="AH3666"/>
      <c r="AI3666"/>
      <c r="AJ3666"/>
      <c r="AK3666"/>
      <c r="AL3666"/>
      <c r="AM3666"/>
      <c r="AN3666"/>
      <c r="AO3666"/>
    </row>
    <row r="3667" spans="1:41" ht="15">
      <c r="A3667"/>
      <c r="B3667"/>
      <c r="C3667" s="137"/>
      <c r="D3667" s="30"/>
      <c r="E3667" s="30"/>
      <c r="F3667" s="10"/>
      <c r="G3667" s="10"/>
      <c r="H3667" s="15"/>
      <c r="I3667" s="15"/>
      <c r="J3667" s="15"/>
      <c r="K3667" s="15"/>
      <c r="L3667" s="15"/>
      <c r="M3667" s="15"/>
      <c r="N3667" s="15"/>
      <c r="O3667" s="15"/>
      <c r="P3667" s="15"/>
      <c r="Q3667" s="71"/>
      <c r="R3667" s="84"/>
      <c r="S3667" s="10"/>
      <c r="T3667" s="10"/>
      <c r="U3667" s="10"/>
      <c r="V3667" s="10"/>
      <c r="W3667" s="138"/>
      <c r="Y3667"/>
      <c r="Z3667"/>
      <c r="AA3667"/>
      <c r="AB3667"/>
      <c r="AC3667"/>
      <c r="AD3667"/>
      <c r="AE3667"/>
      <c r="AF3667"/>
      <c r="AG3667"/>
      <c r="AH3667"/>
      <c r="AI3667"/>
      <c r="AJ3667"/>
      <c r="AK3667"/>
      <c r="AL3667"/>
      <c r="AM3667"/>
      <c r="AN3667"/>
      <c r="AO3667"/>
    </row>
    <row r="3668" spans="1:41" ht="15">
      <c r="A3668"/>
      <c r="B3668"/>
      <c r="C3668" s="137"/>
      <c r="D3668" s="30"/>
      <c r="E3668" s="30"/>
      <c r="F3668" s="10"/>
      <c r="G3668" s="10"/>
      <c r="H3668" s="15"/>
      <c r="I3668" s="15"/>
      <c r="J3668" s="15"/>
      <c r="K3668" s="15"/>
      <c r="L3668" s="15"/>
      <c r="M3668" s="15"/>
      <c r="N3668" s="15"/>
      <c r="O3668" s="15"/>
      <c r="P3668" s="15"/>
      <c r="Q3668" s="71"/>
      <c r="R3668" s="84"/>
      <c r="S3668" s="10"/>
      <c r="T3668" s="10"/>
      <c r="U3668" s="10"/>
      <c r="V3668" s="10"/>
      <c r="W3668" s="138"/>
      <c r="Y3668"/>
      <c r="Z3668"/>
      <c r="AA3668"/>
      <c r="AB3668"/>
      <c r="AC3668"/>
      <c r="AD3668"/>
      <c r="AE3668"/>
      <c r="AF3668"/>
      <c r="AG3668"/>
      <c r="AH3668"/>
      <c r="AI3668"/>
      <c r="AJ3668"/>
      <c r="AK3668"/>
      <c r="AL3668"/>
      <c r="AM3668"/>
      <c r="AN3668"/>
      <c r="AO3668"/>
    </row>
    <row r="3669" spans="1:41" ht="15">
      <c r="A3669"/>
      <c r="B3669"/>
      <c r="C3669" s="137"/>
      <c r="D3669" s="30"/>
      <c r="E3669" s="30"/>
      <c r="F3669" s="10"/>
      <c r="G3669" s="10"/>
      <c r="H3669" s="15"/>
      <c r="I3669" s="15"/>
      <c r="J3669" s="15"/>
      <c r="K3669" s="15"/>
      <c r="L3669" s="15"/>
      <c r="M3669" s="15"/>
      <c r="N3669" s="15"/>
      <c r="O3669" s="15"/>
      <c r="P3669" s="15"/>
      <c r="Q3669" s="71"/>
      <c r="R3669" s="84"/>
      <c r="S3669" s="10"/>
      <c r="T3669" s="10"/>
      <c r="U3669" s="10"/>
      <c r="V3669" s="10"/>
      <c r="W3669" s="138"/>
      <c r="Y3669"/>
      <c r="Z3669"/>
      <c r="AA3669"/>
      <c r="AB3669"/>
      <c r="AC3669"/>
      <c r="AD3669"/>
      <c r="AE3669"/>
      <c r="AF3669"/>
      <c r="AG3669"/>
      <c r="AH3669"/>
      <c r="AI3669"/>
      <c r="AJ3669"/>
      <c r="AK3669"/>
      <c r="AL3669"/>
      <c r="AM3669"/>
      <c r="AN3669"/>
      <c r="AO3669"/>
    </row>
    <row r="3670" spans="1:41" ht="15">
      <c r="A3670"/>
      <c r="B3670"/>
      <c r="C3670" s="137"/>
      <c r="D3670" s="30"/>
      <c r="E3670" s="30"/>
      <c r="F3670" s="10"/>
      <c r="G3670" s="10"/>
      <c r="H3670" s="15"/>
      <c r="I3670" s="15"/>
      <c r="J3670" s="15"/>
      <c r="K3670" s="15"/>
      <c r="L3670" s="15"/>
      <c r="M3670" s="15"/>
      <c r="N3670" s="15"/>
      <c r="O3670" s="15"/>
      <c r="P3670" s="15"/>
      <c r="Q3670" s="71"/>
      <c r="R3670" s="84"/>
      <c r="S3670" s="10"/>
      <c r="T3670" s="10"/>
      <c r="U3670" s="10"/>
      <c r="V3670" s="10"/>
      <c r="W3670" s="138"/>
      <c r="Y3670"/>
      <c r="Z3670"/>
      <c r="AA3670"/>
      <c r="AB3670"/>
      <c r="AC3670"/>
      <c r="AD3670"/>
      <c r="AE3670"/>
      <c r="AF3670"/>
      <c r="AG3670"/>
      <c r="AH3670"/>
      <c r="AI3670"/>
      <c r="AJ3670"/>
      <c r="AK3670"/>
      <c r="AL3670"/>
      <c r="AM3670"/>
      <c r="AN3670"/>
      <c r="AO3670"/>
    </row>
    <row r="3671" spans="1:41" ht="15">
      <c r="A3671"/>
      <c r="B3671"/>
      <c r="C3671" s="137"/>
      <c r="D3671" s="30"/>
      <c r="E3671" s="30"/>
      <c r="F3671" s="10"/>
      <c r="G3671" s="10"/>
      <c r="H3671" s="15"/>
      <c r="I3671" s="15"/>
      <c r="J3671" s="15"/>
      <c r="K3671" s="15"/>
      <c r="L3671" s="15"/>
      <c r="M3671" s="15"/>
      <c r="N3671" s="15"/>
      <c r="O3671" s="15"/>
      <c r="P3671" s="15"/>
      <c r="Q3671" s="71"/>
      <c r="R3671" s="84"/>
      <c r="S3671" s="10"/>
      <c r="T3671" s="10"/>
      <c r="U3671" s="10"/>
      <c r="V3671" s="10"/>
      <c r="W3671" s="138"/>
      <c r="Y3671"/>
      <c r="Z3671"/>
      <c r="AA3671"/>
      <c r="AB3671"/>
      <c r="AC3671"/>
      <c r="AD3671"/>
      <c r="AE3671"/>
      <c r="AF3671"/>
      <c r="AG3671"/>
      <c r="AH3671"/>
      <c r="AI3671"/>
      <c r="AJ3671"/>
      <c r="AK3671"/>
      <c r="AL3671"/>
      <c r="AM3671"/>
      <c r="AN3671"/>
      <c r="AO3671"/>
    </row>
    <row r="3672" spans="1:41" ht="15">
      <c r="A3672"/>
      <c r="B3672"/>
      <c r="C3672" s="137"/>
      <c r="D3672" s="30"/>
      <c r="E3672" s="30"/>
      <c r="F3672" s="10"/>
      <c r="G3672" s="10"/>
      <c r="H3672" s="15"/>
      <c r="I3672" s="15"/>
      <c r="J3672" s="15"/>
      <c r="K3672" s="15"/>
      <c r="L3672" s="15"/>
      <c r="M3672" s="15"/>
      <c r="N3672" s="15"/>
      <c r="O3672" s="15"/>
      <c r="P3672" s="15"/>
      <c r="Q3672" s="71"/>
      <c r="R3672" s="84"/>
      <c r="S3672" s="10"/>
      <c r="T3672" s="10"/>
      <c r="U3672" s="10"/>
      <c r="V3672" s="10"/>
      <c r="W3672" s="138"/>
      <c r="Y3672"/>
      <c r="Z3672"/>
      <c r="AA3672"/>
      <c r="AB3672"/>
      <c r="AC3672"/>
      <c r="AD3672"/>
      <c r="AE3672"/>
      <c r="AF3672"/>
      <c r="AG3672"/>
      <c r="AH3672"/>
      <c r="AI3672"/>
      <c r="AJ3672"/>
      <c r="AK3672"/>
      <c r="AL3672"/>
      <c r="AM3672"/>
      <c r="AN3672"/>
      <c r="AO3672"/>
    </row>
    <row r="3673" spans="1:41" ht="15">
      <c r="A3673"/>
      <c r="B3673"/>
      <c r="C3673" s="137"/>
      <c r="D3673" s="30"/>
      <c r="E3673" s="30"/>
      <c r="F3673" s="10"/>
      <c r="G3673" s="10"/>
      <c r="H3673" s="15"/>
      <c r="I3673" s="15"/>
      <c r="J3673" s="15"/>
      <c r="K3673" s="15"/>
      <c r="L3673" s="15"/>
      <c r="M3673" s="15"/>
      <c r="N3673" s="15"/>
      <c r="O3673" s="15"/>
      <c r="P3673" s="15"/>
      <c r="Q3673" s="71"/>
      <c r="R3673" s="84"/>
      <c r="S3673" s="10"/>
      <c r="T3673" s="10"/>
      <c r="U3673" s="10"/>
      <c r="V3673" s="10"/>
      <c r="W3673" s="138"/>
      <c r="Y3673"/>
      <c r="Z3673"/>
      <c r="AA3673"/>
      <c r="AB3673"/>
      <c r="AC3673"/>
      <c r="AD3673"/>
      <c r="AE3673"/>
      <c r="AF3673"/>
      <c r="AG3673"/>
      <c r="AH3673"/>
      <c r="AI3673"/>
      <c r="AJ3673"/>
      <c r="AK3673"/>
      <c r="AL3673"/>
      <c r="AM3673"/>
      <c r="AN3673"/>
      <c r="AO3673"/>
    </row>
    <row r="3674" spans="1:41" ht="15">
      <c r="A3674"/>
      <c r="B3674"/>
      <c r="C3674" s="137"/>
      <c r="D3674" s="30"/>
      <c r="E3674" s="30"/>
      <c r="F3674" s="10"/>
      <c r="G3674" s="10"/>
      <c r="H3674" s="15"/>
      <c r="I3674" s="15"/>
      <c r="J3674" s="15"/>
      <c r="K3674" s="15"/>
      <c r="L3674" s="15"/>
      <c r="M3674" s="15"/>
      <c r="N3674" s="15"/>
      <c r="O3674" s="15"/>
      <c r="P3674" s="15"/>
      <c r="Q3674" s="71"/>
      <c r="R3674" s="84"/>
      <c r="S3674" s="10"/>
      <c r="T3674" s="10"/>
      <c r="U3674" s="10"/>
      <c r="V3674" s="10"/>
      <c r="W3674" s="138"/>
      <c r="Y3674"/>
      <c r="Z3674"/>
      <c r="AA3674"/>
      <c r="AB3674"/>
      <c r="AC3674"/>
      <c r="AD3674"/>
      <c r="AE3674"/>
      <c r="AF3674"/>
      <c r="AG3674"/>
      <c r="AH3674"/>
      <c r="AI3674"/>
      <c r="AJ3674"/>
      <c r="AK3674"/>
      <c r="AL3674"/>
      <c r="AM3674"/>
      <c r="AN3674"/>
      <c r="AO3674"/>
    </row>
    <row r="3675" spans="1:41" ht="15">
      <c r="A3675"/>
      <c r="B3675"/>
      <c r="C3675" s="137"/>
      <c r="D3675" s="30"/>
      <c r="E3675" s="30"/>
      <c r="F3675" s="10"/>
      <c r="G3675" s="10"/>
      <c r="H3675" s="15"/>
      <c r="I3675" s="15"/>
      <c r="J3675" s="15"/>
      <c r="K3675" s="15"/>
      <c r="L3675" s="15"/>
      <c r="M3675" s="15"/>
      <c r="N3675" s="15"/>
      <c r="O3675" s="15"/>
      <c r="P3675" s="15"/>
      <c r="Q3675" s="71"/>
      <c r="R3675" s="84"/>
      <c r="S3675" s="10"/>
      <c r="T3675" s="10"/>
      <c r="U3675" s="10"/>
      <c r="V3675" s="10"/>
      <c r="W3675" s="138"/>
      <c r="Y3675"/>
      <c r="Z3675"/>
      <c r="AA3675"/>
      <c r="AB3675"/>
      <c r="AC3675"/>
      <c r="AD3675"/>
      <c r="AE3675"/>
      <c r="AF3675"/>
      <c r="AG3675"/>
      <c r="AH3675"/>
      <c r="AI3675"/>
      <c r="AJ3675"/>
      <c r="AK3675"/>
      <c r="AL3675"/>
      <c r="AM3675"/>
      <c r="AN3675"/>
      <c r="AO3675"/>
    </row>
    <row r="3676" spans="1:41" ht="15">
      <c r="A3676"/>
      <c r="B3676"/>
      <c r="C3676" s="137"/>
      <c r="D3676" s="30"/>
      <c r="E3676" s="30"/>
      <c r="F3676" s="10"/>
      <c r="G3676" s="10"/>
      <c r="H3676" s="15"/>
      <c r="I3676" s="15"/>
      <c r="J3676" s="15"/>
      <c r="K3676" s="15"/>
      <c r="L3676" s="15"/>
      <c r="M3676" s="15"/>
      <c r="N3676" s="15"/>
      <c r="O3676" s="15"/>
      <c r="P3676" s="15"/>
      <c r="Q3676" s="71"/>
      <c r="R3676" s="84"/>
      <c r="S3676" s="10"/>
      <c r="T3676" s="10"/>
      <c r="U3676" s="10"/>
      <c r="V3676" s="10"/>
      <c r="W3676" s="138"/>
      <c r="Y3676"/>
      <c r="Z3676"/>
      <c r="AA3676"/>
      <c r="AB3676"/>
      <c r="AC3676"/>
      <c r="AD3676"/>
      <c r="AE3676"/>
      <c r="AF3676"/>
      <c r="AG3676"/>
      <c r="AH3676"/>
      <c r="AI3676"/>
      <c r="AJ3676"/>
      <c r="AK3676"/>
      <c r="AL3676"/>
      <c r="AM3676"/>
      <c r="AN3676"/>
      <c r="AO3676"/>
    </row>
    <row r="3677" spans="1:41" ht="15">
      <c r="A3677"/>
      <c r="B3677"/>
      <c r="C3677" s="137"/>
      <c r="D3677" s="30"/>
      <c r="E3677" s="30"/>
      <c r="F3677" s="10"/>
      <c r="G3677" s="10"/>
      <c r="H3677" s="15"/>
      <c r="I3677" s="15"/>
      <c r="J3677" s="15"/>
      <c r="K3677" s="15"/>
      <c r="L3677" s="15"/>
      <c r="M3677" s="15"/>
      <c r="N3677" s="15"/>
      <c r="O3677" s="15"/>
      <c r="P3677" s="15"/>
      <c r="Q3677" s="71"/>
      <c r="R3677" s="84"/>
      <c r="S3677" s="10"/>
      <c r="T3677" s="10"/>
      <c r="U3677" s="10"/>
      <c r="V3677" s="10"/>
      <c r="W3677" s="138"/>
      <c r="Y3677"/>
      <c r="Z3677"/>
      <c r="AA3677"/>
      <c r="AB3677"/>
      <c r="AC3677"/>
      <c r="AD3677"/>
      <c r="AE3677"/>
      <c r="AF3677"/>
      <c r="AG3677"/>
      <c r="AH3677"/>
      <c r="AI3677"/>
      <c r="AJ3677"/>
      <c r="AK3677"/>
      <c r="AL3677"/>
      <c r="AM3677"/>
      <c r="AN3677"/>
      <c r="AO3677"/>
    </row>
    <row r="3678" spans="1:41" ht="15">
      <c r="A3678"/>
      <c r="B3678"/>
      <c r="C3678" s="137"/>
      <c r="D3678" s="30"/>
      <c r="E3678" s="30"/>
      <c r="F3678" s="10"/>
      <c r="G3678" s="10"/>
      <c r="H3678" s="15"/>
      <c r="I3678" s="15"/>
      <c r="J3678" s="15"/>
      <c r="K3678" s="15"/>
      <c r="L3678" s="15"/>
      <c r="M3678" s="15"/>
      <c r="N3678" s="15"/>
      <c r="O3678" s="15"/>
      <c r="P3678" s="15"/>
      <c r="Q3678" s="71"/>
      <c r="R3678" s="84"/>
      <c r="S3678" s="10"/>
      <c r="T3678" s="10"/>
      <c r="U3678" s="10"/>
      <c r="V3678" s="10"/>
      <c r="W3678" s="138"/>
      <c r="Y3678"/>
      <c r="Z3678"/>
      <c r="AA3678"/>
      <c r="AB3678"/>
      <c r="AC3678"/>
      <c r="AD3678"/>
      <c r="AE3678"/>
      <c r="AF3678"/>
      <c r="AG3678"/>
      <c r="AH3678"/>
      <c r="AI3678"/>
      <c r="AJ3678"/>
      <c r="AK3678"/>
      <c r="AL3678"/>
      <c r="AM3678"/>
      <c r="AN3678"/>
      <c r="AO3678"/>
    </row>
    <row r="3679" spans="1:41" ht="15">
      <c r="A3679"/>
      <c r="B3679"/>
      <c r="C3679" s="137"/>
      <c r="D3679" s="30"/>
      <c r="E3679" s="30"/>
      <c r="F3679" s="10"/>
      <c r="G3679" s="10"/>
      <c r="H3679" s="15"/>
      <c r="I3679" s="15"/>
      <c r="J3679" s="15"/>
      <c r="K3679" s="15"/>
      <c r="L3679" s="15"/>
      <c r="M3679" s="15"/>
      <c r="N3679" s="15"/>
      <c r="O3679" s="15"/>
      <c r="P3679" s="15"/>
      <c r="Q3679" s="71"/>
      <c r="R3679" s="84"/>
      <c r="S3679" s="10"/>
      <c r="T3679" s="10"/>
      <c r="U3679" s="10"/>
      <c r="V3679" s="10"/>
      <c r="W3679" s="138"/>
      <c r="Y3679"/>
      <c r="Z3679"/>
      <c r="AA3679"/>
      <c r="AB3679"/>
      <c r="AC3679"/>
      <c r="AD3679"/>
      <c r="AE3679"/>
      <c r="AF3679"/>
      <c r="AG3679"/>
      <c r="AH3679"/>
      <c r="AI3679"/>
      <c r="AJ3679"/>
      <c r="AK3679"/>
      <c r="AL3679"/>
      <c r="AM3679"/>
      <c r="AN3679"/>
      <c r="AO3679"/>
    </row>
    <row r="3680" spans="1:41" ht="15">
      <c r="A3680"/>
      <c r="B3680"/>
      <c r="C3680" s="137"/>
      <c r="D3680" s="30"/>
      <c r="E3680" s="30"/>
      <c r="F3680" s="10"/>
      <c r="G3680" s="10"/>
      <c r="H3680" s="15"/>
      <c r="I3680" s="15"/>
      <c r="J3680" s="15"/>
      <c r="K3680" s="15"/>
      <c r="L3680" s="15"/>
      <c r="M3680" s="15"/>
      <c r="N3680" s="15"/>
      <c r="O3680" s="15"/>
      <c r="P3680" s="15"/>
      <c r="Q3680" s="71"/>
      <c r="R3680" s="84"/>
      <c r="S3680" s="10"/>
      <c r="T3680" s="10"/>
      <c r="U3680" s="10"/>
      <c r="V3680" s="10"/>
      <c r="W3680" s="138"/>
      <c r="Y3680"/>
      <c r="Z3680"/>
      <c r="AA3680"/>
      <c r="AB3680"/>
      <c r="AC3680"/>
      <c r="AD3680"/>
      <c r="AE3680"/>
      <c r="AF3680"/>
      <c r="AG3680"/>
      <c r="AH3680"/>
      <c r="AI3680"/>
      <c r="AJ3680"/>
      <c r="AK3680"/>
      <c r="AL3680"/>
      <c r="AM3680"/>
      <c r="AN3680"/>
      <c r="AO3680"/>
    </row>
    <row r="3681" spans="1:41" ht="15">
      <c r="A3681"/>
      <c r="B3681"/>
      <c r="C3681" s="137"/>
      <c r="D3681" s="30"/>
      <c r="E3681" s="30"/>
      <c r="F3681" s="10"/>
      <c r="G3681" s="10"/>
      <c r="H3681" s="15"/>
      <c r="I3681" s="15"/>
      <c r="J3681" s="15"/>
      <c r="K3681" s="15"/>
      <c r="L3681" s="15"/>
      <c r="M3681" s="15"/>
      <c r="N3681" s="15"/>
      <c r="O3681" s="15"/>
      <c r="P3681" s="15"/>
      <c r="Q3681" s="71"/>
      <c r="R3681" s="84"/>
      <c r="S3681" s="10"/>
      <c r="T3681" s="10"/>
      <c r="U3681" s="10"/>
      <c r="V3681" s="10"/>
      <c r="W3681" s="138"/>
      <c r="Y3681"/>
      <c r="Z3681"/>
      <c r="AA3681"/>
      <c r="AB3681"/>
      <c r="AC3681"/>
      <c r="AD3681"/>
      <c r="AE3681"/>
      <c r="AF3681"/>
      <c r="AG3681"/>
      <c r="AH3681"/>
      <c r="AI3681"/>
      <c r="AJ3681"/>
      <c r="AK3681"/>
      <c r="AL3681"/>
      <c r="AM3681"/>
      <c r="AN3681"/>
      <c r="AO3681"/>
    </row>
    <row r="3682" spans="1:41" ht="15">
      <c r="A3682"/>
      <c r="B3682"/>
      <c r="C3682" s="137"/>
      <c r="D3682" s="30"/>
      <c r="E3682" s="30"/>
      <c r="F3682" s="10"/>
      <c r="G3682" s="10"/>
      <c r="H3682" s="15"/>
      <c r="I3682" s="15"/>
      <c r="J3682" s="15"/>
      <c r="K3682" s="15"/>
      <c r="L3682" s="15"/>
      <c r="M3682" s="15"/>
      <c r="N3682" s="15"/>
      <c r="O3682" s="15"/>
      <c r="P3682" s="15"/>
      <c r="Q3682" s="71"/>
      <c r="R3682" s="84"/>
      <c r="S3682" s="10"/>
      <c r="T3682" s="10"/>
      <c r="U3682" s="10"/>
      <c r="V3682" s="10"/>
      <c r="W3682" s="138"/>
      <c r="Y3682"/>
      <c r="Z3682"/>
      <c r="AA3682"/>
      <c r="AB3682"/>
      <c r="AC3682"/>
      <c r="AD3682"/>
      <c r="AE3682"/>
      <c r="AF3682"/>
      <c r="AG3682"/>
      <c r="AH3682"/>
      <c r="AI3682"/>
      <c r="AJ3682"/>
      <c r="AK3682"/>
      <c r="AL3682"/>
      <c r="AM3682"/>
      <c r="AN3682"/>
      <c r="AO3682"/>
    </row>
    <row r="3683" spans="1:41" ht="15">
      <c r="A3683"/>
      <c r="B3683"/>
      <c r="C3683" s="137"/>
      <c r="D3683" s="30"/>
      <c r="E3683" s="30"/>
      <c r="F3683" s="10"/>
      <c r="G3683" s="10"/>
      <c r="H3683" s="15"/>
      <c r="I3683" s="15"/>
      <c r="J3683" s="15"/>
      <c r="K3683" s="15"/>
      <c r="L3683" s="15"/>
      <c r="M3683" s="15"/>
      <c r="N3683" s="15"/>
      <c r="O3683" s="15"/>
      <c r="P3683" s="15"/>
      <c r="Q3683" s="71"/>
      <c r="R3683" s="84"/>
      <c r="S3683" s="10"/>
      <c r="T3683" s="10"/>
      <c r="U3683" s="10"/>
      <c r="V3683" s="10"/>
      <c r="W3683" s="138"/>
      <c r="Y3683"/>
      <c r="Z3683"/>
      <c r="AA3683"/>
      <c r="AB3683"/>
      <c r="AC3683"/>
      <c r="AD3683"/>
      <c r="AE3683"/>
      <c r="AF3683"/>
      <c r="AG3683"/>
      <c r="AH3683"/>
      <c r="AI3683"/>
      <c r="AJ3683"/>
      <c r="AK3683"/>
      <c r="AL3683"/>
      <c r="AM3683"/>
      <c r="AN3683"/>
      <c r="AO3683"/>
    </row>
    <row r="3684" spans="1:41" ht="15">
      <c r="A3684"/>
      <c r="B3684"/>
      <c r="C3684" s="137"/>
      <c r="D3684" s="30"/>
      <c r="E3684" s="30"/>
      <c r="F3684" s="10"/>
      <c r="G3684" s="10"/>
      <c r="H3684" s="15"/>
      <c r="I3684" s="15"/>
      <c r="J3684" s="15"/>
      <c r="K3684" s="15"/>
      <c r="L3684" s="15"/>
      <c r="M3684" s="15"/>
      <c r="N3684" s="15"/>
      <c r="O3684" s="15"/>
      <c r="P3684" s="15"/>
      <c r="Q3684" s="71"/>
      <c r="R3684" s="84"/>
      <c r="S3684" s="10"/>
      <c r="T3684" s="10"/>
      <c r="U3684" s="10"/>
      <c r="V3684" s="10"/>
      <c r="W3684" s="138"/>
      <c r="Y3684"/>
      <c r="Z3684"/>
      <c r="AA3684"/>
      <c r="AB3684"/>
      <c r="AC3684"/>
      <c r="AD3684"/>
      <c r="AE3684"/>
      <c r="AF3684"/>
      <c r="AG3684"/>
      <c r="AH3684"/>
      <c r="AI3684"/>
      <c r="AJ3684"/>
      <c r="AK3684"/>
      <c r="AL3684"/>
      <c r="AM3684"/>
      <c r="AN3684"/>
      <c r="AO3684"/>
    </row>
    <row r="3685" spans="1:41" ht="15">
      <c r="A3685"/>
      <c r="B3685"/>
      <c r="C3685" s="137"/>
      <c r="D3685" s="30"/>
      <c r="E3685" s="30"/>
      <c r="F3685" s="10"/>
      <c r="G3685" s="10"/>
      <c r="H3685" s="15"/>
      <c r="I3685" s="15"/>
      <c r="J3685" s="15"/>
      <c r="K3685" s="15"/>
      <c r="L3685" s="15"/>
      <c r="M3685" s="15"/>
      <c r="N3685" s="15"/>
      <c r="O3685" s="15"/>
      <c r="P3685" s="15"/>
      <c r="Q3685" s="71"/>
      <c r="R3685" s="84"/>
      <c r="S3685" s="10"/>
      <c r="T3685" s="10"/>
      <c r="U3685" s="10"/>
      <c r="V3685" s="10"/>
      <c r="W3685" s="138"/>
      <c r="Y3685"/>
      <c r="Z3685"/>
      <c r="AA3685"/>
      <c r="AB3685"/>
      <c r="AC3685"/>
      <c r="AD3685"/>
      <c r="AE3685"/>
      <c r="AF3685"/>
      <c r="AG3685"/>
      <c r="AH3685"/>
      <c r="AI3685"/>
      <c r="AJ3685"/>
      <c r="AK3685"/>
      <c r="AL3685"/>
      <c r="AM3685"/>
      <c r="AN3685"/>
      <c r="AO3685"/>
    </row>
    <row r="3686" spans="1:41" ht="15">
      <c r="A3686"/>
      <c r="B3686"/>
      <c r="C3686" s="137"/>
      <c r="D3686" s="30"/>
      <c r="E3686" s="30"/>
      <c r="F3686" s="10"/>
      <c r="G3686" s="10"/>
      <c r="H3686" s="15"/>
      <c r="I3686" s="15"/>
      <c r="J3686" s="15"/>
      <c r="K3686" s="15"/>
      <c r="L3686" s="15"/>
      <c r="M3686" s="15"/>
      <c r="N3686" s="15"/>
      <c r="O3686" s="15"/>
      <c r="P3686" s="15"/>
      <c r="Q3686" s="71"/>
      <c r="R3686" s="84"/>
      <c r="S3686" s="10"/>
      <c r="T3686" s="10"/>
      <c r="U3686" s="10"/>
      <c r="V3686" s="10"/>
      <c r="W3686" s="138"/>
      <c r="Y3686"/>
      <c r="Z3686"/>
      <c r="AA3686"/>
      <c r="AB3686"/>
      <c r="AC3686"/>
      <c r="AD3686"/>
      <c r="AE3686"/>
      <c r="AF3686"/>
      <c r="AG3686"/>
      <c r="AH3686"/>
      <c r="AI3686"/>
      <c r="AJ3686"/>
      <c r="AK3686"/>
      <c r="AL3686"/>
      <c r="AM3686"/>
      <c r="AN3686"/>
      <c r="AO3686"/>
    </row>
    <row r="3687" spans="1:41" ht="15">
      <c r="A3687"/>
      <c r="B3687"/>
      <c r="C3687" s="137"/>
      <c r="D3687" s="30"/>
      <c r="E3687" s="30"/>
      <c r="F3687" s="10"/>
      <c r="G3687" s="10"/>
      <c r="H3687" s="15"/>
      <c r="I3687" s="15"/>
      <c r="J3687" s="15"/>
      <c r="K3687" s="15"/>
      <c r="L3687" s="15"/>
      <c r="M3687" s="15"/>
      <c r="N3687" s="15"/>
      <c r="O3687" s="15"/>
      <c r="P3687" s="15"/>
      <c r="Q3687" s="71"/>
      <c r="R3687" s="84"/>
      <c r="S3687" s="10"/>
      <c r="T3687" s="10"/>
      <c r="U3687" s="10"/>
      <c r="V3687" s="10"/>
      <c r="W3687" s="138"/>
      <c r="Y3687"/>
      <c r="Z3687"/>
      <c r="AA3687"/>
      <c r="AB3687"/>
      <c r="AC3687"/>
      <c r="AD3687"/>
      <c r="AE3687"/>
      <c r="AF3687"/>
      <c r="AG3687"/>
      <c r="AH3687"/>
      <c r="AI3687"/>
      <c r="AJ3687"/>
      <c r="AK3687"/>
      <c r="AL3687"/>
      <c r="AM3687"/>
      <c r="AN3687"/>
      <c r="AO3687"/>
    </row>
    <row r="3688" spans="1:41" ht="15">
      <c r="A3688"/>
      <c r="B3688"/>
      <c r="C3688" s="137"/>
      <c r="D3688" s="30"/>
      <c r="E3688" s="30"/>
      <c r="F3688" s="10"/>
      <c r="G3688" s="10"/>
      <c r="H3688" s="15"/>
      <c r="I3688" s="15"/>
      <c r="J3688" s="15"/>
      <c r="K3688" s="15"/>
      <c r="L3688" s="15"/>
      <c r="M3688" s="15"/>
      <c r="N3688" s="15"/>
      <c r="O3688" s="15"/>
      <c r="P3688" s="15"/>
      <c r="Q3688" s="71"/>
      <c r="R3688" s="84"/>
      <c r="S3688" s="10"/>
      <c r="T3688" s="10"/>
      <c r="U3688" s="10"/>
      <c r="V3688" s="10"/>
      <c r="W3688" s="138"/>
      <c r="Y3688"/>
      <c r="Z3688"/>
      <c r="AA3688"/>
      <c r="AB3688"/>
      <c r="AC3688"/>
      <c r="AD3688"/>
      <c r="AE3688"/>
      <c r="AF3688"/>
      <c r="AG3688"/>
      <c r="AH3688"/>
      <c r="AI3688"/>
      <c r="AJ3688"/>
      <c r="AK3688"/>
      <c r="AL3688"/>
      <c r="AM3688"/>
      <c r="AN3688"/>
      <c r="AO3688"/>
    </row>
    <row r="3689" spans="1:41" ht="15">
      <c r="A3689"/>
      <c r="B3689"/>
      <c r="C3689" s="137"/>
      <c r="D3689" s="30"/>
      <c r="E3689" s="30"/>
      <c r="F3689" s="10"/>
      <c r="G3689" s="10"/>
      <c r="H3689" s="15"/>
      <c r="I3689" s="15"/>
      <c r="J3689" s="15"/>
      <c r="K3689" s="15"/>
      <c r="L3689" s="15"/>
      <c r="M3689" s="15"/>
      <c r="N3689" s="15"/>
      <c r="O3689" s="15"/>
      <c r="P3689" s="15"/>
      <c r="Q3689" s="71"/>
      <c r="R3689" s="84"/>
      <c r="S3689" s="10"/>
      <c r="T3689" s="10"/>
      <c r="U3689" s="10"/>
      <c r="V3689" s="10"/>
      <c r="W3689" s="138"/>
      <c r="Y3689"/>
      <c r="Z3689"/>
      <c r="AA3689"/>
      <c r="AB3689"/>
      <c r="AC3689"/>
      <c r="AD3689"/>
      <c r="AE3689"/>
      <c r="AF3689"/>
      <c r="AG3689"/>
      <c r="AH3689"/>
      <c r="AI3689"/>
      <c r="AJ3689"/>
      <c r="AK3689"/>
      <c r="AL3689"/>
      <c r="AM3689"/>
      <c r="AN3689"/>
      <c r="AO3689"/>
    </row>
    <row r="3690" spans="1:41" ht="15">
      <c r="A3690"/>
      <c r="B3690"/>
      <c r="C3690" s="137"/>
      <c r="D3690" s="30"/>
      <c r="E3690" s="30"/>
      <c r="F3690" s="10"/>
      <c r="G3690" s="10"/>
      <c r="H3690" s="15"/>
      <c r="I3690" s="15"/>
      <c r="J3690" s="15"/>
      <c r="K3690" s="15"/>
      <c r="L3690" s="15"/>
      <c r="M3690" s="15"/>
      <c r="N3690" s="15"/>
      <c r="O3690" s="15"/>
      <c r="P3690" s="15"/>
      <c r="Q3690" s="71"/>
      <c r="R3690" s="84"/>
      <c r="S3690" s="10"/>
      <c r="T3690" s="10"/>
      <c r="U3690" s="10"/>
      <c r="V3690" s="10"/>
      <c r="W3690" s="138"/>
      <c r="Y3690"/>
      <c r="Z3690"/>
      <c r="AA3690"/>
      <c r="AB3690"/>
      <c r="AC3690"/>
      <c r="AD3690"/>
      <c r="AE3690"/>
      <c r="AF3690"/>
      <c r="AG3690"/>
      <c r="AH3690"/>
      <c r="AI3690"/>
      <c r="AJ3690"/>
      <c r="AK3690"/>
      <c r="AL3690"/>
      <c r="AM3690"/>
      <c r="AN3690"/>
      <c r="AO3690"/>
    </row>
    <row r="3691" spans="1:41" ht="15">
      <c r="A3691"/>
      <c r="B3691"/>
      <c r="C3691" s="137"/>
      <c r="D3691" s="30"/>
      <c r="E3691" s="30"/>
      <c r="F3691" s="10"/>
      <c r="G3691" s="10"/>
      <c r="H3691" s="15"/>
      <c r="I3691" s="15"/>
      <c r="J3691" s="15"/>
      <c r="K3691" s="15"/>
      <c r="L3691" s="15"/>
      <c r="M3691" s="15"/>
      <c r="N3691" s="15"/>
      <c r="O3691" s="15"/>
      <c r="P3691" s="15"/>
      <c r="Q3691" s="71"/>
      <c r="R3691" s="84"/>
      <c r="S3691" s="10"/>
      <c r="T3691" s="10"/>
      <c r="U3691" s="10"/>
      <c r="V3691" s="10"/>
      <c r="W3691" s="138"/>
      <c r="Y3691"/>
      <c r="Z3691"/>
      <c r="AA3691"/>
      <c r="AB3691"/>
      <c r="AC3691"/>
      <c r="AD3691"/>
      <c r="AE3691"/>
      <c r="AF3691"/>
      <c r="AG3691"/>
      <c r="AH3691"/>
      <c r="AI3691"/>
      <c r="AJ3691"/>
      <c r="AK3691"/>
      <c r="AL3691"/>
      <c r="AM3691"/>
      <c r="AN3691"/>
      <c r="AO3691"/>
    </row>
    <row r="3692" spans="1:41" ht="15">
      <c r="A3692"/>
      <c r="B3692"/>
      <c r="C3692" s="137"/>
      <c r="D3692" s="30"/>
      <c r="E3692" s="30"/>
      <c r="F3692" s="10"/>
      <c r="G3692" s="10"/>
      <c r="H3692" s="15"/>
      <c r="I3692" s="15"/>
      <c r="J3692" s="15"/>
      <c r="K3692" s="15"/>
      <c r="L3692" s="15"/>
      <c r="M3692" s="15"/>
      <c r="N3692" s="15"/>
      <c r="O3692" s="15"/>
      <c r="P3692" s="15"/>
      <c r="Q3692" s="71"/>
      <c r="R3692" s="84"/>
      <c r="S3692" s="10"/>
      <c r="T3692" s="10"/>
      <c r="U3692" s="10"/>
      <c r="V3692" s="10"/>
      <c r="W3692" s="138"/>
      <c r="Y3692"/>
      <c r="Z3692"/>
      <c r="AA3692"/>
      <c r="AB3692"/>
      <c r="AC3692"/>
      <c r="AD3692"/>
      <c r="AE3692"/>
      <c r="AF3692"/>
      <c r="AG3692"/>
      <c r="AH3692"/>
      <c r="AI3692"/>
      <c r="AJ3692"/>
      <c r="AK3692"/>
      <c r="AL3692"/>
      <c r="AM3692"/>
      <c r="AN3692"/>
      <c r="AO3692"/>
    </row>
    <row r="3693" spans="1:41" ht="15">
      <c r="A3693"/>
      <c r="B3693"/>
      <c r="C3693" s="137"/>
      <c r="D3693" s="30"/>
      <c r="E3693" s="30"/>
      <c r="F3693" s="10"/>
      <c r="G3693" s="10"/>
      <c r="H3693" s="15"/>
      <c r="I3693" s="15"/>
      <c r="J3693" s="15"/>
      <c r="K3693" s="15"/>
      <c r="L3693" s="15"/>
      <c r="M3693" s="15"/>
      <c r="N3693" s="15"/>
      <c r="O3693" s="15"/>
      <c r="P3693" s="15"/>
      <c r="Q3693" s="71"/>
      <c r="R3693" s="84"/>
      <c r="S3693" s="10"/>
      <c r="T3693" s="10"/>
      <c r="U3693" s="10"/>
      <c r="V3693" s="10"/>
      <c r="W3693" s="138"/>
      <c r="Y3693"/>
      <c r="Z3693"/>
      <c r="AA3693"/>
      <c r="AB3693"/>
      <c r="AC3693"/>
      <c r="AD3693"/>
      <c r="AE3693"/>
      <c r="AF3693"/>
      <c r="AG3693"/>
      <c r="AH3693"/>
      <c r="AI3693"/>
      <c r="AJ3693"/>
      <c r="AK3693"/>
      <c r="AL3693"/>
      <c r="AM3693"/>
      <c r="AN3693"/>
      <c r="AO3693"/>
    </row>
    <row r="3694" spans="1:41" ht="15">
      <c r="A3694"/>
      <c r="B3694"/>
      <c r="C3694" s="137"/>
      <c r="D3694" s="30"/>
      <c r="E3694" s="30"/>
      <c r="F3694" s="10"/>
      <c r="G3694" s="10"/>
      <c r="H3694" s="15"/>
      <c r="I3694" s="15"/>
      <c r="J3694" s="15"/>
      <c r="K3694" s="15"/>
      <c r="L3694" s="15"/>
      <c r="M3694" s="15"/>
      <c r="N3694" s="15"/>
      <c r="O3694" s="15"/>
      <c r="P3694" s="15"/>
      <c r="Q3694" s="71"/>
      <c r="R3694" s="84"/>
      <c r="S3694" s="10"/>
      <c r="T3694" s="10"/>
      <c r="U3694" s="10"/>
      <c r="V3694" s="10"/>
      <c r="W3694" s="138"/>
      <c r="Y3694"/>
      <c r="Z3694"/>
      <c r="AA3694"/>
      <c r="AB3694"/>
      <c r="AC3694"/>
      <c r="AD3694"/>
      <c r="AE3694"/>
      <c r="AF3694"/>
      <c r="AG3694"/>
      <c r="AH3694"/>
      <c r="AI3694"/>
      <c r="AJ3694"/>
      <c r="AK3694"/>
      <c r="AL3694"/>
      <c r="AM3694"/>
      <c r="AN3694"/>
      <c r="AO3694"/>
    </row>
    <row r="3695" spans="1:41" ht="15">
      <c r="A3695"/>
      <c r="B3695"/>
      <c r="C3695" s="137"/>
      <c r="D3695" s="30"/>
      <c r="E3695" s="30"/>
      <c r="F3695" s="10"/>
      <c r="G3695" s="10"/>
      <c r="H3695" s="15"/>
      <c r="I3695" s="15"/>
      <c r="J3695" s="15"/>
      <c r="K3695" s="15"/>
      <c r="L3695" s="15"/>
      <c r="M3695" s="15"/>
      <c r="N3695" s="15"/>
      <c r="O3695" s="15"/>
      <c r="P3695" s="15"/>
      <c r="Q3695" s="71"/>
      <c r="R3695" s="84"/>
      <c r="S3695" s="10"/>
      <c r="T3695" s="10"/>
      <c r="U3695" s="10"/>
      <c r="V3695" s="10"/>
      <c r="W3695" s="138"/>
      <c r="Y3695"/>
      <c r="Z3695"/>
      <c r="AA3695"/>
      <c r="AB3695"/>
      <c r="AC3695"/>
      <c r="AD3695"/>
      <c r="AE3695"/>
      <c r="AF3695"/>
      <c r="AG3695"/>
      <c r="AH3695"/>
      <c r="AI3695"/>
      <c r="AJ3695"/>
      <c r="AK3695"/>
      <c r="AL3695"/>
      <c r="AM3695"/>
      <c r="AN3695"/>
      <c r="AO3695"/>
    </row>
    <row r="3696" spans="1:41" ht="15">
      <c r="A3696"/>
      <c r="B3696"/>
      <c r="C3696" s="137"/>
      <c r="D3696" s="30"/>
      <c r="E3696" s="30"/>
      <c r="F3696" s="10"/>
      <c r="G3696" s="10"/>
      <c r="H3696" s="15"/>
      <c r="I3696" s="15"/>
      <c r="J3696" s="15"/>
      <c r="K3696" s="15"/>
      <c r="L3696" s="15"/>
      <c r="M3696" s="15"/>
      <c r="N3696" s="15"/>
      <c r="O3696" s="15"/>
      <c r="P3696" s="15"/>
      <c r="Q3696" s="71"/>
      <c r="R3696" s="84"/>
      <c r="S3696" s="10"/>
      <c r="T3696" s="10"/>
      <c r="U3696" s="10"/>
      <c r="V3696" s="10"/>
      <c r="W3696" s="138"/>
      <c r="Y3696"/>
      <c r="Z3696"/>
      <c r="AA3696"/>
      <c r="AB3696"/>
      <c r="AC3696"/>
      <c r="AD3696"/>
      <c r="AE3696"/>
      <c r="AF3696"/>
      <c r="AG3696"/>
      <c r="AH3696"/>
      <c r="AI3696"/>
      <c r="AJ3696"/>
      <c r="AK3696"/>
      <c r="AL3696"/>
      <c r="AM3696"/>
      <c r="AN3696"/>
      <c r="AO3696"/>
    </row>
    <row r="3697" spans="1:41" ht="15">
      <c r="A3697"/>
      <c r="B3697"/>
      <c r="C3697" s="137"/>
      <c r="D3697" s="30"/>
      <c r="E3697" s="30"/>
      <c r="F3697" s="10"/>
      <c r="G3697" s="10"/>
      <c r="H3697" s="15"/>
      <c r="I3697" s="15"/>
      <c r="J3697" s="15"/>
      <c r="K3697" s="15"/>
      <c r="L3697" s="15"/>
      <c r="M3697" s="15"/>
      <c r="N3697" s="15"/>
      <c r="O3697" s="15"/>
      <c r="P3697" s="15"/>
      <c r="Q3697" s="71"/>
      <c r="R3697" s="84"/>
      <c r="S3697" s="10"/>
      <c r="T3697" s="10"/>
      <c r="U3697" s="10"/>
      <c r="V3697" s="10"/>
      <c r="W3697" s="138"/>
      <c r="Y3697"/>
      <c r="Z3697"/>
      <c r="AA3697"/>
      <c r="AB3697"/>
      <c r="AC3697"/>
      <c r="AD3697"/>
      <c r="AE3697"/>
      <c r="AF3697"/>
      <c r="AG3697"/>
      <c r="AH3697"/>
      <c r="AI3697"/>
      <c r="AJ3697"/>
      <c r="AK3697"/>
      <c r="AL3697"/>
      <c r="AM3697"/>
      <c r="AN3697"/>
      <c r="AO3697"/>
    </row>
    <row r="3698" spans="1:41" ht="15">
      <c r="A3698"/>
      <c r="B3698"/>
      <c r="C3698" s="137"/>
      <c r="D3698" s="30"/>
      <c r="E3698" s="30"/>
      <c r="F3698" s="10"/>
      <c r="G3698" s="10"/>
      <c r="H3698" s="15"/>
      <c r="I3698" s="15"/>
      <c r="J3698" s="15"/>
      <c r="K3698" s="15"/>
      <c r="L3698" s="15"/>
      <c r="M3698" s="15"/>
      <c r="N3698" s="15"/>
      <c r="O3698" s="15"/>
      <c r="P3698" s="15"/>
      <c r="Q3698" s="71"/>
      <c r="R3698" s="84"/>
      <c r="S3698" s="10"/>
      <c r="T3698" s="10"/>
      <c r="U3698" s="10"/>
      <c r="V3698" s="10"/>
      <c r="W3698" s="138"/>
      <c r="Y3698"/>
      <c r="Z3698"/>
      <c r="AA3698"/>
      <c r="AB3698"/>
      <c r="AC3698"/>
      <c r="AD3698"/>
      <c r="AE3698"/>
      <c r="AF3698"/>
      <c r="AG3698"/>
      <c r="AH3698"/>
      <c r="AI3698"/>
      <c r="AJ3698"/>
      <c r="AK3698"/>
      <c r="AL3698"/>
      <c r="AM3698"/>
      <c r="AN3698"/>
      <c r="AO3698"/>
    </row>
    <row r="3699" spans="1:41" ht="15">
      <c r="A3699"/>
      <c r="B3699"/>
      <c r="C3699" s="137"/>
      <c r="D3699" s="30"/>
      <c r="E3699" s="30"/>
      <c r="F3699" s="10"/>
      <c r="G3699" s="10"/>
      <c r="H3699" s="15"/>
      <c r="I3699" s="15"/>
      <c r="J3699" s="15"/>
      <c r="K3699" s="15"/>
      <c r="L3699" s="15"/>
      <c r="M3699" s="15"/>
      <c r="N3699" s="15"/>
      <c r="O3699" s="15"/>
      <c r="P3699" s="15"/>
      <c r="Q3699" s="71"/>
      <c r="R3699" s="84"/>
      <c r="S3699" s="10"/>
      <c r="T3699" s="10"/>
      <c r="U3699" s="10"/>
      <c r="V3699" s="10"/>
      <c r="W3699" s="138"/>
      <c r="Y3699"/>
      <c r="Z3699"/>
      <c r="AA3699"/>
      <c r="AB3699"/>
      <c r="AC3699"/>
      <c r="AD3699"/>
      <c r="AE3699"/>
      <c r="AF3699"/>
      <c r="AG3699"/>
      <c r="AH3699"/>
      <c r="AI3699"/>
      <c r="AJ3699"/>
      <c r="AK3699"/>
      <c r="AL3699"/>
      <c r="AM3699"/>
      <c r="AN3699"/>
      <c r="AO3699"/>
    </row>
    <row r="3700" spans="1:41" ht="15">
      <c r="A3700"/>
      <c r="B3700"/>
      <c r="C3700" s="137"/>
      <c r="D3700" s="30"/>
      <c r="E3700" s="30"/>
      <c r="F3700" s="10"/>
      <c r="G3700" s="10"/>
      <c r="H3700" s="15"/>
      <c r="I3700" s="15"/>
      <c r="J3700" s="15"/>
      <c r="K3700" s="15"/>
      <c r="L3700" s="15"/>
      <c r="M3700" s="15"/>
      <c r="N3700" s="15"/>
      <c r="O3700" s="15"/>
      <c r="P3700" s="15"/>
      <c r="Q3700" s="71"/>
      <c r="R3700" s="84"/>
      <c r="S3700" s="10"/>
      <c r="T3700" s="10"/>
      <c r="U3700" s="10"/>
      <c r="V3700" s="10"/>
      <c r="W3700" s="138"/>
      <c r="Y3700"/>
      <c r="Z3700"/>
      <c r="AA3700"/>
      <c r="AB3700"/>
      <c r="AC3700"/>
      <c r="AD3700"/>
      <c r="AE3700"/>
      <c r="AF3700"/>
      <c r="AG3700"/>
      <c r="AH3700"/>
      <c r="AI3700"/>
      <c r="AJ3700"/>
      <c r="AK3700"/>
      <c r="AL3700"/>
      <c r="AM3700"/>
      <c r="AN3700"/>
      <c r="AO3700"/>
    </row>
    <row r="3701" spans="1:41" ht="15">
      <c r="A3701"/>
      <c r="B3701"/>
      <c r="C3701" s="137"/>
      <c r="D3701" s="30"/>
      <c r="E3701" s="30"/>
      <c r="F3701" s="10"/>
      <c r="G3701" s="10"/>
      <c r="H3701" s="15"/>
      <c r="I3701" s="15"/>
      <c r="J3701" s="15"/>
      <c r="K3701" s="15"/>
      <c r="L3701" s="15"/>
      <c r="M3701" s="15"/>
      <c r="N3701" s="15"/>
      <c r="O3701" s="15"/>
      <c r="P3701" s="15"/>
      <c r="Q3701" s="71"/>
      <c r="R3701" s="84"/>
      <c r="S3701" s="10"/>
      <c r="T3701" s="10"/>
      <c r="U3701" s="10"/>
      <c r="V3701" s="10"/>
      <c r="W3701" s="138"/>
      <c r="Y3701"/>
      <c r="Z3701"/>
      <c r="AA3701"/>
      <c r="AB3701"/>
      <c r="AC3701"/>
      <c r="AD3701"/>
      <c r="AE3701"/>
      <c r="AF3701"/>
      <c r="AG3701"/>
      <c r="AH3701"/>
      <c r="AI3701"/>
      <c r="AJ3701"/>
      <c r="AK3701"/>
      <c r="AL3701"/>
      <c r="AM3701"/>
      <c r="AN3701"/>
      <c r="AO3701"/>
    </row>
    <row r="3702" spans="1:41" ht="15">
      <c r="A3702"/>
      <c r="B3702"/>
      <c r="C3702" s="137"/>
      <c r="D3702" s="30"/>
      <c r="E3702" s="30"/>
      <c r="F3702" s="10"/>
      <c r="G3702" s="10"/>
      <c r="H3702" s="15"/>
      <c r="I3702" s="15"/>
      <c r="J3702" s="15"/>
      <c r="K3702" s="15"/>
      <c r="L3702" s="15"/>
      <c r="M3702" s="15"/>
      <c r="N3702" s="15"/>
      <c r="O3702" s="15"/>
      <c r="P3702" s="15"/>
      <c r="Q3702" s="71"/>
      <c r="R3702" s="84"/>
      <c r="S3702" s="10"/>
      <c r="T3702" s="10"/>
      <c r="U3702" s="10"/>
      <c r="V3702" s="10"/>
      <c r="W3702" s="138"/>
      <c r="Y3702"/>
      <c r="Z3702"/>
      <c r="AA3702"/>
      <c r="AB3702"/>
      <c r="AC3702"/>
      <c r="AD3702"/>
      <c r="AE3702"/>
      <c r="AF3702"/>
      <c r="AG3702"/>
      <c r="AH3702"/>
      <c r="AI3702"/>
      <c r="AJ3702"/>
      <c r="AK3702"/>
      <c r="AL3702"/>
      <c r="AM3702"/>
      <c r="AN3702"/>
      <c r="AO3702"/>
    </row>
    <row r="3703" spans="1:41" ht="15">
      <c r="A3703"/>
      <c r="B3703"/>
      <c r="C3703" s="137"/>
      <c r="D3703" s="30"/>
      <c r="E3703" s="30"/>
      <c r="F3703" s="10"/>
      <c r="G3703" s="10"/>
      <c r="H3703" s="15"/>
      <c r="I3703" s="15"/>
      <c r="J3703" s="15"/>
      <c r="K3703" s="15"/>
      <c r="L3703" s="15"/>
      <c r="M3703" s="15"/>
      <c r="N3703" s="15"/>
      <c r="O3703" s="15"/>
      <c r="P3703" s="15"/>
      <c r="Q3703" s="71"/>
      <c r="R3703" s="84"/>
      <c r="S3703" s="10"/>
      <c r="T3703" s="10"/>
      <c r="U3703" s="10"/>
      <c r="V3703" s="10"/>
      <c r="W3703" s="138"/>
      <c r="Y3703"/>
      <c r="Z3703"/>
      <c r="AA3703"/>
      <c r="AB3703"/>
      <c r="AC3703"/>
      <c r="AD3703"/>
      <c r="AE3703"/>
      <c r="AF3703"/>
      <c r="AG3703"/>
      <c r="AH3703"/>
      <c r="AI3703"/>
      <c r="AJ3703"/>
      <c r="AK3703"/>
      <c r="AL3703"/>
      <c r="AM3703"/>
      <c r="AN3703"/>
      <c r="AO3703"/>
    </row>
    <row r="3704" spans="1:41" ht="15">
      <c r="A3704"/>
      <c r="B3704"/>
      <c r="C3704" s="137"/>
      <c r="D3704" s="30"/>
      <c r="E3704" s="30"/>
      <c r="F3704" s="10"/>
      <c r="G3704" s="10"/>
      <c r="H3704" s="15"/>
      <c r="I3704" s="15"/>
      <c r="J3704" s="15"/>
      <c r="K3704" s="15"/>
      <c r="L3704" s="15"/>
      <c r="M3704" s="15"/>
      <c r="N3704" s="15"/>
      <c r="O3704" s="15"/>
      <c r="P3704" s="15"/>
      <c r="Q3704" s="71"/>
      <c r="R3704" s="84"/>
      <c r="S3704" s="10"/>
      <c r="T3704" s="10"/>
      <c r="U3704" s="10"/>
      <c r="V3704" s="10"/>
      <c r="W3704" s="138"/>
      <c r="Y3704"/>
      <c r="Z3704"/>
      <c r="AA3704"/>
      <c r="AB3704"/>
      <c r="AC3704"/>
      <c r="AD3704"/>
      <c r="AE3704"/>
      <c r="AF3704"/>
      <c r="AG3704"/>
      <c r="AH3704"/>
      <c r="AI3704"/>
      <c r="AJ3704"/>
      <c r="AK3704"/>
      <c r="AL3704"/>
      <c r="AM3704"/>
      <c r="AN3704"/>
      <c r="AO3704"/>
    </row>
    <row r="3705" spans="1:41" ht="15">
      <c r="A3705"/>
      <c r="B3705"/>
      <c r="C3705" s="137"/>
      <c r="D3705" s="30"/>
      <c r="E3705" s="30"/>
      <c r="F3705" s="10"/>
      <c r="G3705" s="10"/>
      <c r="H3705" s="15"/>
      <c r="I3705" s="15"/>
      <c r="J3705" s="15"/>
      <c r="K3705" s="15"/>
      <c r="L3705" s="15"/>
      <c r="M3705" s="15"/>
      <c r="N3705" s="15"/>
      <c r="O3705" s="15"/>
      <c r="P3705" s="15"/>
      <c r="Q3705" s="71"/>
      <c r="R3705" s="84"/>
      <c r="S3705" s="10"/>
      <c r="T3705" s="10"/>
      <c r="U3705" s="10"/>
      <c r="V3705" s="10"/>
      <c r="W3705" s="138"/>
      <c r="Y3705"/>
      <c r="Z3705"/>
      <c r="AA3705"/>
      <c r="AB3705"/>
      <c r="AC3705"/>
      <c r="AD3705"/>
      <c r="AE3705"/>
      <c r="AF3705"/>
      <c r="AG3705"/>
      <c r="AH3705"/>
      <c r="AI3705"/>
      <c r="AJ3705"/>
      <c r="AK3705"/>
      <c r="AL3705"/>
      <c r="AM3705"/>
      <c r="AN3705"/>
      <c r="AO3705"/>
    </row>
    <row r="3706" spans="1:41" ht="15">
      <c r="A3706"/>
      <c r="B3706"/>
      <c r="C3706" s="137"/>
      <c r="D3706" s="30"/>
      <c r="E3706" s="30"/>
      <c r="F3706" s="10"/>
      <c r="G3706" s="10"/>
      <c r="H3706" s="15"/>
      <c r="I3706" s="15"/>
      <c r="J3706" s="15"/>
      <c r="K3706" s="15"/>
      <c r="L3706" s="15"/>
      <c r="M3706" s="15"/>
      <c r="N3706" s="15"/>
      <c r="O3706" s="15"/>
      <c r="P3706" s="15"/>
      <c r="Q3706" s="71"/>
      <c r="R3706" s="84"/>
      <c r="S3706" s="10"/>
      <c r="T3706" s="10"/>
      <c r="U3706" s="10"/>
      <c r="V3706" s="10"/>
      <c r="W3706" s="138"/>
      <c r="Y3706"/>
      <c r="Z3706"/>
      <c r="AA3706"/>
      <c r="AB3706"/>
      <c r="AC3706"/>
      <c r="AD3706"/>
      <c r="AE3706"/>
      <c r="AF3706"/>
      <c r="AG3706"/>
      <c r="AH3706"/>
      <c r="AI3706"/>
      <c r="AJ3706"/>
      <c r="AK3706"/>
      <c r="AL3706"/>
      <c r="AM3706"/>
      <c r="AN3706"/>
      <c r="AO3706"/>
    </row>
    <row r="3707" spans="1:41" ht="15">
      <c r="A3707"/>
      <c r="B3707"/>
      <c r="C3707" s="137"/>
      <c r="D3707" s="30"/>
      <c r="E3707" s="30"/>
      <c r="F3707" s="10"/>
      <c r="G3707" s="10"/>
      <c r="H3707" s="15"/>
      <c r="I3707" s="15"/>
      <c r="J3707" s="15"/>
      <c r="K3707" s="15"/>
      <c r="L3707" s="15"/>
      <c r="M3707" s="15"/>
      <c r="N3707" s="15"/>
      <c r="O3707" s="15"/>
      <c r="P3707" s="15"/>
      <c r="Q3707" s="71"/>
      <c r="R3707" s="84"/>
      <c r="S3707" s="10"/>
      <c r="T3707" s="10"/>
      <c r="U3707" s="10"/>
      <c r="V3707" s="10"/>
      <c r="W3707" s="138"/>
      <c r="Y3707"/>
      <c r="Z3707"/>
      <c r="AA3707"/>
      <c r="AB3707"/>
      <c r="AC3707"/>
      <c r="AD3707"/>
      <c r="AE3707"/>
      <c r="AF3707"/>
      <c r="AG3707"/>
      <c r="AH3707"/>
      <c r="AI3707"/>
      <c r="AJ3707"/>
      <c r="AK3707"/>
      <c r="AL3707"/>
      <c r="AM3707"/>
      <c r="AN3707"/>
      <c r="AO3707"/>
    </row>
    <row r="3708" spans="1:41" ht="15">
      <c r="A3708"/>
      <c r="B3708"/>
      <c r="C3708" s="137"/>
      <c r="D3708" s="30"/>
      <c r="E3708" s="30"/>
      <c r="F3708" s="10"/>
      <c r="G3708" s="10"/>
      <c r="H3708" s="15"/>
      <c r="I3708" s="15"/>
      <c r="J3708" s="15"/>
      <c r="K3708" s="15"/>
      <c r="L3708" s="15"/>
      <c r="M3708" s="15"/>
      <c r="N3708" s="15"/>
      <c r="O3708" s="15"/>
      <c r="P3708" s="15"/>
      <c r="Q3708" s="71"/>
      <c r="R3708" s="84"/>
      <c r="S3708" s="10"/>
      <c r="T3708" s="10"/>
      <c r="U3708" s="10"/>
      <c r="V3708" s="10"/>
      <c r="W3708" s="138"/>
      <c r="Y3708"/>
      <c r="Z3708"/>
      <c r="AA3708"/>
      <c r="AB3708"/>
      <c r="AC3708"/>
      <c r="AD3708"/>
      <c r="AE3708"/>
      <c r="AF3708"/>
      <c r="AG3708"/>
      <c r="AH3708"/>
      <c r="AI3708"/>
      <c r="AJ3708"/>
      <c r="AK3708"/>
      <c r="AL3708"/>
      <c r="AM3708"/>
      <c r="AN3708"/>
      <c r="AO3708"/>
    </row>
    <row r="3709" spans="1:41" ht="15">
      <c r="A3709"/>
      <c r="B3709"/>
      <c r="C3709" s="137"/>
      <c r="D3709" s="30"/>
      <c r="E3709" s="30"/>
      <c r="F3709" s="10"/>
      <c r="G3709" s="10"/>
      <c r="H3709" s="15"/>
      <c r="I3709" s="15"/>
      <c r="J3709" s="15"/>
      <c r="K3709" s="15"/>
      <c r="L3709" s="15"/>
      <c r="M3709" s="15"/>
      <c r="N3709" s="15"/>
      <c r="O3709" s="15"/>
      <c r="P3709" s="15"/>
      <c r="Q3709" s="71"/>
      <c r="R3709" s="84"/>
      <c r="S3709" s="10"/>
      <c r="T3709" s="10"/>
      <c r="U3709" s="10"/>
      <c r="V3709" s="10"/>
      <c r="W3709" s="138"/>
      <c r="Y3709"/>
      <c r="Z3709"/>
      <c r="AA3709"/>
      <c r="AB3709"/>
      <c r="AC3709"/>
      <c r="AD3709"/>
      <c r="AE3709"/>
      <c r="AF3709"/>
      <c r="AG3709"/>
      <c r="AH3709"/>
      <c r="AI3709"/>
      <c r="AJ3709"/>
      <c r="AK3709"/>
      <c r="AL3709"/>
      <c r="AM3709"/>
      <c r="AN3709"/>
      <c r="AO3709"/>
    </row>
    <row r="3710" spans="1:41" ht="15">
      <c r="A3710"/>
      <c r="B3710"/>
      <c r="C3710" s="137"/>
      <c r="D3710" s="30"/>
      <c r="E3710" s="30"/>
      <c r="F3710" s="10"/>
      <c r="G3710" s="10"/>
      <c r="H3710" s="15"/>
      <c r="I3710" s="15"/>
      <c r="J3710" s="15"/>
      <c r="K3710" s="15"/>
      <c r="L3710" s="15"/>
      <c r="M3710" s="15"/>
      <c r="N3710" s="15"/>
      <c r="O3710" s="15"/>
      <c r="P3710" s="15"/>
      <c r="Q3710" s="71"/>
      <c r="R3710" s="84"/>
      <c r="S3710" s="10"/>
      <c r="T3710" s="10"/>
      <c r="U3710" s="10"/>
      <c r="V3710" s="10"/>
      <c r="W3710" s="138"/>
      <c r="Y3710"/>
      <c r="Z3710"/>
      <c r="AA3710"/>
      <c r="AB3710"/>
      <c r="AC3710"/>
      <c r="AD3710"/>
      <c r="AE3710"/>
      <c r="AF3710"/>
      <c r="AG3710"/>
      <c r="AH3710"/>
      <c r="AI3710"/>
      <c r="AJ3710"/>
      <c r="AK3710"/>
      <c r="AL3710"/>
      <c r="AM3710"/>
      <c r="AN3710"/>
      <c r="AO3710"/>
    </row>
    <row r="3711" spans="1:41" ht="15">
      <c r="A3711"/>
      <c r="B3711"/>
      <c r="C3711" s="137"/>
      <c r="D3711" s="30"/>
      <c r="E3711" s="30"/>
      <c r="F3711" s="10"/>
      <c r="G3711" s="10"/>
      <c r="H3711" s="15"/>
      <c r="I3711" s="15"/>
      <c r="J3711" s="15"/>
      <c r="K3711" s="15"/>
      <c r="L3711" s="15"/>
      <c r="M3711" s="15"/>
      <c r="N3711" s="15"/>
      <c r="O3711" s="15"/>
      <c r="P3711" s="15"/>
      <c r="Q3711" s="71"/>
      <c r="R3711" s="84"/>
      <c r="S3711" s="10"/>
      <c r="T3711" s="10"/>
      <c r="U3711" s="10"/>
      <c r="V3711" s="10"/>
      <c r="W3711" s="138"/>
      <c r="Y3711"/>
      <c r="Z3711"/>
      <c r="AA3711"/>
      <c r="AB3711"/>
      <c r="AC3711"/>
      <c r="AD3711"/>
      <c r="AE3711"/>
      <c r="AF3711"/>
      <c r="AG3711"/>
      <c r="AH3711"/>
      <c r="AI3711"/>
      <c r="AJ3711"/>
      <c r="AK3711"/>
      <c r="AL3711"/>
      <c r="AM3711"/>
      <c r="AN3711"/>
      <c r="AO3711"/>
    </row>
    <row r="3712" spans="1:41" ht="15">
      <c r="A3712"/>
      <c r="B3712"/>
      <c r="C3712" s="137"/>
      <c r="D3712" s="30"/>
      <c r="E3712" s="30"/>
      <c r="F3712" s="10"/>
      <c r="G3712" s="10"/>
      <c r="H3712" s="15"/>
      <c r="I3712" s="15"/>
      <c r="J3712" s="15"/>
      <c r="K3712" s="15"/>
      <c r="L3712" s="15"/>
      <c r="M3712" s="15"/>
      <c r="N3712" s="15"/>
      <c r="O3712" s="15"/>
      <c r="P3712" s="15"/>
      <c r="Q3712" s="71"/>
      <c r="R3712" s="84"/>
      <c r="S3712" s="10"/>
      <c r="T3712" s="10"/>
      <c r="U3712" s="10"/>
      <c r="V3712" s="10"/>
      <c r="W3712" s="138"/>
      <c r="Y3712"/>
      <c r="Z3712"/>
      <c r="AA3712"/>
      <c r="AB3712"/>
      <c r="AC3712"/>
      <c r="AD3712"/>
      <c r="AE3712"/>
      <c r="AF3712"/>
      <c r="AG3712"/>
      <c r="AH3712"/>
      <c r="AI3712"/>
      <c r="AJ3712"/>
      <c r="AK3712"/>
      <c r="AL3712"/>
      <c r="AM3712"/>
      <c r="AN3712"/>
      <c r="AO3712"/>
    </row>
    <row r="3713" spans="1:41" ht="15">
      <c r="A3713"/>
      <c r="B3713"/>
      <c r="C3713" s="137"/>
      <c r="D3713" s="30"/>
      <c r="E3713" s="30"/>
      <c r="F3713" s="10"/>
      <c r="G3713" s="10"/>
      <c r="H3713" s="15"/>
      <c r="I3713" s="15"/>
      <c r="J3713" s="15"/>
      <c r="K3713" s="15"/>
      <c r="L3713" s="15"/>
      <c r="M3713" s="15"/>
      <c r="N3713" s="15"/>
      <c r="O3713" s="15"/>
      <c r="P3713" s="15"/>
      <c r="Q3713" s="71"/>
      <c r="R3713" s="84"/>
      <c r="S3713" s="10"/>
      <c r="T3713" s="10"/>
      <c r="U3713" s="10"/>
      <c r="V3713" s="10"/>
      <c r="W3713" s="138"/>
      <c r="Y3713"/>
      <c r="Z3713"/>
      <c r="AA3713"/>
      <c r="AB3713"/>
      <c r="AC3713"/>
      <c r="AD3713"/>
      <c r="AE3713"/>
      <c r="AF3713"/>
      <c r="AG3713"/>
      <c r="AH3713"/>
      <c r="AI3713"/>
      <c r="AJ3713"/>
      <c r="AK3713"/>
      <c r="AL3713"/>
      <c r="AM3713"/>
      <c r="AN3713"/>
      <c r="AO3713"/>
    </row>
    <row r="3714" spans="1:41" ht="15">
      <c r="A3714"/>
      <c r="B3714"/>
      <c r="C3714" s="137"/>
      <c r="D3714" s="30"/>
      <c r="E3714" s="30"/>
      <c r="F3714" s="10"/>
      <c r="G3714" s="10"/>
      <c r="H3714" s="15"/>
      <c r="I3714" s="15"/>
      <c r="J3714" s="15"/>
      <c r="K3714" s="15"/>
      <c r="L3714" s="15"/>
      <c r="M3714" s="15"/>
      <c r="N3714" s="15"/>
      <c r="O3714" s="15"/>
      <c r="P3714" s="15"/>
      <c r="Q3714" s="71"/>
      <c r="R3714" s="84"/>
      <c r="S3714" s="10"/>
      <c r="T3714" s="10"/>
      <c r="U3714" s="10"/>
      <c r="V3714" s="10"/>
      <c r="W3714" s="138"/>
      <c r="Y3714"/>
      <c r="Z3714"/>
      <c r="AA3714"/>
      <c r="AB3714"/>
      <c r="AC3714"/>
      <c r="AD3714"/>
      <c r="AE3714"/>
      <c r="AF3714"/>
      <c r="AG3714"/>
      <c r="AH3714"/>
      <c r="AI3714"/>
      <c r="AJ3714"/>
      <c r="AK3714"/>
      <c r="AL3714"/>
      <c r="AM3714"/>
      <c r="AN3714"/>
      <c r="AO3714"/>
    </row>
    <row r="3715" spans="1:41" ht="15">
      <c r="A3715"/>
      <c r="B3715"/>
      <c r="C3715" s="137"/>
      <c r="D3715" s="30"/>
      <c r="E3715" s="30"/>
      <c r="F3715" s="10"/>
      <c r="G3715" s="10"/>
      <c r="H3715" s="15"/>
      <c r="I3715" s="15"/>
      <c r="J3715" s="15"/>
      <c r="K3715" s="15"/>
      <c r="L3715" s="15"/>
      <c r="M3715" s="15"/>
      <c r="N3715" s="15"/>
      <c r="O3715" s="15"/>
      <c r="P3715" s="15"/>
      <c r="Q3715" s="71"/>
      <c r="R3715" s="84"/>
      <c r="S3715" s="10"/>
      <c r="T3715" s="10"/>
      <c r="U3715" s="10"/>
      <c r="V3715" s="10"/>
      <c r="W3715" s="138"/>
      <c r="Y3715"/>
      <c r="Z3715"/>
      <c r="AA3715"/>
      <c r="AB3715"/>
      <c r="AC3715"/>
      <c r="AD3715"/>
      <c r="AE3715"/>
      <c r="AF3715"/>
      <c r="AG3715"/>
      <c r="AH3715"/>
      <c r="AI3715"/>
      <c r="AJ3715"/>
      <c r="AK3715"/>
      <c r="AL3715"/>
      <c r="AM3715"/>
      <c r="AN3715"/>
      <c r="AO3715"/>
    </row>
    <row r="3716" spans="1:41" ht="15">
      <c r="A3716"/>
      <c r="B3716"/>
      <c r="C3716" s="137"/>
      <c r="D3716" s="30"/>
      <c r="E3716" s="30"/>
      <c r="F3716" s="10"/>
      <c r="G3716" s="10"/>
      <c r="H3716" s="15"/>
      <c r="I3716" s="15"/>
      <c r="J3716" s="15"/>
      <c r="K3716" s="15"/>
      <c r="L3716" s="15"/>
      <c r="M3716" s="15"/>
      <c r="N3716" s="15"/>
      <c r="O3716" s="15"/>
      <c r="P3716" s="15"/>
      <c r="Q3716" s="71"/>
      <c r="R3716" s="84"/>
      <c r="S3716" s="10"/>
      <c r="T3716" s="10"/>
      <c r="U3716" s="10"/>
      <c r="V3716" s="10"/>
      <c r="W3716" s="138"/>
      <c r="Y3716"/>
      <c r="Z3716"/>
      <c r="AA3716"/>
      <c r="AB3716"/>
      <c r="AC3716"/>
      <c r="AD3716"/>
      <c r="AE3716"/>
      <c r="AF3716"/>
      <c r="AG3716"/>
      <c r="AH3716"/>
      <c r="AI3716"/>
      <c r="AJ3716"/>
      <c r="AK3716"/>
      <c r="AL3716"/>
      <c r="AM3716"/>
      <c r="AN3716"/>
      <c r="AO3716"/>
    </row>
    <row r="3717" spans="1:41" ht="15">
      <c r="A3717"/>
      <c r="B3717"/>
      <c r="C3717" s="137"/>
      <c r="D3717" s="30"/>
      <c r="E3717" s="30"/>
      <c r="F3717" s="10"/>
      <c r="G3717" s="10"/>
      <c r="H3717" s="15"/>
      <c r="I3717" s="15"/>
      <c r="J3717" s="15"/>
      <c r="K3717" s="15"/>
      <c r="L3717" s="15"/>
      <c r="M3717" s="15"/>
      <c r="N3717" s="15"/>
      <c r="O3717" s="15"/>
      <c r="P3717" s="15"/>
      <c r="Q3717" s="71"/>
      <c r="R3717" s="84"/>
      <c r="S3717" s="10"/>
      <c r="T3717" s="10"/>
      <c r="U3717" s="10"/>
      <c r="V3717" s="10"/>
      <c r="W3717" s="138"/>
      <c r="Y3717"/>
      <c r="Z3717"/>
      <c r="AA3717"/>
      <c r="AB3717"/>
      <c r="AC3717"/>
      <c r="AD3717"/>
      <c r="AE3717"/>
      <c r="AF3717"/>
      <c r="AG3717"/>
      <c r="AH3717"/>
      <c r="AI3717"/>
      <c r="AJ3717"/>
      <c r="AK3717"/>
      <c r="AL3717"/>
      <c r="AM3717"/>
      <c r="AN3717"/>
      <c r="AO3717"/>
    </row>
    <row r="3718" spans="1:41" ht="15">
      <c r="A3718"/>
      <c r="B3718"/>
      <c r="C3718" s="137"/>
      <c r="D3718" s="30"/>
      <c r="E3718" s="30"/>
      <c r="F3718" s="10"/>
      <c r="G3718" s="10"/>
      <c r="H3718" s="15"/>
      <c r="I3718" s="15"/>
      <c r="J3718" s="15"/>
      <c r="K3718" s="15"/>
      <c r="L3718" s="15"/>
      <c r="M3718" s="15"/>
      <c r="N3718" s="15"/>
      <c r="O3718" s="15"/>
      <c r="P3718" s="15"/>
      <c r="Q3718" s="71"/>
      <c r="R3718" s="84"/>
      <c r="S3718" s="10"/>
      <c r="T3718" s="10"/>
      <c r="U3718" s="10"/>
      <c r="V3718" s="10"/>
      <c r="W3718" s="138"/>
      <c r="Y3718"/>
      <c r="Z3718"/>
      <c r="AA3718"/>
      <c r="AB3718"/>
      <c r="AC3718"/>
      <c r="AD3718"/>
      <c r="AE3718"/>
      <c r="AF3718"/>
      <c r="AG3718"/>
      <c r="AH3718"/>
      <c r="AI3718"/>
      <c r="AJ3718"/>
      <c r="AK3718"/>
      <c r="AL3718"/>
      <c r="AM3718"/>
      <c r="AN3718"/>
      <c r="AO3718"/>
    </row>
    <row r="3719" spans="1:41" ht="15">
      <c r="A3719"/>
      <c r="B3719"/>
      <c r="C3719" s="137"/>
      <c r="D3719" s="30"/>
      <c r="E3719" s="30"/>
      <c r="F3719" s="10"/>
      <c r="G3719" s="10"/>
      <c r="H3719" s="15"/>
      <c r="I3719" s="15"/>
      <c r="J3719" s="15"/>
      <c r="K3719" s="15"/>
      <c r="L3719" s="15"/>
      <c r="M3719" s="15"/>
      <c r="N3719" s="15"/>
      <c r="O3719" s="15"/>
      <c r="P3719" s="15"/>
      <c r="Q3719" s="71"/>
      <c r="R3719" s="84"/>
      <c r="S3719" s="10"/>
      <c r="T3719" s="10"/>
      <c r="U3719" s="10"/>
      <c r="V3719" s="10"/>
      <c r="W3719" s="138"/>
      <c r="Y3719"/>
      <c r="Z3719"/>
      <c r="AA3719"/>
      <c r="AB3719"/>
      <c r="AC3719"/>
      <c r="AD3719"/>
      <c r="AE3719"/>
      <c r="AF3719"/>
      <c r="AG3719"/>
      <c r="AH3719"/>
      <c r="AI3719"/>
      <c r="AJ3719"/>
      <c r="AK3719"/>
      <c r="AL3719"/>
      <c r="AM3719"/>
      <c r="AN3719"/>
      <c r="AO3719"/>
    </row>
    <row r="3720" spans="1:41" ht="15">
      <c r="A3720"/>
      <c r="B3720"/>
      <c r="C3720" s="137"/>
      <c r="D3720" s="30"/>
      <c r="E3720" s="30"/>
      <c r="F3720" s="10"/>
      <c r="G3720" s="10"/>
      <c r="H3720" s="15"/>
      <c r="I3720" s="15"/>
      <c r="J3720" s="15"/>
      <c r="K3720" s="15"/>
      <c r="L3720" s="15"/>
      <c r="M3720" s="15"/>
      <c r="N3720" s="15"/>
      <c r="O3720" s="15"/>
      <c r="P3720" s="15"/>
      <c r="Q3720" s="71"/>
      <c r="R3720" s="84"/>
      <c r="S3720" s="10"/>
      <c r="T3720" s="10"/>
      <c r="U3720" s="10"/>
      <c r="V3720" s="10"/>
      <c r="W3720" s="138"/>
      <c r="Y3720"/>
      <c r="Z3720"/>
      <c r="AA3720"/>
      <c r="AB3720"/>
      <c r="AC3720"/>
      <c r="AD3720"/>
      <c r="AE3720"/>
      <c r="AF3720"/>
      <c r="AG3720"/>
      <c r="AH3720"/>
      <c r="AI3720"/>
      <c r="AJ3720"/>
      <c r="AK3720"/>
      <c r="AL3720"/>
      <c r="AM3720"/>
      <c r="AN3720"/>
      <c r="AO3720"/>
    </row>
    <row r="3721" spans="1:41" ht="15">
      <c r="A3721"/>
      <c r="B3721"/>
      <c r="C3721" s="137"/>
      <c r="D3721" s="30"/>
      <c r="E3721" s="30"/>
      <c r="F3721" s="10"/>
      <c r="G3721" s="10"/>
      <c r="H3721" s="15"/>
      <c r="I3721" s="15"/>
      <c r="J3721" s="15"/>
      <c r="K3721" s="15"/>
      <c r="L3721" s="15"/>
      <c r="M3721" s="15"/>
      <c r="N3721" s="15"/>
      <c r="O3721" s="15"/>
      <c r="P3721" s="15"/>
      <c r="Q3721" s="71"/>
      <c r="R3721" s="84"/>
      <c r="S3721" s="10"/>
      <c r="T3721" s="10"/>
      <c r="U3721" s="10"/>
      <c r="V3721" s="10"/>
      <c r="W3721" s="138"/>
      <c r="Y3721"/>
      <c r="Z3721"/>
      <c r="AA3721"/>
      <c r="AB3721"/>
      <c r="AC3721"/>
      <c r="AD3721"/>
      <c r="AE3721"/>
      <c r="AF3721"/>
      <c r="AG3721"/>
      <c r="AH3721"/>
      <c r="AI3721"/>
      <c r="AJ3721"/>
      <c r="AK3721"/>
      <c r="AL3721"/>
      <c r="AM3721"/>
      <c r="AN3721"/>
      <c r="AO3721"/>
    </row>
    <row r="3722" spans="1:41" ht="15">
      <c r="A3722"/>
      <c r="B3722"/>
      <c r="C3722" s="137"/>
      <c r="D3722" s="30"/>
      <c r="E3722" s="30"/>
      <c r="F3722" s="10"/>
      <c r="G3722" s="10"/>
      <c r="H3722" s="15"/>
      <c r="I3722" s="15"/>
      <c r="J3722" s="15"/>
      <c r="K3722" s="15"/>
      <c r="L3722" s="15"/>
      <c r="M3722" s="15"/>
      <c r="N3722" s="15"/>
      <c r="O3722" s="15"/>
      <c r="P3722" s="15"/>
      <c r="Q3722" s="71"/>
      <c r="R3722" s="84"/>
      <c r="S3722" s="10"/>
      <c r="T3722" s="10"/>
      <c r="U3722" s="10"/>
      <c r="V3722" s="10"/>
      <c r="W3722" s="138"/>
      <c r="Y3722"/>
      <c r="Z3722"/>
      <c r="AA3722"/>
      <c r="AB3722"/>
      <c r="AC3722"/>
      <c r="AD3722"/>
      <c r="AE3722"/>
      <c r="AF3722"/>
      <c r="AG3722"/>
      <c r="AH3722"/>
      <c r="AI3722"/>
      <c r="AJ3722"/>
      <c r="AK3722"/>
      <c r="AL3722"/>
      <c r="AM3722"/>
      <c r="AN3722"/>
      <c r="AO3722"/>
    </row>
    <row r="3723" spans="1:41" ht="15">
      <c r="A3723"/>
      <c r="B3723"/>
      <c r="C3723" s="137"/>
      <c r="D3723" s="30"/>
      <c r="E3723" s="30"/>
      <c r="F3723" s="10"/>
      <c r="G3723" s="10"/>
      <c r="H3723" s="15"/>
      <c r="I3723" s="15"/>
      <c r="J3723" s="15"/>
      <c r="K3723" s="15"/>
      <c r="L3723" s="15"/>
      <c r="M3723" s="15"/>
      <c r="N3723" s="15"/>
      <c r="O3723" s="15"/>
      <c r="P3723" s="15"/>
      <c r="Q3723" s="71"/>
      <c r="R3723" s="84"/>
      <c r="S3723" s="10"/>
      <c r="T3723" s="10"/>
      <c r="U3723" s="10"/>
      <c r="V3723" s="10"/>
      <c r="W3723" s="138"/>
      <c r="Y3723"/>
      <c r="Z3723"/>
      <c r="AA3723"/>
      <c r="AB3723"/>
      <c r="AC3723"/>
      <c r="AD3723"/>
      <c r="AE3723"/>
      <c r="AF3723"/>
      <c r="AG3723"/>
      <c r="AH3723"/>
      <c r="AI3723"/>
      <c r="AJ3723"/>
      <c r="AK3723"/>
      <c r="AL3723"/>
      <c r="AM3723"/>
      <c r="AN3723"/>
      <c r="AO3723"/>
    </row>
    <row r="3724" spans="1:41" ht="15">
      <c r="A3724"/>
      <c r="B3724"/>
      <c r="C3724" s="137"/>
      <c r="D3724" s="30"/>
      <c r="E3724" s="30"/>
      <c r="F3724" s="10"/>
      <c r="G3724" s="10"/>
      <c r="H3724" s="15"/>
      <c r="I3724" s="15"/>
      <c r="J3724" s="15"/>
      <c r="K3724" s="15"/>
      <c r="L3724" s="15"/>
      <c r="M3724" s="15"/>
      <c r="N3724" s="15"/>
      <c r="O3724" s="15"/>
      <c r="P3724" s="15"/>
      <c r="Q3724" s="71"/>
      <c r="R3724" s="84"/>
      <c r="S3724" s="10"/>
      <c r="T3724" s="10"/>
      <c r="U3724" s="10"/>
      <c r="V3724" s="10"/>
      <c r="W3724" s="138"/>
      <c r="Y3724"/>
      <c r="Z3724"/>
      <c r="AA3724"/>
      <c r="AB3724"/>
      <c r="AC3724"/>
      <c r="AD3724"/>
      <c r="AE3724"/>
      <c r="AF3724"/>
      <c r="AG3724"/>
      <c r="AH3724"/>
      <c r="AI3724"/>
      <c r="AJ3724"/>
      <c r="AK3724"/>
      <c r="AL3724"/>
      <c r="AM3724"/>
      <c r="AN3724"/>
      <c r="AO3724"/>
    </row>
    <row r="3725" spans="1:41" ht="15">
      <c r="A3725"/>
      <c r="B3725"/>
      <c r="C3725" s="137"/>
      <c r="D3725" s="30"/>
      <c r="E3725" s="30"/>
      <c r="F3725" s="10"/>
      <c r="G3725" s="10"/>
      <c r="H3725" s="15"/>
      <c r="I3725" s="15"/>
      <c r="J3725" s="15"/>
      <c r="K3725" s="15"/>
      <c r="L3725" s="15"/>
      <c r="M3725" s="15"/>
      <c r="N3725" s="15"/>
      <c r="O3725" s="15"/>
      <c r="P3725" s="15"/>
      <c r="Q3725" s="71"/>
      <c r="R3725" s="84"/>
      <c r="S3725" s="10"/>
      <c r="T3725" s="10"/>
      <c r="U3725" s="10"/>
      <c r="V3725" s="10"/>
      <c r="W3725" s="138"/>
      <c r="Y3725"/>
      <c r="Z3725"/>
      <c r="AA3725"/>
      <c r="AB3725"/>
      <c r="AC3725"/>
      <c r="AD3725"/>
      <c r="AE3725"/>
      <c r="AF3725"/>
      <c r="AG3725"/>
      <c r="AH3725"/>
      <c r="AI3725"/>
      <c r="AJ3725"/>
      <c r="AK3725"/>
      <c r="AL3725"/>
      <c r="AM3725"/>
      <c r="AN3725"/>
      <c r="AO3725"/>
    </row>
    <row r="3726" spans="1:41" ht="15">
      <c r="A3726"/>
      <c r="B3726"/>
      <c r="C3726" s="137"/>
      <c r="D3726" s="30"/>
      <c r="E3726" s="30"/>
      <c r="F3726" s="10"/>
      <c r="G3726" s="10"/>
      <c r="H3726" s="15"/>
      <c r="I3726" s="15"/>
      <c r="J3726" s="15"/>
      <c r="K3726" s="15"/>
      <c r="L3726" s="15"/>
      <c r="M3726" s="15"/>
      <c r="N3726" s="15"/>
      <c r="O3726" s="15"/>
      <c r="P3726" s="15"/>
      <c r="Q3726" s="71"/>
      <c r="R3726" s="84"/>
      <c r="S3726" s="10"/>
      <c r="T3726" s="10"/>
      <c r="U3726" s="10"/>
      <c r="V3726" s="10"/>
      <c r="W3726" s="138"/>
      <c r="Y3726"/>
      <c r="Z3726"/>
      <c r="AA3726"/>
      <c r="AB3726"/>
      <c r="AC3726"/>
      <c r="AD3726"/>
      <c r="AE3726"/>
      <c r="AF3726"/>
      <c r="AG3726"/>
      <c r="AH3726"/>
      <c r="AI3726"/>
      <c r="AJ3726"/>
      <c r="AK3726"/>
      <c r="AL3726"/>
      <c r="AM3726"/>
      <c r="AN3726"/>
      <c r="AO3726"/>
    </row>
    <row r="3727" spans="1:41" ht="15">
      <c r="A3727"/>
      <c r="B3727"/>
      <c r="C3727" s="137"/>
      <c r="D3727" s="30"/>
      <c r="E3727" s="30"/>
      <c r="F3727" s="10"/>
      <c r="G3727" s="10"/>
      <c r="H3727" s="15"/>
      <c r="I3727" s="15"/>
      <c r="J3727" s="15"/>
      <c r="K3727" s="15"/>
      <c r="L3727" s="15"/>
      <c r="M3727" s="15"/>
      <c r="N3727" s="15"/>
      <c r="O3727" s="15"/>
      <c r="P3727" s="15"/>
      <c r="Q3727" s="71"/>
      <c r="R3727" s="84"/>
      <c r="S3727" s="10"/>
      <c r="T3727" s="10"/>
      <c r="U3727" s="10"/>
      <c r="V3727" s="10"/>
      <c r="W3727" s="138"/>
      <c r="Y3727"/>
      <c r="Z3727"/>
      <c r="AA3727"/>
      <c r="AB3727"/>
      <c r="AC3727"/>
      <c r="AD3727"/>
      <c r="AE3727"/>
      <c r="AF3727"/>
      <c r="AG3727"/>
      <c r="AH3727"/>
      <c r="AI3727"/>
      <c r="AJ3727"/>
      <c r="AK3727"/>
      <c r="AL3727"/>
      <c r="AM3727"/>
      <c r="AN3727"/>
      <c r="AO3727"/>
    </row>
    <row r="3728" spans="1:41" ht="15">
      <c r="A3728"/>
      <c r="B3728"/>
      <c r="C3728" s="137"/>
      <c r="D3728" s="30"/>
      <c r="E3728" s="30"/>
      <c r="F3728" s="10"/>
      <c r="G3728" s="10"/>
      <c r="H3728" s="15"/>
      <c r="I3728" s="15"/>
      <c r="J3728" s="15"/>
      <c r="K3728" s="15"/>
      <c r="L3728" s="15"/>
      <c r="M3728" s="15"/>
      <c r="N3728" s="15"/>
      <c r="O3728" s="15"/>
      <c r="P3728" s="15"/>
      <c r="Q3728" s="71"/>
      <c r="R3728" s="84"/>
      <c r="S3728" s="10"/>
      <c r="T3728" s="10"/>
      <c r="U3728" s="10"/>
      <c r="V3728" s="10"/>
      <c r="W3728" s="138"/>
      <c r="Y3728"/>
      <c r="Z3728"/>
      <c r="AA3728"/>
      <c r="AB3728"/>
      <c r="AC3728"/>
      <c r="AD3728"/>
      <c r="AE3728"/>
      <c r="AF3728"/>
      <c r="AG3728"/>
      <c r="AH3728"/>
      <c r="AI3728"/>
      <c r="AJ3728"/>
      <c r="AK3728"/>
      <c r="AL3728"/>
      <c r="AM3728"/>
      <c r="AN3728"/>
      <c r="AO3728"/>
    </row>
    <row r="3729" spans="1:41" ht="15">
      <c r="A3729"/>
      <c r="B3729"/>
      <c r="C3729" s="137"/>
      <c r="D3729" s="30"/>
      <c r="E3729" s="30"/>
      <c r="F3729" s="10"/>
      <c r="G3729" s="10"/>
      <c r="H3729" s="15"/>
      <c r="I3729" s="15"/>
      <c r="J3729" s="15"/>
      <c r="K3729" s="15"/>
      <c r="L3729" s="15"/>
      <c r="M3729" s="15"/>
      <c r="N3729" s="15"/>
      <c r="O3729" s="15"/>
      <c r="P3729" s="15"/>
      <c r="Q3729" s="71"/>
      <c r="R3729" s="84"/>
      <c r="S3729" s="10"/>
      <c r="T3729" s="10"/>
      <c r="U3729" s="10"/>
      <c r="V3729" s="10"/>
      <c r="W3729" s="138"/>
      <c r="Y3729"/>
      <c r="Z3729"/>
      <c r="AA3729"/>
      <c r="AB3729"/>
      <c r="AC3729"/>
      <c r="AD3729"/>
      <c r="AE3729"/>
      <c r="AF3729"/>
      <c r="AG3729"/>
      <c r="AH3729"/>
      <c r="AI3729"/>
      <c r="AJ3729"/>
      <c r="AK3729"/>
      <c r="AL3729"/>
      <c r="AM3729"/>
      <c r="AN3729"/>
      <c r="AO3729"/>
    </row>
    <row r="3730" spans="1:41" ht="15">
      <c r="A3730"/>
      <c r="B3730"/>
      <c r="C3730" s="137"/>
      <c r="D3730" s="30"/>
      <c r="E3730" s="30"/>
      <c r="F3730" s="10"/>
      <c r="G3730" s="10"/>
      <c r="H3730" s="15"/>
      <c r="I3730" s="15"/>
      <c r="J3730" s="15"/>
      <c r="K3730" s="15"/>
      <c r="L3730" s="15"/>
      <c r="M3730" s="15"/>
      <c r="N3730" s="15"/>
      <c r="O3730" s="15"/>
      <c r="P3730" s="15"/>
      <c r="Q3730" s="71"/>
      <c r="R3730" s="84"/>
      <c r="S3730" s="10"/>
      <c r="T3730" s="10"/>
      <c r="U3730" s="10"/>
      <c r="V3730" s="10"/>
      <c r="W3730" s="138"/>
      <c r="Y3730"/>
      <c r="Z3730"/>
      <c r="AA3730"/>
      <c r="AB3730"/>
      <c r="AC3730"/>
      <c r="AD3730"/>
      <c r="AE3730"/>
      <c r="AF3730"/>
      <c r="AG3730"/>
      <c r="AH3730"/>
      <c r="AI3730"/>
      <c r="AJ3730"/>
      <c r="AK3730"/>
      <c r="AL3730"/>
      <c r="AM3730"/>
      <c r="AN3730"/>
      <c r="AO3730"/>
    </row>
    <row r="3731" spans="1:41" ht="15">
      <c r="A3731"/>
      <c r="B3731"/>
      <c r="C3731" s="137"/>
      <c r="D3731" s="30"/>
      <c r="E3731" s="30"/>
      <c r="F3731" s="10"/>
      <c r="G3731" s="10"/>
      <c r="H3731" s="15"/>
      <c r="I3731" s="15"/>
      <c r="J3731" s="15"/>
      <c r="K3731" s="15"/>
      <c r="L3731" s="15"/>
      <c r="M3731" s="15"/>
      <c r="N3731" s="15"/>
      <c r="O3731" s="15"/>
      <c r="P3731" s="15"/>
      <c r="Q3731" s="71"/>
      <c r="R3731" s="84"/>
      <c r="S3731" s="10"/>
      <c r="T3731" s="10"/>
      <c r="U3731" s="10"/>
      <c r="V3731" s="10"/>
      <c r="W3731" s="138"/>
      <c r="Y3731"/>
      <c r="Z3731"/>
      <c r="AA3731"/>
      <c r="AB3731"/>
      <c r="AC3731"/>
      <c r="AD3731"/>
      <c r="AE3731"/>
      <c r="AF3731"/>
      <c r="AG3731"/>
      <c r="AH3731"/>
      <c r="AI3731"/>
      <c r="AJ3731"/>
      <c r="AK3731"/>
      <c r="AL3731"/>
      <c r="AM3731"/>
      <c r="AN3731"/>
      <c r="AO3731"/>
    </row>
    <row r="3732" spans="1:41" ht="15">
      <c r="A3732"/>
      <c r="B3732"/>
      <c r="C3732" s="137"/>
      <c r="D3732" s="30"/>
      <c r="E3732" s="30"/>
      <c r="F3732" s="10"/>
      <c r="G3732" s="10"/>
      <c r="H3732" s="15"/>
      <c r="I3732" s="15"/>
      <c r="J3732" s="15"/>
      <c r="K3732" s="15"/>
      <c r="L3732" s="15"/>
      <c r="M3732" s="15"/>
      <c r="N3732" s="15"/>
      <c r="O3732" s="15"/>
      <c r="P3732" s="15"/>
      <c r="Q3732" s="71"/>
      <c r="R3732" s="84"/>
      <c r="S3732" s="10"/>
      <c r="T3732" s="10"/>
      <c r="U3732" s="10"/>
      <c r="V3732" s="10"/>
      <c r="W3732" s="138"/>
      <c r="Y3732"/>
      <c r="Z3732"/>
      <c r="AA3732"/>
      <c r="AB3732"/>
      <c r="AC3732"/>
      <c r="AD3732"/>
      <c r="AE3732"/>
      <c r="AF3732"/>
      <c r="AG3732"/>
      <c r="AH3732"/>
      <c r="AI3732"/>
      <c r="AJ3732"/>
      <c r="AK3732"/>
      <c r="AL3732"/>
      <c r="AM3732"/>
      <c r="AN3732"/>
      <c r="AO3732"/>
    </row>
    <row r="3733" spans="1:41" ht="15">
      <c r="A3733"/>
      <c r="B3733"/>
      <c r="C3733" s="137"/>
      <c r="D3733" s="30"/>
      <c r="E3733" s="30"/>
      <c r="F3733" s="10"/>
      <c r="G3733" s="10"/>
      <c r="H3733" s="15"/>
      <c r="I3733" s="15"/>
      <c r="J3733" s="15"/>
      <c r="K3733" s="15"/>
      <c r="L3733" s="15"/>
      <c r="M3733" s="15"/>
      <c r="N3733" s="15"/>
      <c r="O3733" s="15"/>
      <c r="P3733" s="15"/>
      <c r="Q3733" s="71"/>
      <c r="R3733" s="84"/>
      <c r="S3733" s="10"/>
      <c r="T3733" s="10"/>
      <c r="U3733" s="10"/>
      <c r="V3733" s="10"/>
      <c r="W3733" s="138"/>
      <c r="Y3733"/>
      <c r="Z3733"/>
      <c r="AA3733"/>
      <c r="AB3733"/>
      <c r="AC3733"/>
      <c r="AD3733"/>
      <c r="AE3733"/>
      <c r="AF3733"/>
      <c r="AG3733"/>
      <c r="AH3733"/>
      <c r="AI3733"/>
      <c r="AJ3733"/>
      <c r="AK3733"/>
      <c r="AL3733"/>
      <c r="AM3733"/>
      <c r="AN3733"/>
      <c r="AO3733"/>
    </row>
    <row r="3734" spans="1:41" ht="15">
      <c r="A3734"/>
      <c r="B3734"/>
      <c r="C3734" s="137"/>
      <c r="D3734" s="30"/>
      <c r="E3734" s="30"/>
      <c r="F3734" s="10"/>
      <c r="G3734" s="10"/>
      <c r="H3734" s="15"/>
      <c r="I3734" s="15"/>
      <c r="J3734" s="15"/>
      <c r="K3734" s="15"/>
      <c r="L3734" s="15"/>
      <c r="M3734" s="15"/>
      <c r="N3734" s="15"/>
      <c r="O3734" s="15"/>
      <c r="P3734" s="15"/>
      <c r="Q3734" s="71"/>
      <c r="R3734" s="84"/>
      <c r="S3734" s="10"/>
      <c r="T3734" s="10"/>
      <c r="U3734" s="10"/>
      <c r="V3734" s="10"/>
      <c r="W3734" s="138"/>
      <c r="Y3734"/>
      <c r="Z3734"/>
      <c r="AA3734"/>
      <c r="AB3734"/>
      <c r="AC3734"/>
      <c r="AD3734"/>
      <c r="AE3734"/>
      <c r="AF3734"/>
      <c r="AG3734"/>
      <c r="AH3734"/>
      <c r="AI3734"/>
      <c r="AJ3734"/>
      <c r="AK3734"/>
      <c r="AL3734"/>
      <c r="AM3734"/>
      <c r="AN3734"/>
      <c r="AO3734"/>
    </row>
    <row r="3735" spans="1:41" ht="15">
      <c r="A3735"/>
      <c r="B3735"/>
      <c r="C3735" s="137"/>
      <c r="D3735" s="30"/>
      <c r="E3735" s="30"/>
      <c r="F3735" s="10"/>
      <c r="G3735" s="10"/>
      <c r="H3735" s="15"/>
      <c r="I3735" s="15"/>
      <c r="J3735" s="15"/>
      <c r="K3735" s="15"/>
      <c r="L3735" s="15"/>
      <c r="M3735" s="15"/>
      <c r="N3735" s="15"/>
      <c r="O3735" s="15"/>
      <c r="P3735" s="15"/>
      <c r="Q3735" s="71"/>
      <c r="R3735" s="84"/>
      <c r="S3735" s="10"/>
      <c r="T3735" s="10"/>
      <c r="U3735" s="10"/>
      <c r="V3735" s="10"/>
      <c r="W3735" s="138"/>
      <c r="Y3735"/>
      <c r="Z3735"/>
      <c r="AA3735"/>
      <c r="AB3735"/>
      <c r="AC3735"/>
      <c r="AD3735"/>
      <c r="AE3735"/>
      <c r="AF3735"/>
      <c r="AG3735"/>
      <c r="AH3735"/>
      <c r="AI3735"/>
      <c r="AJ3735"/>
      <c r="AK3735"/>
      <c r="AL3735"/>
      <c r="AM3735"/>
      <c r="AN3735"/>
      <c r="AO3735"/>
    </row>
    <row r="3736" spans="1:41" ht="15">
      <c r="A3736"/>
      <c r="B3736"/>
      <c r="C3736" s="137"/>
      <c r="D3736" s="30"/>
      <c r="E3736" s="30"/>
      <c r="F3736" s="10"/>
      <c r="G3736" s="10"/>
      <c r="H3736" s="15"/>
      <c r="I3736" s="15"/>
      <c r="J3736" s="15"/>
      <c r="K3736" s="15"/>
      <c r="L3736" s="15"/>
      <c r="M3736" s="15"/>
      <c r="N3736" s="15"/>
      <c r="O3736" s="15"/>
      <c r="P3736" s="15"/>
      <c r="Q3736" s="71"/>
      <c r="R3736" s="84"/>
      <c r="S3736" s="10"/>
      <c r="T3736" s="10"/>
      <c r="U3736" s="10"/>
      <c r="V3736" s="10"/>
      <c r="W3736" s="138"/>
      <c r="Y3736"/>
      <c r="Z3736"/>
      <c r="AA3736"/>
      <c r="AB3736"/>
      <c r="AC3736"/>
      <c r="AD3736"/>
      <c r="AE3736"/>
      <c r="AF3736"/>
      <c r="AG3736"/>
      <c r="AH3736"/>
      <c r="AI3736"/>
      <c r="AJ3736"/>
      <c r="AK3736"/>
      <c r="AL3736"/>
      <c r="AM3736"/>
      <c r="AN3736"/>
      <c r="AO3736"/>
    </row>
    <row r="3737" spans="1:41" ht="15">
      <c r="A3737"/>
      <c r="B3737"/>
      <c r="C3737" s="137"/>
      <c r="D3737" s="30"/>
      <c r="E3737" s="30"/>
      <c r="F3737" s="10"/>
      <c r="G3737" s="10"/>
      <c r="H3737" s="15"/>
      <c r="I3737" s="15"/>
      <c r="J3737" s="15"/>
      <c r="K3737" s="15"/>
      <c r="L3737" s="15"/>
      <c r="M3737" s="15"/>
      <c r="N3737" s="15"/>
      <c r="O3737" s="15"/>
      <c r="P3737" s="15"/>
      <c r="Q3737" s="71"/>
      <c r="R3737" s="84"/>
      <c r="S3737" s="10"/>
      <c r="T3737" s="10"/>
      <c r="U3737" s="10"/>
      <c r="V3737" s="10"/>
      <c r="W3737" s="138"/>
      <c r="Y3737"/>
      <c r="Z3737"/>
      <c r="AA3737"/>
      <c r="AB3737"/>
      <c r="AC3737"/>
      <c r="AD3737"/>
      <c r="AE3737"/>
      <c r="AF3737"/>
      <c r="AG3737"/>
      <c r="AH3737"/>
      <c r="AI3737"/>
      <c r="AJ3737"/>
      <c r="AK3737"/>
      <c r="AL3737"/>
      <c r="AM3737"/>
      <c r="AN3737"/>
      <c r="AO3737"/>
    </row>
    <row r="3738" spans="1:41" ht="15">
      <c r="A3738"/>
      <c r="B3738"/>
      <c r="C3738" s="137"/>
      <c r="D3738" s="30"/>
      <c r="E3738" s="30"/>
      <c r="F3738" s="10"/>
      <c r="G3738" s="10"/>
      <c r="H3738" s="15"/>
      <c r="I3738" s="15"/>
      <c r="J3738" s="15"/>
      <c r="K3738" s="15"/>
      <c r="L3738" s="15"/>
      <c r="M3738" s="15"/>
      <c r="N3738" s="15"/>
      <c r="O3738" s="15"/>
      <c r="P3738" s="15"/>
      <c r="Q3738" s="71"/>
      <c r="R3738" s="84"/>
      <c r="S3738" s="10"/>
      <c r="T3738" s="10"/>
      <c r="U3738" s="10"/>
      <c r="V3738" s="10"/>
      <c r="W3738" s="138"/>
      <c r="Y3738"/>
      <c r="Z3738"/>
      <c r="AA3738"/>
      <c r="AB3738"/>
      <c r="AC3738"/>
      <c r="AD3738"/>
      <c r="AE3738"/>
      <c r="AF3738"/>
      <c r="AG3738"/>
      <c r="AH3738"/>
      <c r="AI3738"/>
      <c r="AJ3738"/>
      <c r="AK3738"/>
      <c r="AL3738"/>
      <c r="AM3738"/>
      <c r="AN3738"/>
      <c r="AO3738"/>
    </row>
    <row r="3739" spans="1:41" ht="15">
      <c r="A3739"/>
      <c r="B3739"/>
      <c r="C3739" s="137"/>
      <c r="D3739" s="30"/>
      <c r="E3739" s="30"/>
      <c r="F3739" s="10"/>
      <c r="G3739" s="10"/>
      <c r="H3739" s="15"/>
      <c r="I3739" s="15"/>
      <c r="J3739" s="15"/>
      <c r="K3739" s="15"/>
      <c r="L3739" s="15"/>
      <c r="M3739" s="15"/>
      <c r="N3739" s="15"/>
      <c r="O3739" s="15"/>
      <c r="P3739" s="15"/>
      <c r="Q3739" s="71"/>
      <c r="R3739" s="84"/>
      <c r="S3739" s="10"/>
      <c r="T3739" s="10"/>
      <c r="U3739" s="10"/>
      <c r="V3739" s="10"/>
      <c r="W3739" s="138"/>
      <c r="Y3739"/>
      <c r="Z3739"/>
      <c r="AA3739"/>
      <c r="AB3739"/>
      <c r="AC3739"/>
      <c r="AD3739"/>
      <c r="AE3739"/>
      <c r="AF3739"/>
      <c r="AG3739"/>
      <c r="AH3739"/>
      <c r="AI3739"/>
      <c r="AJ3739"/>
      <c r="AK3739"/>
      <c r="AL3739"/>
      <c r="AM3739"/>
      <c r="AN3739"/>
      <c r="AO3739"/>
    </row>
    <row r="3740" spans="1:41" ht="15">
      <c r="A3740"/>
      <c r="B3740"/>
      <c r="C3740" s="137"/>
      <c r="D3740" s="30"/>
      <c r="E3740" s="30"/>
      <c r="F3740" s="10"/>
      <c r="G3740" s="10"/>
      <c r="H3740" s="15"/>
      <c r="I3740" s="15"/>
      <c r="J3740" s="15"/>
      <c r="K3740" s="15"/>
      <c r="L3740" s="15"/>
      <c r="M3740" s="15"/>
      <c r="N3740" s="15"/>
      <c r="O3740" s="15"/>
      <c r="P3740" s="15"/>
      <c r="Q3740" s="71"/>
      <c r="R3740" s="84"/>
      <c r="S3740" s="10"/>
      <c r="T3740" s="10"/>
      <c r="U3740" s="10"/>
      <c r="V3740" s="10"/>
      <c r="W3740" s="138"/>
      <c r="Y3740"/>
      <c r="Z3740"/>
      <c r="AA3740"/>
      <c r="AB3740"/>
      <c r="AC3740"/>
      <c r="AD3740"/>
      <c r="AE3740"/>
      <c r="AF3740"/>
      <c r="AG3740"/>
      <c r="AH3740"/>
      <c r="AI3740"/>
      <c r="AJ3740"/>
      <c r="AK3740"/>
      <c r="AL3740"/>
      <c r="AM3740"/>
      <c r="AN3740"/>
      <c r="AO3740"/>
    </row>
    <row r="3741" spans="1:41" ht="15">
      <c r="A3741"/>
      <c r="B3741"/>
      <c r="C3741" s="137"/>
      <c r="D3741" s="30"/>
      <c r="E3741" s="30"/>
      <c r="F3741" s="10"/>
      <c r="G3741" s="10"/>
      <c r="H3741" s="15"/>
      <c r="I3741" s="15"/>
      <c r="J3741" s="15"/>
      <c r="K3741" s="15"/>
      <c r="L3741" s="15"/>
      <c r="M3741" s="15"/>
      <c r="N3741" s="15"/>
      <c r="O3741" s="15"/>
      <c r="P3741" s="15"/>
      <c r="Q3741" s="71"/>
      <c r="R3741" s="84"/>
      <c r="S3741" s="10"/>
      <c r="T3741" s="10"/>
      <c r="U3741" s="10"/>
      <c r="V3741" s="10"/>
      <c r="W3741" s="138"/>
      <c r="Y3741"/>
      <c r="Z3741"/>
      <c r="AA3741"/>
      <c r="AB3741"/>
      <c r="AC3741"/>
      <c r="AD3741"/>
      <c r="AE3741"/>
      <c r="AF3741"/>
      <c r="AG3741"/>
      <c r="AH3741"/>
      <c r="AI3741"/>
      <c r="AJ3741"/>
      <c r="AK3741"/>
      <c r="AL3741"/>
      <c r="AM3741"/>
      <c r="AN3741"/>
      <c r="AO3741"/>
    </row>
    <row r="3742" spans="1:41" ht="15">
      <c r="A3742"/>
      <c r="B3742"/>
      <c r="C3742" s="137"/>
      <c r="D3742" s="30"/>
      <c r="E3742" s="30"/>
      <c r="F3742" s="10"/>
      <c r="G3742" s="10"/>
      <c r="H3742" s="15"/>
      <c r="I3742" s="15"/>
      <c r="J3742" s="15"/>
      <c r="K3742" s="15"/>
      <c r="L3742" s="15"/>
      <c r="M3742" s="15"/>
      <c r="N3742" s="15"/>
      <c r="O3742" s="15"/>
      <c r="P3742" s="15"/>
      <c r="Q3742" s="71"/>
      <c r="R3742" s="84"/>
      <c r="S3742" s="10"/>
      <c r="T3742" s="10"/>
      <c r="U3742" s="10"/>
      <c r="V3742" s="10"/>
      <c r="W3742" s="138"/>
      <c r="Y3742"/>
      <c r="Z3742"/>
      <c r="AA3742"/>
      <c r="AB3742"/>
      <c r="AC3742"/>
      <c r="AD3742"/>
      <c r="AE3742"/>
      <c r="AF3742"/>
      <c r="AG3742"/>
      <c r="AH3742"/>
      <c r="AI3742"/>
      <c r="AJ3742"/>
      <c r="AK3742"/>
      <c r="AL3742"/>
      <c r="AM3742"/>
      <c r="AN3742"/>
      <c r="AO3742"/>
    </row>
    <row r="3743" spans="1:41" ht="15">
      <c r="A3743"/>
      <c r="B3743"/>
      <c r="C3743" s="137"/>
      <c r="D3743" s="30"/>
      <c r="E3743" s="30"/>
      <c r="F3743" s="10"/>
      <c r="G3743" s="10"/>
      <c r="H3743" s="15"/>
      <c r="I3743" s="15"/>
      <c r="J3743" s="15"/>
      <c r="K3743" s="15"/>
      <c r="L3743" s="15"/>
      <c r="M3743" s="15"/>
      <c r="N3743" s="15"/>
      <c r="O3743" s="15"/>
      <c r="P3743" s="15"/>
      <c r="Q3743" s="71"/>
      <c r="R3743" s="84"/>
      <c r="S3743" s="10"/>
      <c r="T3743" s="10"/>
      <c r="U3743" s="10"/>
      <c r="V3743" s="10"/>
      <c r="W3743" s="138"/>
      <c r="Y3743"/>
      <c r="Z3743"/>
      <c r="AA3743"/>
      <c r="AB3743"/>
      <c r="AC3743"/>
      <c r="AD3743"/>
      <c r="AE3743"/>
      <c r="AF3743"/>
      <c r="AG3743"/>
      <c r="AH3743"/>
      <c r="AI3743"/>
      <c r="AJ3743"/>
      <c r="AK3743"/>
      <c r="AL3743"/>
      <c r="AM3743"/>
      <c r="AN3743"/>
      <c r="AO3743"/>
    </row>
    <row r="3744" spans="1:41" ht="15">
      <c r="A3744"/>
      <c r="B3744"/>
      <c r="C3744" s="137"/>
      <c r="D3744" s="30"/>
      <c r="E3744" s="30"/>
      <c r="F3744" s="10"/>
      <c r="G3744" s="10"/>
      <c r="H3744" s="15"/>
      <c r="I3744" s="15"/>
      <c r="J3744" s="15"/>
      <c r="K3744" s="15"/>
      <c r="L3744" s="15"/>
      <c r="M3744" s="15"/>
      <c r="N3744" s="15"/>
      <c r="O3744" s="15"/>
      <c r="P3744" s="15"/>
      <c r="Q3744" s="71"/>
      <c r="R3744" s="84"/>
      <c r="S3744" s="10"/>
      <c r="T3744" s="10"/>
      <c r="U3744" s="10"/>
      <c r="V3744" s="10"/>
      <c r="W3744" s="138"/>
      <c r="Y3744"/>
      <c r="Z3744"/>
      <c r="AA3744"/>
      <c r="AB3744"/>
      <c r="AC3744"/>
      <c r="AD3744"/>
      <c r="AE3744"/>
      <c r="AF3744"/>
      <c r="AG3744"/>
      <c r="AH3744"/>
      <c r="AI3744"/>
      <c r="AJ3744"/>
      <c r="AK3744"/>
      <c r="AL3744"/>
      <c r="AM3744"/>
      <c r="AN3744"/>
      <c r="AO3744"/>
    </row>
    <row r="3745" spans="1:41" ht="15">
      <c r="A3745"/>
      <c r="B3745"/>
      <c r="C3745" s="137"/>
      <c r="D3745" s="30"/>
      <c r="E3745" s="30"/>
      <c r="F3745" s="10"/>
      <c r="G3745" s="10"/>
      <c r="H3745" s="15"/>
      <c r="I3745" s="15"/>
      <c r="J3745" s="15"/>
      <c r="K3745" s="15"/>
      <c r="L3745" s="15"/>
      <c r="M3745" s="15"/>
      <c r="N3745" s="15"/>
      <c r="O3745" s="15"/>
      <c r="P3745" s="15"/>
      <c r="Q3745" s="71"/>
      <c r="R3745" s="84"/>
      <c r="S3745" s="10"/>
      <c r="T3745" s="10"/>
      <c r="U3745" s="10"/>
      <c r="V3745" s="10"/>
      <c r="W3745" s="138"/>
      <c r="Y3745"/>
      <c r="Z3745"/>
      <c r="AA3745"/>
      <c r="AB3745"/>
      <c r="AC3745"/>
      <c r="AD3745"/>
      <c r="AE3745"/>
      <c r="AF3745"/>
      <c r="AG3745"/>
      <c r="AH3745"/>
      <c r="AI3745"/>
      <c r="AJ3745"/>
      <c r="AK3745"/>
      <c r="AL3745"/>
      <c r="AM3745"/>
      <c r="AN3745"/>
      <c r="AO3745"/>
    </row>
    <row r="3746" spans="1:41" ht="15">
      <c r="A3746"/>
      <c r="B3746"/>
      <c r="C3746" s="137"/>
      <c r="D3746" s="30"/>
      <c r="E3746" s="30"/>
      <c r="F3746" s="10"/>
      <c r="G3746" s="10"/>
      <c r="H3746" s="15"/>
      <c r="I3746" s="15"/>
      <c r="J3746" s="15"/>
      <c r="K3746" s="15"/>
      <c r="L3746" s="15"/>
      <c r="M3746" s="15"/>
      <c r="N3746" s="15"/>
      <c r="O3746" s="15"/>
      <c r="P3746" s="15"/>
      <c r="Q3746" s="71"/>
      <c r="R3746" s="84"/>
      <c r="S3746" s="10"/>
      <c r="T3746" s="10"/>
      <c r="U3746" s="10"/>
      <c r="V3746" s="10"/>
      <c r="W3746" s="138"/>
      <c r="Y3746"/>
      <c r="Z3746"/>
      <c r="AA3746"/>
      <c r="AB3746"/>
      <c r="AC3746"/>
      <c r="AD3746"/>
      <c r="AE3746"/>
      <c r="AF3746"/>
      <c r="AG3746"/>
      <c r="AH3746"/>
      <c r="AI3746"/>
      <c r="AJ3746"/>
      <c r="AK3746"/>
      <c r="AL3746"/>
      <c r="AM3746"/>
      <c r="AN3746"/>
      <c r="AO3746"/>
    </row>
    <row r="3747" spans="1:41" ht="15">
      <c r="A3747"/>
      <c r="B3747"/>
      <c r="C3747" s="137"/>
      <c r="D3747" s="30"/>
      <c r="E3747" s="30"/>
      <c r="F3747" s="10"/>
      <c r="G3747" s="10"/>
      <c r="H3747" s="15"/>
      <c r="I3747" s="15"/>
      <c r="J3747" s="15"/>
      <c r="K3747" s="15"/>
      <c r="L3747" s="15"/>
      <c r="M3747" s="15"/>
      <c r="N3747" s="15"/>
      <c r="O3747" s="15"/>
      <c r="P3747" s="15"/>
      <c r="Q3747" s="71"/>
      <c r="R3747" s="84"/>
      <c r="S3747" s="10"/>
      <c r="T3747" s="10"/>
      <c r="U3747" s="10"/>
      <c r="V3747" s="10"/>
      <c r="W3747" s="138"/>
      <c r="Y3747"/>
      <c r="Z3747"/>
      <c r="AA3747"/>
      <c r="AB3747"/>
      <c r="AC3747"/>
      <c r="AD3747"/>
      <c r="AE3747"/>
      <c r="AF3747"/>
      <c r="AG3747"/>
      <c r="AH3747"/>
      <c r="AI3747"/>
      <c r="AJ3747"/>
      <c r="AK3747"/>
      <c r="AL3747"/>
      <c r="AM3747"/>
      <c r="AN3747"/>
      <c r="AO3747"/>
    </row>
    <row r="3748" spans="1:41" ht="15">
      <c r="A3748"/>
      <c r="B3748"/>
      <c r="C3748" s="137"/>
      <c r="D3748" s="30"/>
      <c r="E3748" s="30"/>
      <c r="F3748" s="10"/>
      <c r="G3748" s="10"/>
      <c r="H3748" s="15"/>
      <c r="I3748" s="15"/>
      <c r="J3748" s="15"/>
      <c r="K3748" s="15"/>
      <c r="L3748" s="15"/>
      <c r="M3748" s="15"/>
      <c r="N3748" s="15"/>
      <c r="O3748" s="15"/>
      <c r="P3748" s="15"/>
      <c r="Q3748" s="71"/>
      <c r="R3748" s="84"/>
      <c r="S3748" s="10"/>
      <c r="T3748" s="10"/>
      <c r="U3748" s="10"/>
      <c r="V3748" s="10"/>
      <c r="W3748" s="138"/>
      <c r="Y3748"/>
      <c r="Z3748"/>
      <c r="AA3748"/>
      <c r="AB3748"/>
      <c r="AC3748"/>
      <c r="AD3748"/>
      <c r="AE3748"/>
      <c r="AF3748"/>
      <c r="AG3748"/>
      <c r="AH3748"/>
      <c r="AI3748"/>
      <c r="AJ3748"/>
      <c r="AK3748"/>
      <c r="AL3748"/>
      <c r="AM3748"/>
      <c r="AN3748"/>
      <c r="AO3748"/>
    </row>
    <row r="3749" spans="1:41" ht="15">
      <c r="A3749"/>
      <c r="B3749"/>
      <c r="C3749" s="137"/>
      <c r="D3749" s="30"/>
      <c r="E3749" s="30"/>
      <c r="F3749" s="10"/>
      <c r="G3749" s="10"/>
      <c r="H3749" s="15"/>
      <c r="I3749" s="15"/>
      <c r="J3749" s="15"/>
      <c r="K3749" s="15"/>
      <c r="L3749" s="15"/>
      <c r="M3749" s="15"/>
      <c r="N3749" s="15"/>
      <c r="O3749" s="15"/>
      <c r="P3749" s="15"/>
      <c r="Q3749" s="71"/>
      <c r="R3749" s="84"/>
      <c r="S3749" s="10"/>
      <c r="T3749" s="10"/>
      <c r="U3749" s="10"/>
      <c r="V3749" s="10"/>
      <c r="W3749" s="138"/>
      <c r="Y3749"/>
      <c r="Z3749"/>
      <c r="AA3749"/>
      <c r="AB3749"/>
      <c r="AC3749"/>
      <c r="AD3749"/>
      <c r="AE3749"/>
      <c r="AF3749"/>
      <c r="AG3749"/>
      <c r="AH3749"/>
      <c r="AI3749"/>
      <c r="AJ3749"/>
      <c r="AK3749"/>
      <c r="AL3749"/>
      <c r="AM3749"/>
      <c r="AN3749"/>
      <c r="AO3749"/>
    </row>
    <row r="3750" spans="1:41" ht="15">
      <c r="A3750"/>
      <c r="B3750"/>
      <c r="C3750" s="137"/>
      <c r="D3750" s="30"/>
      <c r="E3750" s="30"/>
      <c r="F3750" s="10"/>
      <c r="G3750" s="10"/>
      <c r="H3750" s="15"/>
      <c r="I3750" s="15"/>
      <c r="J3750" s="15"/>
      <c r="K3750" s="15"/>
      <c r="L3750" s="15"/>
      <c r="M3750" s="15"/>
      <c r="N3750" s="15"/>
      <c r="O3750" s="15"/>
      <c r="P3750" s="15"/>
      <c r="Q3750" s="71"/>
      <c r="R3750" s="84"/>
      <c r="S3750" s="10"/>
      <c r="T3750" s="10"/>
      <c r="U3750" s="10"/>
      <c r="V3750" s="10"/>
      <c r="W3750" s="138"/>
      <c r="Y3750"/>
      <c r="Z3750"/>
      <c r="AA3750"/>
      <c r="AB3750"/>
      <c r="AC3750"/>
      <c r="AD3750"/>
      <c r="AE3750"/>
      <c r="AF3750"/>
      <c r="AG3750"/>
      <c r="AH3750"/>
      <c r="AI3750"/>
      <c r="AJ3750"/>
      <c r="AK3750"/>
      <c r="AL3750"/>
      <c r="AM3750"/>
      <c r="AN3750"/>
      <c r="AO3750"/>
    </row>
    <row r="3751" spans="1:41" ht="15">
      <c r="A3751"/>
      <c r="B3751"/>
      <c r="C3751" s="137"/>
      <c r="D3751" s="30"/>
      <c r="E3751" s="30"/>
      <c r="F3751" s="10"/>
      <c r="G3751" s="10"/>
      <c r="H3751" s="15"/>
      <c r="I3751" s="15"/>
      <c r="J3751" s="15"/>
      <c r="K3751" s="15"/>
      <c r="L3751" s="15"/>
      <c r="M3751" s="15"/>
      <c r="N3751" s="15"/>
      <c r="O3751" s="15"/>
      <c r="P3751" s="15"/>
      <c r="Q3751" s="71"/>
      <c r="R3751" s="84"/>
      <c r="S3751" s="10"/>
      <c r="T3751" s="10"/>
      <c r="U3751" s="10"/>
      <c r="V3751" s="10"/>
      <c r="W3751" s="138"/>
      <c r="Y3751"/>
      <c r="Z3751"/>
      <c r="AA3751"/>
      <c r="AB3751"/>
      <c r="AC3751"/>
      <c r="AD3751"/>
      <c r="AE3751"/>
      <c r="AF3751"/>
      <c r="AG3751"/>
      <c r="AH3751"/>
      <c r="AI3751"/>
      <c r="AJ3751"/>
      <c r="AK3751"/>
      <c r="AL3751"/>
      <c r="AM3751"/>
      <c r="AN3751"/>
      <c r="AO3751"/>
    </row>
    <row r="3752" spans="1:41" ht="15">
      <c r="A3752"/>
      <c r="B3752"/>
      <c r="C3752" s="137"/>
      <c r="D3752" s="30"/>
      <c r="E3752" s="30"/>
      <c r="F3752" s="10"/>
      <c r="G3752" s="10"/>
      <c r="H3752" s="15"/>
      <c r="I3752" s="15"/>
      <c r="J3752" s="15"/>
      <c r="K3752" s="15"/>
      <c r="L3752" s="15"/>
      <c r="M3752" s="15"/>
      <c r="N3752" s="15"/>
      <c r="O3752" s="15"/>
      <c r="P3752" s="15"/>
      <c r="Q3752" s="71"/>
      <c r="R3752" s="84"/>
      <c r="S3752" s="10"/>
      <c r="T3752" s="10"/>
      <c r="U3752" s="10"/>
      <c r="V3752" s="10"/>
      <c r="W3752" s="138"/>
      <c r="Y3752"/>
      <c r="Z3752"/>
      <c r="AA3752"/>
      <c r="AB3752"/>
      <c r="AC3752"/>
      <c r="AD3752"/>
      <c r="AE3752"/>
      <c r="AF3752"/>
      <c r="AG3752"/>
      <c r="AH3752"/>
      <c r="AI3752"/>
      <c r="AJ3752"/>
      <c r="AK3752"/>
      <c r="AL3752"/>
      <c r="AM3752"/>
      <c r="AN3752"/>
      <c r="AO3752"/>
    </row>
    <row r="3753" spans="1:41" ht="15">
      <c r="A3753"/>
      <c r="B3753"/>
      <c r="C3753" s="137"/>
      <c r="D3753" s="30"/>
      <c r="E3753" s="30"/>
      <c r="F3753" s="10"/>
      <c r="G3753" s="10"/>
      <c r="H3753" s="15"/>
      <c r="I3753" s="15"/>
      <c r="J3753" s="15"/>
      <c r="K3753" s="15"/>
      <c r="L3753" s="15"/>
      <c r="M3753" s="15"/>
      <c r="N3753" s="15"/>
      <c r="O3753" s="15"/>
      <c r="P3753" s="15"/>
      <c r="Q3753" s="71"/>
      <c r="R3753" s="84"/>
      <c r="S3753" s="10"/>
      <c r="T3753" s="10"/>
      <c r="U3753" s="10"/>
      <c r="V3753" s="10"/>
      <c r="W3753" s="138"/>
      <c r="Y3753"/>
      <c r="Z3753"/>
      <c r="AA3753"/>
      <c r="AB3753"/>
      <c r="AC3753"/>
      <c r="AD3753"/>
      <c r="AE3753"/>
      <c r="AF3753"/>
      <c r="AG3753"/>
      <c r="AH3753"/>
      <c r="AI3753"/>
      <c r="AJ3753"/>
      <c r="AK3753"/>
      <c r="AL3753"/>
      <c r="AM3753"/>
      <c r="AN3753"/>
      <c r="AO3753"/>
    </row>
    <row r="3754" spans="1:41" ht="15">
      <c r="A3754"/>
      <c r="B3754"/>
      <c r="C3754" s="137"/>
      <c r="D3754" s="30"/>
      <c r="E3754" s="30"/>
      <c r="F3754" s="10"/>
      <c r="G3754" s="10"/>
      <c r="H3754" s="15"/>
      <c r="I3754" s="15"/>
      <c r="J3754" s="15"/>
      <c r="K3754" s="15"/>
      <c r="L3754" s="15"/>
      <c r="M3754" s="15"/>
      <c r="N3754" s="15"/>
      <c r="O3754" s="15"/>
      <c r="P3754" s="15"/>
      <c r="Q3754" s="71"/>
      <c r="R3754" s="84"/>
      <c r="S3754" s="10"/>
      <c r="T3754" s="10"/>
      <c r="U3754" s="10"/>
      <c r="V3754" s="10"/>
      <c r="W3754" s="138"/>
      <c r="Y3754"/>
      <c r="Z3754"/>
      <c r="AA3754"/>
      <c r="AB3754"/>
      <c r="AC3754"/>
      <c r="AD3754"/>
      <c r="AE3754"/>
      <c r="AF3754"/>
      <c r="AG3754"/>
      <c r="AH3754"/>
      <c r="AI3754"/>
      <c r="AJ3754"/>
      <c r="AK3754"/>
      <c r="AL3754"/>
      <c r="AM3754"/>
      <c r="AN3754"/>
      <c r="AO3754"/>
    </row>
    <row r="3755" spans="1:41" ht="15">
      <c r="A3755"/>
      <c r="B3755"/>
      <c r="C3755" s="137"/>
      <c r="D3755" s="30"/>
      <c r="E3755" s="30"/>
      <c r="F3755" s="10"/>
      <c r="G3755" s="10"/>
      <c r="H3755" s="15"/>
      <c r="I3755" s="15"/>
      <c r="J3755" s="15"/>
      <c r="K3755" s="15"/>
      <c r="L3755" s="15"/>
      <c r="M3755" s="15"/>
      <c r="N3755" s="15"/>
      <c r="O3755" s="15"/>
      <c r="P3755" s="15"/>
      <c r="Q3755" s="71"/>
      <c r="R3755" s="84"/>
      <c r="S3755" s="10"/>
      <c r="T3755" s="10"/>
      <c r="U3755" s="10"/>
      <c r="V3755" s="10"/>
      <c r="W3755" s="138"/>
      <c r="Y3755"/>
      <c r="Z3755"/>
      <c r="AA3755"/>
      <c r="AB3755"/>
      <c r="AC3755"/>
      <c r="AD3755"/>
      <c r="AE3755"/>
      <c r="AF3755"/>
      <c r="AG3755"/>
      <c r="AH3755"/>
      <c r="AI3755"/>
      <c r="AJ3755"/>
      <c r="AK3755"/>
      <c r="AL3755"/>
      <c r="AM3755"/>
      <c r="AN3755"/>
      <c r="AO3755"/>
    </row>
    <row r="3756" spans="1:41" ht="15">
      <c r="A3756"/>
      <c r="B3756"/>
      <c r="C3756" s="137"/>
      <c r="D3756" s="30"/>
      <c r="E3756" s="30"/>
      <c r="F3756" s="10"/>
      <c r="G3756" s="10"/>
      <c r="H3756" s="15"/>
      <c r="I3756" s="15"/>
      <c r="J3756" s="15"/>
      <c r="K3756" s="15"/>
      <c r="L3756" s="15"/>
      <c r="M3756" s="15"/>
      <c r="N3756" s="15"/>
      <c r="O3756" s="15"/>
      <c r="P3756" s="15"/>
      <c r="Q3756" s="71"/>
      <c r="R3756" s="84"/>
      <c r="S3756" s="10"/>
      <c r="T3756" s="10"/>
      <c r="U3756" s="10"/>
      <c r="V3756" s="10"/>
      <c r="W3756" s="138"/>
      <c r="Y3756"/>
      <c r="Z3756"/>
      <c r="AA3756"/>
      <c r="AB3756"/>
      <c r="AC3756"/>
      <c r="AD3756"/>
      <c r="AE3756"/>
      <c r="AF3756"/>
      <c r="AG3756"/>
      <c r="AH3756"/>
      <c r="AI3756"/>
      <c r="AJ3756"/>
      <c r="AK3756"/>
      <c r="AL3756"/>
      <c r="AM3756"/>
      <c r="AN3756"/>
      <c r="AO3756"/>
    </row>
    <row r="3757" spans="1:41" ht="15">
      <c r="A3757"/>
      <c r="B3757"/>
      <c r="C3757" s="137"/>
      <c r="D3757" s="30"/>
      <c r="E3757" s="30"/>
      <c r="F3757" s="10"/>
      <c r="G3757" s="10"/>
      <c r="H3757" s="15"/>
      <c r="I3757" s="15"/>
      <c r="J3757" s="15"/>
      <c r="K3757" s="15"/>
      <c r="L3757" s="15"/>
      <c r="M3757" s="15"/>
      <c r="N3757" s="15"/>
      <c r="O3757" s="15"/>
      <c r="P3757" s="15"/>
      <c r="Q3757" s="71"/>
      <c r="R3757" s="84"/>
      <c r="S3757" s="10"/>
      <c r="T3757" s="10"/>
      <c r="U3757" s="10"/>
      <c r="V3757" s="10"/>
      <c r="W3757" s="138"/>
      <c r="Y3757"/>
      <c r="Z3757"/>
      <c r="AA3757"/>
      <c r="AB3757"/>
      <c r="AC3757"/>
      <c r="AD3757"/>
      <c r="AE3757"/>
      <c r="AF3757"/>
      <c r="AG3757"/>
      <c r="AH3757"/>
      <c r="AI3757"/>
      <c r="AJ3757"/>
      <c r="AK3757"/>
      <c r="AL3757"/>
      <c r="AM3757"/>
      <c r="AN3757"/>
      <c r="AO3757"/>
    </row>
    <row r="3758" spans="1:41" ht="15">
      <c r="A3758"/>
      <c r="B3758"/>
      <c r="C3758" s="137"/>
      <c r="D3758" s="30"/>
      <c r="E3758" s="30"/>
      <c r="F3758" s="10"/>
      <c r="G3758" s="10"/>
      <c r="H3758" s="15"/>
      <c r="I3758" s="15"/>
      <c r="J3758" s="15"/>
      <c r="K3758" s="15"/>
      <c r="L3758" s="15"/>
      <c r="M3758" s="15"/>
      <c r="N3758" s="15"/>
      <c r="O3758" s="15"/>
      <c r="P3758" s="15"/>
      <c r="Q3758" s="71"/>
      <c r="R3758" s="84"/>
      <c r="S3758" s="10"/>
      <c r="T3758" s="10"/>
      <c r="U3758" s="10"/>
      <c r="V3758" s="10"/>
      <c r="W3758" s="138"/>
      <c r="Y3758"/>
      <c r="Z3758"/>
      <c r="AA3758"/>
      <c r="AB3758"/>
      <c r="AC3758"/>
      <c r="AD3758"/>
      <c r="AE3758"/>
      <c r="AF3758"/>
      <c r="AG3758"/>
      <c r="AH3758"/>
      <c r="AI3758"/>
      <c r="AJ3758"/>
      <c r="AK3758"/>
      <c r="AL3758"/>
      <c r="AM3758"/>
      <c r="AN3758"/>
      <c r="AO3758"/>
    </row>
    <row r="3759" spans="1:41" ht="15">
      <c r="A3759"/>
      <c r="B3759"/>
      <c r="C3759" s="137"/>
      <c r="D3759" s="30"/>
      <c r="E3759" s="30"/>
      <c r="F3759" s="10"/>
      <c r="G3759" s="10"/>
      <c r="H3759" s="15"/>
      <c r="I3759" s="15"/>
      <c r="J3759" s="15"/>
      <c r="K3759" s="15"/>
      <c r="L3759" s="15"/>
      <c r="M3759" s="15"/>
      <c r="N3759" s="15"/>
      <c r="O3759" s="15"/>
      <c r="P3759" s="15"/>
      <c r="Q3759" s="71"/>
      <c r="R3759" s="84"/>
      <c r="S3759" s="10"/>
      <c r="T3759" s="10"/>
      <c r="U3759" s="10"/>
      <c r="V3759" s="10"/>
      <c r="W3759" s="138"/>
      <c r="Y3759"/>
      <c r="Z3759"/>
      <c r="AA3759"/>
      <c r="AB3759"/>
      <c r="AC3759"/>
      <c r="AD3759"/>
      <c r="AE3759"/>
      <c r="AF3759"/>
      <c r="AG3759"/>
      <c r="AH3759"/>
      <c r="AI3759"/>
      <c r="AJ3759"/>
      <c r="AK3759"/>
      <c r="AL3759"/>
      <c r="AM3759"/>
      <c r="AN3759"/>
      <c r="AO3759"/>
    </row>
    <row r="3760" spans="1:41" ht="15">
      <c r="A3760"/>
      <c r="B3760"/>
      <c r="C3760" s="137"/>
      <c r="D3760" s="30"/>
      <c r="E3760" s="30"/>
      <c r="F3760" s="10"/>
      <c r="G3760" s="10"/>
      <c r="H3760" s="15"/>
      <c r="I3760" s="15"/>
      <c r="J3760" s="15"/>
      <c r="K3760" s="15"/>
      <c r="L3760" s="15"/>
      <c r="M3760" s="15"/>
      <c r="N3760" s="15"/>
      <c r="O3760" s="15"/>
      <c r="P3760" s="15"/>
      <c r="Q3760" s="71"/>
      <c r="R3760" s="84"/>
      <c r="S3760" s="10"/>
      <c r="T3760" s="10"/>
      <c r="U3760" s="10"/>
      <c r="V3760" s="10"/>
      <c r="W3760" s="138"/>
      <c r="Y3760"/>
      <c r="Z3760"/>
      <c r="AA3760"/>
      <c r="AB3760"/>
      <c r="AC3760"/>
      <c r="AD3760"/>
      <c r="AE3760"/>
      <c r="AF3760"/>
      <c r="AG3760"/>
      <c r="AH3760"/>
      <c r="AI3760"/>
      <c r="AJ3760"/>
      <c r="AK3760"/>
      <c r="AL3760"/>
      <c r="AM3760"/>
      <c r="AN3760"/>
      <c r="AO3760"/>
    </row>
    <row r="3761" spans="1:41" ht="15">
      <c r="A3761"/>
      <c r="B3761"/>
      <c r="C3761" s="137"/>
      <c r="D3761" s="30"/>
      <c r="E3761" s="30"/>
      <c r="F3761" s="10"/>
      <c r="G3761" s="10"/>
      <c r="H3761" s="15"/>
      <c r="I3761" s="15"/>
      <c r="J3761" s="15"/>
      <c r="K3761" s="15"/>
      <c r="L3761" s="15"/>
      <c r="M3761" s="15"/>
      <c r="N3761" s="15"/>
      <c r="O3761" s="15"/>
      <c r="P3761" s="15"/>
      <c r="Q3761" s="71"/>
      <c r="R3761" s="84"/>
      <c r="S3761" s="10"/>
      <c r="T3761" s="10"/>
      <c r="U3761" s="10"/>
      <c r="V3761" s="10"/>
      <c r="W3761" s="138"/>
      <c r="Y3761"/>
      <c r="Z3761"/>
      <c r="AA3761"/>
      <c r="AB3761"/>
      <c r="AC3761"/>
      <c r="AD3761"/>
      <c r="AE3761"/>
      <c r="AF3761"/>
      <c r="AG3761"/>
      <c r="AH3761"/>
      <c r="AI3761"/>
      <c r="AJ3761"/>
      <c r="AK3761"/>
      <c r="AL3761"/>
      <c r="AM3761"/>
      <c r="AN3761"/>
      <c r="AO3761"/>
    </row>
    <row r="3762" spans="1:41" ht="15">
      <c r="A3762"/>
      <c r="B3762"/>
      <c r="C3762" s="137"/>
      <c r="D3762" s="30"/>
      <c r="E3762" s="30"/>
      <c r="F3762" s="10"/>
      <c r="G3762" s="10"/>
      <c r="H3762" s="15"/>
      <c r="I3762" s="15"/>
      <c r="J3762" s="15"/>
      <c r="K3762" s="15"/>
      <c r="L3762" s="15"/>
      <c r="M3762" s="15"/>
      <c r="N3762" s="15"/>
      <c r="O3762" s="15"/>
      <c r="P3762" s="15"/>
      <c r="Q3762" s="71"/>
      <c r="R3762" s="84"/>
      <c r="S3762" s="10"/>
      <c r="T3762" s="10"/>
      <c r="U3762" s="10"/>
      <c r="V3762" s="10"/>
      <c r="W3762" s="138"/>
      <c r="Y3762"/>
      <c r="Z3762"/>
      <c r="AA3762"/>
      <c r="AB3762"/>
      <c r="AC3762"/>
      <c r="AD3762"/>
      <c r="AE3762"/>
      <c r="AF3762"/>
      <c r="AG3762"/>
      <c r="AH3762"/>
      <c r="AI3762"/>
      <c r="AJ3762"/>
      <c r="AK3762"/>
      <c r="AL3762"/>
      <c r="AM3762"/>
      <c r="AN3762"/>
      <c r="AO3762"/>
    </row>
    <row r="3763" spans="1:41" ht="15">
      <c r="A3763"/>
      <c r="B3763"/>
      <c r="C3763" s="137"/>
      <c r="D3763" s="30"/>
      <c r="E3763" s="30"/>
      <c r="F3763" s="10"/>
      <c r="G3763" s="10"/>
      <c r="H3763" s="15"/>
      <c r="I3763" s="15"/>
      <c r="J3763" s="15"/>
      <c r="K3763" s="15"/>
      <c r="L3763" s="15"/>
      <c r="M3763" s="15"/>
      <c r="N3763" s="15"/>
      <c r="O3763" s="15"/>
      <c r="P3763" s="15"/>
      <c r="Q3763" s="71"/>
      <c r="R3763" s="84"/>
      <c r="S3763" s="10"/>
      <c r="T3763" s="10"/>
      <c r="U3763" s="10"/>
      <c r="V3763" s="10"/>
      <c r="W3763" s="138"/>
      <c r="Y3763"/>
      <c r="Z3763"/>
      <c r="AA3763"/>
      <c r="AB3763"/>
      <c r="AC3763"/>
      <c r="AD3763"/>
      <c r="AE3763"/>
      <c r="AF3763"/>
      <c r="AG3763"/>
      <c r="AH3763"/>
      <c r="AI3763"/>
      <c r="AJ3763"/>
      <c r="AK3763"/>
      <c r="AL3763"/>
      <c r="AM3763"/>
      <c r="AN3763"/>
      <c r="AO3763"/>
    </row>
    <row r="3764" spans="1:41" ht="15">
      <c r="A3764"/>
      <c r="B3764"/>
      <c r="C3764" s="137"/>
      <c r="D3764" s="30"/>
      <c r="E3764" s="30"/>
      <c r="F3764" s="10"/>
      <c r="G3764" s="10"/>
      <c r="H3764" s="15"/>
      <c r="I3764" s="15"/>
      <c r="J3764" s="15"/>
      <c r="K3764" s="15"/>
      <c r="L3764" s="15"/>
      <c r="M3764" s="15"/>
      <c r="N3764" s="15"/>
      <c r="O3764" s="15"/>
      <c r="P3764" s="15"/>
      <c r="Q3764" s="71"/>
      <c r="R3764" s="84"/>
      <c r="S3764" s="10"/>
      <c r="T3764" s="10"/>
      <c r="U3764" s="10"/>
      <c r="V3764" s="10"/>
      <c r="W3764" s="138"/>
      <c r="Y3764"/>
      <c r="Z3764"/>
      <c r="AA3764"/>
      <c r="AB3764"/>
      <c r="AC3764"/>
      <c r="AD3764"/>
      <c r="AE3764"/>
      <c r="AF3764"/>
      <c r="AG3764"/>
      <c r="AH3764"/>
      <c r="AI3764"/>
      <c r="AJ3764"/>
      <c r="AK3764"/>
      <c r="AL3764"/>
      <c r="AM3764"/>
      <c r="AN3764"/>
      <c r="AO3764"/>
    </row>
    <row r="3765" spans="1:41" ht="15">
      <c r="A3765"/>
      <c r="B3765"/>
      <c r="C3765" s="137"/>
      <c r="D3765" s="30"/>
      <c r="E3765" s="30"/>
      <c r="F3765" s="10"/>
      <c r="G3765" s="10"/>
      <c r="H3765" s="15"/>
      <c r="I3765" s="15"/>
      <c r="J3765" s="15"/>
      <c r="K3765" s="15"/>
      <c r="L3765" s="15"/>
      <c r="M3765" s="15"/>
      <c r="N3765" s="15"/>
      <c r="O3765" s="15"/>
      <c r="P3765" s="15"/>
      <c r="Q3765" s="71"/>
      <c r="R3765" s="84"/>
      <c r="S3765" s="10"/>
      <c r="T3765" s="10"/>
      <c r="U3765" s="10"/>
      <c r="V3765" s="10"/>
      <c r="W3765" s="138"/>
      <c r="Y3765"/>
      <c r="Z3765"/>
      <c r="AA3765"/>
      <c r="AB3765"/>
      <c r="AC3765"/>
      <c r="AD3765"/>
      <c r="AE3765"/>
      <c r="AF3765"/>
      <c r="AG3765"/>
      <c r="AH3765"/>
      <c r="AI3765"/>
      <c r="AJ3765"/>
      <c r="AK3765"/>
      <c r="AL3765"/>
      <c r="AM3765"/>
      <c r="AN3765"/>
      <c r="AO3765"/>
    </row>
    <row r="3766" spans="1:41" ht="15">
      <c r="A3766"/>
      <c r="B3766"/>
      <c r="C3766" s="137"/>
      <c r="D3766" s="30"/>
      <c r="E3766" s="30"/>
      <c r="F3766" s="10"/>
      <c r="G3766" s="10"/>
      <c r="H3766" s="15"/>
      <c r="I3766" s="15"/>
      <c r="J3766" s="15"/>
      <c r="K3766" s="15"/>
      <c r="L3766" s="15"/>
      <c r="M3766" s="15"/>
      <c r="N3766" s="15"/>
      <c r="O3766" s="15"/>
      <c r="P3766" s="15"/>
      <c r="Q3766" s="71"/>
      <c r="R3766" s="84"/>
      <c r="S3766" s="10"/>
      <c r="T3766" s="10"/>
      <c r="U3766" s="10"/>
      <c r="V3766" s="10"/>
      <c r="W3766" s="138"/>
      <c r="Y3766"/>
      <c r="Z3766"/>
      <c r="AA3766"/>
      <c r="AB3766"/>
      <c r="AC3766"/>
      <c r="AD3766"/>
      <c r="AE3766"/>
      <c r="AF3766"/>
      <c r="AG3766"/>
      <c r="AH3766"/>
      <c r="AI3766"/>
      <c r="AJ3766"/>
      <c r="AK3766"/>
      <c r="AL3766"/>
      <c r="AM3766"/>
      <c r="AN3766"/>
      <c r="AO3766"/>
    </row>
    <row r="3767" spans="1:41" ht="15">
      <c r="A3767"/>
      <c r="B3767"/>
      <c r="C3767" s="137"/>
      <c r="D3767" s="30"/>
      <c r="E3767" s="30"/>
      <c r="F3767" s="10"/>
      <c r="G3767" s="10"/>
      <c r="H3767" s="15"/>
      <c r="I3767" s="15"/>
      <c r="J3767" s="15"/>
      <c r="K3767" s="15"/>
      <c r="L3767" s="15"/>
      <c r="M3767" s="15"/>
      <c r="N3767" s="15"/>
      <c r="O3767" s="15"/>
      <c r="P3767" s="15"/>
      <c r="Q3767" s="71"/>
      <c r="R3767" s="84"/>
      <c r="S3767" s="10"/>
      <c r="T3767" s="10"/>
      <c r="U3767" s="10"/>
      <c r="V3767" s="10"/>
      <c r="W3767" s="138"/>
      <c r="Y3767"/>
      <c r="Z3767"/>
      <c r="AA3767"/>
      <c r="AB3767"/>
      <c r="AC3767"/>
      <c r="AD3767"/>
      <c r="AE3767"/>
      <c r="AF3767"/>
      <c r="AG3767"/>
      <c r="AH3767"/>
      <c r="AI3767"/>
      <c r="AJ3767"/>
      <c r="AK3767"/>
      <c r="AL3767"/>
      <c r="AM3767"/>
      <c r="AN3767"/>
      <c r="AO3767"/>
    </row>
    <row r="3768" spans="1:41" ht="15">
      <c r="A3768"/>
      <c r="B3768"/>
      <c r="C3768" s="137"/>
      <c r="D3768" s="30"/>
      <c r="E3768" s="30"/>
      <c r="F3768" s="10"/>
      <c r="G3768" s="10"/>
      <c r="H3768" s="15"/>
      <c r="I3768" s="15"/>
      <c r="J3768" s="15"/>
      <c r="K3768" s="15"/>
      <c r="L3768" s="15"/>
      <c r="M3768" s="15"/>
      <c r="N3768" s="15"/>
      <c r="O3768" s="15"/>
      <c r="P3768" s="15"/>
      <c r="Q3768" s="71"/>
      <c r="R3768" s="84"/>
      <c r="S3768" s="10"/>
      <c r="T3768" s="10"/>
      <c r="U3768" s="10"/>
      <c r="V3768" s="10"/>
      <c r="W3768" s="138"/>
      <c r="Y3768"/>
      <c r="Z3768"/>
      <c r="AA3768"/>
      <c r="AB3768"/>
      <c r="AC3768"/>
      <c r="AD3768"/>
      <c r="AE3768"/>
      <c r="AF3768"/>
      <c r="AG3768"/>
      <c r="AH3768"/>
      <c r="AI3768"/>
      <c r="AJ3768"/>
      <c r="AK3768"/>
      <c r="AL3768"/>
      <c r="AM3768"/>
      <c r="AN3768"/>
      <c r="AO3768"/>
    </row>
    <row r="3769" spans="1:41" ht="15">
      <c r="A3769"/>
      <c r="B3769"/>
      <c r="C3769" s="137"/>
      <c r="D3769" s="30"/>
      <c r="E3769" s="30"/>
      <c r="F3769" s="10"/>
      <c r="G3769" s="10"/>
      <c r="H3769" s="15"/>
      <c r="I3769" s="15"/>
      <c r="J3769" s="15"/>
      <c r="K3769" s="15"/>
      <c r="L3769" s="15"/>
      <c r="M3769" s="15"/>
      <c r="N3769" s="15"/>
      <c r="O3769" s="15"/>
      <c r="P3769" s="15"/>
      <c r="Q3769" s="71"/>
      <c r="R3769" s="84"/>
      <c r="S3769" s="10"/>
      <c r="T3769" s="10"/>
      <c r="U3769" s="10"/>
      <c r="V3769" s="10"/>
      <c r="W3769" s="138"/>
      <c r="Y3769"/>
      <c r="Z3769"/>
      <c r="AA3769"/>
      <c r="AB3769"/>
      <c r="AC3769"/>
      <c r="AD3769"/>
      <c r="AE3769"/>
      <c r="AF3769"/>
      <c r="AG3769"/>
      <c r="AH3769"/>
      <c r="AI3769"/>
      <c r="AJ3769"/>
      <c r="AK3769"/>
      <c r="AL3769"/>
      <c r="AM3769"/>
      <c r="AN3769"/>
      <c r="AO3769"/>
    </row>
    <row r="3770" spans="1:41" ht="15">
      <c r="A3770"/>
      <c r="B3770"/>
      <c r="C3770" s="137"/>
      <c r="D3770" s="30"/>
      <c r="E3770" s="30"/>
      <c r="F3770" s="10"/>
      <c r="G3770" s="10"/>
      <c r="H3770" s="15"/>
      <c r="I3770" s="15"/>
      <c r="J3770" s="15"/>
      <c r="K3770" s="15"/>
      <c r="L3770" s="15"/>
      <c r="M3770" s="15"/>
      <c r="N3770" s="15"/>
      <c r="O3770" s="15"/>
      <c r="P3770" s="15"/>
      <c r="Q3770" s="71"/>
      <c r="R3770" s="84"/>
      <c r="S3770" s="10"/>
      <c r="T3770" s="10"/>
      <c r="U3770" s="10"/>
      <c r="V3770" s="10"/>
      <c r="W3770" s="138"/>
      <c r="Y3770"/>
      <c r="Z3770"/>
      <c r="AA3770"/>
      <c r="AB3770"/>
      <c r="AC3770"/>
      <c r="AD3770"/>
      <c r="AE3770"/>
      <c r="AF3770"/>
      <c r="AG3770"/>
      <c r="AH3770"/>
      <c r="AI3770"/>
      <c r="AJ3770"/>
      <c r="AK3770"/>
      <c r="AL3770"/>
      <c r="AM3770"/>
      <c r="AN3770"/>
      <c r="AO3770"/>
    </row>
    <row r="3771" spans="1:41" ht="15">
      <c r="A3771"/>
      <c r="B3771"/>
      <c r="C3771" s="137"/>
      <c r="D3771" s="30"/>
      <c r="E3771" s="30"/>
      <c r="F3771" s="10"/>
      <c r="G3771" s="10"/>
      <c r="H3771" s="15"/>
      <c r="I3771" s="15"/>
      <c r="J3771" s="15"/>
      <c r="K3771" s="15"/>
      <c r="L3771" s="15"/>
      <c r="M3771" s="15"/>
      <c r="N3771" s="15"/>
      <c r="O3771" s="15"/>
      <c r="P3771" s="15"/>
      <c r="Q3771" s="71"/>
      <c r="R3771" s="84"/>
      <c r="S3771" s="10"/>
      <c r="T3771" s="10"/>
      <c r="U3771" s="10"/>
      <c r="V3771" s="10"/>
      <c r="W3771" s="138"/>
      <c r="Y3771"/>
      <c r="Z3771"/>
      <c r="AA3771"/>
      <c r="AB3771"/>
      <c r="AC3771"/>
      <c r="AD3771"/>
      <c r="AE3771"/>
      <c r="AF3771"/>
      <c r="AG3771"/>
      <c r="AH3771"/>
      <c r="AI3771"/>
      <c r="AJ3771"/>
      <c r="AK3771"/>
      <c r="AL3771"/>
      <c r="AM3771"/>
      <c r="AN3771"/>
      <c r="AO3771"/>
    </row>
    <row r="3772" spans="1:41" ht="15">
      <c r="A3772"/>
      <c r="B3772"/>
      <c r="C3772" s="137"/>
      <c r="D3772" s="30"/>
      <c r="E3772" s="30"/>
      <c r="F3772" s="10"/>
      <c r="G3772" s="10"/>
      <c r="H3772" s="15"/>
      <c r="I3772" s="15"/>
      <c r="J3772" s="15"/>
      <c r="K3772" s="15"/>
      <c r="L3772" s="15"/>
      <c r="M3772" s="15"/>
      <c r="N3772" s="15"/>
      <c r="O3772" s="15"/>
      <c r="P3772" s="15"/>
      <c r="Q3772" s="71"/>
      <c r="R3772" s="84"/>
      <c r="S3772" s="10"/>
      <c r="T3772" s="10"/>
      <c r="U3772" s="10"/>
      <c r="V3772" s="10"/>
      <c r="W3772" s="138"/>
      <c r="Y3772"/>
      <c r="Z3772"/>
      <c r="AA3772"/>
      <c r="AB3772"/>
      <c r="AC3772"/>
      <c r="AD3772"/>
      <c r="AE3772"/>
      <c r="AF3772"/>
      <c r="AG3772"/>
      <c r="AH3772"/>
      <c r="AI3772"/>
      <c r="AJ3772"/>
      <c r="AK3772"/>
      <c r="AL3772"/>
      <c r="AM3772"/>
      <c r="AN3772"/>
      <c r="AO3772"/>
    </row>
    <row r="3773" spans="1:41" ht="15">
      <c r="A3773"/>
      <c r="B3773"/>
      <c r="C3773" s="137"/>
      <c r="D3773" s="30"/>
      <c r="E3773" s="30"/>
      <c r="F3773" s="10"/>
      <c r="G3773" s="10"/>
      <c r="H3773" s="15"/>
      <c r="I3773" s="15"/>
      <c r="J3773" s="15"/>
      <c r="K3773" s="15"/>
      <c r="L3773" s="15"/>
      <c r="M3773" s="15"/>
      <c r="N3773" s="15"/>
      <c r="O3773" s="15"/>
      <c r="P3773" s="15"/>
      <c r="Q3773" s="71"/>
      <c r="R3773" s="84"/>
      <c r="S3773" s="10"/>
      <c r="T3773" s="10"/>
      <c r="U3773" s="10"/>
      <c r="V3773" s="10"/>
      <c r="W3773" s="138"/>
      <c r="Y3773"/>
      <c r="Z3773"/>
      <c r="AA3773"/>
      <c r="AB3773"/>
      <c r="AC3773"/>
      <c r="AD3773"/>
      <c r="AE3773"/>
      <c r="AF3773"/>
      <c r="AG3773"/>
      <c r="AH3773"/>
      <c r="AI3773"/>
      <c r="AJ3773"/>
      <c r="AK3773"/>
      <c r="AL3773"/>
      <c r="AM3773"/>
      <c r="AN3773"/>
      <c r="AO3773"/>
    </row>
    <row r="3774" spans="1:41" ht="15">
      <c r="A3774"/>
      <c r="B3774"/>
      <c r="C3774" s="137"/>
      <c r="D3774" s="30"/>
      <c r="E3774" s="30"/>
      <c r="F3774" s="10"/>
      <c r="G3774" s="10"/>
      <c r="H3774" s="15"/>
      <c r="I3774" s="15"/>
      <c r="J3774" s="15"/>
      <c r="K3774" s="15"/>
      <c r="L3774" s="15"/>
      <c r="M3774" s="15"/>
      <c r="N3774" s="15"/>
      <c r="O3774" s="15"/>
      <c r="P3774" s="15"/>
      <c r="Q3774" s="71"/>
      <c r="R3774" s="84"/>
      <c r="S3774" s="10"/>
      <c r="T3774" s="10"/>
      <c r="U3774" s="10"/>
      <c r="V3774" s="10"/>
      <c r="W3774" s="138"/>
      <c r="Y3774"/>
      <c r="Z3774"/>
      <c r="AA3774"/>
      <c r="AB3774"/>
      <c r="AC3774"/>
      <c r="AD3774"/>
      <c r="AE3774"/>
      <c r="AF3774"/>
      <c r="AG3774"/>
      <c r="AH3774"/>
      <c r="AI3774"/>
      <c r="AJ3774"/>
      <c r="AK3774"/>
      <c r="AL3774"/>
      <c r="AM3774"/>
      <c r="AN3774"/>
      <c r="AO3774"/>
    </row>
    <row r="3775" spans="1:41" ht="15">
      <c r="A3775"/>
      <c r="B3775"/>
      <c r="C3775" s="137"/>
      <c r="D3775" s="30"/>
      <c r="E3775" s="30"/>
      <c r="F3775" s="10"/>
      <c r="G3775" s="10"/>
      <c r="H3775" s="15"/>
      <c r="I3775" s="15"/>
      <c r="J3775" s="15"/>
      <c r="K3775" s="15"/>
      <c r="L3775" s="15"/>
      <c r="M3775" s="15"/>
      <c r="N3775" s="15"/>
      <c r="O3775" s="15"/>
      <c r="P3775" s="15"/>
      <c r="Q3775" s="71"/>
      <c r="R3775" s="84"/>
      <c r="S3775" s="10"/>
      <c r="T3775" s="10"/>
      <c r="U3775" s="10"/>
      <c r="V3775" s="10"/>
      <c r="W3775" s="138"/>
      <c r="Y3775"/>
      <c r="Z3775"/>
      <c r="AA3775"/>
      <c r="AB3775"/>
      <c r="AC3775"/>
      <c r="AD3775"/>
      <c r="AE3775"/>
      <c r="AF3775"/>
      <c r="AG3775"/>
      <c r="AH3775"/>
      <c r="AI3775"/>
      <c r="AJ3775"/>
      <c r="AK3775"/>
      <c r="AL3775"/>
      <c r="AM3775"/>
      <c r="AN3775"/>
      <c r="AO3775"/>
    </row>
    <row r="3776" spans="1:41" ht="15">
      <c r="A3776"/>
      <c r="B3776"/>
      <c r="C3776" s="137"/>
      <c r="D3776" s="30"/>
      <c r="E3776" s="30"/>
      <c r="F3776" s="10"/>
      <c r="G3776" s="10"/>
      <c r="H3776" s="15"/>
      <c r="I3776" s="15"/>
      <c r="J3776" s="15"/>
      <c r="K3776" s="15"/>
      <c r="L3776" s="15"/>
      <c r="M3776" s="15"/>
      <c r="N3776" s="15"/>
      <c r="O3776" s="15"/>
      <c r="P3776" s="15"/>
      <c r="Q3776" s="71"/>
      <c r="R3776" s="84"/>
      <c r="S3776" s="10"/>
      <c r="T3776" s="10"/>
      <c r="U3776" s="10"/>
      <c r="V3776" s="10"/>
      <c r="W3776" s="138"/>
      <c r="Y3776"/>
      <c r="Z3776"/>
      <c r="AA3776"/>
      <c r="AB3776"/>
      <c r="AC3776"/>
      <c r="AD3776"/>
      <c r="AE3776"/>
      <c r="AF3776"/>
      <c r="AG3776"/>
      <c r="AH3776"/>
      <c r="AI3776"/>
      <c r="AJ3776"/>
      <c r="AK3776"/>
      <c r="AL3776"/>
      <c r="AM3776"/>
      <c r="AN3776"/>
      <c r="AO3776"/>
    </row>
    <row r="3777" spans="1:41" ht="15">
      <c r="A3777"/>
      <c r="B3777"/>
      <c r="C3777" s="137"/>
      <c r="D3777" s="30"/>
      <c r="E3777" s="30"/>
      <c r="F3777" s="10"/>
      <c r="G3777" s="10"/>
      <c r="H3777" s="15"/>
      <c r="I3777" s="15"/>
      <c r="J3777" s="15"/>
      <c r="K3777" s="15"/>
      <c r="L3777" s="15"/>
      <c r="M3777" s="15"/>
      <c r="N3777" s="15"/>
      <c r="O3777" s="15"/>
      <c r="P3777" s="15"/>
      <c r="Q3777" s="71"/>
      <c r="R3777" s="84"/>
      <c r="S3777" s="10"/>
      <c r="T3777" s="10"/>
      <c r="U3777" s="10"/>
      <c r="V3777" s="10"/>
      <c r="W3777" s="138"/>
      <c r="Y3777"/>
      <c r="Z3777"/>
      <c r="AA3777"/>
      <c r="AB3777"/>
      <c r="AC3777"/>
      <c r="AD3777"/>
      <c r="AE3777"/>
      <c r="AF3777"/>
      <c r="AG3777"/>
      <c r="AH3777"/>
      <c r="AI3777"/>
      <c r="AJ3777"/>
      <c r="AK3777"/>
      <c r="AL3777"/>
      <c r="AM3777"/>
      <c r="AN3777"/>
      <c r="AO3777"/>
    </row>
    <row r="3778" spans="1:41" ht="15">
      <c r="A3778"/>
      <c r="B3778"/>
      <c r="C3778" s="137"/>
      <c r="D3778" s="30"/>
      <c r="E3778" s="30"/>
      <c r="F3778" s="10"/>
      <c r="G3778" s="10"/>
      <c r="H3778" s="15"/>
      <c r="I3778" s="15"/>
      <c r="J3778" s="15"/>
      <c r="K3778" s="15"/>
      <c r="L3778" s="15"/>
      <c r="M3778" s="15"/>
      <c r="N3778" s="15"/>
      <c r="O3778" s="15"/>
      <c r="P3778" s="15"/>
      <c r="Q3778" s="71"/>
      <c r="R3778" s="84"/>
      <c r="S3778" s="10"/>
      <c r="T3778" s="10"/>
      <c r="U3778" s="10"/>
      <c r="V3778" s="10"/>
      <c r="W3778" s="138"/>
      <c r="Y3778"/>
      <c r="Z3778"/>
      <c r="AA3778"/>
      <c r="AB3778"/>
      <c r="AC3778"/>
      <c r="AD3778"/>
      <c r="AE3778"/>
      <c r="AF3778"/>
      <c r="AG3778"/>
      <c r="AH3778"/>
      <c r="AI3778"/>
      <c r="AJ3778"/>
      <c r="AK3778"/>
      <c r="AL3778"/>
      <c r="AM3778"/>
      <c r="AN3778"/>
      <c r="AO3778"/>
    </row>
    <row r="3779" spans="1:41" ht="15">
      <c r="A3779"/>
      <c r="B3779"/>
      <c r="C3779" s="137"/>
      <c r="D3779" s="30"/>
      <c r="E3779" s="30"/>
      <c r="F3779" s="10"/>
      <c r="G3779" s="10"/>
      <c r="H3779" s="15"/>
      <c r="I3779" s="15"/>
      <c r="J3779" s="15"/>
      <c r="K3779" s="15"/>
      <c r="L3779" s="15"/>
      <c r="M3779" s="15"/>
      <c r="N3779" s="15"/>
      <c r="O3779" s="15"/>
      <c r="P3779" s="15"/>
      <c r="Q3779" s="71"/>
      <c r="R3779" s="84"/>
      <c r="S3779" s="10"/>
      <c r="T3779" s="10"/>
      <c r="U3779" s="10"/>
      <c r="V3779" s="10"/>
      <c r="W3779" s="138"/>
      <c r="Y3779"/>
      <c r="Z3779"/>
      <c r="AA3779"/>
      <c r="AB3779"/>
      <c r="AC3779"/>
      <c r="AD3779"/>
      <c r="AE3779"/>
      <c r="AF3779"/>
      <c r="AG3779"/>
      <c r="AH3779"/>
      <c r="AI3779"/>
      <c r="AJ3779"/>
      <c r="AK3779"/>
      <c r="AL3779"/>
      <c r="AM3779"/>
      <c r="AN3779"/>
      <c r="AO3779"/>
    </row>
    <row r="3780" spans="1:41" ht="15">
      <c r="A3780"/>
      <c r="B3780"/>
      <c r="C3780" s="137"/>
      <c r="D3780" s="30"/>
      <c r="E3780" s="30"/>
      <c r="F3780" s="10"/>
      <c r="G3780" s="10"/>
      <c r="H3780" s="15"/>
      <c r="I3780" s="15"/>
      <c r="J3780" s="15"/>
      <c r="K3780" s="15"/>
      <c r="L3780" s="15"/>
      <c r="M3780" s="15"/>
      <c r="N3780" s="15"/>
      <c r="O3780" s="15"/>
      <c r="P3780" s="15"/>
      <c r="Q3780" s="71"/>
      <c r="R3780" s="84"/>
      <c r="S3780" s="10"/>
      <c r="T3780" s="10"/>
      <c r="U3780" s="10"/>
      <c r="V3780" s="10"/>
      <c r="W3780" s="138"/>
      <c r="Y3780"/>
      <c r="Z3780"/>
      <c r="AA3780"/>
      <c r="AB3780"/>
      <c r="AC3780"/>
      <c r="AD3780"/>
      <c r="AE3780"/>
      <c r="AF3780"/>
      <c r="AG3780"/>
      <c r="AH3780"/>
      <c r="AI3780"/>
      <c r="AJ3780"/>
      <c r="AK3780"/>
      <c r="AL3780"/>
      <c r="AM3780"/>
      <c r="AN3780"/>
      <c r="AO3780"/>
    </row>
    <row r="3781" spans="1:41" ht="15">
      <c r="A3781"/>
      <c r="B3781"/>
      <c r="C3781" s="137"/>
      <c r="D3781" s="30"/>
      <c r="E3781" s="30"/>
      <c r="F3781" s="10"/>
      <c r="G3781" s="10"/>
      <c r="H3781" s="15"/>
      <c r="I3781" s="15"/>
      <c r="J3781" s="15"/>
      <c r="K3781" s="15"/>
      <c r="L3781" s="15"/>
      <c r="M3781" s="15"/>
      <c r="N3781" s="15"/>
      <c r="O3781" s="15"/>
      <c r="P3781" s="15"/>
      <c r="Q3781" s="71"/>
      <c r="R3781" s="84"/>
      <c r="S3781" s="10"/>
      <c r="T3781" s="10"/>
      <c r="U3781" s="10"/>
      <c r="V3781" s="10"/>
      <c r="W3781" s="138"/>
      <c r="Y3781"/>
      <c r="Z3781"/>
      <c r="AA3781"/>
      <c r="AB3781"/>
      <c r="AC3781"/>
      <c r="AD3781"/>
      <c r="AE3781"/>
      <c r="AF3781"/>
      <c r="AG3781"/>
      <c r="AH3781"/>
      <c r="AI3781"/>
      <c r="AJ3781"/>
      <c r="AK3781"/>
      <c r="AL3781"/>
      <c r="AM3781"/>
      <c r="AN3781"/>
      <c r="AO3781"/>
    </row>
    <row r="3782" spans="1:41" ht="15">
      <c r="A3782"/>
      <c r="B3782"/>
      <c r="C3782" s="137"/>
      <c r="D3782" s="30"/>
      <c r="E3782" s="30"/>
      <c r="F3782" s="10"/>
      <c r="G3782" s="10"/>
      <c r="H3782" s="15"/>
      <c r="I3782" s="15"/>
      <c r="J3782" s="15"/>
      <c r="K3782" s="15"/>
      <c r="L3782" s="15"/>
      <c r="M3782" s="15"/>
      <c r="N3782" s="15"/>
      <c r="O3782" s="15"/>
      <c r="P3782" s="15"/>
      <c r="Q3782" s="71"/>
      <c r="R3782" s="84"/>
      <c r="S3782" s="10"/>
      <c r="T3782" s="10"/>
      <c r="U3782" s="10"/>
      <c r="V3782" s="10"/>
      <c r="W3782" s="138"/>
      <c r="Y3782"/>
      <c r="Z3782"/>
      <c r="AA3782"/>
      <c r="AB3782"/>
      <c r="AC3782"/>
      <c r="AD3782"/>
      <c r="AE3782"/>
      <c r="AF3782"/>
      <c r="AG3782"/>
      <c r="AH3782"/>
      <c r="AI3782"/>
      <c r="AJ3782"/>
      <c r="AK3782"/>
      <c r="AL3782"/>
      <c r="AM3782"/>
      <c r="AN3782"/>
      <c r="AO3782"/>
    </row>
    <row r="3783" spans="1:41" ht="15">
      <c r="A3783"/>
      <c r="B3783"/>
      <c r="C3783" s="137"/>
      <c r="D3783" s="30"/>
      <c r="E3783" s="30"/>
      <c r="F3783" s="10"/>
      <c r="G3783" s="10"/>
      <c r="H3783" s="15"/>
      <c r="I3783" s="15"/>
      <c r="J3783" s="15"/>
      <c r="K3783" s="15"/>
      <c r="L3783" s="15"/>
      <c r="M3783" s="15"/>
      <c r="N3783" s="15"/>
      <c r="O3783" s="15"/>
      <c r="P3783" s="15"/>
      <c r="Q3783" s="71"/>
      <c r="R3783" s="84"/>
      <c r="S3783" s="10"/>
      <c r="T3783" s="10"/>
      <c r="U3783" s="10"/>
      <c r="V3783" s="10"/>
      <c r="W3783" s="138"/>
      <c r="Y3783"/>
      <c r="Z3783"/>
      <c r="AA3783"/>
      <c r="AB3783"/>
      <c r="AC3783"/>
      <c r="AD3783"/>
      <c r="AE3783"/>
      <c r="AF3783"/>
      <c r="AG3783"/>
      <c r="AH3783"/>
      <c r="AI3783"/>
      <c r="AJ3783"/>
      <c r="AK3783"/>
      <c r="AL3783"/>
      <c r="AM3783"/>
      <c r="AN3783"/>
      <c r="AO3783"/>
    </row>
    <row r="3784" spans="1:41" ht="15">
      <c r="A3784"/>
      <c r="B3784"/>
      <c r="C3784" s="137"/>
      <c r="D3784" s="30"/>
      <c r="E3784" s="30"/>
      <c r="F3784" s="10"/>
      <c r="G3784" s="10"/>
      <c r="H3784" s="15"/>
      <c r="I3784" s="15"/>
      <c r="J3784" s="15"/>
      <c r="K3784" s="15"/>
      <c r="L3784" s="15"/>
      <c r="M3784" s="15"/>
      <c r="N3784" s="15"/>
      <c r="O3784" s="15"/>
      <c r="P3784" s="15"/>
      <c r="Q3784" s="71"/>
      <c r="R3784" s="84"/>
      <c r="S3784" s="10"/>
      <c r="T3784" s="10"/>
      <c r="U3784" s="10"/>
      <c r="V3784" s="10"/>
      <c r="W3784" s="138"/>
      <c r="Y3784"/>
      <c r="Z3784"/>
      <c r="AA3784"/>
      <c r="AB3784"/>
      <c r="AC3784"/>
      <c r="AD3784"/>
      <c r="AE3784"/>
      <c r="AF3784"/>
      <c r="AG3784"/>
      <c r="AH3784"/>
      <c r="AI3784"/>
      <c r="AJ3784"/>
      <c r="AK3784"/>
      <c r="AL3784"/>
      <c r="AM3784"/>
      <c r="AN3784"/>
      <c r="AO3784"/>
    </row>
    <row r="3785" spans="1:41" ht="15">
      <c r="A3785"/>
      <c r="B3785"/>
      <c r="C3785" s="137"/>
      <c r="D3785" s="30"/>
      <c r="E3785" s="30"/>
      <c r="F3785" s="10"/>
      <c r="G3785" s="10"/>
      <c r="H3785" s="15"/>
      <c r="I3785" s="15"/>
      <c r="J3785" s="15"/>
      <c r="K3785" s="15"/>
      <c r="L3785" s="15"/>
      <c r="M3785" s="15"/>
      <c r="N3785" s="15"/>
      <c r="O3785" s="15"/>
      <c r="P3785" s="15"/>
      <c r="Q3785" s="71"/>
      <c r="R3785" s="84"/>
      <c r="S3785" s="10"/>
      <c r="T3785" s="10"/>
      <c r="U3785" s="10"/>
      <c r="V3785" s="10"/>
      <c r="W3785" s="138"/>
      <c r="Y3785"/>
      <c r="Z3785"/>
      <c r="AA3785"/>
      <c r="AB3785"/>
      <c r="AC3785"/>
      <c r="AD3785"/>
      <c r="AE3785"/>
      <c r="AF3785"/>
      <c r="AG3785"/>
      <c r="AH3785"/>
      <c r="AI3785"/>
      <c r="AJ3785"/>
      <c r="AK3785"/>
      <c r="AL3785"/>
      <c r="AM3785"/>
      <c r="AN3785"/>
      <c r="AO3785"/>
    </row>
    <row r="3786" spans="1:41" ht="15">
      <c r="A3786"/>
      <c r="B3786"/>
      <c r="C3786" s="137"/>
      <c r="D3786" s="30"/>
      <c r="E3786" s="30"/>
      <c r="F3786" s="10"/>
      <c r="G3786" s="10"/>
      <c r="H3786" s="15"/>
      <c r="I3786" s="15"/>
      <c r="J3786" s="15"/>
      <c r="K3786" s="15"/>
      <c r="L3786" s="15"/>
      <c r="M3786" s="15"/>
      <c r="N3786" s="15"/>
      <c r="O3786" s="15"/>
      <c r="P3786" s="15"/>
      <c r="Q3786" s="71"/>
      <c r="R3786" s="84"/>
      <c r="S3786" s="10"/>
      <c r="T3786" s="10"/>
      <c r="U3786" s="10"/>
      <c r="V3786" s="10"/>
      <c r="W3786" s="138"/>
      <c r="Y3786"/>
      <c r="Z3786"/>
      <c r="AA3786"/>
      <c r="AB3786"/>
      <c r="AC3786"/>
      <c r="AD3786"/>
      <c r="AE3786"/>
      <c r="AF3786"/>
      <c r="AG3786"/>
      <c r="AH3786"/>
      <c r="AI3786"/>
      <c r="AJ3786"/>
      <c r="AK3786"/>
      <c r="AL3786"/>
      <c r="AM3786"/>
      <c r="AN3786"/>
      <c r="AO3786"/>
    </row>
    <row r="3787" spans="1:41" ht="15">
      <c r="A3787"/>
      <c r="B3787"/>
      <c r="C3787" s="137"/>
      <c r="D3787" s="30"/>
      <c r="E3787" s="30"/>
      <c r="F3787" s="10"/>
      <c r="G3787" s="10"/>
      <c r="H3787" s="15"/>
      <c r="I3787" s="15"/>
      <c r="J3787" s="15"/>
      <c r="K3787" s="15"/>
      <c r="L3787" s="15"/>
      <c r="M3787" s="15"/>
      <c r="N3787" s="15"/>
      <c r="O3787" s="15"/>
      <c r="P3787" s="15"/>
      <c r="Q3787" s="71"/>
      <c r="R3787" s="84"/>
      <c r="S3787" s="10"/>
      <c r="T3787" s="10"/>
      <c r="U3787" s="10"/>
      <c r="V3787" s="10"/>
      <c r="W3787" s="138"/>
      <c r="Y3787"/>
      <c r="Z3787"/>
      <c r="AA3787"/>
      <c r="AB3787"/>
      <c r="AC3787"/>
      <c r="AD3787"/>
      <c r="AE3787"/>
      <c r="AF3787"/>
      <c r="AG3787"/>
      <c r="AH3787"/>
      <c r="AI3787"/>
      <c r="AJ3787"/>
      <c r="AK3787"/>
      <c r="AL3787"/>
      <c r="AM3787"/>
      <c r="AN3787"/>
      <c r="AO3787"/>
    </row>
    <row r="3788" spans="1:41" ht="15">
      <c r="A3788"/>
      <c r="B3788"/>
      <c r="C3788" s="137"/>
      <c r="D3788" s="30"/>
      <c r="E3788" s="30"/>
      <c r="F3788" s="10"/>
      <c r="G3788" s="10"/>
      <c r="H3788" s="15"/>
      <c r="I3788" s="15"/>
      <c r="J3788" s="15"/>
      <c r="K3788" s="15"/>
      <c r="L3788" s="15"/>
      <c r="M3788" s="15"/>
      <c r="N3788" s="15"/>
      <c r="O3788" s="15"/>
      <c r="P3788" s="15"/>
      <c r="Q3788" s="71"/>
      <c r="R3788" s="84"/>
      <c r="S3788" s="10"/>
      <c r="T3788" s="10"/>
      <c r="U3788" s="10"/>
      <c r="V3788" s="10"/>
      <c r="W3788" s="138"/>
      <c r="Y3788"/>
      <c r="Z3788"/>
      <c r="AA3788"/>
      <c r="AB3788"/>
      <c r="AC3788"/>
      <c r="AD3788"/>
      <c r="AE3788"/>
      <c r="AF3788"/>
      <c r="AG3788"/>
      <c r="AH3788"/>
      <c r="AI3788"/>
      <c r="AJ3788"/>
      <c r="AK3788"/>
      <c r="AL3788"/>
      <c r="AM3788"/>
      <c r="AN3788"/>
      <c r="AO3788"/>
    </row>
    <row r="3789" spans="1:41" ht="15">
      <c r="A3789"/>
      <c r="B3789"/>
      <c r="C3789" s="137"/>
      <c r="D3789" s="30"/>
      <c r="E3789" s="30"/>
      <c r="F3789" s="10"/>
      <c r="G3789" s="10"/>
      <c r="H3789" s="15"/>
      <c r="I3789" s="15"/>
      <c r="J3789" s="15"/>
      <c r="K3789" s="15"/>
      <c r="L3789" s="15"/>
      <c r="M3789" s="15"/>
      <c r="N3789" s="15"/>
      <c r="O3789" s="15"/>
      <c r="P3789" s="15"/>
      <c r="Q3789" s="71"/>
      <c r="R3789" s="84"/>
      <c r="S3789" s="10"/>
      <c r="T3789" s="10"/>
      <c r="U3789" s="10"/>
      <c r="V3789" s="10"/>
      <c r="W3789" s="138"/>
      <c r="Y3789"/>
      <c r="Z3789"/>
      <c r="AA3789"/>
      <c r="AB3789"/>
      <c r="AC3789"/>
      <c r="AD3789"/>
      <c r="AE3789"/>
      <c r="AF3789"/>
      <c r="AG3789"/>
      <c r="AH3789"/>
      <c r="AI3789"/>
      <c r="AJ3789"/>
      <c r="AK3789"/>
      <c r="AL3789"/>
      <c r="AM3789"/>
      <c r="AN3789"/>
      <c r="AO3789"/>
    </row>
    <row r="3790" spans="1:41" ht="15">
      <c r="A3790"/>
      <c r="B3790"/>
      <c r="C3790" s="137"/>
      <c r="D3790" s="30"/>
      <c r="E3790" s="30"/>
      <c r="F3790" s="10"/>
      <c r="G3790" s="10"/>
      <c r="H3790" s="15"/>
      <c r="I3790" s="15"/>
      <c r="J3790" s="15"/>
      <c r="K3790" s="15"/>
      <c r="L3790" s="15"/>
      <c r="M3790" s="15"/>
      <c r="N3790" s="15"/>
      <c r="O3790" s="15"/>
      <c r="P3790" s="15"/>
      <c r="Q3790" s="71"/>
      <c r="R3790" s="84"/>
      <c r="S3790" s="10"/>
      <c r="T3790" s="10"/>
      <c r="U3790" s="10"/>
      <c r="V3790" s="10"/>
      <c r="W3790" s="138"/>
      <c r="Y3790"/>
      <c r="Z3790"/>
      <c r="AA3790"/>
      <c r="AB3790"/>
      <c r="AC3790"/>
      <c r="AD3790"/>
      <c r="AE3790"/>
      <c r="AF3790"/>
      <c r="AG3790"/>
      <c r="AH3790"/>
      <c r="AI3790"/>
      <c r="AJ3790"/>
      <c r="AK3790"/>
      <c r="AL3790"/>
      <c r="AM3790"/>
      <c r="AN3790"/>
      <c r="AO3790"/>
    </row>
    <row r="3791" spans="1:41" ht="15">
      <c r="A3791"/>
      <c r="B3791"/>
      <c r="C3791" s="137"/>
      <c r="D3791" s="30"/>
      <c r="E3791" s="30"/>
      <c r="F3791" s="10"/>
      <c r="G3791" s="10"/>
      <c r="H3791" s="15"/>
      <c r="I3791" s="15"/>
      <c r="J3791" s="15"/>
      <c r="K3791" s="15"/>
      <c r="L3791" s="15"/>
      <c r="M3791" s="15"/>
      <c r="N3791" s="15"/>
      <c r="O3791" s="15"/>
      <c r="P3791" s="15"/>
      <c r="Q3791" s="71"/>
      <c r="R3791" s="84"/>
      <c r="S3791" s="10"/>
      <c r="T3791" s="10"/>
      <c r="U3791" s="10"/>
      <c r="V3791" s="10"/>
      <c r="W3791" s="138"/>
      <c r="Y3791"/>
      <c r="Z3791"/>
      <c r="AA3791"/>
      <c r="AB3791"/>
      <c r="AC3791"/>
      <c r="AD3791"/>
      <c r="AE3791"/>
      <c r="AF3791"/>
      <c r="AG3791"/>
      <c r="AH3791"/>
      <c r="AI3791"/>
      <c r="AJ3791"/>
      <c r="AK3791"/>
      <c r="AL3791"/>
      <c r="AM3791"/>
      <c r="AN3791"/>
      <c r="AO3791"/>
    </row>
    <row r="3792" spans="1:41" ht="15">
      <c r="A3792"/>
      <c r="B3792"/>
      <c r="C3792" s="137"/>
      <c r="D3792" s="30"/>
      <c r="E3792" s="30"/>
      <c r="F3792" s="10"/>
      <c r="G3792" s="10"/>
      <c r="H3792" s="15"/>
      <c r="I3792" s="15"/>
      <c r="J3792" s="15"/>
      <c r="K3792" s="15"/>
      <c r="L3792" s="15"/>
      <c r="M3792" s="15"/>
      <c r="N3792" s="15"/>
      <c r="O3792" s="15"/>
      <c r="P3792" s="15"/>
      <c r="Q3792" s="71"/>
      <c r="R3792" s="84"/>
      <c r="S3792" s="10"/>
      <c r="T3792" s="10"/>
      <c r="U3792" s="10"/>
      <c r="V3792" s="10"/>
      <c r="W3792" s="138"/>
      <c r="Y3792"/>
      <c r="Z3792"/>
      <c r="AA3792"/>
      <c r="AB3792"/>
      <c r="AC3792"/>
      <c r="AD3792"/>
      <c r="AE3792"/>
      <c r="AF3792"/>
      <c r="AG3792"/>
      <c r="AH3792"/>
      <c r="AI3792"/>
      <c r="AJ3792"/>
      <c r="AK3792"/>
      <c r="AL3792"/>
      <c r="AM3792"/>
      <c r="AN3792"/>
      <c r="AO3792"/>
    </row>
    <row r="3793" spans="1:41" ht="15">
      <c r="A3793"/>
      <c r="B3793"/>
      <c r="C3793" s="137"/>
      <c r="D3793" s="30"/>
      <c r="E3793" s="30"/>
      <c r="F3793" s="10"/>
      <c r="G3793" s="10"/>
      <c r="H3793" s="15"/>
      <c r="I3793" s="15"/>
      <c r="J3793" s="15"/>
      <c r="K3793" s="15"/>
      <c r="L3793" s="15"/>
      <c r="M3793" s="15"/>
      <c r="N3793" s="15"/>
      <c r="O3793" s="15"/>
      <c r="P3793" s="15"/>
      <c r="Q3793" s="71"/>
      <c r="R3793" s="84"/>
      <c r="S3793" s="10"/>
      <c r="T3793" s="10"/>
      <c r="U3793" s="10"/>
      <c r="V3793" s="10"/>
      <c r="W3793" s="138"/>
      <c r="Y3793"/>
      <c r="Z3793"/>
      <c r="AA3793"/>
      <c r="AB3793"/>
      <c r="AC3793"/>
      <c r="AD3793"/>
      <c r="AE3793"/>
      <c r="AF3793"/>
      <c r="AG3793"/>
      <c r="AH3793"/>
      <c r="AI3793"/>
      <c r="AJ3793"/>
      <c r="AK3793"/>
      <c r="AL3793"/>
      <c r="AM3793"/>
      <c r="AN3793"/>
      <c r="AO3793"/>
    </row>
    <row r="3794" spans="1:41" ht="15">
      <c r="A3794"/>
      <c r="B3794"/>
      <c r="C3794" s="137"/>
      <c r="D3794" s="30"/>
      <c r="E3794" s="30"/>
      <c r="F3794" s="10"/>
      <c r="G3794" s="10"/>
      <c r="H3794" s="15"/>
      <c r="I3794" s="15"/>
      <c r="J3794" s="15"/>
      <c r="K3794" s="15"/>
      <c r="L3794" s="15"/>
      <c r="M3794" s="15"/>
      <c r="N3794" s="15"/>
      <c r="O3794" s="15"/>
      <c r="P3794" s="15"/>
      <c r="Q3794" s="71"/>
      <c r="R3794" s="84"/>
      <c r="S3794" s="10"/>
      <c r="T3794" s="10"/>
      <c r="U3794" s="10"/>
      <c r="V3794" s="10"/>
      <c r="W3794" s="138"/>
      <c r="Y3794"/>
      <c r="Z3794"/>
      <c r="AA3794"/>
      <c r="AB3794"/>
      <c r="AC3794"/>
      <c r="AD3794"/>
      <c r="AE3794"/>
      <c r="AF3794"/>
      <c r="AG3794"/>
      <c r="AH3794"/>
      <c r="AI3794"/>
      <c r="AJ3794"/>
      <c r="AK3794"/>
      <c r="AL3794"/>
      <c r="AM3794"/>
      <c r="AN3794"/>
      <c r="AO3794"/>
    </row>
    <row r="3795" spans="1:41" ht="15">
      <c r="A3795"/>
      <c r="B3795"/>
      <c r="C3795" s="137"/>
      <c r="D3795" s="30"/>
      <c r="E3795" s="30"/>
      <c r="F3795" s="10"/>
      <c r="G3795" s="10"/>
      <c r="H3795" s="15"/>
      <c r="I3795" s="15"/>
      <c r="J3795" s="15"/>
      <c r="K3795" s="15"/>
      <c r="L3795" s="15"/>
      <c r="M3795" s="15"/>
      <c r="N3795" s="15"/>
      <c r="O3795" s="15"/>
      <c r="P3795" s="15"/>
      <c r="Q3795" s="71"/>
      <c r="R3795" s="84"/>
      <c r="S3795" s="10"/>
      <c r="T3795" s="10"/>
      <c r="U3795" s="10"/>
      <c r="V3795" s="10"/>
      <c r="W3795" s="138"/>
      <c r="Y3795"/>
      <c r="Z3795"/>
      <c r="AA3795"/>
      <c r="AB3795"/>
      <c r="AC3795"/>
      <c r="AD3795"/>
      <c r="AE3795"/>
      <c r="AF3795"/>
      <c r="AG3795"/>
      <c r="AH3795"/>
      <c r="AI3795"/>
      <c r="AJ3795"/>
      <c r="AK3795"/>
      <c r="AL3795"/>
      <c r="AM3795"/>
      <c r="AN3795"/>
      <c r="AO3795"/>
    </row>
    <row r="3796" spans="1:41" ht="15">
      <c r="A3796"/>
      <c r="B3796"/>
      <c r="C3796" s="137"/>
      <c r="D3796" s="30"/>
      <c r="E3796" s="30"/>
      <c r="F3796" s="10"/>
      <c r="G3796" s="10"/>
      <c r="H3796" s="15"/>
      <c r="I3796" s="15"/>
      <c r="J3796" s="15"/>
      <c r="K3796" s="15"/>
      <c r="L3796" s="15"/>
      <c r="M3796" s="15"/>
      <c r="N3796" s="15"/>
      <c r="O3796" s="15"/>
      <c r="P3796" s="15"/>
      <c r="Q3796" s="71"/>
      <c r="R3796" s="84"/>
      <c r="S3796" s="10"/>
      <c r="T3796" s="10"/>
      <c r="U3796" s="10"/>
      <c r="V3796" s="10"/>
      <c r="W3796" s="138"/>
      <c r="Y3796"/>
      <c r="Z3796"/>
      <c r="AA3796"/>
      <c r="AB3796"/>
      <c r="AC3796"/>
      <c r="AD3796"/>
      <c r="AE3796"/>
      <c r="AF3796"/>
      <c r="AG3796"/>
      <c r="AH3796"/>
      <c r="AI3796"/>
      <c r="AJ3796"/>
      <c r="AK3796"/>
      <c r="AL3796"/>
      <c r="AM3796"/>
      <c r="AN3796"/>
      <c r="AO3796"/>
    </row>
    <row r="3797" spans="1:41" ht="15">
      <c r="A3797"/>
      <c r="B3797"/>
      <c r="C3797" s="137"/>
      <c r="D3797" s="30"/>
      <c r="E3797" s="30"/>
      <c r="F3797" s="10"/>
      <c r="G3797" s="10"/>
      <c r="H3797" s="15"/>
      <c r="I3797" s="15"/>
      <c r="J3797" s="15"/>
      <c r="K3797" s="15"/>
      <c r="L3797" s="15"/>
      <c r="M3797" s="15"/>
      <c r="N3797" s="15"/>
      <c r="O3797" s="15"/>
      <c r="P3797" s="15"/>
      <c r="Q3797" s="71"/>
      <c r="R3797" s="84"/>
      <c r="S3797" s="10"/>
      <c r="T3797" s="10"/>
      <c r="U3797" s="10"/>
      <c r="V3797" s="10"/>
      <c r="W3797" s="138"/>
      <c r="Y3797"/>
      <c r="Z3797"/>
      <c r="AA3797"/>
      <c r="AB3797"/>
      <c r="AC3797"/>
      <c r="AD3797"/>
      <c r="AE3797"/>
      <c r="AF3797"/>
      <c r="AG3797"/>
      <c r="AH3797"/>
      <c r="AI3797"/>
      <c r="AJ3797"/>
      <c r="AK3797"/>
      <c r="AL3797"/>
      <c r="AM3797"/>
      <c r="AN3797"/>
      <c r="AO3797"/>
    </row>
    <row r="3798" spans="1:41" ht="15">
      <c r="A3798"/>
      <c r="B3798"/>
      <c r="C3798" s="137"/>
      <c r="D3798" s="30"/>
      <c r="E3798" s="30"/>
      <c r="F3798" s="10"/>
      <c r="G3798" s="10"/>
      <c r="H3798" s="15"/>
      <c r="I3798" s="15"/>
      <c r="J3798" s="15"/>
      <c r="K3798" s="15"/>
      <c r="L3798" s="15"/>
      <c r="M3798" s="15"/>
      <c r="N3798" s="15"/>
      <c r="O3798" s="15"/>
      <c r="P3798" s="15"/>
      <c r="Q3798" s="71"/>
      <c r="R3798" s="84"/>
      <c r="S3798" s="10"/>
      <c r="T3798" s="10"/>
      <c r="U3798" s="10"/>
      <c r="V3798" s="10"/>
      <c r="W3798" s="138"/>
      <c r="Y3798"/>
      <c r="Z3798"/>
      <c r="AA3798"/>
      <c r="AB3798"/>
      <c r="AC3798"/>
      <c r="AD3798"/>
      <c r="AE3798"/>
      <c r="AF3798"/>
      <c r="AG3798"/>
      <c r="AH3798"/>
      <c r="AI3798"/>
      <c r="AJ3798"/>
      <c r="AK3798"/>
      <c r="AL3798"/>
      <c r="AM3798"/>
      <c r="AN3798"/>
      <c r="AO3798"/>
    </row>
    <row r="3799" spans="1:41" ht="15">
      <c r="A3799"/>
      <c r="B3799"/>
      <c r="C3799" s="137"/>
      <c r="D3799" s="30"/>
      <c r="E3799" s="30"/>
      <c r="F3799" s="10"/>
      <c r="G3799" s="10"/>
      <c r="H3799" s="15"/>
      <c r="I3799" s="15"/>
      <c r="J3799" s="15"/>
      <c r="K3799" s="15"/>
      <c r="L3799" s="15"/>
      <c r="M3799" s="15"/>
      <c r="N3799" s="15"/>
      <c r="O3799" s="15"/>
      <c r="P3799" s="15"/>
      <c r="Q3799" s="71"/>
      <c r="R3799" s="84"/>
      <c r="S3799" s="10"/>
      <c r="T3799" s="10"/>
      <c r="U3799" s="10"/>
      <c r="V3799" s="10"/>
      <c r="W3799" s="138"/>
      <c r="Y3799"/>
      <c r="Z3799"/>
      <c r="AA3799"/>
      <c r="AB3799"/>
      <c r="AC3799"/>
      <c r="AD3799"/>
      <c r="AE3799"/>
      <c r="AF3799"/>
      <c r="AG3799"/>
      <c r="AH3799"/>
      <c r="AI3799"/>
      <c r="AJ3799"/>
      <c r="AK3799"/>
      <c r="AL3799"/>
      <c r="AM3799"/>
      <c r="AN3799"/>
      <c r="AO3799"/>
    </row>
    <row r="3800" spans="1:41" ht="15">
      <c r="A3800"/>
      <c r="B3800"/>
      <c r="C3800" s="137"/>
      <c r="D3800" s="30"/>
      <c r="E3800" s="30"/>
      <c r="F3800" s="10"/>
      <c r="G3800" s="10"/>
      <c r="H3800" s="15"/>
      <c r="I3800" s="15"/>
      <c r="J3800" s="15"/>
      <c r="K3800" s="15"/>
      <c r="L3800" s="15"/>
      <c r="M3800" s="15"/>
      <c r="N3800" s="15"/>
      <c r="O3800" s="15"/>
      <c r="P3800" s="15"/>
      <c r="Q3800" s="71"/>
      <c r="R3800" s="84"/>
      <c r="S3800" s="10"/>
      <c r="T3800" s="10"/>
      <c r="U3800" s="10"/>
      <c r="V3800" s="10"/>
      <c r="W3800" s="138"/>
      <c r="Y3800"/>
      <c r="Z3800"/>
      <c r="AA3800"/>
      <c r="AB3800"/>
      <c r="AC3800"/>
      <c r="AD3800"/>
      <c r="AE3800"/>
      <c r="AF3800"/>
      <c r="AG3800"/>
      <c r="AH3800"/>
      <c r="AI3800"/>
      <c r="AJ3800"/>
      <c r="AK3800"/>
      <c r="AL3800"/>
      <c r="AM3800"/>
      <c r="AN3800"/>
      <c r="AO3800"/>
    </row>
    <row r="3801" spans="1:41" ht="15">
      <c r="A3801"/>
      <c r="B3801"/>
      <c r="C3801" s="137"/>
      <c r="D3801" s="30"/>
      <c r="E3801" s="30"/>
      <c r="F3801" s="10"/>
      <c r="G3801" s="10"/>
      <c r="H3801" s="15"/>
      <c r="I3801" s="15"/>
      <c r="J3801" s="15"/>
      <c r="K3801" s="15"/>
      <c r="L3801" s="15"/>
      <c r="M3801" s="15"/>
      <c r="N3801" s="15"/>
      <c r="O3801" s="15"/>
      <c r="P3801" s="15"/>
      <c r="Q3801" s="71"/>
      <c r="R3801" s="84"/>
      <c r="S3801" s="10"/>
      <c r="T3801" s="10"/>
      <c r="U3801" s="10"/>
      <c r="V3801" s="10"/>
      <c r="W3801" s="138"/>
      <c r="Y3801"/>
      <c r="Z3801"/>
      <c r="AA3801"/>
      <c r="AB3801"/>
      <c r="AC3801"/>
      <c r="AD3801"/>
      <c r="AE3801"/>
      <c r="AF3801"/>
      <c r="AG3801"/>
      <c r="AH3801"/>
      <c r="AI3801"/>
      <c r="AJ3801"/>
      <c r="AK3801"/>
      <c r="AL3801"/>
      <c r="AM3801"/>
      <c r="AN3801"/>
      <c r="AO3801"/>
    </row>
    <row r="3802" spans="1:41" ht="15">
      <c r="A3802"/>
      <c r="B3802"/>
      <c r="C3802" s="137"/>
      <c r="D3802" s="30"/>
      <c r="E3802" s="30"/>
      <c r="F3802" s="10"/>
      <c r="G3802" s="10"/>
      <c r="H3802" s="15"/>
      <c r="I3802" s="15"/>
      <c r="J3802" s="15"/>
      <c r="K3802" s="15"/>
      <c r="L3802" s="15"/>
      <c r="M3802" s="15"/>
      <c r="N3802" s="15"/>
      <c r="O3802" s="15"/>
      <c r="P3802" s="15"/>
      <c r="Q3802" s="71"/>
      <c r="R3802" s="84"/>
      <c r="S3802" s="10"/>
      <c r="T3802" s="10"/>
      <c r="U3802" s="10"/>
      <c r="V3802" s="10"/>
      <c r="W3802" s="138"/>
      <c r="Y3802"/>
      <c r="Z3802"/>
      <c r="AA3802"/>
      <c r="AB3802"/>
      <c r="AC3802"/>
      <c r="AD3802"/>
      <c r="AE3802"/>
      <c r="AF3802"/>
      <c r="AG3802"/>
      <c r="AH3802"/>
      <c r="AI3802"/>
      <c r="AJ3802"/>
      <c r="AK3802"/>
      <c r="AL3802"/>
      <c r="AM3802"/>
      <c r="AN3802"/>
      <c r="AO3802"/>
    </row>
    <row r="3803" spans="1:41" ht="15">
      <c r="A3803"/>
      <c r="B3803"/>
      <c r="C3803" s="137"/>
      <c r="D3803" s="30"/>
      <c r="E3803" s="30"/>
      <c r="F3803" s="10"/>
      <c r="G3803" s="10"/>
      <c r="H3803" s="15"/>
      <c r="I3803" s="15"/>
      <c r="J3803" s="15"/>
      <c r="K3803" s="15"/>
      <c r="L3803" s="15"/>
      <c r="M3803" s="15"/>
      <c r="N3803" s="15"/>
      <c r="O3803" s="15"/>
      <c r="P3803" s="15"/>
      <c r="Q3803" s="71"/>
      <c r="R3803" s="84"/>
      <c r="S3803" s="10"/>
      <c r="T3803" s="10"/>
      <c r="U3803" s="10"/>
      <c r="V3803" s="10"/>
      <c r="W3803" s="138"/>
      <c r="Y3803"/>
      <c r="Z3803"/>
      <c r="AA3803"/>
      <c r="AB3803"/>
      <c r="AC3803"/>
      <c r="AD3803"/>
      <c r="AE3803"/>
      <c r="AF3803"/>
      <c r="AG3803"/>
      <c r="AH3803"/>
      <c r="AI3803"/>
      <c r="AJ3803"/>
      <c r="AK3803"/>
      <c r="AL3803"/>
      <c r="AM3803"/>
      <c r="AN3803"/>
      <c r="AO3803"/>
    </row>
    <row r="3804" spans="1:41" ht="15">
      <c r="A3804"/>
      <c r="B3804"/>
      <c r="C3804" s="137"/>
      <c r="D3804" s="30"/>
      <c r="E3804" s="30"/>
      <c r="F3804" s="10"/>
      <c r="G3804" s="10"/>
      <c r="H3804" s="15"/>
      <c r="I3804" s="15"/>
      <c r="J3804" s="15"/>
      <c r="K3804" s="15"/>
      <c r="L3804" s="15"/>
      <c r="M3804" s="15"/>
      <c r="N3804" s="15"/>
      <c r="O3804" s="15"/>
      <c r="P3804" s="15"/>
      <c r="Q3804" s="71"/>
      <c r="R3804" s="84"/>
      <c r="S3804" s="10"/>
      <c r="T3804" s="10"/>
      <c r="U3804" s="10"/>
      <c r="V3804" s="10"/>
      <c r="W3804" s="138"/>
      <c r="Y3804"/>
      <c r="Z3804"/>
      <c r="AA3804"/>
      <c r="AB3804"/>
      <c r="AC3804"/>
      <c r="AD3804"/>
      <c r="AE3804"/>
      <c r="AF3804"/>
      <c r="AG3804"/>
      <c r="AH3804"/>
      <c r="AI3804"/>
      <c r="AJ3804"/>
      <c r="AK3804"/>
      <c r="AL3804"/>
      <c r="AM3804"/>
      <c r="AN3804"/>
      <c r="AO3804"/>
    </row>
    <row r="3805" spans="1:41" ht="15">
      <c r="A3805"/>
      <c r="B3805"/>
      <c r="C3805" s="137"/>
      <c r="D3805" s="30"/>
      <c r="E3805" s="30"/>
      <c r="F3805" s="10"/>
      <c r="G3805" s="10"/>
      <c r="H3805" s="15"/>
      <c r="I3805" s="15"/>
      <c r="J3805" s="15"/>
      <c r="K3805" s="15"/>
      <c r="L3805" s="15"/>
      <c r="M3805" s="15"/>
      <c r="N3805" s="15"/>
      <c r="O3805" s="15"/>
      <c r="P3805" s="15"/>
      <c r="Q3805" s="71"/>
      <c r="R3805" s="84"/>
      <c r="S3805" s="10"/>
      <c r="T3805" s="10"/>
      <c r="U3805" s="10"/>
      <c r="V3805" s="10"/>
      <c r="W3805" s="138"/>
      <c r="Y3805"/>
      <c r="Z3805"/>
      <c r="AA3805"/>
      <c r="AB3805"/>
      <c r="AC3805"/>
      <c r="AD3805"/>
      <c r="AE3805"/>
      <c r="AF3805"/>
      <c r="AG3805"/>
      <c r="AH3805"/>
      <c r="AI3805"/>
      <c r="AJ3805"/>
      <c r="AK3805"/>
      <c r="AL3805"/>
      <c r="AM3805"/>
      <c r="AN3805"/>
      <c r="AO3805"/>
    </row>
    <row r="3806" spans="1:41" ht="15">
      <c r="A3806"/>
      <c r="B3806"/>
      <c r="C3806" s="137"/>
      <c r="D3806" s="30"/>
      <c r="E3806" s="30"/>
      <c r="F3806" s="10"/>
      <c r="G3806" s="10"/>
      <c r="H3806" s="15"/>
      <c r="I3806" s="15"/>
      <c r="J3806" s="15"/>
      <c r="K3806" s="15"/>
      <c r="L3806" s="15"/>
      <c r="M3806" s="15"/>
      <c r="N3806" s="15"/>
      <c r="O3806" s="15"/>
      <c r="P3806" s="15"/>
      <c r="Q3806" s="71"/>
      <c r="R3806" s="84"/>
      <c r="S3806" s="10"/>
      <c r="T3806" s="10"/>
      <c r="U3806" s="10"/>
      <c r="V3806" s="10"/>
      <c r="W3806" s="138"/>
      <c r="Y3806"/>
      <c r="Z3806"/>
      <c r="AA3806"/>
      <c r="AB3806"/>
      <c r="AC3806"/>
      <c r="AD3806"/>
      <c r="AE3806"/>
      <c r="AF3806"/>
      <c r="AG3806"/>
      <c r="AH3806"/>
      <c r="AI3806"/>
      <c r="AJ3806"/>
      <c r="AK3806"/>
      <c r="AL3806"/>
      <c r="AM3806"/>
      <c r="AN3806"/>
      <c r="AO3806"/>
    </row>
    <row r="3807" spans="1:41" ht="15">
      <c r="A3807"/>
      <c r="B3807"/>
      <c r="C3807" s="137"/>
      <c r="D3807" s="30"/>
      <c r="E3807" s="30"/>
      <c r="F3807" s="10"/>
      <c r="G3807" s="10"/>
      <c r="H3807" s="15"/>
      <c r="I3807" s="15"/>
      <c r="J3807" s="15"/>
      <c r="K3807" s="15"/>
      <c r="L3807" s="15"/>
      <c r="M3807" s="15"/>
      <c r="N3807" s="15"/>
      <c r="O3807" s="15"/>
      <c r="P3807" s="15"/>
      <c r="Q3807" s="71"/>
      <c r="R3807" s="84"/>
      <c r="S3807" s="10"/>
      <c r="T3807" s="10"/>
      <c r="U3807" s="10"/>
      <c r="V3807" s="10"/>
      <c r="W3807" s="138"/>
      <c r="Y3807"/>
      <c r="Z3807"/>
      <c r="AA3807"/>
      <c r="AB3807"/>
      <c r="AC3807"/>
      <c r="AD3807"/>
      <c r="AE3807"/>
      <c r="AF3807"/>
      <c r="AG3807"/>
      <c r="AH3807"/>
      <c r="AI3807"/>
      <c r="AJ3807"/>
      <c r="AK3807"/>
      <c r="AL3807"/>
      <c r="AM3807"/>
      <c r="AN3807"/>
      <c r="AO3807"/>
    </row>
    <row r="3808" spans="1:41" ht="15">
      <c r="A3808"/>
      <c r="B3808"/>
      <c r="C3808" s="137"/>
      <c r="D3808" s="30"/>
      <c r="E3808" s="30"/>
      <c r="F3808" s="10"/>
      <c r="G3808" s="10"/>
      <c r="H3808" s="15"/>
      <c r="I3808" s="15"/>
      <c r="J3808" s="15"/>
      <c r="K3808" s="15"/>
      <c r="L3808" s="15"/>
      <c r="M3808" s="15"/>
      <c r="N3808" s="15"/>
      <c r="O3808" s="15"/>
      <c r="P3808" s="15"/>
      <c r="Q3808" s="71"/>
      <c r="R3808" s="84"/>
      <c r="S3808" s="10"/>
      <c r="T3808" s="10"/>
      <c r="U3808" s="10"/>
      <c r="V3808" s="10"/>
      <c r="W3808" s="138"/>
      <c r="Y3808"/>
      <c r="Z3808"/>
      <c r="AA3808"/>
      <c r="AB3808"/>
      <c r="AC3808"/>
      <c r="AD3808"/>
      <c r="AE3808"/>
      <c r="AF3808"/>
      <c r="AG3808"/>
      <c r="AH3808"/>
      <c r="AI3808"/>
      <c r="AJ3808"/>
      <c r="AK3808"/>
      <c r="AL3808"/>
      <c r="AM3808"/>
      <c r="AN3808"/>
      <c r="AO3808"/>
    </row>
    <row r="3809" spans="1:41" ht="15">
      <c r="A3809"/>
      <c r="B3809"/>
      <c r="C3809" s="137"/>
      <c r="D3809" s="30"/>
      <c r="E3809" s="30"/>
      <c r="F3809" s="10"/>
      <c r="G3809" s="10"/>
      <c r="H3809" s="15"/>
      <c r="I3809" s="15"/>
      <c r="J3809" s="15"/>
      <c r="K3809" s="15"/>
      <c r="L3809" s="15"/>
      <c r="M3809" s="15"/>
      <c r="N3809" s="15"/>
      <c r="O3809" s="15"/>
      <c r="P3809" s="15"/>
      <c r="Q3809" s="71"/>
      <c r="R3809" s="84"/>
      <c r="S3809" s="10"/>
      <c r="T3809" s="10"/>
      <c r="U3809" s="10"/>
      <c r="V3809" s="10"/>
      <c r="W3809" s="138"/>
      <c r="Y3809"/>
      <c r="Z3809"/>
      <c r="AA3809"/>
      <c r="AB3809"/>
      <c r="AC3809"/>
      <c r="AD3809"/>
      <c r="AE3809"/>
      <c r="AF3809"/>
      <c r="AG3809"/>
      <c r="AH3809"/>
      <c r="AI3809"/>
      <c r="AJ3809"/>
      <c r="AK3809"/>
      <c r="AL3809"/>
      <c r="AM3809"/>
      <c r="AN3809"/>
      <c r="AO3809"/>
    </row>
    <row r="3810" spans="1:41" ht="15">
      <c r="A3810"/>
      <c r="B3810"/>
      <c r="C3810" s="137"/>
      <c r="D3810" s="30"/>
      <c r="E3810" s="30"/>
      <c r="F3810" s="10"/>
      <c r="G3810" s="10"/>
      <c r="H3810" s="15"/>
      <c r="I3810" s="15"/>
      <c r="J3810" s="15"/>
      <c r="K3810" s="15"/>
      <c r="L3810" s="15"/>
      <c r="M3810" s="15"/>
      <c r="N3810" s="15"/>
      <c r="O3810" s="15"/>
      <c r="P3810" s="15"/>
      <c r="Q3810" s="71"/>
      <c r="R3810" s="84"/>
      <c r="S3810" s="10"/>
      <c r="T3810" s="10"/>
      <c r="U3810" s="10"/>
      <c r="V3810" s="10"/>
      <c r="W3810" s="138"/>
      <c r="Y3810"/>
      <c r="Z3810"/>
      <c r="AA3810"/>
      <c r="AB3810"/>
      <c r="AC3810"/>
      <c r="AD3810"/>
      <c r="AE3810"/>
      <c r="AF3810"/>
      <c r="AG3810"/>
      <c r="AH3810"/>
      <c r="AI3810"/>
      <c r="AJ3810"/>
      <c r="AK3810"/>
      <c r="AL3810"/>
      <c r="AM3810"/>
      <c r="AN3810"/>
      <c r="AO3810"/>
    </row>
    <row r="3811" spans="1:41" ht="15">
      <c r="A3811"/>
      <c r="B3811"/>
      <c r="C3811" s="137"/>
      <c r="D3811" s="30"/>
      <c r="E3811" s="30"/>
      <c r="F3811" s="10"/>
      <c r="G3811" s="10"/>
      <c r="H3811" s="15"/>
      <c r="I3811" s="15"/>
      <c r="J3811" s="15"/>
      <c r="K3811" s="15"/>
      <c r="L3811" s="15"/>
      <c r="M3811" s="15"/>
      <c r="N3811" s="15"/>
      <c r="O3811" s="15"/>
      <c r="P3811" s="15"/>
      <c r="Q3811" s="71"/>
      <c r="R3811" s="84"/>
      <c r="S3811" s="10"/>
      <c r="T3811" s="10"/>
      <c r="U3811" s="10"/>
      <c r="V3811" s="10"/>
      <c r="W3811" s="138"/>
      <c r="Y3811"/>
      <c r="Z3811"/>
      <c r="AA3811"/>
      <c r="AB3811"/>
      <c r="AC3811"/>
      <c r="AD3811"/>
      <c r="AE3811"/>
      <c r="AF3811"/>
      <c r="AG3811"/>
      <c r="AH3811"/>
      <c r="AI3811"/>
      <c r="AJ3811"/>
      <c r="AK3811"/>
      <c r="AL3811"/>
      <c r="AM3811"/>
      <c r="AN3811"/>
      <c r="AO3811"/>
    </row>
    <row r="3812" spans="1:41" ht="15">
      <c r="A3812"/>
      <c r="B3812"/>
      <c r="C3812" s="137"/>
      <c r="D3812" s="30"/>
      <c r="E3812" s="30"/>
      <c r="F3812" s="10"/>
      <c r="G3812" s="10"/>
      <c r="H3812" s="15"/>
      <c r="I3812" s="15"/>
      <c r="J3812" s="15"/>
      <c r="K3812" s="15"/>
      <c r="L3812" s="15"/>
      <c r="M3812" s="15"/>
      <c r="N3812" s="15"/>
      <c r="O3812" s="15"/>
      <c r="P3812" s="15"/>
      <c r="Q3812" s="71"/>
      <c r="R3812" s="84"/>
      <c r="S3812" s="10"/>
      <c r="T3812" s="10"/>
      <c r="U3812" s="10"/>
      <c r="V3812" s="10"/>
      <c r="W3812" s="138"/>
      <c r="Y3812"/>
      <c r="Z3812"/>
      <c r="AA3812"/>
      <c r="AB3812"/>
      <c r="AC3812"/>
      <c r="AD3812"/>
      <c r="AE3812"/>
      <c r="AF3812"/>
      <c r="AG3812"/>
      <c r="AH3812"/>
      <c r="AI3812"/>
      <c r="AJ3812"/>
      <c r="AK3812"/>
      <c r="AL3812"/>
      <c r="AM3812"/>
      <c r="AN3812"/>
      <c r="AO3812"/>
    </row>
    <row r="3813" spans="1:41" ht="15">
      <c r="A3813"/>
      <c r="B3813"/>
      <c r="C3813" s="137"/>
      <c r="D3813" s="30"/>
      <c r="E3813" s="30"/>
      <c r="F3813" s="10"/>
      <c r="G3813" s="10"/>
      <c r="H3813" s="15"/>
      <c r="I3813" s="15"/>
      <c r="J3813" s="15"/>
      <c r="K3813" s="15"/>
      <c r="L3813" s="15"/>
      <c r="M3813" s="15"/>
      <c r="N3813" s="15"/>
      <c r="O3813" s="15"/>
      <c r="P3813" s="15"/>
      <c r="Q3813" s="71"/>
      <c r="R3813" s="84"/>
      <c r="S3813" s="10"/>
      <c r="T3813" s="10"/>
      <c r="U3813" s="10"/>
      <c r="V3813" s="10"/>
      <c r="W3813" s="138"/>
      <c r="Y3813"/>
      <c r="Z3813"/>
      <c r="AA3813"/>
      <c r="AB3813"/>
      <c r="AC3813"/>
      <c r="AD3813"/>
      <c r="AE3813"/>
      <c r="AF3813"/>
      <c r="AG3813"/>
      <c r="AH3813"/>
      <c r="AI3813"/>
      <c r="AJ3813"/>
      <c r="AK3813"/>
      <c r="AL3813"/>
      <c r="AM3813"/>
      <c r="AN3813"/>
      <c r="AO3813"/>
    </row>
    <row r="3814" spans="1:41" ht="15">
      <c r="A3814"/>
      <c r="B3814"/>
      <c r="C3814" s="137"/>
      <c r="D3814" s="30"/>
      <c r="E3814" s="30"/>
      <c r="F3814" s="10"/>
      <c r="G3814" s="10"/>
      <c r="H3814" s="15"/>
      <c r="I3814" s="15"/>
      <c r="J3814" s="15"/>
      <c r="K3814" s="15"/>
      <c r="L3814" s="15"/>
      <c r="M3814" s="15"/>
      <c r="N3814" s="15"/>
      <c r="O3814" s="15"/>
      <c r="P3814" s="15"/>
      <c r="Q3814" s="71"/>
      <c r="R3814" s="84"/>
      <c r="S3814" s="10"/>
      <c r="T3814" s="10"/>
      <c r="U3814" s="10"/>
      <c r="V3814" s="10"/>
      <c r="W3814" s="138"/>
      <c r="Y3814"/>
      <c r="Z3814"/>
      <c r="AA3814"/>
      <c r="AB3814"/>
      <c r="AC3814"/>
      <c r="AD3814"/>
      <c r="AE3814"/>
      <c r="AF3814"/>
      <c r="AG3814"/>
      <c r="AH3814"/>
      <c r="AI3814"/>
      <c r="AJ3814"/>
      <c r="AK3814"/>
      <c r="AL3814"/>
      <c r="AM3814"/>
      <c r="AN3814"/>
      <c r="AO3814"/>
    </row>
    <row r="3815" spans="1:41" ht="15">
      <c r="A3815"/>
      <c r="B3815"/>
      <c r="C3815" s="137"/>
      <c r="D3815" s="30"/>
      <c r="E3815" s="30"/>
      <c r="F3815" s="10"/>
      <c r="G3815" s="10"/>
      <c r="H3815" s="15"/>
      <c r="I3815" s="15"/>
      <c r="J3815" s="15"/>
      <c r="K3815" s="15"/>
      <c r="L3815" s="15"/>
      <c r="M3815" s="15"/>
      <c r="N3815" s="15"/>
      <c r="O3815" s="15"/>
      <c r="P3815" s="15"/>
      <c r="Q3815" s="71"/>
      <c r="R3815" s="84"/>
      <c r="S3815" s="10"/>
      <c r="T3815" s="10"/>
      <c r="U3815" s="10"/>
      <c r="V3815" s="10"/>
      <c r="W3815" s="138"/>
      <c r="Y3815"/>
      <c r="Z3815"/>
      <c r="AA3815"/>
      <c r="AB3815"/>
      <c r="AC3815"/>
      <c r="AD3815"/>
      <c r="AE3815"/>
      <c r="AF3815"/>
      <c r="AG3815"/>
      <c r="AH3815"/>
      <c r="AI3815"/>
      <c r="AJ3815"/>
      <c r="AK3815"/>
      <c r="AL3815"/>
      <c r="AM3815"/>
      <c r="AN3815"/>
      <c r="AO3815"/>
    </row>
    <row r="3816" spans="1:41" ht="15">
      <c r="A3816"/>
      <c r="B3816"/>
      <c r="C3816" s="137"/>
      <c r="D3816" s="30"/>
      <c r="E3816" s="30"/>
      <c r="F3816" s="10"/>
      <c r="G3816" s="10"/>
      <c r="H3816" s="15"/>
      <c r="I3816" s="15"/>
      <c r="J3816" s="15"/>
      <c r="K3816" s="15"/>
      <c r="L3816" s="15"/>
      <c r="M3816" s="15"/>
      <c r="N3816" s="15"/>
      <c r="O3816" s="15"/>
      <c r="P3816" s="15"/>
      <c r="Q3816" s="71"/>
      <c r="R3816" s="84"/>
      <c r="S3816" s="10"/>
      <c r="T3816" s="10"/>
      <c r="U3816" s="10"/>
      <c r="V3816" s="10"/>
      <c r="W3816" s="138"/>
      <c r="Y3816"/>
      <c r="Z3816"/>
      <c r="AA3816"/>
      <c r="AB3816"/>
      <c r="AC3816"/>
      <c r="AD3816"/>
      <c r="AE3816"/>
      <c r="AF3816"/>
      <c r="AG3816"/>
      <c r="AH3816"/>
      <c r="AI3816"/>
      <c r="AJ3816"/>
      <c r="AK3816"/>
      <c r="AL3816"/>
      <c r="AM3816"/>
      <c r="AN3816"/>
      <c r="AO3816"/>
    </row>
    <row r="3817" spans="1:41" ht="15">
      <c r="A3817"/>
      <c r="B3817"/>
      <c r="C3817" s="137"/>
      <c r="D3817" s="30"/>
      <c r="E3817" s="30"/>
      <c r="F3817" s="10"/>
      <c r="G3817" s="10"/>
      <c r="H3817" s="15"/>
      <c r="I3817" s="15"/>
      <c r="J3817" s="15"/>
      <c r="K3817" s="15"/>
      <c r="L3817" s="15"/>
      <c r="M3817" s="15"/>
      <c r="N3817" s="15"/>
      <c r="O3817" s="15"/>
      <c r="P3817" s="15"/>
      <c r="Q3817" s="71"/>
      <c r="R3817" s="84"/>
      <c r="S3817" s="10"/>
      <c r="T3817" s="10"/>
      <c r="U3817" s="10"/>
      <c r="V3817" s="10"/>
      <c r="W3817" s="138"/>
      <c r="Y3817"/>
      <c r="Z3817"/>
      <c r="AA3817"/>
      <c r="AB3817"/>
      <c r="AC3817"/>
      <c r="AD3817"/>
      <c r="AE3817"/>
      <c r="AF3817"/>
      <c r="AG3817"/>
      <c r="AH3817"/>
      <c r="AI3817"/>
      <c r="AJ3817"/>
      <c r="AK3817"/>
      <c r="AL3817"/>
      <c r="AM3817"/>
      <c r="AN3817"/>
      <c r="AO3817"/>
    </row>
    <row r="3818" spans="1:41" ht="15">
      <c r="A3818"/>
      <c r="B3818"/>
      <c r="C3818" s="137"/>
      <c r="D3818" s="30"/>
      <c r="E3818" s="30"/>
      <c r="F3818" s="10"/>
      <c r="G3818" s="10"/>
      <c r="H3818" s="15"/>
      <c r="I3818" s="15"/>
      <c r="J3818" s="15"/>
      <c r="K3818" s="15"/>
      <c r="L3818" s="15"/>
      <c r="M3818" s="15"/>
      <c r="N3818" s="15"/>
      <c r="O3818" s="15"/>
      <c r="P3818" s="15"/>
      <c r="Q3818" s="71"/>
      <c r="R3818" s="84"/>
      <c r="S3818" s="10"/>
      <c r="T3818" s="10"/>
      <c r="U3818" s="10"/>
      <c r="V3818" s="10"/>
      <c r="W3818" s="138"/>
      <c r="Y3818"/>
      <c r="Z3818"/>
      <c r="AA3818"/>
      <c r="AB3818"/>
      <c r="AC3818"/>
      <c r="AD3818"/>
      <c r="AE3818"/>
      <c r="AF3818"/>
      <c r="AG3818"/>
      <c r="AH3818"/>
      <c r="AI3818"/>
      <c r="AJ3818"/>
      <c r="AK3818"/>
      <c r="AL3818"/>
      <c r="AM3818"/>
      <c r="AN3818"/>
      <c r="AO3818"/>
    </row>
    <row r="3819" spans="1:41" ht="15">
      <c r="A3819"/>
      <c r="B3819"/>
      <c r="C3819" s="137"/>
      <c r="D3819" s="30"/>
      <c r="E3819" s="30"/>
      <c r="F3819" s="10"/>
      <c r="G3819" s="10"/>
      <c r="H3819" s="15"/>
      <c r="I3819" s="15"/>
      <c r="J3819" s="15"/>
      <c r="K3819" s="15"/>
      <c r="L3819" s="15"/>
      <c r="M3819" s="15"/>
      <c r="N3819" s="15"/>
      <c r="O3819" s="15"/>
      <c r="P3819" s="15"/>
      <c r="Q3819" s="71"/>
      <c r="R3819" s="84"/>
      <c r="S3819" s="10"/>
      <c r="T3819" s="10"/>
      <c r="U3819" s="10"/>
      <c r="V3819" s="10"/>
      <c r="W3819" s="138"/>
      <c r="Y3819"/>
      <c r="Z3819"/>
      <c r="AA3819"/>
      <c r="AB3819"/>
      <c r="AC3819"/>
      <c r="AD3819"/>
      <c r="AE3819"/>
      <c r="AF3819"/>
      <c r="AG3819"/>
      <c r="AH3819"/>
      <c r="AI3819"/>
      <c r="AJ3819"/>
      <c r="AK3819"/>
      <c r="AL3819"/>
      <c r="AM3819"/>
      <c r="AN3819"/>
      <c r="AO3819"/>
    </row>
    <row r="3820" spans="1:41" ht="15">
      <c r="A3820"/>
      <c r="B3820"/>
      <c r="C3820" s="137"/>
      <c r="D3820" s="30"/>
      <c r="E3820" s="30"/>
      <c r="F3820" s="10"/>
      <c r="G3820" s="10"/>
      <c r="H3820" s="15"/>
      <c r="I3820" s="15"/>
      <c r="J3820" s="15"/>
      <c r="K3820" s="15"/>
      <c r="L3820" s="15"/>
      <c r="M3820" s="15"/>
      <c r="N3820" s="15"/>
      <c r="O3820" s="15"/>
      <c r="P3820" s="15"/>
      <c r="Q3820" s="71"/>
      <c r="R3820" s="84"/>
      <c r="S3820" s="10"/>
      <c r="T3820" s="10"/>
      <c r="U3820" s="10"/>
      <c r="V3820" s="10"/>
      <c r="W3820" s="138"/>
      <c r="Y3820"/>
      <c r="Z3820"/>
      <c r="AA3820"/>
      <c r="AB3820"/>
      <c r="AC3820"/>
      <c r="AD3820"/>
      <c r="AE3820"/>
      <c r="AF3820"/>
      <c r="AG3820"/>
      <c r="AH3820"/>
      <c r="AI3820"/>
      <c r="AJ3820"/>
      <c r="AK3820"/>
      <c r="AL3820"/>
      <c r="AM3820"/>
      <c r="AN3820"/>
      <c r="AO3820"/>
    </row>
    <row r="3821" spans="1:41" ht="15">
      <c r="A3821"/>
      <c r="B3821"/>
      <c r="C3821" s="137"/>
      <c r="D3821" s="30"/>
      <c r="E3821" s="30"/>
      <c r="F3821" s="10"/>
      <c r="G3821" s="10"/>
      <c r="H3821" s="15"/>
      <c r="I3821" s="15"/>
      <c r="J3821" s="15"/>
      <c r="K3821" s="15"/>
      <c r="L3821" s="15"/>
      <c r="M3821" s="15"/>
      <c r="N3821" s="15"/>
      <c r="O3821" s="15"/>
      <c r="P3821" s="15"/>
      <c r="Q3821" s="71"/>
      <c r="R3821" s="84"/>
      <c r="S3821" s="10"/>
      <c r="T3821" s="10"/>
      <c r="U3821" s="10"/>
      <c r="V3821" s="10"/>
      <c r="W3821" s="138"/>
      <c r="Y3821"/>
      <c r="Z3821"/>
      <c r="AA3821"/>
      <c r="AB3821"/>
      <c r="AC3821"/>
      <c r="AD3821"/>
      <c r="AE3821"/>
      <c r="AF3821"/>
      <c r="AG3821"/>
      <c r="AH3821"/>
      <c r="AI3821"/>
      <c r="AJ3821"/>
      <c r="AK3821"/>
      <c r="AL3821"/>
      <c r="AM3821"/>
      <c r="AN3821"/>
      <c r="AO3821"/>
    </row>
    <row r="3822" spans="1:41" ht="15">
      <c r="A3822"/>
      <c r="B3822"/>
      <c r="C3822" s="137"/>
      <c r="D3822" s="30"/>
      <c r="E3822" s="30"/>
      <c r="F3822" s="10"/>
      <c r="G3822" s="10"/>
      <c r="H3822" s="15"/>
      <c r="I3822" s="15"/>
      <c r="J3822" s="15"/>
      <c r="K3822" s="15"/>
      <c r="L3822" s="15"/>
      <c r="M3822" s="15"/>
      <c r="N3822" s="15"/>
      <c r="O3822" s="15"/>
      <c r="P3822" s="15"/>
      <c r="Q3822" s="71"/>
      <c r="R3822" s="84"/>
      <c r="S3822" s="10"/>
      <c r="T3822" s="10"/>
      <c r="U3822" s="10"/>
      <c r="V3822" s="10"/>
      <c r="W3822" s="138"/>
      <c r="Y3822"/>
      <c r="Z3822"/>
      <c r="AA3822"/>
      <c r="AB3822"/>
      <c r="AC3822"/>
      <c r="AD3822"/>
      <c r="AE3822"/>
      <c r="AF3822"/>
      <c r="AG3822"/>
      <c r="AH3822"/>
      <c r="AI3822"/>
      <c r="AJ3822"/>
      <c r="AK3822"/>
      <c r="AL3822"/>
      <c r="AM3822"/>
      <c r="AN3822"/>
      <c r="AO3822"/>
    </row>
    <row r="3823" spans="1:41" ht="15">
      <c r="A3823"/>
      <c r="B3823"/>
      <c r="C3823" s="137"/>
      <c r="D3823" s="30"/>
      <c r="E3823" s="30"/>
      <c r="F3823" s="10"/>
      <c r="G3823" s="10"/>
      <c r="H3823" s="15"/>
      <c r="I3823" s="15"/>
      <c r="J3823" s="15"/>
      <c r="K3823" s="15"/>
      <c r="L3823" s="15"/>
      <c r="M3823" s="15"/>
      <c r="N3823" s="15"/>
      <c r="O3823" s="15"/>
      <c r="P3823" s="15"/>
      <c r="Q3823" s="71"/>
      <c r="R3823" s="84"/>
      <c r="S3823" s="10"/>
      <c r="T3823" s="10"/>
      <c r="U3823" s="10"/>
      <c r="V3823" s="10"/>
      <c r="W3823" s="138"/>
      <c r="Y3823"/>
      <c r="Z3823"/>
      <c r="AA3823"/>
      <c r="AB3823"/>
      <c r="AC3823"/>
      <c r="AD3823"/>
      <c r="AE3823"/>
      <c r="AF3823"/>
      <c r="AG3823"/>
      <c r="AH3823"/>
      <c r="AI3823"/>
      <c r="AJ3823"/>
      <c r="AK3823"/>
      <c r="AL3823"/>
      <c r="AM3823"/>
      <c r="AN3823"/>
      <c r="AO3823"/>
    </row>
    <row r="3824" spans="1:41" ht="15">
      <c r="A3824"/>
      <c r="B3824"/>
      <c r="C3824" s="137"/>
      <c r="D3824" s="30"/>
      <c r="E3824" s="30"/>
      <c r="F3824" s="10"/>
      <c r="G3824" s="10"/>
      <c r="H3824" s="15"/>
      <c r="I3824" s="15"/>
      <c r="J3824" s="15"/>
      <c r="K3824" s="15"/>
      <c r="L3824" s="15"/>
      <c r="M3824" s="15"/>
      <c r="N3824" s="15"/>
      <c r="O3824" s="15"/>
      <c r="P3824" s="15"/>
      <c r="Q3824" s="71"/>
      <c r="R3824" s="84"/>
      <c r="S3824" s="10"/>
      <c r="T3824" s="10"/>
      <c r="U3824" s="10"/>
      <c r="V3824" s="10"/>
      <c r="W3824" s="138"/>
      <c r="Y3824"/>
      <c r="Z3824"/>
      <c r="AA3824"/>
      <c r="AB3824"/>
      <c r="AC3824"/>
      <c r="AD3824"/>
      <c r="AE3824"/>
      <c r="AF3824"/>
      <c r="AG3824"/>
      <c r="AH3824"/>
      <c r="AI3824"/>
      <c r="AJ3824"/>
      <c r="AK3824"/>
      <c r="AL3824"/>
      <c r="AM3824"/>
      <c r="AN3824"/>
      <c r="AO3824"/>
    </row>
    <row r="3825" spans="1:41" ht="15">
      <c r="A3825"/>
      <c r="B3825"/>
      <c r="C3825" s="137"/>
      <c r="D3825" s="30"/>
      <c r="E3825" s="30"/>
      <c r="F3825" s="10"/>
      <c r="G3825" s="10"/>
      <c r="H3825" s="15"/>
      <c r="I3825" s="15"/>
      <c r="J3825" s="15"/>
      <c r="K3825" s="15"/>
      <c r="L3825" s="15"/>
      <c r="M3825" s="15"/>
      <c r="N3825" s="15"/>
      <c r="O3825" s="15"/>
      <c r="P3825" s="15"/>
      <c r="Q3825" s="71"/>
      <c r="R3825" s="84"/>
      <c r="S3825" s="10"/>
      <c r="T3825" s="10"/>
      <c r="U3825" s="10"/>
      <c r="V3825" s="10"/>
      <c r="W3825" s="138"/>
      <c r="Y3825"/>
      <c r="Z3825"/>
      <c r="AA3825"/>
      <c r="AB3825"/>
      <c r="AC3825"/>
      <c r="AD3825"/>
      <c r="AE3825"/>
      <c r="AF3825"/>
      <c r="AG3825"/>
      <c r="AH3825"/>
      <c r="AI3825"/>
      <c r="AJ3825"/>
      <c r="AK3825"/>
      <c r="AL3825"/>
      <c r="AM3825"/>
      <c r="AN3825"/>
      <c r="AO3825"/>
    </row>
    <row r="3826" spans="1:41" ht="15">
      <c r="A3826"/>
      <c r="B3826"/>
      <c r="C3826" s="137"/>
      <c r="D3826" s="30"/>
      <c r="E3826" s="30"/>
      <c r="F3826" s="10"/>
      <c r="G3826" s="10"/>
      <c r="H3826" s="15"/>
      <c r="I3826" s="15"/>
      <c r="J3826" s="15"/>
      <c r="K3826" s="15"/>
      <c r="L3826" s="15"/>
      <c r="M3826" s="15"/>
      <c r="N3826" s="15"/>
      <c r="O3826" s="15"/>
      <c r="P3826" s="15"/>
      <c r="Q3826" s="71"/>
      <c r="R3826" s="84"/>
      <c r="S3826" s="10"/>
      <c r="T3826" s="10"/>
      <c r="U3826" s="10"/>
      <c r="V3826" s="10"/>
      <c r="W3826" s="138"/>
      <c r="Y3826"/>
      <c r="Z3826"/>
      <c r="AA3826"/>
      <c r="AB3826"/>
      <c r="AC3826"/>
      <c r="AD3826"/>
      <c r="AE3826"/>
      <c r="AF3826"/>
      <c r="AG3826"/>
      <c r="AH3826"/>
      <c r="AI3826"/>
      <c r="AJ3826"/>
      <c r="AK3826"/>
      <c r="AL3826"/>
      <c r="AM3826"/>
      <c r="AN3826"/>
      <c r="AO3826"/>
    </row>
    <row r="3827" spans="1:41" ht="15">
      <c r="A3827"/>
      <c r="B3827"/>
      <c r="C3827" s="137"/>
      <c r="D3827" s="30"/>
      <c r="E3827" s="30"/>
      <c r="F3827" s="10"/>
      <c r="G3827" s="10"/>
      <c r="H3827" s="15"/>
      <c r="I3827" s="15"/>
      <c r="J3827" s="15"/>
      <c r="K3827" s="15"/>
      <c r="L3827" s="15"/>
      <c r="M3827" s="15"/>
      <c r="N3827" s="15"/>
      <c r="O3827" s="15"/>
      <c r="P3827" s="15"/>
      <c r="Q3827" s="71"/>
      <c r="R3827" s="84"/>
      <c r="S3827" s="10"/>
      <c r="T3827" s="10"/>
      <c r="U3827" s="10"/>
      <c r="V3827" s="10"/>
      <c r="W3827" s="138"/>
      <c r="Y3827"/>
      <c r="Z3827"/>
      <c r="AA3827"/>
      <c r="AB3827"/>
      <c r="AC3827"/>
      <c r="AD3827"/>
      <c r="AE3827"/>
      <c r="AF3827"/>
      <c r="AG3827"/>
      <c r="AH3827"/>
      <c r="AI3827"/>
      <c r="AJ3827"/>
      <c r="AK3827"/>
      <c r="AL3827"/>
      <c r="AM3827"/>
      <c r="AN3827"/>
      <c r="AO3827"/>
    </row>
    <row r="3828" spans="1:41" ht="15">
      <c r="A3828"/>
      <c r="B3828"/>
      <c r="C3828" s="137"/>
      <c r="D3828" s="30"/>
      <c r="E3828" s="30"/>
      <c r="F3828" s="10"/>
      <c r="G3828" s="10"/>
      <c r="H3828" s="15"/>
      <c r="I3828" s="15"/>
      <c r="J3828" s="15"/>
      <c r="K3828" s="15"/>
      <c r="L3828" s="15"/>
      <c r="M3828" s="15"/>
      <c r="N3828" s="15"/>
      <c r="O3828" s="15"/>
      <c r="P3828" s="15"/>
      <c r="Q3828" s="71"/>
      <c r="R3828" s="84"/>
      <c r="S3828" s="10"/>
      <c r="T3828" s="10"/>
      <c r="U3828" s="10"/>
      <c r="V3828" s="10"/>
      <c r="W3828" s="138"/>
      <c r="Y3828"/>
      <c r="Z3828"/>
      <c r="AA3828"/>
      <c r="AB3828"/>
      <c r="AC3828"/>
      <c r="AD3828"/>
      <c r="AE3828"/>
      <c r="AF3828"/>
      <c r="AG3828"/>
      <c r="AH3828"/>
      <c r="AI3828"/>
      <c r="AJ3828"/>
      <c r="AK3828"/>
      <c r="AL3828"/>
      <c r="AM3828"/>
      <c r="AN3828"/>
      <c r="AO3828"/>
    </row>
    <row r="3829" spans="1:41" ht="15">
      <c r="A3829"/>
      <c r="B3829"/>
      <c r="C3829" s="137"/>
      <c r="D3829" s="30"/>
      <c r="E3829" s="30"/>
      <c r="F3829" s="10"/>
      <c r="G3829" s="10"/>
      <c r="H3829" s="15"/>
      <c r="I3829" s="15"/>
      <c r="J3829" s="15"/>
      <c r="K3829" s="15"/>
      <c r="L3829" s="15"/>
      <c r="M3829" s="15"/>
      <c r="N3829" s="15"/>
      <c r="O3829" s="15"/>
      <c r="P3829" s="15"/>
      <c r="Q3829" s="71"/>
      <c r="R3829" s="84"/>
      <c r="S3829" s="10"/>
      <c r="T3829" s="10"/>
      <c r="U3829" s="10"/>
      <c r="V3829" s="10"/>
      <c r="W3829" s="138"/>
      <c r="Y3829"/>
      <c r="Z3829"/>
      <c r="AA3829"/>
      <c r="AB3829"/>
      <c r="AC3829"/>
      <c r="AD3829"/>
      <c r="AE3829"/>
      <c r="AF3829"/>
      <c r="AG3829"/>
      <c r="AH3829"/>
      <c r="AI3829"/>
      <c r="AJ3829"/>
      <c r="AK3829"/>
      <c r="AL3829"/>
      <c r="AM3829"/>
      <c r="AN3829"/>
      <c r="AO3829"/>
    </row>
    <row r="3830" spans="1:41" ht="15">
      <c r="A3830"/>
      <c r="B3830"/>
      <c r="C3830" s="137"/>
      <c r="D3830" s="30"/>
      <c r="E3830" s="30"/>
      <c r="F3830" s="10"/>
      <c r="G3830" s="10"/>
      <c r="H3830" s="15"/>
      <c r="I3830" s="15"/>
      <c r="J3830" s="15"/>
      <c r="K3830" s="15"/>
      <c r="L3830" s="15"/>
      <c r="M3830" s="15"/>
      <c r="N3830" s="15"/>
      <c r="O3830" s="15"/>
      <c r="P3830" s="15"/>
      <c r="Q3830" s="71"/>
      <c r="R3830" s="84"/>
      <c r="S3830" s="10"/>
      <c r="T3830" s="10"/>
      <c r="U3830" s="10"/>
      <c r="V3830" s="10"/>
      <c r="W3830" s="138"/>
      <c r="Y3830"/>
      <c r="Z3830"/>
      <c r="AA3830"/>
      <c r="AB3830"/>
      <c r="AC3830"/>
      <c r="AD3830"/>
      <c r="AE3830"/>
      <c r="AF3830"/>
      <c r="AG3830"/>
      <c r="AH3830"/>
      <c r="AI3830"/>
      <c r="AJ3830"/>
      <c r="AK3830"/>
      <c r="AL3830"/>
      <c r="AM3830"/>
      <c r="AN3830"/>
      <c r="AO3830"/>
    </row>
    <row r="3831" spans="1:41" ht="15">
      <c r="A3831"/>
      <c r="B3831"/>
      <c r="C3831" s="137"/>
      <c r="D3831" s="30"/>
      <c r="E3831" s="30"/>
      <c r="F3831" s="10"/>
      <c r="G3831" s="10"/>
      <c r="H3831" s="15"/>
      <c r="I3831" s="15"/>
      <c r="J3831" s="15"/>
      <c r="K3831" s="15"/>
      <c r="L3831" s="15"/>
      <c r="M3831" s="15"/>
      <c r="N3831" s="15"/>
      <c r="O3831" s="15"/>
      <c r="P3831" s="15"/>
      <c r="Q3831" s="71"/>
      <c r="R3831" s="84"/>
      <c r="S3831" s="10"/>
      <c r="T3831" s="10"/>
      <c r="U3831" s="10"/>
      <c r="V3831" s="10"/>
      <c r="W3831" s="138"/>
      <c r="Y3831"/>
      <c r="Z3831"/>
      <c r="AA3831"/>
      <c r="AB3831"/>
      <c r="AC3831"/>
      <c r="AD3831"/>
      <c r="AE3831"/>
      <c r="AF3831"/>
      <c r="AG3831"/>
      <c r="AH3831"/>
      <c r="AI3831"/>
      <c r="AJ3831"/>
      <c r="AK3831"/>
      <c r="AL3831"/>
      <c r="AM3831"/>
      <c r="AN3831"/>
      <c r="AO3831"/>
    </row>
    <row r="3832" spans="1:41" ht="15">
      <c r="A3832"/>
      <c r="B3832"/>
      <c r="C3832" s="137"/>
      <c r="D3832" s="30"/>
      <c r="E3832" s="30"/>
      <c r="F3832" s="10"/>
      <c r="G3832" s="10"/>
      <c r="H3832" s="15"/>
      <c r="I3832" s="15"/>
      <c r="J3832" s="15"/>
      <c r="K3832" s="15"/>
      <c r="L3832" s="15"/>
      <c r="M3832" s="15"/>
      <c r="N3832" s="15"/>
      <c r="O3832" s="15"/>
      <c r="P3832" s="15"/>
      <c r="Q3832" s="71"/>
      <c r="R3832" s="84"/>
      <c r="S3832" s="10"/>
      <c r="T3832" s="10"/>
      <c r="U3832" s="10"/>
      <c r="V3832" s="10"/>
      <c r="W3832" s="138"/>
      <c r="Y3832"/>
      <c r="Z3832"/>
      <c r="AA3832"/>
      <c r="AB3832"/>
      <c r="AC3832"/>
      <c r="AD3832"/>
      <c r="AE3832"/>
      <c r="AF3832"/>
      <c r="AG3832"/>
      <c r="AH3832"/>
      <c r="AI3832"/>
      <c r="AJ3832"/>
      <c r="AK3832"/>
      <c r="AL3832"/>
      <c r="AM3832"/>
      <c r="AN3832"/>
      <c r="AO3832"/>
    </row>
    <row r="3833" spans="1:41" ht="15">
      <c r="A3833"/>
      <c r="B3833"/>
      <c r="C3833" s="137"/>
      <c r="D3833" s="30"/>
      <c r="E3833" s="30"/>
      <c r="F3833" s="10"/>
      <c r="G3833" s="10"/>
      <c r="H3833" s="15"/>
      <c r="I3833" s="15"/>
      <c r="J3833" s="15"/>
      <c r="K3833" s="15"/>
      <c r="L3833" s="15"/>
      <c r="M3833" s="15"/>
      <c r="N3833" s="15"/>
      <c r="O3833" s="15"/>
      <c r="P3833" s="15"/>
      <c r="Q3833" s="71"/>
      <c r="R3833" s="84"/>
      <c r="S3833" s="10"/>
      <c r="T3833" s="10"/>
      <c r="U3833" s="10"/>
      <c r="V3833" s="10"/>
      <c r="W3833" s="138"/>
      <c r="Y3833"/>
      <c r="Z3833"/>
      <c r="AA3833"/>
      <c r="AB3833"/>
      <c r="AC3833"/>
      <c r="AD3833"/>
      <c r="AE3833"/>
      <c r="AF3833"/>
      <c r="AG3833"/>
      <c r="AH3833"/>
      <c r="AI3833"/>
      <c r="AJ3833"/>
      <c r="AK3833"/>
      <c r="AL3833"/>
      <c r="AM3833"/>
      <c r="AN3833"/>
      <c r="AO3833"/>
    </row>
    <row r="3834" spans="1:41" ht="15">
      <c r="A3834"/>
      <c r="B3834"/>
      <c r="C3834" s="137"/>
      <c r="D3834" s="30"/>
      <c r="E3834" s="30"/>
      <c r="F3834" s="10"/>
      <c r="G3834" s="10"/>
      <c r="H3834" s="15"/>
      <c r="I3834" s="15"/>
      <c r="J3834" s="15"/>
      <c r="K3834" s="15"/>
      <c r="L3834" s="15"/>
      <c r="M3834" s="15"/>
      <c r="N3834" s="15"/>
      <c r="O3834" s="15"/>
      <c r="P3834" s="15"/>
      <c r="Q3834" s="71"/>
      <c r="R3834" s="84"/>
      <c r="S3834" s="10"/>
      <c r="T3834" s="10"/>
      <c r="U3834" s="10"/>
      <c r="V3834" s="10"/>
      <c r="W3834" s="138"/>
      <c r="Y3834"/>
      <c r="Z3834"/>
      <c r="AA3834"/>
      <c r="AB3834"/>
      <c r="AC3834"/>
      <c r="AD3834"/>
      <c r="AE3834"/>
      <c r="AF3834"/>
      <c r="AG3834"/>
      <c r="AH3834"/>
      <c r="AI3834"/>
      <c r="AJ3834"/>
      <c r="AK3834"/>
      <c r="AL3834"/>
      <c r="AM3834"/>
      <c r="AN3834"/>
      <c r="AO3834"/>
    </row>
    <row r="3835" spans="1:41" ht="15">
      <c r="A3835"/>
      <c r="B3835"/>
      <c r="C3835" s="137"/>
      <c r="D3835" s="30"/>
      <c r="E3835" s="30"/>
      <c r="F3835" s="10"/>
      <c r="G3835" s="10"/>
      <c r="H3835" s="15"/>
      <c r="I3835" s="15"/>
      <c r="J3835" s="15"/>
      <c r="K3835" s="15"/>
      <c r="L3835" s="15"/>
      <c r="M3835" s="15"/>
      <c r="N3835" s="15"/>
      <c r="O3835" s="15"/>
      <c r="P3835" s="15"/>
      <c r="Q3835" s="71"/>
      <c r="R3835" s="84"/>
      <c r="S3835" s="10"/>
      <c r="T3835" s="10"/>
      <c r="U3835" s="10"/>
      <c r="V3835" s="10"/>
      <c r="W3835" s="138"/>
      <c r="Y3835"/>
      <c r="Z3835"/>
      <c r="AA3835"/>
      <c r="AB3835"/>
      <c r="AC3835"/>
      <c r="AD3835"/>
      <c r="AE3835"/>
      <c r="AF3835"/>
      <c r="AG3835"/>
      <c r="AH3835"/>
      <c r="AI3835"/>
      <c r="AJ3835"/>
      <c r="AK3835"/>
      <c r="AL3835"/>
      <c r="AM3835"/>
      <c r="AN3835"/>
      <c r="AO3835"/>
    </row>
    <row r="3836" spans="1:41" ht="15">
      <c r="A3836"/>
      <c r="B3836"/>
      <c r="C3836" s="137"/>
      <c r="D3836" s="30"/>
      <c r="E3836" s="30"/>
      <c r="F3836" s="10"/>
      <c r="G3836" s="10"/>
      <c r="H3836" s="15"/>
      <c r="I3836" s="15"/>
      <c r="J3836" s="15"/>
      <c r="K3836" s="15"/>
      <c r="L3836" s="15"/>
      <c r="M3836" s="15"/>
      <c r="N3836" s="15"/>
      <c r="O3836" s="15"/>
      <c r="P3836" s="15"/>
      <c r="Q3836" s="71"/>
      <c r="R3836" s="84"/>
      <c r="S3836" s="10"/>
      <c r="T3836" s="10"/>
      <c r="U3836" s="10"/>
      <c r="V3836" s="10"/>
      <c r="W3836" s="138"/>
      <c r="Y3836"/>
      <c r="Z3836"/>
      <c r="AA3836"/>
      <c r="AB3836"/>
      <c r="AC3836"/>
      <c r="AD3836"/>
      <c r="AE3836"/>
      <c r="AF3836"/>
      <c r="AG3836"/>
      <c r="AH3836"/>
      <c r="AI3836"/>
      <c r="AJ3836"/>
      <c r="AK3836"/>
      <c r="AL3836"/>
      <c r="AM3836"/>
      <c r="AN3836"/>
      <c r="AO3836"/>
    </row>
    <row r="3837" spans="1:41" ht="15">
      <c r="A3837"/>
      <c r="B3837"/>
      <c r="C3837" s="137"/>
      <c r="D3837" s="30"/>
      <c r="E3837" s="30"/>
      <c r="F3837" s="10"/>
      <c r="G3837" s="10"/>
      <c r="H3837" s="15"/>
      <c r="I3837" s="15"/>
      <c r="J3837" s="15"/>
      <c r="K3837" s="15"/>
      <c r="L3837" s="15"/>
      <c r="M3837" s="15"/>
      <c r="N3837" s="15"/>
      <c r="O3837" s="15"/>
      <c r="P3837" s="15"/>
      <c r="Q3837" s="71"/>
      <c r="R3837" s="84"/>
      <c r="S3837" s="10"/>
      <c r="T3837" s="10"/>
      <c r="U3837" s="10"/>
      <c r="V3837" s="10"/>
      <c r="W3837" s="138"/>
      <c r="Y3837"/>
      <c r="Z3837"/>
      <c r="AA3837"/>
      <c r="AB3837"/>
      <c r="AC3837"/>
      <c r="AD3837"/>
      <c r="AE3837"/>
      <c r="AF3837"/>
      <c r="AG3837"/>
      <c r="AH3837"/>
      <c r="AI3837"/>
      <c r="AJ3837"/>
      <c r="AK3837"/>
      <c r="AL3837"/>
      <c r="AM3837"/>
      <c r="AN3837"/>
      <c r="AO3837"/>
    </row>
    <row r="3838" spans="1:41" ht="15">
      <c r="A3838"/>
      <c r="B3838"/>
      <c r="C3838" s="137"/>
      <c r="D3838" s="30"/>
      <c r="E3838" s="30"/>
      <c r="F3838" s="10"/>
      <c r="G3838" s="10"/>
      <c r="H3838" s="15"/>
      <c r="I3838" s="15"/>
      <c r="J3838" s="15"/>
      <c r="K3838" s="15"/>
      <c r="L3838" s="15"/>
      <c r="M3838" s="15"/>
      <c r="N3838" s="15"/>
      <c r="O3838" s="15"/>
      <c r="P3838" s="15"/>
      <c r="Q3838" s="71"/>
      <c r="R3838" s="84"/>
      <c r="S3838" s="10"/>
      <c r="T3838" s="10"/>
      <c r="U3838" s="10"/>
      <c r="V3838" s="10"/>
      <c r="W3838" s="138"/>
      <c r="Y3838"/>
      <c r="Z3838"/>
      <c r="AA3838"/>
      <c r="AB3838"/>
      <c r="AC3838"/>
      <c r="AD3838"/>
      <c r="AE3838"/>
      <c r="AF3838"/>
      <c r="AG3838"/>
      <c r="AH3838"/>
      <c r="AI3838"/>
      <c r="AJ3838"/>
      <c r="AK3838"/>
      <c r="AL3838"/>
      <c r="AM3838"/>
      <c r="AN3838"/>
      <c r="AO3838"/>
    </row>
    <row r="3839" spans="1:41" ht="15">
      <c r="A3839"/>
      <c r="B3839"/>
      <c r="C3839" s="137"/>
      <c r="D3839" s="30"/>
      <c r="E3839" s="30"/>
      <c r="F3839" s="10"/>
      <c r="G3839" s="10"/>
      <c r="H3839" s="15"/>
      <c r="I3839" s="15"/>
      <c r="J3839" s="15"/>
      <c r="K3839" s="15"/>
      <c r="L3839" s="15"/>
      <c r="M3839" s="15"/>
      <c r="N3839" s="15"/>
      <c r="O3839" s="15"/>
      <c r="P3839" s="15"/>
      <c r="Q3839" s="71"/>
      <c r="R3839" s="84"/>
      <c r="S3839" s="10"/>
      <c r="T3839" s="10"/>
      <c r="U3839" s="10"/>
      <c r="V3839" s="10"/>
      <c r="W3839" s="138"/>
      <c r="Y3839"/>
      <c r="Z3839"/>
      <c r="AA3839"/>
      <c r="AB3839"/>
      <c r="AC3839"/>
      <c r="AD3839"/>
      <c r="AE3839"/>
      <c r="AF3839"/>
      <c r="AG3839"/>
      <c r="AH3839"/>
      <c r="AI3839"/>
      <c r="AJ3839"/>
      <c r="AK3839"/>
      <c r="AL3839"/>
      <c r="AM3839"/>
      <c r="AN3839"/>
      <c r="AO3839"/>
    </row>
    <row r="3840" spans="1:41" ht="15">
      <c r="A3840"/>
      <c r="B3840"/>
      <c r="C3840" s="137"/>
      <c r="D3840" s="30"/>
      <c r="E3840" s="30"/>
      <c r="F3840" s="10"/>
      <c r="G3840" s="10"/>
      <c r="H3840" s="15"/>
      <c r="I3840" s="15"/>
      <c r="J3840" s="15"/>
      <c r="K3840" s="15"/>
      <c r="L3840" s="15"/>
      <c r="M3840" s="15"/>
      <c r="N3840" s="15"/>
      <c r="O3840" s="15"/>
      <c r="P3840" s="15"/>
      <c r="Q3840" s="71"/>
      <c r="R3840" s="84"/>
      <c r="S3840" s="10"/>
      <c r="T3840" s="10"/>
      <c r="U3840" s="10"/>
      <c r="V3840" s="10"/>
      <c r="W3840" s="138"/>
      <c r="Y3840"/>
      <c r="Z3840"/>
      <c r="AA3840"/>
      <c r="AB3840"/>
      <c r="AC3840"/>
      <c r="AD3840"/>
      <c r="AE3840"/>
      <c r="AF3840"/>
      <c r="AG3840"/>
      <c r="AH3840"/>
      <c r="AI3840"/>
      <c r="AJ3840"/>
      <c r="AK3840"/>
      <c r="AL3840"/>
      <c r="AM3840"/>
      <c r="AN3840"/>
      <c r="AO3840"/>
    </row>
    <row r="3841" spans="1:41" ht="15">
      <c r="A3841"/>
      <c r="B3841"/>
      <c r="C3841" s="137"/>
      <c r="D3841" s="30"/>
      <c r="E3841" s="30"/>
      <c r="F3841" s="10"/>
      <c r="G3841" s="10"/>
      <c r="H3841" s="15"/>
      <c r="I3841" s="15"/>
      <c r="J3841" s="15"/>
      <c r="K3841" s="15"/>
      <c r="L3841" s="15"/>
      <c r="M3841" s="15"/>
      <c r="N3841" s="15"/>
      <c r="O3841" s="15"/>
      <c r="P3841" s="15"/>
      <c r="Q3841" s="71"/>
      <c r="R3841" s="84"/>
      <c r="S3841" s="10"/>
      <c r="T3841" s="10"/>
      <c r="U3841" s="10"/>
      <c r="V3841" s="10"/>
      <c r="W3841" s="138"/>
      <c r="Y3841"/>
      <c r="Z3841"/>
      <c r="AA3841"/>
      <c r="AB3841"/>
      <c r="AC3841"/>
      <c r="AD3841"/>
      <c r="AE3841"/>
      <c r="AF3841"/>
      <c r="AG3841"/>
      <c r="AH3841"/>
      <c r="AI3841"/>
      <c r="AJ3841"/>
      <c r="AK3841"/>
      <c r="AL3841"/>
      <c r="AM3841"/>
      <c r="AN3841"/>
      <c r="AO3841"/>
    </row>
    <row r="3842" spans="1:41" ht="15">
      <c r="A3842"/>
      <c r="B3842"/>
      <c r="C3842" s="137"/>
      <c r="D3842" s="30"/>
      <c r="E3842" s="30"/>
      <c r="F3842" s="10"/>
      <c r="G3842" s="10"/>
      <c r="H3842" s="15"/>
      <c r="I3842" s="15"/>
      <c r="J3842" s="15"/>
      <c r="K3842" s="15"/>
      <c r="L3842" s="15"/>
      <c r="M3842" s="15"/>
      <c r="N3842" s="15"/>
      <c r="O3842" s="15"/>
      <c r="P3842" s="15"/>
      <c r="Q3842" s="71"/>
      <c r="R3842" s="84"/>
      <c r="S3842" s="10"/>
      <c r="T3842" s="10"/>
      <c r="U3842" s="10"/>
      <c r="V3842" s="10"/>
      <c r="W3842" s="138"/>
      <c r="Y3842"/>
      <c r="Z3842"/>
      <c r="AA3842"/>
      <c r="AB3842"/>
      <c r="AC3842"/>
      <c r="AD3842"/>
      <c r="AE3842"/>
      <c r="AF3842"/>
      <c r="AG3842"/>
      <c r="AH3842"/>
      <c r="AI3842"/>
      <c r="AJ3842"/>
      <c r="AK3842"/>
      <c r="AL3842"/>
      <c r="AM3842"/>
      <c r="AN3842"/>
      <c r="AO3842"/>
    </row>
    <row r="3843" spans="1:41" ht="15">
      <c r="A3843"/>
      <c r="B3843"/>
      <c r="C3843" s="137"/>
      <c r="D3843" s="30"/>
      <c r="E3843" s="30"/>
      <c r="F3843" s="10"/>
      <c r="G3843" s="10"/>
      <c r="H3843" s="15"/>
      <c r="I3843" s="15"/>
      <c r="J3843" s="15"/>
      <c r="K3843" s="15"/>
      <c r="L3843" s="15"/>
      <c r="M3843" s="15"/>
      <c r="N3843" s="15"/>
      <c r="O3843" s="15"/>
      <c r="P3843" s="15"/>
      <c r="Q3843" s="71"/>
      <c r="R3843" s="84"/>
      <c r="S3843" s="10"/>
      <c r="T3843" s="10"/>
      <c r="U3843" s="10"/>
      <c r="V3843" s="10"/>
      <c r="W3843" s="138"/>
      <c r="Y3843"/>
      <c r="Z3843"/>
      <c r="AA3843"/>
      <c r="AB3843"/>
      <c r="AC3843"/>
      <c r="AD3843"/>
      <c r="AE3843"/>
      <c r="AF3843"/>
      <c r="AG3843"/>
      <c r="AH3843"/>
      <c r="AI3843"/>
      <c r="AJ3843"/>
      <c r="AK3843"/>
      <c r="AL3843"/>
      <c r="AM3843"/>
      <c r="AN3843"/>
      <c r="AO3843"/>
    </row>
    <row r="3844" spans="1:41" ht="15">
      <c r="A3844"/>
      <c r="B3844"/>
      <c r="C3844" s="137"/>
      <c r="D3844" s="30"/>
      <c r="E3844" s="30"/>
      <c r="F3844" s="10"/>
      <c r="G3844" s="10"/>
      <c r="H3844" s="15"/>
      <c r="I3844" s="15"/>
      <c r="J3844" s="15"/>
      <c r="K3844" s="15"/>
      <c r="L3844" s="15"/>
      <c r="M3844" s="15"/>
      <c r="N3844" s="15"/>
      <c r="O3844" s="15"/>
      <c r="P3844" s="15"/>
      <c r="Q3844" s="71"/>
      <c r="R3844" s="84"/>
      <c r="S3844" s="10"/>
      <c r="T3844" s="10"/>
      <c r="U3844" s="10"/>
      <c r="V3844" s="10"/>
      <c r="W3844" s="138"/>
      <c r="Y3844"/>
      <c r="Z3844"/>
      <c r="AA3844"/>
      <c r="AB3844"/>
      <c r="AC3844"/>
      <c r="AD3844"/>
      <c r="AE3844"/>
      <c r="AF3844"/>
      <c r="AG3844"/>
      <c r="AH3844"/>
      <c r="AI3844"/>
      <c r="AJ3844"/>
      <c r="AK3844"/>
      <c r="AL3844"/>
      <c r="AM3844"/>
      <c r="AN3844"/>
      <c r="AO3844"/>
    </row>
    <row r="3845" spans="1:41" ht="15">
      <c r="A3845"/>
      <c r="B3845"/>
      <c r="C3845" s="137"/>
      <c r="D3845" s="30"/>
      <c r="E3845" s="30"/>
      <c r="F3845" s="10"/>
      <c r="G3845" s="10"/>
      <c r="H3845" s="15"/>
      <c r="I3845" s="15"/>
      <c r="J3845" s="15"/>
      <c r="K3845" s="15"/>
      <c r="L3845" s="15"/>
      <c r="M3845" s="15"/>
      <c r="N3845" s="15"/>
      <c r="O3845" s="15"/>
      <c r="P3845" s="15"/>
      <c r="Q3845" s="71"/>
      <c r="R3845" s="84"/>
      <c r="S3845" s="10"/>
      <c r="T3845" s="10"/>
      <c r="U3845" s="10"/>
      <c r="V3845" s="10"/>
      <c r="W3845" s="138"/>
      <c r="Y3845"/>
      <c r="Z3845"/>
      <c r="AA3845"/>
      <c r="AB3845"/>
      <c r="AC3845"/>
      <c r="AD3845"/>
      <c r="AE3845"/>
      <c r="AF3845"/>
      <c r="AG3845"/>
      <c r="AH3845"/>
      <c r="AI3845"/>
      <c r="AJ3845"/>
      <c r="AK3845"/>
      <c r="AL3845"/>
      <c r="AM3845"/>
      <c r="AN3845"/>
      <c r="AO3845"/>
    </row>
    <row r="3846" spans="1:41" ht="15">
      <c r="A3846"/>
      <c r="B3846"/>
      <c r="C3846" s="137"/>
      <c r="D3846" s="30"/>
      <c r="E3846" s="30"/>
      <c r="F3846" s="10"/>
      <c r="G3846" s="10"/>
      <c r="H3846" s="15"/>
      <c r="I3846" s="15"/>
      <c r="J3846" s="15"/>
      <c r="K3846" s="15"/>
      <c r="L3846" s="15"/>
      <c r="M3846" s="15"/>
      <c r="N3846" s="15"/>
      <c r="O3846" s="15"/>
      <c r="P3846" s="15"/>
      <c r="Q3846" s="71"/>
      <c r="R3846" s="84"/>
      <c r="S3846" s="10"/>
      <c r="T3846" s="10"/>
      <c r="U3846" s="10"/>
      <c r="V3846" s="10"/>
      <c r="W3846" s="138"/>
      <c r="Y3846"/>
      <c r="Z3846"/>
      <c r="AA3846"/>
      <c r="AB3846"/>
      <c r="AC3846"/>
      <c r="AD3846"/>
      <c r="AE3846"/>
      <c r="AF3846"/>
      <c r="AG3846"/>
      <c r="AH3846"/>
      <c r="AI3846"/>
      <c r="AJ3846"/>
      <c r="AK3846"/>
      <c r="AL3846"/>
      <c r="AM3846"/>
      <c r="AN3846"/>
      <c r="AO3846"/>
    </row>
    <row r="3847" spans="1:41" ht="15">
      <c r="A3847"/>
      <c r="B3847"/>
      <c r="C3847" s="137"/>
      <c r="D3847" s="30"/>
      <c r="E3847" s="30"/>
      <c r="F3847" s="10"/>
      <c r="G3847" s="10"/>
      <c r="H3847" s="15"/>
      <c r="I3847" s="15"/>
      <c r="J3847" s="15"/>
      <c r="K3847" s="15"/>
      <c r="L3847" s="15"/>
      <c r="M3847" s="15"/>
      <c r="N3847" s="15"/>
      <c r="O3847" s="15"/>
      <c r="P3847" s="15"/>
      <c r="Q3847" s="71"/>
      <c r="R3847" s="84"/>
      <c r="S3847" s="10"/>
      <c r="T3847" s="10"/>
      <c r="U3847" s="10"/>
      <c r="V3847" s="10"/>
      <c r="W3847" s="138"/>
      <c r="Y3847"/>
      <c r="Z3847"/>
      <c r="AA3847"/>
      <c r="AB3847"/>
      <c r="AC3847"/>
      <c r="AD3847"/>
      <c r="AE3847"/>
      <c r="AF3847"/>
      <c r="AG3847"/>
      <c r="AH3847"/>
      <c r="AI3847"/>
      <c r="AJ3847"/>
      <c r="AK3847"/>
      <c r="AL3847"/>
      <c r="AM3847"/>
      <c r="AN3847"/>
      <c r="AO3847"/>
    </row>
    <row r="3848" spans="1:41" ht="15">
      <c r="A3848"/>
      <c r="B3848"/>
      <c r="C3848" s="137"/>
      <c r="D3848" s="30"/>
      <c r="E3848" s="30"/>
      <c r="F3848" s="10"/>
      <c r="G3848" s="10"/>
      <c r="H3848" s="15"/>
      <c r="I3848" s="15"/>
      <c r="J3848" s="15"/>
      <c r="K3848" s="15"/>
      <c r="L3848" s="15"/>
      <c r="M3848" s="15"/>
      <c r="N3848" s="15"/>
      <c r="O3848" s="15"/>
      <c r="P3848" s="15"/>
      <c r="Q3848" s="71"/>
      <c r="R3848" s="84"/>
      <c r="S3848" s="10"/>
      <c r="T3848" s="10"/>
      <c r="U3848" s="10"/>
      <c r="V3848" s="10"/>
      <c r="W3848" s="138"/>
      <c r="Y3848"/>
      <c r="Z3848"/>
      <c r="AA3848"/>
      <c r="AB3848"/>
      <c r="AC3848"/>
      <c r="AD3848"/>
      <c r="AE3848"/>
      <c r="AF3848"/>
      <c r="AG3848"/>
      <c r="AH3848"/>
      <c r="AI3848"/>
      <c r="AJ3848"/>
      <c r="AK3848"/>
      <c r="AL3848"/>
      <c r="AM3848"/>
      <c r="AN3848"/>
      <c r="AO3848"/>
    </row>
    <row r="3849" spans="1:41" ht="15">
      <c r="A3849"/>
      <c r="B3849"/>
      <c r="C3849" s="137"/>
      <c r="D3849" s="30"/>
      <c r="E3849" s="30"/>
      <c r="F3849" s="10"/>
      <c r="G3849" s="10"/>
      <c r="H3849" s="15"/>
      <c r="I3849" s="15"/>
      <c r="J3849" s="15"/>
      <c r="K3849" s="15"/>
      <c r="L3849" s="15"/>
      <c r="M3849" s="15"/>
      <c r="N3849" s="15"/>
      <c r="O3849" s="15"/>
      <c r="P3849" s="15"/>
      <c r="Q3849" s="71"/>
      <c r="R3849" s="84"/>
      <c r="S3849" s="10"/>
      <c r="T3849" s="10"/>
      <c r="U3849" s="10"/>
      <c r="V3849" s="10"/>
      <c r="W3849" s="138"/>
      <c r="Y3849"/>
      <c r="Z3849"/>
      <c r="AA3849"/>
      <c r="AB3849"/>
      <c r="AC3849"/>
      <c r="AD3849"/>
      <c r="AE3849"/>
      <c r="AF3849"/>
      <c r="AG3849"/>
      <c r="AH3849"/>
      <c r="AI3849"/>
      <c r="AJ3849"/>
      <c r="AK3849"/>
      <c r="AL3849"/>
      <c r="AM3849"/>
      <c r="AN3849"/>
      <c r="AO3849"/>
    </row>
    <row r="3850" spans="1:41" ht="15">
      <c r="A3850"/>
      <c r="B3850"/>
      <c r="C3850" s="137"/>
      <c r="D3850" s="30"/>
      <c r="E3850" s="30"/>
      <c r="F3850" s="10"/>
      <c r="G3850" s="10"/>
      <c r="H3850" s="15"/>
      <c r="I3850" s="15"/>
      <c r="J3850" s="15"/>
      <c r="K3850" s="15"/>
      <c r="L3850" s="15"/>
      <c r="M3850" s="15"/>
      <c r="N3850" s="15"/>
      <c r="O3850" s="15"/>
      <c r="P3850" s="15"/>
      <c r="Q3850" s="71"/>
      <c r="R3850" s="84"/>
      <c r="S3850" s="10"/>
      <c r="T3850" s="10"/>
      <c r="U3850" s="10"/>
      <c r="V3850" s="10"/>
      <c r="W3850" s="138"/>
      <c r="Y3850"/>
      <c r="Z3850"/>
      <c r="AA3850"/>
      <c r="AB3850"/>
      <c r="AC3850"/>
      <c r="AD3850"/>
      <c r="AE3850"/>
      <c r="AF3850"/>
      <c r="AG3850"/>
      <c r="AH3850"/>
      <c r="AI3850"/>
      <c r="AJ3850"/>
      <c r="AK3850"/>
      <c r="AL3850"/>
      <c r="AM3850"/>
      <c r="AN3850"/>
      <c r="AO3850"/>
    </row>
    <row r="3851" spans="1:41" ht="15">
      <c r="A3851"/>
      <c r="B3851"/>
      <c r="C3851" s="137"/>
      <c r="D3851" s="30"/>
      <c r="E3851" s="30"/>
      <c r="F3851" s="10"/>
      <c r="G3851" s="10"/>
      <c r="H3851" s="15"/>
      <c r="I3851" s="15"/>
      <c r="J3851" s="15"/>
      <c r="K3851" s="15"/>
      <c r="L3851" s="15"/>
      <c r="M3851" s="15"/>
      <c r="N3851" s="15"/>
      <c r="O3851" s="15"/>
      <c r="P3851" s="15"/>
      <c r="Q3851" s="71"/>
      <c r="R3851" s="84"/>
      <c r="S3851" s="10"/>
      <c r="T3851" s="10"/>
      <c r="U3851" s="10"/>
      <c r="V3851" s="10"/>
      <c r="W3851" s="138"/>
      <c r="Y3851"/>
      <c r="Z3851"/>
      <c r="AA3851"/>
      <c r="AB3851"/>
      <c r="AC3851"/>
      <c r="AD3851"/>
      <c r="AE3851"/>
      <c r="AF3851"/>
      <c r="AG3851"/>
      <c r="AH3851"/>
      <c r="AI3851"/>
      <c r="AJ3851"/>
      <c r="AK3851"/>
      <c r="AL3851"/>
      <c r="AM3851"/>
      <c r="AN3851"/>
      <c r="AO3851"/>
    </row>
    <row r="3852" spans="1:41" ht="15">
      <c r="A3852"/>
      <c r="B3852"/>
      <c r="C3852" s="137"/>
      <c r="D3852" s="30"/>
      <c r="E3852" s="30"/>
      <c r="F3852" s="10"/>
      <c r="G3852" s="10"/>
      <c r="H3852" s="15"/>
      <c r="I3852" s="15"/>
      <c r="J3852" s="15"/>
      <c r="K3852" s="15"/>
      <c r="L3852" s="15"/>
      <c r="M3852" s="15"/>
      <c r="N3852" s="15"/>
      <c r="O3852" s="15"/>
      <c r="P3852" s="15"/>
      <c r="Q3852" s="71"/>
      <c r="R3852" s="84"/>
      <c r="S3852" s="10"/>
      <c r="T3852" s="10"/>
      <c r="U3852" s="10"/>
      <c r="V3852" s="10"/>
      <c r="W3852" s="138"/>
      <c r="Y3852"/>
      <c r="Z3852"/>
      <c r="AA3852"/>
      <c r="AB3852"/>
      <c r="AC3852"/>
      <c r="AD3852"/>
      <c r="AE3852"/>
      <c r="AF3852"/>
      <c r="AG3852"/>
      <c r="AH3852"/>
      <c r="AI3852"/>
      <c r="AJ3852"/>
      <c r="AK3852"/>
      <c r="AL3852"/>
      <c r="AM3852"/>
      <c r="AN3852"/>
      <c r="AO3852"/>
    </row>
    <row r="3853" spans="1:41" ht="15">
      <c r="A3853"/>
      <c r="B3853"/>
      <c r="C3853" s="137"/>
      <c r="D3853" s="30"/>
      <c r="E3853" s="30"/>
      <c r="F3853" s="10"/>
      <c r="G3853" s="10"/>
      <c r="H3853" s="15"/>
      <c r="I3853" s="15"/>
      <c r="J3853" s="15"/>
      <c r="K3853" s="15"/>
      <c r="L3853" s="15"/>
      <c r="M3853" s="15"/>
      <c r="N3853" s="15"/>
      <c r="O3853" s="15"/>
      <c r="P3853" s="15"/>
      <c r="Q3853" s="71"/>
      <c r="R3853" s="84"/>
      <c r="S3853" s="10"/>
      <c r="T3853" s="10"/>
      <c r="U3853" s="10"/>
      <c r="V3853" s="10"/>
      <c r="W3853" s="138"/>
      <c r="Y3853"/>
      <c r="Z3853"/>
      <c r="AA3853"/>
      <c r="AB3853"/>
      <c r="AC3853"/>
      <c r="AD3853"/>
      <c r="AE3853"/>
      <c r="AF3853"/>
      <c r="AG3853"/>
      <c r="AH3853"/>
      <c r="AI3853"/>
      <c r="AJ3853"/>
      <c r="AK3853"/>
      <c r="AL3853"/>
      <c r="AM3853"/>
      <c r="AN3853"/>
      <c r="AO3853"/>
    </row>
    <row r="3854" spans="1:41" ht="15">
      <c r="A3854"/>
      <c r="B3854"/>
      <c r="C3854" s="137"/>
      <c r="D3854" s="30"/>
      <c r="E3854" s="30"/>
      <c r="F3854" s="10"/>
      <c r="G3854" s="10"/>
      <c r="H3854" s="15"/>
      <c r="I3854" s="15"/>
      <c r="J3854" s="15"/>
      <c r="K3854" s="15"/>
      <c r="L3854" s="15"/>
      <c r="M3854" s="15"/>
      <c r="N3854" s="15"/>
      <c r="O3854" s="15"/>
      <c r="P3854" s="15"/>
      <c r="Q3854" s="71"/>
      <c r="R3854" s="84"/>
      <c r="S3854" s="10"/>
      <c r="T3854" s="10"/>
      <c r="U3854" s="10"/>
      <c r="V3854" s="10"/>
      <c r="W3854" s="138"/>
      <c r="Y3854"/>
      <c r="Z3854"/>
      <c r="AA3854"/>
      <c r="AB3854"/>
      <c r="AC3854"/>
      <c r="AD3854"/>
      <c r="AE3854"/>
      <c r="AF3854"/>
      <c r="AG3854"/>
      <c r="AH3854"/>
      <c r="AI3854"/>
      <c r="AJ3854"/>
      <c r="AK3854"/>
      <c r="AL3854"/>
      <c r="AM3854"/>
      <c r="AN3854"/>
      <c r="AO3854"/>
    </row>
    <row r="3855" spans="1:41" ht="15">
      <c r="A3855"/>
      <c r="B3855"/>
      <c r="C3855" s="137"/>
      <c r="D3855" s="30"/>
      <c r="E3855" s="30"/>
      <c r="F3855" s="10"/>
      <c r="G3855" s="10"/>
      <c r="H3855" s="15"/>
      <c r="I3855" s="15"/>
      <c r="J3855" s="15"/>
      <c r="K3855" s="15"/>
      <c r="L3855" s="15"/>
      <c r="M3855" s="15"/>
      <c r="N3855" s="15"/>
      <c r="O3855" s="15"/>
      <c r="P3855" s="15"/>
      <c r="Q3855" s="71"/>
      <c r="R3855" s="84"/>
      <c r="S3855" s="10"/>
      <c r="T3855" s="10"/>
      <c r="U3855" s="10"/>
      <c r="V3855" s="10"/>
      <c r="W3855" s="138"/>
      <c r="Y3855"/>
      <c r="Z3855"/>
      <c r="AA3855"/>
      <c r="AB3855"/>
      <c r="AC3855"/>
      <c r="AD3855"/>
      <c r="AE3855"/>
      <c r="AF3855"/>
      <c r="AG3855"/>
      <c r="AH3855"/>
      <c r="AI3855"/>
      <c r="AJ3855"/>
      <c r="AK3855"/>
      <c r="AL3855"/>
      <c r="AM3855"/>
      <c r="AN3855"/>
      <c r="AO3855"/>
    </row>
    <row r="3856" spans="1:41" ht="15">
      <c r="A3856"/>
      <c r="B3856"/>
      <c r="C3856" s="137"/>
      <c r="D3856" s="30"/>
      <c r="E3856" s="30"/>
      <c r="F3856" s="10"/>
      <c r="G3856" s="10"/>
      <c r="H3856" s="15"/>
      <c r="I3856" s="15"/>
      <c r="J3856" s="15"/>
      <c r="K3856" s="15"/>
      <c r="L3856" s="15"/>
      <c r="M3856" s="15"/>
      <c r="N3856" s="15"/>
      <c r="O3856" s="15"/>
      <c r="P3856" s="15"/>
      <c r="Q3856" s="71"/>
      <c r="R3856" s="84"/>
      <c r="S3856" s="10"/>
      <c r="T3856" s="10"/>
      <c r="U3856" s="10"/>
      <c r="V3856" s="10"/>
      <c r="W3856" s="138"/>
      <c r="Y3856"/>
      <c r="Z3856"/>
      <c r="AA3856"/>
      <c r="AB3856"/>
      <c r="AC3856"/>
      <c r="AD3856"/>
      <c r="AE3856"/>
      <c r="AF3856"/>
      <c r="AG3856"/>
      <c r="AH3856"/>
      <c r="AI3856"/>
      <c r="AJ3856"/>
      <c r="AK3856"/>
      <c r="AL3856"/>
      <c r="AM3856"/>
      <c r="AN3856"/>
      <c r="AO3856"/>
    </row>
    <row r="3857" spans="1:41" ht="15">
      <c r="A3857"/>
      <c r="B3857"/>
      <c r="C3857" s="137"/>
      <c r="D3857" s="30"/>
      <c r="E3857" s="30"/>
      <c r="F3857" s="10"/>
      <c r="G3857" s="10"/>
      <c r="H3857" s="15"/>
      <c r="I3857" s="15"/>
      <c r="J3857" s="15"/>
      <c r="K3857" s="15"/>
      <c r="L3857" s="15"/>
      <c r="M3857" s="15"/>
      <c r="N3857" s="15"/>
      <c r="O3857" s="15"/>
      <c r="P3857" s="15"/>
      <c r="Q3857" s="71"/>
      <c r="R3857" s="84"/>
      <c r="S3857" s="10"/>
      <c r="T3857" s="10"/>
      <c r="U3857" s="10"/>
      <c r="V3857" s="10"/>
      <c r="W3857" s="138"/>
      <c r="Y3857"/>
      <c r="Z3857"/>
      <c r="AA3857"/>
      <c r="AB3857"/>
      <c r="AC3857"/>
      <c r="AD3857"/>
      <c r="AE3857"/>
      <c r="AF3857"/>
      <c r="AG3857"/>
      <c r="AH3857"/>
      <c r="AI3857"/>
      <c r="AJ3857"/>
      <c r="AK3857"/>
      <c r="AL3857"/>
      <c r="AM3857"/>
      <c r="AN3857"/>
      <c r="AO3857"/>
    </row>
    <row r="3858" spans="1:41" ht="15">
      <c r="A3858"/>
      <c r="B3858"/>
      <c r="C3858" s="137"/>
      <c r="D3858" s="30"/>
      <c r="E3858" s="30"/>
      <c r="F3858" s="10"/>
      <c r="G3858" s="10"/>
      <c r="H3858" s="15"/>
      <c r="I3858" s="15"/>
      <c r="J3858" s="15"/>
      <c r="K3858" s="15"/>
      <c r="L3858" s="15"/>
      <c r="M3858" s="15"/>
      <c r="N3858" s="15"/>
      <c r="O3858" s="15"/>
      <c r="P3858" s="15"/>
      <c r="Q3858" s="71"/>
      <c r="R3858" s="84"/>
      <c r="S3858" s="10"/>
      <c r="T3858" s="10"/>
      <c r="U3858" s="10"/>
      <c r="V3858" s="10"/>
      <c r="W3858" s="138"/>
      <c r="Y3858"/>
      <c r="Z3858"/>
      <c r="AA3858"/>
      <c r="AB3858"/>
      <c r="AC3858"/>
      <c r="AD3858"/>
      <c r="AE3858"/>
      <c r="AF3858"/>
      <c r="AG3858"/>
      <c r="AH3858"/>
      <c r="AI3858"/>
      <c r="AJ3858"/>
      <c r="AK3858"/>
      <c r="AL3858"/>
      <c r="AM3858"/>
      <c r="AN3858"/>
      <c r="AO3858"/>
    </row>
    <row r="3859" spans="1:41" ht="15">
      <c r="A3859"/>
      <c r="B3859"/>
      <c r="C3859" s="137"/>
      <c r="D3859" s="30"/>
      <c r="E3859" s="30"/>
      <c r="F3859" s="10"/>
      <c r="G3859" s="10"/>
      <c r="H3859" s="15"/>
      <c r="I3859" s="15"/>
      <c r="J3859" s="15"/>
      <c r="K3859" s="15"/>
      <c r="L3859" s="15"/>
      <c r="M3859" s="15"/>
      <c r="N3859" s="15"/>
      <c r="O3859" s="15"/>
      <c r="P3859" s="15"/>
      <c r="Q3859" s="71"/>
      <c r="R3859" s="84"/>
      <c r="S3859" s="10"/>
      <c r="T3859" s="10"/>
      <c r="U3859" s="10"/>
      <c r="V3859" s="10"/>
      <c r="W3859" s="138"/>
      <c r="Y3859"/>
      <c r="Z3859"/>
      <c r="AA3859"/>
      <c r="AB3859"/>
      <c r="AC3859"/>
      <c r="AD3859"/>
      <c r="AE3859"/>
      <c r="AF3859"/>
      <c r="AG3859"/>
      <c r="AH3859"/>
      <c r="AI3859"/>
      <c r="AJ3859"/>
      <c r="AK3859"/>
      <c r="AL3859"/>
      <c r="AM3859"/>
      <c r="AN3859"/>
      <c r="AO3859"/>
    </row>
    <row r="3860" spans="1:41" ht="15">
      <c r="A3860"/>
      <c r="B3860"/>
      <c r="C3860" s="137"/>
      <c r="D3860" s="30"/>
      <c r="E3860" s="30"/>
      <c r="F3860" s="10"/>
      <c r="G3860" s="10"/>
      <c r="H3860" s="15"/>
      <c r="I3860" s="15"/>
      <c r="J3860" s="15"/>
      <c r="K3860" s="15"/>
      <c r="L3860" s="15"/>
      <c r="M3860" s="15"/>
      <c r="N3860" s="15"/>
      <c r="O3860" s="15"/>
      <c r="P3860" s="15"/>
      <c r="Q3860" s="71"/>
      <c r="R3860" s="84"/>
      <c r="S3860" s="10"/>
      <c r="T3860" s="10"/>
      <c r="U3860" s="10"/>
      <c r="V3860" s="10"/>
      <c r="W3860" s="138"/>
      <c r="Y3860"/>
      <c r="Z3860"/>
      <c r="AA3860"/>
      <c r="AB3860"/>
      <c r="AC3860"/>
      <c r="AD3860"/>
      <c r="AE3860"/>
      <c r="AF3860"/>
      <c r="AG3860"/>
      <c r="AH3860"/>
      <c r="AI3860"/>
      <c r="AJ3860"/>
      <c r="AK3860"/>
      <c r="AL3860"/>
      <c r="AM3860"/>
      <c r="AN3860"/>
      <c r="AO3860"/>
    </row>
    <row r="3861" spans="1:41" ht="15">
      <c r="A3861"/>
      <c r="B3861"/>
      <c r="C3861" s="137"/>
      <c r="D3861" s="30"/>
      <c r="E3861" s="30"/>
      <c r="F3861" s="10"/>
      <c r="G3861" s="10"/>
      <c r="H3861" s="15"/>
      <c r="I3861" s="15"/>
      <c r="J3861" s="15"/>
      <c r="K3861" s="15"/>
      <c r="L3861" s="15"/>
      <c r="M3861" s="15"/>
      <c r="N3861" s="15"/>
      <c r="O3861" s="15"/>
      <c r="P3861" s="15"/>
      <c r="Q3861" s="71"/>
      <c r="R3861" s="84"/>
      <c r="S3861" s="10"/>
      <c r="T3861" s="10"/>
      <c r="U3861" s="10"/>
      <c r="V3861" s="10"/>
      <c r="W3861" s="138"/>
      <c r="Y3861"/>
      <c r="Z3861"/>
      <c r="AA3861"/>
      <c r="AB3861"/>
      <c r="AC3861"/>
      <c r="AD3861"/>
      <c r="AE3861"/>
      <c r="AF3861"/>
      <c r="AG3861"/>
      <c r="AH3861"/>
      <c r="AI3861"/>
      <c r="AJ3861"/>
      <c r="AK3861"/>
      <c r="AL3861"/>
      <c r="AM3861"/>
      <c r="AN3861"/>
      <c r="AO3861"/>
    </row>
    <row r="3862" spans="1:41" ht="15">
      <c r="A3862"/>
      <c r="B3862"/>
      <c r="C3862" s="137"/>
      <c r="D3862" s="30"/>
      <c r="E3862" s="30"/>
      <c r="F3862" s="10"/>
      <c r="G3862" s="10"/>
      <c r="H3862" s="15"/>
      <c r="I3862" s="15"/>
      <c r="J3862" s="15"/>
      <c r="K3862" s="15"/>
      <c r="L3862" s="15"/>
      <c r="M3862" s="15"/>
      <c r="N3862" s="15"/>
      <c r="O3862" s="15"/>
      <c r="P3862" s="15"/>
      <c r="Q3862" s="71"/>
      <c r="R3862" s="84"/>
      <c r="S3862" s="10"/>
      <c r="T3862" s="10"/>
      <c r="U3862" s="10"/>
      <c r="V3862" s="10"/>
      <c r="W3862" s="138"/>
      <c r="Y3862"/>
      <c r="Z3862"/>
      <c r="AA3862"/>
      <c r="AB3862"/>
      <c r="AC3862"/>
      <c r="AD3862"/>
      <c r="AE3862"/>
      <c r="AF3862"/>
      <c r="AG3862"/>
      <c r="AH3862"/>
      <c r="AI3862"/>
      <c r="AJ3862"/>
      <c r="AK3862"/>
      <c r="AL3862"/>
      <c r="AM3862"/>
      <c r="AN3862"/>
      <c r="AO3862"/>
    </row>
    <row r="3863" spans="1:41" ht="15">
      <c r="A3863"/>
      <c r="B3863"/>
      <c r="C3863" s="137"/>
      <c r="D3863" s="30"/>
      <c r="E3863" s="30"/>
      <c r="F3863" s="10"/>
      <c r="G3863" s="10"/>
      <c r="H3863" s="15"/>
      <c r="I3863" s="15"/>
      <c r="J3863" s="15"/>
      <c r="K3863" s="15"/>
      <c r="L3863" s="15"/>
      <c r="M3863" s="15"/>
      <c r="N3863" s="15"/>
      <c r="O3863" s="15"/>
      <c r="P3863" s="15"/>
      <c r="Q3863" s="71"/>
      <c r="R3863" s="84"/>
      <c r="S3863" s="10"/>
      <c r="T3863" s="10"/>
      <c r="U3863" s="10"/>
      <c r="V3863" s="10"/>
      <c r="W3863" s="138"/>
      <c r="Y3863"/>
      <c r="Z3863"/>
      <c r="AA3863"/>
      <c r="AB3863"/>
      <c r="AC3863"/>
      <c r="AD3863"/>
      <c r="AE3863"/>
      <c r="AF3863"/>
      <c r="AG3863"/>
      <c r="AH3863"/>
      <c r="AI3863"/>
      <c r="AJ3863"/>
      <c r="AK3863"/>
      <c r="AL3863"/>
      <c r="AM3863"/>
      <c r="AN3863"/>
      <c r="AO3863"/>
    </row>
    <row r="3864" spans="1:41" ht="15">
      <c r="A3864"/>
      <c r="B3864"/>
      <c r="C3864" s="137"/>
      <c r="D3864" s="30"/>
      <c r="E3864" s="30"/>
      <c r="F3864" s="10"/>
      <c r="G3864" s="10"/>
      <c r="H3864" s="15"/>
      <c r="I3864" s="15"/>
      <c r="J3864" s="15"/>
      <c r="K3864" s="15"/>
      <c r="L3864" s="15"/>
      <c r="M3864" s="15"/>
      <c r="N3864" s="15"/>
      <c r="O3864" s="15"/>
      <c r="P3864" s="15"/>
      <c r="Q3864" s="71"/>
      <c r="R3864" s="84"/>
      <c r="S3864" s="10"/>
      <c r="T3864" s="10"/>
      <c r="U3864" s="10"/>
      <c r="V3864" s="10"/>
      <c r="W3864" s="138"/>
      <c r="Y3864"/>
      <c r="Z3864"/>
      <c r="AA3864"/>
      <c r="AB3864"/>
      <c r="AC3864"/>
      <c r="AD3864"/>
      <c r="AE3864"/>
      <c r="AF3864"/>
      <c r="AG3864"/>
      <c r="AH3864"/>
      <c r="AI3864"/>
      <c r="AJ3864"/>
      <c r="AK3864"/>
      <c r="AL3864"/>
      <c r="AM3864"/>
      <c r="AN3864"/>
      <c r="AO3864"/>
    </row>
    <row r="3865" spans="1:41" ht="15">
      <c r="A3865"/>
      <c r="B3865"/>
      <c r="C3865" s="137"/>
      <c r="D3865" s="30"/>
      <c r="E3865" s="30"/>
      <c r="F3865" s="10"/>
      <c r="G3865" s="10"/>
      <c r="H3865" s="15"/>
      <c r="I3865" s="15"/>
      <c r="J3865" s="15"/>
      <c r="K3865" s="15"/>
      <c r="L3865" s="15"/>
      <c r="M3865" s="15"/>
      <c r="N3865" s="15"/>
      <c r="O3865" s="15"/>
      <c r="P3865" s="15"/>
      <c r="Q3865" s="71"/>
      <c r="R3865" s="84"/>
      <c r="S3865" s="10"/>
      <c r="T3865" s="10"/>
      <c r="U3865" s="10"/>
      <c r="V3865" s="10"/>
      <c r="W3865" s="138"/>
      <c r="Y3865"/>
      <c r="Z3865"/>
      <c r="AA3865"/>
      <c r="AB3865"/>
      <c r="AC3865"/>
      <c r="AD3865"/>
      <c r="AE3865"/>
      <c r="AF3865"/>
      <c r="AG3865"/>
      <c r="AH3865"/>
      <c r="AI3865"/>
      <c r="AJ3865"/>
      <c r="AK3865"/>
      <c r="AL3865"/>
      <c r="AM3865"/>
      <c r="AN3865"/>
      <c r="AO3865"/>
    </row>
    <row r="3866" spans="1:41" ht="15">
      <c r="A3866"/>
      <c r="B3866"/>
      <c r="C3866" s="137"/>
      <c r="D3866" s="30"/>
      <c r="E3866" s="30"/>
      <c r="F3866" s="10"/>
      <c r="G3866" s="10"/>
      <c r="H3866" s="15"/>
      <c r="I3866" s="15"/>
      <c r="J3866" s="15"/>
      <c r="K3866" s="15"/>
      <c r="L3866" s="15"/>
      <c r="M3866" s="15"/>
      <c r="N3866" s="15"/>
      <c r="O3866" s="15"/>
      <c r="P3866" s="15"/>
      <c r="Q3866" s="71"/>
      <c r="R3866" s="84"/>
      <c r="S3866" s="10"/>
      <c r="T3866" s="10"/>
      <c r="U3866" s="10"/>
      <c r="V3866" s="10"/>
      <c r="W3866" s="138"/>
      <c r="Y3866"/>
      <c r="Z3866"/>
      <c r="AA3866"/>
      <c r="AB3866"/>
      <c r="AC3866"/>
      <c r="AD3866"/>
      <c r="AE3866"/>
      <c r="AF3866"/>
      <c r="AG3866"/>
      <c r="AH3866"/>
      <c r="AI3866"/>
      <c r="AJ3866"/>
      <c r="AK3866"/>
      <c r="AL3866"/>
      <c r="AM3866"/>
      <c r="AN3866"/>
      <c r="AO3866"/>
    </row>
    <row r="3867" spans="1:41" ht="15">
      <c r="A3867"/>
      <c r="B3867"/>
      <c r="C3867" s="137"/>
      <c r="D3867" s="30"/>
      <c r="E3867" s="30"/>
      <c r="F3867" s="10"/>
      <c r="G3867" s="10"/>
      <c r="H3867" s="15"/>
      <c r="I3867" s="15"/>
      <c r="J3867" s="15"/>
      <c r="K3867" s="15"/>
      <c r="L3867" s="15"/>
      <c r="M3867" s="15"/>
      <c r="N3867" s="15"/>
      <c r="O3867" s="15"/>
      <c r="P3867" s="15"/>
      <c r="Q3867" s="71"/>
      <c r="R3867" s="84"/>
      <c r="S3867" s="10"/>
      <c r="T3867" s="10"/>
      <c r="U3867" s="10"/>
      <c r="V3867" s="10"/>
      <c r="W3867" s="138"/>
      <c r="Y3867"/>
      <c r="Z3867"/>
      <c r="AA3867"/>
      <c r="AB3867"/>
      <c r="AC3867"/>
      <c r="AD3867"/>
      <c r="AE3867"/>
      <c r="AF3867"/>
      <c r="AG3867"/>
      <c r="AH3867"/>
      <c r="AI3867"/>
      <c r="AJ3867"/>
      <c r="AK3867"/>
      <c r="AL3867"/>
      <c r="AM3867"/>
      <c r="AN3867"/>
      <c r="AO3867"/>
    </row>
    <row r="3868" spans="1:41" ht="15">
      <c r="A3868"/>
      <c r="B3868"/>
      <c r="C3868" s="137"/>
      <c r="D3868" s="30"/>
      <c r="E3868" s="30"/>
      <c r="F3868" s="10"/>
      <c r="G3868" s="10"/>
      <c r="H3868" s="15"/>
      <c r="I3868" s="15"/>
      <c r="J3868" s="15"/>
      <c r="K3868" s="15"/>
      <c r="L3868" s="15"/>
      <c r="M3868" s="15"/>
      <c r="N3868" s="15"/>
      <c r="O3868" s="15"/>
      <c r="P3868" s="15"/>
      <c r="Q3868" s="71"/>
      <c r="R3868" s="84"/>
      <c r="S3868" s="10"/>
      <c r="T3868" s="10"/>
      <c r="U3868" s="10"/>
      <c r="V3868" s="10"/>
      <c r="W3868" s="138"/>
      <c r="Y3868"/>
      <c r="Z3868"/>
      <c r="AA3868"/>
      <c r="AB3868"/>
      <c r="AC3868"/>
      <c r="AD3868"/>
      <c r="AE3868"/>
      <c r="AF3868"/>
      <c r="AG3868"/>
      <c r="AH3868"/>
      <c r="AI3868"/>
      <c r="AJ3868"/>
      <c r="AK3868"/>
      <c r="AL3868"/>
      <c r="AM3868"/>
      <c r="AN3868"/>
      <c r="AO3868"/>
    </row>
    <row r="3869" spans="1:41" ht="15">
      <c r="A3869"/>
      <c r="B3869"/>
      <c r="C3869" s="137"/>
      <c r="D3869" s="30"/>
      <c r="E3869" s="30"/>
      <c r="F3869" s="10"/>
      <c r="G3869" s="10"/>
      <c r="H3869" s="15"/>
      <c r="I3869" s="15"/>
      <c r="J3869" s="15"/>
      <c r="K3869" s="15"/>
      <c r="L3869" s="15"/>
      <c r="M3869" s="15"/>
      <c r="N3869" s="15"/>
      <c r="O3869" s="15"/>
      <c r="P3869" s="15"/>
      <c r="Q3869" s="71"/>
      <c r="R3869" s="84"/>
      <c r="S3869" s="10"/>
      <c r="T3869" s="10"/>
      <c r="U3869" s="10"/>
      <c r="V3869" s="10"/>
      <c r="W3869" s="138"/>
      <c r="Y3869"/>
      <c r="Z3869"/>
      <c r="AA3869"/>
      <c r="AB3869"/>
      <c r="AC3869"/>
      <c r="AD3869"/>
      <c r="AE3869"/>
      <c r="AF3869"/>
      <c r="AG3869"/>
      <c r="AH3869"/>
      <c r="AI3869"/>
      <c r="AJ3869"/>
      <c r="AK3869"/>
      <c r="AL3869"/>
      <c r="AM3869"/>
      <c r="AN3869"/>
      <c r="AO3869"/>
    </row>
    <row r="3870" spans="1:41" ht="15">
      <c r="A3870"/>
      <c r="B3870"/>
      <c r="C3870" s="137"/>
      <c r="D3870" s="30"/>
      <c r="E3870" s="30"/>
      <c r="F3870" s="10"/>
      <c r="G3870" s="10"/>
      <c r="H3870" s="15"/>
      <c r="I3870" s="15"/>
      <c r="J3870" s="15"/>
      <c r="K3870" s="15"/>
      <c r="L3870" s="15"/>
      <c r="M3870" s="15"/>
      <c r="N3870" s="15"/>
      <c r="O3870" s="15"/>
      <c r="P3870" s="15"/>
      <c r="Q3870" s="71"/>
      <c r="R3870" s="84"/>
      <c r="S3870" s="10"/>
      <c r="T3870" s="10"/>
      <c r="U3870" s="10"/>
      <c r="V3870" s="10"/>
      <c r="W3870" s="138"/>
      <c r="Y3870"/>
      <c r="Z3870"/>
      <c r="AA3870"/>
      <c r="AB3870"/>
      <c r="AC3870"/>
      <c r="AD3870"/>
      <c r="AE3870"/>
      <c r="AF3870"/>
      <c r="AG3870"/>
      <c r="AH3870"/>
      <c r="AI3870"/>
      <c r="AJ3870"/>
      <c r="AK3870"/>
      <c r="AL3870"/>
      <c r="AM3870"/>
      <c r="AN3870"/>
      <c r="AO3870"/>
    </row>
    <row r="3871" spans="1:41" ht="15">
      <c r="A3871"/>
      <c r="B3871"/>
      <c r="C3871" s="137"/>
      <c r="D3871" s="30"/>
      <c r="E3871" s="30"/>
      <c r="F3871" s="10"/>
      <c r="G3871" s="10"/>
      <c r="H3871" s="15"/>
      <c r="I3871" s="15"/>
      <c r="J3871" s="15"/>
      <c r="K3871" s="15"/>
      <c r="L3871" s="15"/>
      <c r="M3871" s="15"/>
      <c r="N3871" s="15"/>
      <c r="O3871" s="15"/>
      <c r="P3871" s="15"/>
      <c r="Q3871" s="71"/>
      <c r="R3871" s="84"/>
      <c r="S3871" s="10"/>
      <c r="T3871" s="10"/>
      <c r="U3871" s="10"/>
      <c r="V3871" s="10"/>
      <c r="W3871" s="138"/>
      <c r="Y3871"/>
      <c r="Z3871"/>
      <c r="AA3871"/>
      <c r="AB3871"/>
      <c r="AC3871"/>
      <c r="AD3871"/>
      <c r="AE3871"/>
      <c r="AF3871"/>
      <c r="AG3871"/>
      <c r="AH3871"/>
      <c r="AI3871"/>
      <c r="AJ3871"/>
      <c r="AK3871"/>
      <c r="AL3871"/>
      <c r="AM3871"/>
      <c r="AN3871"/>
      <c r="AO3871"/>
    </row>
    <row r="3872" spans="1:41" ht="15">
      <c r="A3872"/>
      <c r="B3872"/>
      <c r="C3872" s="137"/>
      <c r="D3872" s="30"/>
      <c r="E3872" s="30"/>
      <c r="F3872" s="10"/>
      <c r="G3872" s="10"/>
      <c r="H3872" s="15"/>
      <c r="I3872" s="15"/>
      <c r="J3872" s="15"/>
      <c r="K3872" s="15"/>
      <c r="L3872" s="15"/>
      <c r="M3872" s="15"/>
      <c r="N3872" s="15"/>
      <c r="O3872" s="15"/>
      <c r="P3872" s="15"/>
      <c r="Q3872" s="71"/>
      <c r="R3872" s="84"/>
      <c r="S3872" s="10"/>
      <c r="T3872" s="10"/>
      <c r="U3872" s="10"/>
      <c r="V3872" s="10"/>
      <c r="W3872" s="138"/>
      <c r="Y3872"/>
      <c r="Z3872"/>
      <c r="AA3872"/>
      <c r="AB3872"/>
      <c r="AC3872"/>
      <c r="AD3872"/>
      <c r="AE3872"/>
      <c r="AF3872"/>
      <c r="AG3872"/>
      <c r="AH3872"/>
      <c r="AI3872"/>
      <c r="AJ3872"/>
      <c r="AK3872"/>
      <c r="AL3872"/>
      <c r="AM3872"/>
      <c r="AN3872"/>
      <c r="AO3872"/>
    </row>
    <row r="3873" spans="1:41" ht="15">
      <c r="A3873"/>
      <c r="B3873"/>
      <c r="C3873" s="137"/>
      <c r="D3873" s="30"/>
      <c r="E3873" s="30"/>
      <c r="F3873" s="10"/>
      <c r="G3873" s="10"/>
      <c r="H3873" s="15"/>
      <c r="I3873" s="15"/>
      <c r="J3873" s="15"/>
      <c r="K3873" s="15"/>
      <c r="L3873" s="15"/>
      <c r="M3873" s="15"/>
      <c r="N3873" s="15"/>
      <c r="O3873" s="15"/>
      <c r="P3873" s="15"/>
      <c r="Q3873" s="71"/>
      <c r="R3873" s="84"/>
      <c r="S3873" s="10"/>
      <c r="T3873" s="10"/>
      <c r="U3873" s="10"/>
      <c r="V3873" s="10"/>
      <c r="W3873" s="138"/>
      <c r="Y3873"/>
      <c r="Z3873"/>
      <c r="AA3873"/>
      <c r="AB3873"/>
      <c r="AC3873"/>
      <c r="AD3873"/>
      <c r="AE3873"/>
      <c r="AF3873"/>
      <c r="AG3873"/>
      <c r="AH3873"/>
      <c r="AI3873"/>
      <c r="AJ3873"/>
      <c r="AK3873"/>
      <c r="AL3873"/>
      <c r="AM3873"/>
      <c r="AN3873"/>
      <c r="AO3873"/>
    </row>
    <row r="3874" spans="1:41" ht="15">
      <c r="A3874"/>
      <c r="B3874"/>
      <c r="C3874" s="137"/>
      <c r="D3874" s="30"/>
      <c r="E3874" s="30"/>
      <c r="F3874" s="10"/>
      <c r="G3874" s="10"/>
      <c r="H3874" s="15"/>
      <c r="I3874" s="15"/>
      <c r="J3874" s="15"/>
      <c r="K3874" s="15"/>
      <c r="L3874" s="15"/>
      <c r="M3874" s="15"/>
      <c r="N3874" s="15"/>
      <c r="O3874" s="15"/>
      <c r="P3874" s="15"/>
      <c r="Q3874" s="71"/>
      <c r="R3874" s="84"/>
      <c r="S3874" s="10"/>
      <c r="T3874" s="10"/>
      <c r="U3874" s="10"/>
      <c r="V3874" s="10"/>
      <c r="W3874" s="138"/>
      <c r="Y3874"/>
      <c r="Z3874"/>
      <c r="AA3874"/>
      <c r="AB3874"/>
      <c r="AC3874"/>
      <c r="AD3874"/>
      <c r="AE3874"/>
      <c r="AF3874"/>
      <c r="AG3874"/>
      <c r="AH3874"/>
      <c r="AI3874"/>
      <c r="AJ3874"/>
      <c r="AK3874"/>
      <c r="AL3874"/>
      <c r="AM3874"/>
      <c r="AN3874"/>
      <c r="AO3874"/>
    </row>
    <row r="3875" spans="1:41" ht="15">
      <c r="A3875"/>
      <c r="B3875"/>
      <c r="C3875" s="137"/>
      <c r="D3875" s="30"/>
      <c r="E3875" s="30"/>
      <c r="F3875" s="10"/>
      <c r="G3875" s="10"/>
      <c r="H3875" s="15"/>
      <c r="I3875" s="15"/>
      <c r="J3875" s="15"/>
      <c r="K3875" s="15"/>
      <c r="L3875" s="15"/>
      <c r="M3875" s="15"/>
      <c r="N3875" s="15"/>
      <c r="O3875" s="15"/>
      <c r="P3875" s="15"/>
      <c r="Q3875" s="71"/>
      <c r="R3875" s="84"/>
      <c r="S3875" s="10"/>
      <c r="T3875" s="10"/>
      <c r="U3875" s="10"/>
      <c r="V3875" s="10"/>
      <c r="W3875" s="138"/>
      <c r="Y3875"/>
      <c r="Z3875"/>
      <c r="AA3875"/>
      <c r="AB3875"/>
      <c r="AC3875"/>
      <c r="AD3875"/>
      <c r="AE3875"/>
      <c r="AF3875"/>
      <c r="AG3875"/>
      <c r="AH3875"/>
      <c r="AI3875"/>
      <c r="AJ3875"/>
      <c r="AK3875"/>
      <c r="AL3875"/>
      <c r="AM3875"/>
      <c r="AN3875"/>
      <c r="AO3875"/>
    </row>
    <row r="3876" spans="1:41" ht="15">
      <c r="A3876"/>
      <c r="B3876"/>
      <c r="C3876" s="137"/>
      <c r="D3876" s="30"/>
      <c r="E3876" s="30"/>
      <c r="F3876" s="10"/>
      <c r="G3876" s="10"/>
      <c r="H3876" s="15"/>
      <c r="I3876" s="15"/>
      <c r="J3876" s="15"/>
      <c r="K3876" s="15"/>
      <c r="L3876" s="15"/>
      <c r="M3876" s="15"/>
      <c r="N3876" s="15"/>
      <c r="O3876" s="15"/>
      <c r="P3876" s="15"/>
      <c r="Q3876" s="71"/>
      <c r="R3876" s="84"/>
      <c r="S3876" s="10"/>
      <c r="T3876" s="10"/>
      <c r="U3876" s="10"/>
      <c r="V3876" s="10"/>
      <c r="W3876" s="138"/>
      <c r="Y3876"/>
      <c r="Z3876"/>
      <c r="AA3876"/>
      <c r="AB3876"/>
      <c r="AC3876"/>
      <c r="AD3876"/>
      <c r="AE3876"/>
      <c r="AF3876"/>
      <c r="AG3876"/>
      <c r="AH3876"/>
      <c r="AI3876"/>
      <c r="AJ3876"/>
      <c r="AK3876"/>
      <c r="AL3876"/>
      <c r="AM3876"/>
      <c r="AN3876"/>
      <c r="AO3876"/>
    </row>
    <row r="3877" spans="1:41" ht="15">
      <c r="A3877"/>
      <c r="B3877"/>
      <c r="C3877" s="137"/>
      <c r="D3877" s="30"/>
      <c r="E3877" s="30"/>
      <c r="F3877" s="10"/>
      <c r="G3877" s="10"/>
      <c r="H3877" s="15"/>
      <c r="I3877" s="15"/>
      <c r="J3877" s="15"/>
      <c r="K3877" s="15"/>
      <c r="L3877" s="15"/>
      <c r="M3877" s="15"/>
      <c r="N3877" s="15"/>
      <c r="O3877" s="15"/>
      <c r="P3877" s="15"/>
      <c r="Q3877" s="71"/>
      <c r="R3877" s="84"/>
      <c r="S3877" s="10"/>
      <c r="T3877" s="10"/>
      <c r="U3877" s="10"/>
      <c r="V3877" s="10"/>
      <c r="W3877" s="138"/>
      <c r="Y3877"/>
      <c r="Z3877"/>
      <c r="AA3877"/>
      <c r="AB3877"/>
      <c r="AC3877"/>
      <c r="AD3877"/>
      <c r="AE3877"/>
      <c r="AF3877"/>
      <c r="AG3877"/>
      <c r="AH3877"/>
      <c r="AI3877"/>
      <c r="AJ3877"/>
      <c r="AK3877"/>
      <c r="AL3877"/>
      <c r="AM3877"/>
      <c r="AN3877"/>
      <c r="AO3877"/>
    </row>
    <row r="3878" spans="1:41" ht="15">
      <c r="A3878"/>
      <c r="B3878"/>
      <c r="C3878" s="137"/>
      <c r="D3878" s="30"/>
      <c r="E3878" s="30"/>
      <c r="F3878" s="10"/>
      <c r="G3878" s="10"/>
      <c r="H3878" s="15"/>
      <c r="I3878" s="15"/>
      <c r="J3878" s="15"/>
      <c r="K3878" s="15"/>
      <c r="L3878" s="15"/>
      <c r="M3878" s="15"/>
      <c r="N3878" s="15"/>
      <c r="O3878" s="15"/>
      <c r="P3878" s="15"/>
      <c r="Q3878" s="71"/>
      <c r="R3878" s="84"/>
      <c r="S3878" s="10"/>
      <c r="T3878" s="10"/>
      <c r="U3878" s="10"/>
      <c r="V3878" s="10"/>
      <c r="W3878" s="138"/>
      <c r="Y3878"/>
      <c r="Z3878"/>
      <c r="AA3878"/>
      <c r="AB3878"/>
      <c r="AC3878"/>
      <c r="AD3878"/>
      <c r="AE3878"/>
      <c r="AF3878"/>
      <c r="AG3878"/>
      <c r="AH3878"/>
      <c r="AI3878"/>
      <c r="AJ3878"/>
      <c r="AK3878"/>
      <c r="AL3878"/>
      <c r="AM3878"/>
      <c r="AN3878"/>
      <c r="AO3878"/>
    </row>
    <row r="3879" spans="1:41" ht="15">
      <c r="A3879"/>
      <c r="B3879"/>
      <c r="C3879" s="137"/>
      <c r="D3879" s="30"/>
      <c r="E3879" s="30"/>
      <c r="F3879" s="10"/>
      <c r="G3879" s="10"/>
      <c r="H3879" s="15"/>
      <c r="I3879" s="15"/>
      <c r="J3879" s="15"/>
      <c r="K3879" s="15"/>
      <c r="L3879" s="15"/>
      <c r="M3879" s="15"/>
      <c r="N3879" s="15"/>
      <c r="O3879" s="15"/>
      <c r="P3879" s="15"/>
      <c r="Q3879" s="71"/>
      <c r="R3879" s="84"/>
      <c r="S3879" s="10"/>
      <c r="T3879" s="10"/>
      <c r="U3879" s="10"/>
      <c r="V3879" s="10"/>
      <c r="W3879" s="138"/>
      <c r="Y3879"/>
      <c r="Z3879"/>
      <c r="AA3879"/>
      <c r="AB3879"/>
      <c r="AC3879"/>
      <c r="AD3879"/>
      <c r="AE3879"/>
      <c r="AF3879"/>
      <c r="AG3879"/>
      <c r="AH3879"/>
      <c r="AI3879"/>
      <c r="AJ3879"/>
      <c r="AK3879"/>
      <c r="AL3879"/>
      <c r="AM3879"/>
      <c r="AN3879"/>
      <c r="AO3879"/>
    </row>
    <row r="3880" spans="1:41" ht="15">
      <c r="A3880"/>
      <c r="B3880"/>
      <c r="C3880" s="137"/>
      <c r="D3880" s="30"/>
      <c r="E3880" s="30"/>
      <c r="F3880" s="10"/>
      <c r="G3880" s="10"/>
      <c r="H3880" s="15"/>
      <c r="I3880" s="15"/>
      <c r="J3880" s="15"/>
      <c r="K3880" s="15"/>
      <c r="L3880" s="15"/>
      <c r="M3880" s="15"/>
      <c r="N3880" s="15"/>
      <c r="O3880" s="15"/>
      <c r="P3880" s="15"/>
      <c r="Q3880" s="71"/>
      <c r="R3880" s="84"/>
      <c r="S3880" s="10"/>
      <c r="T3880" s="10"/>
      <c r="U3880" s="10"/>
      <c r="V3880" s="10"/>
      <c r="W3880" s="138"/>
      <c r="Y3880"/>
      <c r="Z3880"/>
      <c r="AA3880"/>
      <c r="AB3880"/>
      <c r="AC3880"/>
      <c r="AD3880"/>
      <c r="AE3880"/>
      <c r="AF3880"/>
      <c r="AG3880"/>
      <c r="AH3880"/>
      <c r="AI3880"/>
      <c r="AJ3880"/>
      <c r="AK3880"/>
      <c r="AL3880"/>
      <c r="AM3880"/>
      <c r="AN3880"/>
      <c r="AO3880"/>
    </row>
    <row r="3881" spans="1:41" ht="15">
      <c r="A3881"/>
      <c r="B3881"/>
      <c r="C3881" s="137"/>
      <c r="D3881" s="30"/>
      <c r="E3881" s="30"/>
      <c r="F3881" s="10"/>
      <c r="G3881" s="10"/>
      <c r="H3881" s="15"/>
      <c r="I3881" s="15"/>
      <c r="J3881" s="15"/>
      <c r="K3881" s="15"/>
      <c r="L3881" s="15"/>
      <c r="M3881" s="15"/>
      <c r="N3881" s="15"/>
      <c r="O3881" s="15"/>
      <c r="P3881" s="15"/>
      <c r="Q3881" s="71"/>
      <c r="R3881" s="84"/>
      <c r="S3881" s="10"/>
      <c r="T3881" s="10"/>
      <c r="U3881" s="10"/>
      <c r="V3881" s="10"/>
      <c r="W3881" s="138"/>
      <c r="Y3881"/>
      <c r="Z3881"/>
      <c r="AA3881"/>
      <c r="AB3881"/>
      <c r="AC3881"/>
      <c r="AD3881"/>
      <c r="AE3881"/>
      <c r="AF3881"/>
      <c r="AG3881"/>
      <c r="AH3881"/>
      <c r="AI3881"/>
      <c r="AJ3881"/>
      <c r="AK3881"/>
      <c r="AL3881"/>
      <c r="AM3881"/>
      <c r="AN3881"/>
      <c r="AO3881"/>
    </row>
    <row r="3882" spans="1:41" ht="15">
      <c r="A3882"/>
      <c r="B3882"/>
      <c r="C3882" s="137"/>
      <c r="D3882" s="30"/>
      <c r="E3882" s="30"/>
      <c r="F3882" s="10"/>
      <c r="G3882" s="10"/>
      <c r="H3882" s="15"/>
      <c r="I3882" s="15"/>
      <c r="J3882" s="15"/>
      <c r="K3882" s="15"/>
      <c r="L3882" s="15"/>
      <c r="M3882" s="15"/>
      <c r="N3882" s="15"/>
      <c r="O3882" s="15"/>
      <c r="P3882" s="15"/>
      <c r="Q3882" s="71"/>
      <c r="R3882" s="84"/>
      <c r="S3882" s="10"/>
      <c r="T3882" s="10"/>
      <c r="U3882" s="10"/>
      <c r="V3882" s="10"/>
      <c r="W3882" s="138"/>
      <c r="Y3882"/>
      <c r="Z3882"/>
      <c r="AA3882"/>
      <c r="AB3882"/>
      <c r="AC3882"/>
      <c r="AD3882"/>
      <c r="AE3882"/>
      <c r="AF3882"/>
      <c r="AG3882"/>
      <c r="AH3882"/>
      <c r="AI3882"/>
      <c r="AJ3882"/>
      <c r="AK3882"/>
      <c r="AL3882"/>
      <c r="AM3882"/>
      <c r="AN3882"/>
      <c r="AO3882"/>
    </row>
    <row r="3883" spans="1:41" ht="15">
      <c r="A3883"/>
      <c r="B3883"/>
      <c r="C3883" s="137"/>
      <c r="D3883" s="30"/>
      <c r="E3883" s="30"/>
      <c r="F3883" s="10"/>
      <c r="G3883" s="10"/>
      <c r="H3883" s="15"/>
      <c r="I3883" s="15"/>
      <c r="J3883" s="15"/>
      <c r="K3883" s="15"/>
      <c r="L3883" s="15"/>
      <c r="M3883" s="15"/>
      <c r="N3883" s="15"/>
      <c r="O3883" s="15"/>
      <c r="P3883" s="15"/>
      <c r="Q3883" s="71"/>
      <c r="R3883" s="84"/>
      <c r="S3883" s="10"/>
      <c r="T3883" s="10"/>
      <c r="U3883" s="10"/>
      <c r="V3883" s="10"/>
      <c r="W3883" s="138"/>
      <c r="Y3883"/>
      <c r="Z3883"/>
      <c r="AA3883"/>
      <c r="AB3883"/>
      <c r="AC3883"/>
      <c r="AD3883"/>
      <c r="AE3883"/>
      <c r="AF3883"/>
      <c r="AG3883"/>
      <c r="AH3883"/>
      <c r="AI3883"/>
      <c r="AJ3883"/>
      <c r="AK3883"/>
      <c r="AL3883"/>
      <c r="AM3883"/>
      <c r="AN3883"/>
      <c r="AO3883"/>
    </row>
    <row r="3884" spans="1:41" ht="15">
      <c r="A3884"/>
      <c r="B3884"/>
      <c r="C3884" s="137"/>
      <c r="D3884" s="30"/>
      <c r="E3884" s="30"/>
      <c r="F3884" s="10"/>
      <c r="G3884" s="10"/>
      <c r="H3884" s="15"/>
      <c r="I3884" s="15"/>
      <c r="J3884" s="15"/>
      <c r="K3884" s="15"/>
      <c r="L3884" s="15"/>
      <c r="M3884" s="15"/>
      <c r="N3884" s="15"/>
      <c r="O3884" s="15"/>
      <c r="P3884" s="15"/>
      <c r="Q3884" s="71"/>
      <c r="R3884" s="84"/>
      <c r="S3884" s="10"/>
      <c r="T3884" s="10"/>
      <c r="U3884" s="10"/>
      <c r="V3884" s="10"/>
      <c r="W3884" s="138"/>
      <c r="Y3884"/>
      <c r="Z3884"/>
      <c r="AA3884"/>
      <c r="AB3884"/>
      <c r="AC3884"/>
      <c r="AD3884"/>
      <c r="AE3884"/>
      <c r="AF3884"/>
      <c r="AG3884"/>
      <c r="AH3884"/>
      <c r="AI3884"/>
      <c r="AJ3884"/>
      <c r="AK3884"/>
      <c r="AL3884"/>
      <c r="AM3884"/>
      <c r="AN3884"/>
      <c r="AO3884"/>
    </row>
    <row r="3885" spans="1:41" ht="15">
      <c r="A3885"/>
      <c r="B3885"/>
      <c r="C3885" s="137"/>
      <c r="D3885" s="30"/>
      <c r="E3885" s="30"/>
      <c r="F3885" s="10"/>
      <c r="G3885" s="10"/>
      <c r="H3885" s="15"/>
      <c r="I3885" s="15"/>
      <c r="J3885" s="15"/>
      <c r="K3885" s="15"/>
      <c r="L3885" s="15"/>
      <c r="M3885" s="15"/>
      <c r="N3885" s="15"/>
      <c r="O3885" s="15"/>
      <c r="P3885" s="15"/>
      <c r="Q3885" s="71"/>
      <c r="R3885" s="84"/>
      <c r="S3885" s="10"/>
      <c r="T3885" s="10"/>
      <c r="U3885" s="10"/>
      <c r="V3885" s="10"/>
      <c r="W3885" s="138"/>
      <c r="Y3885"/>
      <c r="Z3885"/>
      <c r="AA3885"/>
      <c r="AB3885"/>
      <c r="AC3885"/>
      <c r="AD3885"/>
      <c r="AE3885"/>
      <c r="AF3885"/>
      <c r="AG3885"/>
      <c r="AH3885"/>
      <c r="AI3885"/>
      <c r="AJ3885"/>
      <c r="AK3885"/>
      <c r="AL3885"/>
      <c r="AM3885"/>
      <c r="AN3885"/>
      <c r="AO3885"/>
    </row>
    <row r="3886" spans="1:41" ht="15">
      <c r="A3886"/>
      <c r="B3886"/>
      <c r="C3886" s="137"/>
      <c r="D3886" s="30"/>
      <c r="E3886" s="30"/>
      <c r="F3886" s="10"/>
      <c r="G3886" s="10"/>
      <c r="H3886" s="15"/>
      <c r="I3886" s="15"/>
      <c r="J3886" s="15"/>
      <c r="K3886" s="15"/>
      <c r="L3886" s="15"/>
      <c r="M3886" s="15"/>
      <c r="N3886" s="15"/>
      <c r="O3886" s="15"/>
      <c r="P3886" s="15"/>
      <c r="Q3886" s="71"/>
      <c r="R3886" s="84"/>
      <c r="S3886" s="10"/>
      <c r="T3886" s="10"/>
      <c r="U3886" s="10"/>
      <c r="V3886" s="10"/>
      <c r="W3886" s="138"/>
      <c r="Y3886"/>
      <c r="Z3886"/>
      <c r="AA3886"/>
      <c r="AB3886"/>
      <c r="AC3886"/>
      <c r="AD3886"/>
      <c r="AE3886"/>
      <c r="AF3886"/>
      <c r="AG3886"/>
      <c r="AH3886"/>
      <c r="AI3886"/>
      <c r="AJ3886"/>
      <c r="AK3886"/>
      <c r="AL3886"/>
      <c r="AM3886"/>
      <c r="AN3886"/>
      <c r="AO3886"/>
    </row>
    <row r="3887" spans="1:41" ht="15">
      <c r="A3887"/>
      <c r="B3887"/>
      <c r="C3887" s="137"/>
      <c r="D3887" s="30"/>
      <c r="E3887" s="30"/>
      <c r="F3887" s="10"/>
      <c r="G3887" s="10"/>
      <c r="H3887" s="15"/>
      <c r="I3887" s="15"/>
      <c r="J3887" s="15"/>
      <c r="K3887" s="15"/>
      <c r="L3887" s="15"/>
      <c r="M3887" s="15"/>
      <c r="N3887" s="15"/>
      <c r="O3887" s="15"/>
      <c r="P3887" s="15"/>
      <c r="Q3887" s="71"/>
      <c r="R3887" s="84"/>
      <c r="S3887" s="10"/>
      <c r="T3887" s="10"/>
      <c r="U3887" s="10"/>
      <c r="V3887" s="10"/>
      <c r="W3887" s="138"/>
      <c r="Y3887"/>
      <c r="Z3887"/>
      <c r="AA3887"/>
      <c r="AB3887"/>
      <c r="AC3887"/>
      <c r="AD3887"/>
      <c r="AE3887"/>
      <c r="AF3887"/>
      <c r="AG3887"/>
      <c r="AH3887"/>
      <c r="AI3887"/>
      <c r="AJ3887"/>
      <c r="AK3887"/>
      <c r="AL3887"/>
      <c r="AM3887"/>
      <c r="AN3887"/>
      <c r="AO3887"/>
    </row>
    <row r="3888" spans="1:41" ht="15">
      <c r="A3888"/>
      <c r="B3888"/>
      <c r="C3888" s="137"/>
      <c r="D3888" s="30"/>
      <c r="E3888" s="30"/>
      <c r="F3888" s="10"/>
      <c r="G3888" s="10"/>
      <c r="H3888" s="15"/>
      <c r="I3888" s="15"/>
      <c r="J3888" s="15"/>
      <c r="K3888" s="15"/>
      <c r="L3888" s="15"/>
      <c r="M3888" s="15"/>
      <c r="N3888" s="15"/>
      <c r="O3888" s="15"/>
      <c r="P3888" s="15"/>
      <c r="Q3888" s="71"/>
      <c r="R3888" s="84"/>
      <c r="S3888" s="10"/>
      <c r="T3888" s="10"/>
      <c r="U3888" s="10"/>
      <c r="V3888" s="10"/>
      <c r="W3888" s="138"/>
      <c r="Y3888"/>
      <c r="Z3888"/>
      <c r="AA3888"/>
      <c r="AB3888"/>
      <c r="AC3888"/>
      <c r="AD3888"/>
      <c r="AE3888"/>
      <c r="AF3888"/>
      <c r="AG3888"/>
      <c r="AH3888"/>
      <c r="AI3888"/>
      <c r="AJ3888"/>
      <c r="AK3888"/>
      <c r="AL3888"/>
      <c r="AM3888"/>
      <c r="AN3888"/>
      <c r="AO3888"/>
    </row>
    <row r="3889" spans="1:41" ht="15">
      <c r="A3889"/>
      <c r="B3889"/>
      <c r="C3889" s="137"/>
      <c r="D3889" s="30"/>
      <c r="E3889" s="30"/>
      <c r="F3889" s="10"/>
      <c r="G3889" s="10"/>
      <c r="H3889" s="15"/>
      <c r="I3889" s="15"/>
      <c r="J3889" s="15"/>
      <c r="K3889" s="15"/>
      <c r="L3889" s="15"/>
      <c r="M3889" s="15"/>
      <c r="N3889" s="15"/>
      <c r="O3889" s="15"/>
      <c r="P3889" s="15"/>
      <c r="Q3889" s="71"/>
      <c r="R3889" s="84"/>
      <c r="S3889" s="10"/>
      <c r="T3889" s="10"/>
      <c r="U3889" s="10"/>
      <c r="V3889" s="10"/>
      <c r="W3889" s="138"/>
      <c r="Y3889"/>
      <c r="Z3889"/>
      <c r="AA3889"/>
      <c r="AB3889"/>
      <c r="AC3889"/>
      <c r="AD3889"/>
      <c r="AE3889"/>
      <c r="AF3889"/>
      <c r="AG3889"/>
      <c r="AH3889"/>
      <c r="AI3889"/>
      <c r="AJ3889"/>
      <c r="AK3889"/>
      <c r="AL3889"/>
      <c r="AM3889"/>
      <c r="AN3889"/>
      <c r="AO3889"/>
    </row>
    <row r="3890" spans="1:41" ht="15">
      <c r="A3890"/>
      <c r="B3890"/>
      <c r="C3890" s="137"/>
      <c r="D3890" s="30"/>
      <c r="E3890" s="30"/>
      <c r="F3890" s="10"/>
      <c r="G3890" s="10"/>
      <c r="H3890" s="15"/>
      <c r="I3890" s="15"/>
      <c r="J3890" s="15"/>
      <c r="K3890" s="15"/>
      <c r="L3890" s="15"/>
      <c r="M3890" s="15"/>
      <c r="N3890" s="15"/>
      <c r="O3890" s="15"/>
      <c r="P3890" s="15"/>
      <c r="Q3890" s="71"/>
      <c r="R3890" s="84"/>
      <c r="S3890" s="10"/>
      <c r="T3890" s="10"/>
      <c r="U3890" s="10"/>
      <c r="V3890" s="10"/>
      <c r="W3890" s="138"/>
      <c r="Y3890"/>
      <c r="Z3890"/>
      <c r="AA3890"/>
      <c r="AB3890"/>
      <c r="AC3890"/>
      <c r="AD3890"/>
      <c r="AE3890"/>
      <c r="AF3890"/>
      <c r="AG3890"/>
      <c r="AH3890"/>
      <c r="AI3890"/>
      <c r="AJ3890"/>
      <c r="AK3890"/>
      <c r="AL3890"/>
      <c r="AM3890"/>
      <c r="AN3890"/>
      <c r="AO3890"/>
    </row>
    <row r="3891" spans="1:41" ht="15">
      <c r="A3891"/>
      <c r="B3891"/>
      <c r="C3891" s="137"/>
      <c r="D3891" s="30"/>
      <c r="E3891" s="30"/>
      <c r="F3891" s="10"/>
      <c r="G3891" s="10"/>
      <c r="H3891" s="15"/>
      <c r="I3891" s="15"/>
      <c r="J3891" s="15"/>
      <c r="K3891" s="15"/>
      <c r="L3891" s="15"/>
      <c r="M3891" s="15"/>
      <c r="N3891" s="15"/>
      <c r="O3891" s="15"/>
      <c r="P3891" s="15"/>
      <c r="Q3891" s="71"/>
      <c r="R3891" s="84"/>
      <c r="S3891" s="10"/>
      <c r="T3891" s="10"/>
      <c r="U3891" s="10"/>
      <c r="V3891" s="10"/>
      <c r="W3891" s="138"/>
      <c r="Y3891"/>
      <c r="Z3891"/>
      <c r="AA3891"/>
      <c r="AB3891"/>
      <c r="AC3891"/>
      <c r="AD3891"/>
      <c r="AE3891"/>
      <c r="AF3891"/>
      <c r="AG3891"/>
      <c r="AH3891"/>
      <c r="AI3891"/>
      <c r="AJ3891"/>
      <c r="AK3891"/>
      <c r="AL3891"/>
      <c r="AM3891"/>
      <c r="AN3891"/>
      <c r="AO3891"/>
    </row>
    <row r="3892" spans="1:41" ht="15">
      <c r="A3892"/>
      <c r="B3892"/>
      <c r="C3892" s="137"/>
      <c r="D3892" s="30"/>
      <c r="E3892" s="30"/>
      <c r="F3892" s="10"/>
      <c r="G3892" s="10"/>
      <c r="H3892" s="15"/>
      <c r="I3892" s="15"/>
      <c r="J3892" s="15"/>
      <c r="K3892" s="15"/>
      <c r="L3892" s="15"/>
      <c r="M3892" s="15"/>
      <c r="N3892" s="15"/>
      <c r="O3892" s="15"/>
      <c r="P3892" s="15"/>
      <c r="Q3892" s="71"/>
      <c r="R3892" s="84"/>
      <c r="S3892" s="10"/>
      <c r="T3892" s="10"/>
      <c r="U3892" s="10"/>
      <c r="V3892" s="10"/>
      <c r="W3892" s="138"/>
      <c r="Y3892"/>
      <c r="Z3892"/>
      <c r="AA3892"/>
      <c r="AB3892"/>
      <c r="AC3892"/>
      <c r="AD3892"/>
      <c r="AE3892"/>
      <c r="AF3892"/>
      <c r="AG3892"/>
      <c r="AH3892"/>
      <c r="AI3892"/>
      <c r="AJ3892"/>
      <c r="AK3892"/>
      <c r="AL3892"/>
      <c r="AM3892"/>
      <c r="AN3892"/>
      <c r="AO3892"/>
    </row>
    <row r="3893" spans="1:41" ht="15">
      <c r="A3893"/>
      <c r="B3893"/>
      <c r="C3893" s="137"/>
      <c r="D3893" s="30"/>
      <c r="E3893" s="30"/>
      <c r="F3893" s="10"/>
      <c r="G3893" s="10"/>
      <c r="H3893" s="15"/>
      <c r="I3893" s="15"/>
      <c r="J3893" s="15"/>
      <c r="K3893" s="15"/>
      <c r="L3893" s="15"/>
      <c r="M3893" s="15"/>
      <c r="N3893" s="15"/>
      <c r="O3893" s="15"/>
      <c r="P3893" s="15"/>
      <c r="Q3893" s="71"/>
      <c r="R3893" s="84"/>
      <c r="S3893" s="10"/>
      <c r="T3893" s="10"/>
      <c r="U3893" s="10"/>
      <c r="V3893" s="10"/>
      <c r="W3893" s="138"/>
      <c r="Y3893"/>
      <c r="Z3893"/>
      <c r="AA3893"/>
      <c r="AB3893"/>
      <c r="AC3893"/>
      <c r="AD3893"/>
      <c r="AE3893"/>
      <c r="AF3893"/>
      <c r="AG3893"/>
      <c r="AH3893"/>
      <c r="AI3893"/>
      <c r="AJ3893"/>
      <c r="AK3893"/>
      <c r="AL3893"/>
      <c r="AM3893"/>
      <c r="AN3893"/>
      <c r="AO3893"/>
    </row>
    <row r="3894" spans="1:41" ht="15">
      <c r="A3894"/>
      <c r="B3894"/>
      <c r="C3894" s="137"/>
      <c r="D3894" s="30"/>
      <c r="E3894" s="30"/>
      <c r="F3894" s="10"/>
      <c r="G3894" s="10"/>
      <c r="H3894" s="15"/>
      <c r="I3894" s="15"/>
      <c r="J3894" s="15"/>
      <c r="K3894" s="15"/>
      <c r="L3894" s="15"/>
      <c r="M3894" s="15"/>
      <c r="N3894" s="15"/>
      <c r="O3894" s="15"/>
      <c r="P3894" s="15"/>
      <c r="Q3894" s="71"/>
      <c r="R3894" s="84"/>
      <c r="S3894" s="10"/>
      <c r="T3894" s="10"/>
      <c r="U3894" s="10"/>
      <c r="V3894" s="10"/>
      <c r="W3894" s="138"/>
      <c r="Y3894"/>
      <c r="Z3894"/>
      <c r="AA3894"/>
      <c r="AB3894"/>
      <c r="AC3894"/>
      <c r="AD3894"/>
      <c r="AE3894"/>
      <c r="AF3894"/>
      <c r="AG3894"/>
      <c r="AH3894"/>
      <c r="AI3894"/>
      <c r="AJ3894"/>
      <c r="AK3894"/>
      <c r="AL3894"/>
      <c r="AM3894"/>
      <c r="AN3894"/>
      <c r="AO3894"/>
    </row>
    <row r="3895" spans="1:41" ht="15">
      <c r="A3895"/>
      <c r="B3895"/>
      <c r="C3895" s="137"/>
      <c r="D3895" s="30"/>
      <c r="E3895" s="30"/>
      <c r="F3895" s="10"/>
      <c r="G3895" s="10"/>
      <c r="H3895" s="15"/>
      <c r="I3895" s="15"/>
      <c r="J3895" s="15"/>
      <c r="K3895" s="15"/>
      <c r="L3895" s="15"/>
      <c r="M3895" s="15"/>
      <c r="N3895" s="15"/>
      <c r="O3895" s="15"/>
      <c r="P3895" s="15"/>
      <c r="Q3895" s="71"/>
      <c r="R3895" s="84"/>
      <c r="S3895" s="10"/>
      <c r="T3895" s="10"/>
      <c r="U3895" s="10"/>
      <c r="V3895" s="10"/>
      <c r="W3895" s="138"/>
      <c r="Y3895"/>
      <c r="Z3895"/>
      <c r="AA3895"/>
      <c r="AB3895"/>
      <c r="AC3895"/>
      <c r="AD3895"/>
      <c r="AE3895"/>
      <c r="AF3895"/>
      <c r="AG3895"/>
      <c r="AH3895"/>
      <c r="AI3895"/>
      <c r="AJ3895"/>
      <c r="AK3895"/>
      <c r="AL3895"/>
      <c r="AM3895"/>
      <c r="AN3895"/>
      <c r="AO3895"/>
    </row>
    <row r="3896" spans="1:41" ht="15">
      <c r="A3896"/>
      <c r="B3896"/>
      <c r="C3896" s="137"/>
      <c r="D3896" s="30"/>
      <c r="E3896" s="30"/>
      <c r="F3896" s="10"/>
      <c r="G3896" s="10"/>
      <c r="H3896" s="15"/>
      <c r="I3896" s="15"/>
      <c r="J3896" s="15"/>
      <c r="K3896" s="15"/>
      <c r="L3896" s="15"/>
      <c r="M3896" s="15"/>
      <c r="N3896" s="15"/>
      <c r="O3896" s="15"/>
      <c r="P3896" s="15"/>
      <c r="Q3896" s="71"/>
      <c r="R3896" s="84"/>
      <c r="S3896" s="10"/>
      <c r="T3896" s="10"/>
      <c r="U3896" s="10"/>
      <c r="V3896" s="10"/>
      <c r="W3896" s="138"/>
      <c r="Y3896"/>
      <c r="Z3896"/>
      <c r="AA3896"/>
      <c r="AB3896"/>
      <c r="AC3896"/>
      <c r="AD3896"/>
      <c r="AE3896"/>
      <c r="AF3896"/>
      <c r="AG3896"/>
      <c r="AH3896"/>
      <c r="AI3896"/>
      <c r="AJ3896"/>
      <c r="AK3896"/>
      <c r="AL3896"/>
      <c r="AM3896"/>
      <c r="AN3896"/>
      <c r="AO3896"/>
    </row>
    <row r="3897" spans="1:41" ht="15">
      <c r="A3897"/>
      <c r="B3897"/>
      <c r="C3897" s="137"/>
      <c r="D3897" s="30"/>
      <c r="E3897" s="30"/>
      <c r="F3897" s="10"/>
      <c r="G3897" s="10"/>
      <c r="H3897" s="15"/>
      <c r="I3897" s="15"/>
      <c r="J3897" s="15"/>
      <c r="K3897" s="15"/>
      <c r="L3897" s="15"/>
      <c r="M3897" s="15"/>
      <c r="N3897" s="15"/>
      <c r="O3897" s="15"/>
      <c r="P3897" s="15"/>
      <c r="Q3897" s="71"/>
      <c r="R3897" s="84"/>
      <c r="S3897" s="10"/>
      <c r="T3897" s="10"/>
      <c r="U3897" s="10"/>
      <c r="V3897" s="10"/>
      <c r="W3897" s="138"/>
      <c r="Y3897"/>
      <c r="Z3897"/>
      <c r="AA3897"/>
      <c r="AB3897"/>
      <c r="AC3897"/>
      <c r="AD3897"/>
      <c r="AE3897"/>
      <c r="AF3897"/>
      <c r="AG3897"/>
      <c r="AH3897"/>
      <c r="AI3897"/>
      <c r="AJ3897"/>
      <c r="AK3897"/>
      <c r="AL3897"/>
      <c r="AM3897"/>
      <c r="AN3897"/>
      <c r="AO3897"/>
    </row>
    <row r="3898" spans="1:41" ht="15">
      <c r="A3898"/>
      <c r="B3898"/>
      <c r="C3898" s="137"/>
      <c r="D3898" s="30"/>
      <c r="E3898" s="30"/>
      <c r="F3898" s="10"/>
      <c r="G3898" s="10"/>
      <c r="H3898" s="15"/>
      <c r="I3898" s="15"/>
      <c r="J3898" s="15"/>
      <c r="K3898" s="15"/>
      <c r="L3898" s="15"/>
      <c r="M3898" s="15"/>
      <c r="N3898" s="15"/>
      <c r="O3898" s="15"/>
      <c r="P3898" s="15"/>
      <c r="Q3898" s="71"/>
      <c r="R3898" s="84"/>
      <c r="S3898" s="10"/>
      <c r="T3898" s="10"/>
      <c r="U3898" s="10"/>
      <c r="V3898" s="10"/>
      <c r="W3898" s="138"/>
      <c r="Y3898"/>
      <c r="Z3898"/>
      <c r="AA3898"/>
      <c r="AB3898"/>
      <c r="AC3898"/>
      <c r="AD3898"/>
      <c r="AE3898"/>
      <c r="AF3898"/>
      <c r="AG3898"/>
      <c r="AH3898"/>
      <c r="AI3898"/>
      <c r="AJ3898"/>
      <c r="AK3898"/>
      <c r="AL3898"/>
      <c r="AM3898"/>
      <c r="AN3898"/>
      <c r="AO3898"/>
    </row>
    <row r="3899" spans="1:41" ht="15">
      <c r="A3899"/>
      <c r="B3899"/>
      <c r="C3899" s="137"/>
      <c r="D3899" s="30"/>
      <c r="E3899" s="30"/>
      <c r="F3899" s="10"/>
      <c r="G3899" s="10"/>
      <c r="H3899" s="15"/>
      <c r="I3899" s="15"/>
      <c r="J3899" s="15"/>
      <c r="K3899" s="15"/>
      <c r="L3899" s="15"/>
      <c r="M3899" s="15"/>
      <c r="N3899" s="15"/>
      <c r="O3899" s="15"/>
      <c r="P3899" s="15"/>
      <c r="Q3899" s="71"/>
      <c r="R3899" s="84"/>
      <c r="S3899" s="10"/>
      <c r="T3899" s="10"/>
      <c r="U3899" s="10"/>
      <c r="V3899" s="10"/>
      <c r="W3899" s="138"/>
      <c r="Y3899"/>
      <c r="Z3899"/>
      <c r="AA3899"/>
      <c r="AB3899"/>
      <c r="AC3899"/>
      <c r="AD3899"/>
      <c r="AE3899"/>
      <c r="AF3899"/>
      <c r="AG3899"/>
      <c r="AH3899"/>
      <c r="AI3899"/>
      <c r="AJ3899"/>
      <c r="AK3899"/>
      <c r="AL3899"/>
      <c r="AM3899"/>
      <c r="AN3899"/>
      <c r="AO3899"/>
    </row>
    <row r="3900" spans="1:41" ht="15">
      <c r="A3900"/>
      <c r="B3900"/>
      <c r="C3900" s="137"/>
      <c r="D3900" s="30"/>
      <c r="E3900" s="30"/>
      <c r="F3900" s="10"/>
      <c r="G3900" s="10"/>
      <c r="H3900" s="15"/>
      <c r="I3900" s="15"/>
      <c r="J3900" s="15"/>
      <c r="K3900" s="15"/>
      <c r="L3900" s="15"/>
      <c r="M3900" s="15"/>
      <c r="N3900" s="15"/>
      <c r="O3900" s="15"/>
      <c r="P3900" s="15"/>
      <c r="Q3900" s="71"/>
      <c r="R3900" s="84"/>
      <c r="S3900" s="10"/>
      <c r="T3900" s="10"/>
      <c r="U3900" s="10"/>
      <c r="V3900" s="10"/>
      <c r="W3900" s="138"/>
      <c r="Y3900"/>
      <c r="Z3900"/>
      <c r="AA3900"/>
      <c r="AB3900"/>
      <c r="AC3900"/>
      <c r="AD3900"/>
      <c r="AE3900"/>
      <c r="AF3900"/>
      <c r="AG3900"/>
      <c r="AH3900"/>
      <c r="AI3900"/>
      <c r="AJ3900"/>
      <c r="AK3900"/>
      <c r="AL3900"/>
      <c r="AM3900"/>
      <c r="AN3900"/>
      <c r="AO3900"/>
    </row>
    <row r="3901" spans="1:41" ht="15">
      <c r="A3901"/>
      <c r="B3901"/>
      <c r="C3901" s="137"/>
      <c r="D3901" s="30"/>
      <c r="E3901" s="30"/>
      <c r="F3901" s="10"/>
      <c r="G3901" s="10"/>
      <c r="H3901" s="15"/>
      <c r="I3901" s="15"/>
      <c r="J3901" s="15"/>
      <c r="K3901" s="15"/>
      <c r="L3901" s="15"/>
      <c r="M3901" s="15"/>
      <c r="N3901" s="15"/>
      <c r="O3901" s="15"/>
      <c r="P3901" s="15"/>
      <c r="Q3901" s="71"/>
      <c r="R3901" s="84"/>
      <c r="S3901" s="10"/>
      <c r="T3901" s="10"/>
      <c r="U3901" s="10"/>
      <c r="V3901" s="10"/>
      <c r="W3901" s="138"/>
      <c r="Y3901"/>
      <c r="Z3901"/>
      <c r="AA3901"/>
      <c r="AB3901"/>
      <c r="AC3901"/>
      <c r="AD3901"/>
      <c r="AE3901"/>
      <c r="AF3901"/>
      <c r="AG3901"/>
      <c r="AH3901"/>
      <c r="AI3901"/>
      <c r="AJ3901"/>
      <c r="AK3901"/>
      <c r="AL3901"/>
      <c r="AM3901"/>
      <c r="AN3901"/>
      <c r="AO3901"/>
    </row>
    <row r="3902" spans="1:41" ht="15">
      <c r="A3902"/>
      <c r="B3902"/>
      <c r="C3902" s="137"/>
      <c r="D3902" s="30"/>
      <c r="E3902" s="30"/>
      <c r="F3902" s="10"/>
      <c r="G3902" s="10"/>
      <c r="H3902" s="15"/>
      <c r="I3902" s="15"/>
      <c r="J3902" s="15"/>
      <c r="K3902" s="15"/>
      <c r="L3902" s="15"/>
      <c r="M3902" s="15"/>
      <c r="N3902" s="15"/>
      <c r="O3902" s="15"/>
      <c r="P3902" s="15"/>
      <c r="Q3902" s="71"/>
      <c r="R3902" s="84"/>
      <c r="S3902" s="10"/>
      <c r="T3902" s="10"/>
      <c r="U3902" s="10"/>
      <c r="V3902" s="10"/>
      <c r="W3902" s="138"/>
      <c r="Y3902"/>
      <c r="Z3902"/>
      <c r="AA3902"/>
      <c r="AB3902"/>
      <c r="AC3902"/>
      <c r="AD3902"/>
      <c r="AE3902"/>
      <c r="AF3902"/>
      <c r="AG3902"/>
      <c r="AH3902"/>
      <c r="AI3902"/>
      <c r="AJ3902"/>
      <c r="AK3902"/>
      <c r="AL3902"/>
      <c r="AM3902"/>
      <c r="AN3902"/>
      <c r="AO3902"/>
    </row>
    <row r="3903" spans="1:41" ht="15">
      <c r="A3903"/>
      <c r="B3903"/>
      <c r="C3903" s="137"/>
      <c r="D3903" s="30"/>
      <c r="E3903" s="30"/>
      <c r="F3903" s="10"/>
      <c r="G3903" s="10"/>
      <c r="H3903" s="15"/>
      <c r="I3903" s="15"/>
      <c r="J3903" s="15"/>
      <c r="K3903" s="15"/>
      <c r="L3903" s="15"/>
      <c r="M3903" s="15"/>
      <c r="N3903" s="15"/>
      <c r="O3903" s="15"/>
      <c r="P3903" s="15"/>
      <c r="Q3903" s="71"/>
      <c r="R3903" s="84"/>
      <c r="S3903" s="10"/>
      <c r="T3903" s="10"/>
      <c r="U3903" s="10"/>
      <c r="V3903" s="10"/>
      <c r="W3903" s="138"/>
      <c r="Y3903"/>
      <c r="Z3903"/>
      <c r="AA3903"/>
      <c r="AB3903"/>
      <c r="AC3903"/>
      <c r="AD3903"/>
      <c r="AE3903"/>
      <c r="AF3903"/>
      <c r="AG3903"/>
      <c r="AH3903"/>
      <c r="AI3903"/>
      <c r="AJ3903"/>
      <c r="AK3903"/>
      <c r="AL3903"/>
      <c r="AM3903"/>
      <c r="AN3903"/>
      <c r="AO3903"/>
    </row>
    <row r="3904" spans="1:41" ht="15">
      <c r="A3904"/>
      <c r="B3904"/>
      <c r="C3904" s="137"/>
      <c r="D3904" s="30"/>
      <c r="E3904" s="30"/>
      <c r="F3904" s="10"/>
      <c r="G3904" s="10"/>
      <c r="H3904" s="15"/>
      <c r="I3904" s="15"/>
      <c r="J3904" s="15"/>
      <c r="K3904" s="15"/>
      <c r="L3904" s="15"/>
      <c r="M3904" s="15"/>
      <c r="N3904" s="15"/>
      <c r="O3904" s="15"/>
      <c r="P3904" s="15"/>
      <c r="Q3904" s="71"/>
      <c r="R3904" s="84"/>
      <c r="S3904" s="10"/>
      <c r="T3904" s="10"/>
      <c r="U3904" s="10"/>
      <c r="V3904" s="10"/>
      <c r="W3904" s="138"/>
      <c r="Y3904"/>
      <c r="Z3904"/>
      <c r="AA3904"/>
      <c r="AB3904"/>
      <c r="AC3904"/>
      <c r="AD3904"/>
      <c r="AE3904"/>
      <c r="AF3904"/>
      <c r="AG3904"/>
      <c r="AH3904"/>
      <c r="AI3904"/>
      <c r="AJ3904"/>
      <c r="AK3904"/>
      <c r="AL3904"/>
      <c r="AM3904"/>
      <c r="AN3904"/>
      <c r="AO3904"/>
    </row>
    <row r="3905" spans="1:41" ht="15">
      <c r="A3905"/>
      <c r="B3905"/>
      <c r="C3905" s="137"/>
      <c r="D3905" s="30"/>
      <c r="E3905" s="30"/>
      <c r="F3905" s="10"/>
      <c r="G3905" s="10"/>
      <c r="H3905" s="15"/>
      <c r="I3905" s="15"/>
      <c r="J3905" s="15"/>
      <c r="K3905" s="15"/>
      <c r="L3905" s="15"/>
      <c r="M3905" s="15"/>
      <c r="N3905" s="15"/>
      <c r="O3905" s="15"/>
      <c r="P3905" s="15"/>
      <c r="Q3905" s="71"/>
      <c r="R3905" s="84"/>
      <c r="S3905" s="10"/>
      <c r="T3905" s="10"/>
      <c r="U3905" s="10"/>
      <c r="V3905" s="10"/>
      <c r="W3905" s="138"/>
      <c r="Y3905"/>
      <c r="Z3905"/>
      <c r="AA3905"/>
      <c r="AB3905"/>
      <c r="AC3905"/>
      <c r="AD3905"/>
      <c r="AE3905"/>
      <c r="AF3905"/>
      <c r="AG3905"/>
      <c r="AH3905"/>
      <c r="AI3905"/>
      <c r="AJ3905"/>
      <c r="AK3905"/>
      <c r="AL3905"/>
      <c r="AM3905"/>
      <c r="AN3905"/>
      <c r="AO3905"/>
    </row>
    <row r="3906" spans="1:41" ht="15">
      <c r="A3906"/>
      <c r="B3906"/>
      <c r="C3906" s="137"/>
      <c r="D3906" s="30"/>
      <c r="E3906" s="30"/>
      <c r="F3906" s="10"/>
      <c r="G3906" s="10"/>
      <c r="H3906" s="15"/>
      <c r="I3906" s="15"/>
      <c r="J3906" s="15"/>
      <c r="K3906" s="15"/>
      <c r="L3906" s="15"/>
      <c r="M3906" s="15"/>
      <c r="N3906" s="15"/>
      <c r="O3906" s="15"/>
      <c r="P3906" s="15"/>
      <c r="Q3906" s="71"/>
      <c r="R3906" s="84"/>
      <c r="S3906" s="10"/>
      <c r="T3906" s="10"/>
      <c r="U3906" s="10"/>
      <c r="V3906" s="10"/>
      <c r="W3906" s="138"/>
      <c r="Y3906"/>
      <c r="Z3906"/>
      <c r="AA3906"/>
      <c r="AB3906"/>
      <c r="AC3906"/>
      <c r="AD3906"/>
      <c r="AE3906"/>
      <c r="AF3906"/>
      <c r="AG3906"/>
      <c r="AH3906"/>
      <c r="AI3906"/>
      <c r="AJ3906"/>
      <c r="AK3906"/>
      <c r="AL3906"/>
      <c r="AM3906"/>
      <c r="AN3906"/>
      <c r="AO3906"/>
    </row>
    <row r="3907" spans="1:41" ht="15">
      <c r="A3907"/>
      <c r="B3907"/>
      <c r="C3907" s="137"/>
      <c r="D3907" s="30"/>
      <c r="E3907" s="30"/>
      <c r="F3907" s="10"/>
      <c r="G3907" s="10"/>
      <c r="H3907" s="15"/>
      <c r="I3907" s="15"/>
      <c r="J3907" s="15"/>
      <c r="K3907" s="15"/>
      <c r="L3907" s="15"/>
      <c r="M3907" s="15"/>
      <c r="N3907" s="15"/>
      <c r="O3907" s="15"/>
      <c r="P3907" s="15"/>
      <c r="Q3907" s="71"/>
      <c r="R3907" s="84"/>
      <c r="S3907" s="10"/>
      <c r="T3907" s="10"/>
      <c r="U3907" s="10"/>
      <c r="V3907" s="10"/>
      <c r="W3907" s="138"/>
      <c r="Y3907"/>
      <c r="Z3907"/>
      <c r="AA3907"/>
      <c r="AB3907"/>
      <c r="AC3907"/>
      <c r="AD3907"/>
      <c r="AE3907"/>
      <c r="AF3907"/>
      <c r="AG3907"/>
      <c r="AH3907"/>
      <c r="AI3907"/>
      <c r="AJ3907"/>
      <c r="AK3907"/>
      <c r="AL3907"/>
      <c r="AM3907"/>
      <c r="AN3907"/>
      <c r="AO3907"/>
    </row>
    <row r="3908" spans="1:41" ht="15">
      <c r="A3908"/>
      <c r="B3908"/>
      <c r="C3908" s="137"/>
      <c r="D3908" s="30"/>
      <c r="E3908" s="30"/>
      <c r="F3908" s="10"/>
      <c r="G3908" s="10"/>
      <c r="H3908" s="15"/>
      <c r="I3908" s="15"/>
      <c r="J3908" s="15"/>
      <c r="K3908" s="15"/>
      <c r="L3908" s="15"/>
      <c r="M3908" s="15"/>
      <c r="N3908" s="15"/>
      <c r="O3908" s="15"/>
      <c r="P3908" s="15"/>
      <c r="Q3908" s="71"/>
      <c r="R3908" s="84"/>
      <c r="S3908" s="10"/>
      <c r="T3908" s="10"/>
      <c r="U3908" s="10"/>
      <c r="V3908" s="10"/>
      <c r="W3908" s="138"/>
      <c r="Y3908"/>
      <c r="Z3908"/>
      <c r="AA3908"/>
      <c r="AB3908"/>
      <c r="AC3908"/>
      <c r="AD3908"/>
      <c r="AE3908"/>
      <c r="AF3908"/>
      <c r="AG3908"/>
      <c r="AH3908"/>
      <c r="AI3908"/>
      <c r="AJ3908"/>
      <c r="AK3908"/>
      <c r="AL3908"/>
      <c r="AM3908"/>
      <c r="AN3908"/>
      <c r="AO3908"/>
    </row>
    <row r="3909" spans="1:41" ht="15">
      <c r="A3909"/>
      <c r="B3909"/>
      <c r="C3909" s="137"/>
      <c r="D3909" s="30"/>
      <c r="E3909" s="30"/>
      <c r="F3909" s="10"/>
      <c r="G3909" s="10"/>
      <c r="H3909" s="15"/>
      <c r="I3909" s="15"/>
      <c r="J3909" s="15"/>
      <c r="K3909" s="15"/>
      <c r="L3909" s="15"/>
      <c r="M3909" s="15"/>
      <c r="N3909" s="15"/>
      <c r="O3909" s="15"/>
      <c r="P3909" s="15"/>
      <c r="Q3909" s="71"/>
      <c r="R3909" s="84"/>
      <c r="S3909" s="10"/>
      <c r="T3909" s="10"/>
      <c r="U3909" s="10"/>
      <c r="V3909" s="10"/>
      <c r="W3909" s="138"/>
      <c r="Y3909"/>
      <c r="Z3909"/>
      <c r="AA3909"/>
      <c r="AB3909"/>
      <c r="AC3909"/>
      <c r="AD3909"/>
      <c r="AE3909"/>
      <c r="AF3909"/>
      <c r="AG3909"/>
      <c r="AH3909"/>
      <c r="AI3909"/>
      <c r="AJ3909"/>
      <c r="AK3909"/>
      <c r="AL3909"/>
      <c r="AM3909"/>
      <c r="AN3909"/>
      <c r="AO3909"/>
    </row>
    <row r="3910" spans="1:41" ht="15">
      <c r="A3910"/>
      <c r="B3910"/>
      <c r="C3910" s="137"/>
      <c r="D3910" s="30"/>
      <c r="E3910" s="30"/>
      <c r="F3910" s="10"/>
      <c r="G3910" s="10"/>
      <c r="H3910" s="15"/>
      <c r="I3910" s="15"/>
      <c r="J3910" s="15"/>
      <c r="K3910" s="15"/>
      <c r="L3910" s="15"/>
      <c r="M3910" s="15"/>
      <c r="N3910" s="15"/>
      <c r="O3910" s="15"/>
      <c r="P3910" s="15"/>
      <c r="Q3910" s="71"/>
      <c r="R3910" s="84"/>
      <c r="S3910" s="10"/>
      <c r="T3910" s="10"/>
      <c r="U3910" s="10"/>
      <c r="V3910" s="10"/>
      <c r="W3910" s="138"/>
      <c r="Y3910"/>
      <c r="Z3910"/>
      <c r="AA3910"/>
      <c r="AB3910"/>
      <c r="AC3910"/>
      <c r="AD3910"/>
      <c r="AE3910"/>
      <c r="AF3910"/>
      <c r="AG3910"/>
      <c r="AH3910"/>
      <c r="AI3910"/>
      <c r="AJ3910"/>
      <c r="AK3910"/>
      <c r="AL3910"/>
      <c r="AM3910"/>
      <c r="AN3910"/>
      <c r="AO3910"/>
    </row>
    <row r="3911" spans="1:41" ht="15">
      <c r="A3911"/>
      <c r="B3911"/>
      <c r="C3911" s="137"/>
      <c r="D3911" s="30"/>
      <c r="E3911" s="30"/>
      <c r="F3911" s="10"/>
      <c r="G3911" s="10"/>
      <c r="H3911" s="15"/>
      <c r="I3911" s="15"/>
      <c r="J3911" s="15"/>
      <c r="K3911" s="15"/>
      <c r="L3911" s="15"/>
      <c r="M3911" s="15"/>
      <c r="N3911" s="15"/>
      <c r="O3911" s="15"/>
      <c r="P3911" s="15"/>
      <c r="Q3911" s="71"/>
      <c r="R3911" s="84"/>
      <c r="S3911" s="10"/>
      <c r="T3911" s="10"/>
      <c r="U3911" s="10"/>
      <c r="V3911" s="10"/>
      <c r="W3911" s="138"/>
      <c r="Y3911"/>
      <c r="Z3911"/>
      <c r="AA3911"/>
      <c r="AB3911"/>
      <c r="AC3911"/>
      <c r="AD3911"/>
      <c r="AE3911"/>
      <c r="AF3911"/>
      <c r="AG3911"/>
      <c r="AH3911"/>
      <c r="AI3911"/>
      <c r="AJ3911"/>
      <c r="AK3911"/>
      <c r="AL3911"/>
      <c r="AM3911"/>
      <c r="AN3911"/>
      <c r="AO3911"/>
    </row>
    <row r="3912" spans="1:41" ht="15">
      <c r="A3912"/>
      <c r="B3912"/>
      <c r="C3912" s="137"/>
      <c r="D3912" s="30"/>
      <c r="E3912" s="30"/>
      <c r="F3912" s="10"/>
      <c r="G3912" s="10"/>
      <c r="H3912" s="15"/>
      <c r="I3912" s="15"/>
      <c r="J3912" s="15"/>
      <c r="K3912" s="15"/>
      <c r="L3912" s="15"/>
      <c r="M3912" s="15"/>
      <c r="N3912" s="15"/>
      <c r="O3912" s="15"/>
      <c r="P3912" s="15"/>
      <c r="Q3912" s="71"/>
      <c r="R3912" s="84"/>
      <c r="S3912" s="10"/>
      <c r="T3912" s="10"/>
      <c r="U3912" s="10"/>
      <c r="V3912" s="10"/>
      <c r="W3912" s="138"/>
      <c r="Y3912"/>
      <c r="Z3912"/>
      <c r="AA3912"/>
      <c r="AB3912"/>
      <c r="AC3912"/>
      <c r="AD3912"/>
      <c r="AE3912"/>
      <c r="AF3912"/>
      <c r="AG3912"/>
      <c r="AH3912"/>
      <c r="AI3912"/>
      <c r="AJ3912"/>
      <c r="AK3912"/>
      <c r="AL3912"/>
      <c r="AM3912"/>
      <c r="AN3912"/>
      <c r="AO3912"/>
    </row>
    <row r="3913" spans="1:41" ht="15">
      <c r="A3913"/>
      <c r="B3913"/>
      <c r="C3913" s="137"/>
      <c r="D3913" s="30"/>
      <c r="E3913" s="30"/>
      <c r="F3913" s="10"/>
      <c r="G3913" s="10"/>
      <c r="H3913" s="15"/>
      <c r="I3913" s="15"/>
      <c r="J3913" s="15"/>
      <c r="K3913" s="15"/>
      <c r="L3913" s="15"/>
      <c r="M3913" s="15"/>
      <c r="N3913" s="15"/>
      <c r="O3913" s="15"/>
      <c r="P3913" s="15"/>
      <c r="Q3913" s="71"/>
      <c r="R3913" s="84"/>
      <c r="S3913" s="10"/>
      <c r="T3913" s="10"/>
      <c r="U3913" s="10"/>
      <c r="V3913" s="10"/>
      <c r="W3913" s="138"/>
      <c r="Y3913"/>
      <c r="Z3913"/>
      <c r="AA3913"/>
      <c r="AB3913"/>
      <c r="AC3913"/>
      <c r="AD3913"/>
      <c r="AE3913"/>
      <c r="AF3913"/>
      <c r="AG3913"/>
      <c r="AH3913"/>
      <c r="AI3913"/>
      <c r="AJ3913"/>
      <c r="AK3913"/>
      <c r="AL3913"/>
      <c r="AM3913"/>
      <c r="AN3913"/>
      <c r="AO3913"/>
    </row>
    <row r="3914" spans="1:41" ht="15">
      <c r="A3914"/>
      <c r="B3914"/>
      <c r="C3914" s="137"/>
      <c r="D3914" s="30"/>
      <c r="E3914" s="30"/>
      <c r="F3914" s="10"/>
      <c r="G3914" s="10"/>
      <c r="H3914" s="15"/>
      <c r="I3914" s="15"/>
      <c r="J3914" s="15"/>
      <c r="K3914" s="15"/>
      <c r="L3914" s="15"/>
      <c r="M3914" s="15"/>
      <c r="N3914" s="15"/>
      <c r="O3914" s="15"/>
      <c r="P3914" s="15"/>
      <c r="Q3914" s="71"/>
      <c r="R3914" s="84"/>
      <c r="S3914" s="10"/>
      <c r="T3914" s="10"/>
      <c r="U3914" s="10"/>
      <c r="V3914" s="10"/>
      <c r="W3914" s="138"/>
      <c r="Y3914"/>
      <c r="Z3914"/>
      <c r="AA3914"/>
      <c r="AB3914"/>
      <c r="AC3914"/>
      <c r="AD3914"/>
      <c r="AE3914"/>
      <c r="AF3914"/>
      <c r="AG3914"/>
      <c r="AH3914"/>
      <c r="AI3914"/>
      <c r="AJ3914"/>
      <c r="AK3914"/>
      <c r="AL3914"/>
      <c r="AM3914"/>
      <c r="AN3914"/>
      <c r="AO3914"/>
    </row>
    <row r="3915" spans="1:41" ht="15">
      <c r="A3915"/>
      <c r="B3915"/>
      <c r="C3915" s="137"/>
      <c r="D3915" s="30"/>
      <c r="E3915" s="30"/>
      <c r="F3915" s="10"/>
      <c r="G3915" s="10"/>
      <c r="H3915" s="15"/>
      <c r="I3915" s="15"/>
      <c r="J3915" s="15"/>
      <c r="K3915" s="15"/>
      <c r="L3915" s="15"/>
      <c r="M3915" s="15"/>
      <c r="N3915" s="15"/>
      <c r="O3915" s="15"/>
      <c r="P3915" s="15"/>
      <c r="Q3915" s="71"/>
      <c r="R3915" s="84"/>
      <c r="S3915" s="10"/>
      <c r="T3915" s="10"/>
      <c r="U3915" s="10"/>
      <c r="V3915" s="10"/>
      <c r="W3915" s="138"/>
      <c r="Y3915"/>
      <c r="Z3915"/>
      <c r="AA3915"/>
      <c r="AB3915"/>
      <c r="AC3915"/>
      <c r="AD3915"/>
      <c r="AE3915"/>
      <c r="AF3915"/>
      <c r="AG3915"/>
      <c r="AH3915"/>
      <c r="AI3915"/>
      <c r="AJ3915"/>
      <c r="AK3915"/>
      <c r="AL3915"/>
      <c r="AM3915"/>
      <c r="AN3915"/>
      <c r="AO3915"/>
    </row>
    <row r="3916" spans="1:41" ht="15">
      <c r="A3916"/>
      <c r="B3916"/>
      <c r="C3916" s="137"/>
      <c r="D3916" s="30"/>
      <c r="E3916" s="30"/>
      <c r="F3916" s="10"/>
      <c r="G3916" s="10"/>
      <c r="H3916" s="15"/>
      <c r="I3916" s="15"/>
      <c r="J3916" s="15"/>
      <c r="K3916" s="15"/>
      <c r="L3916" s="15"/>
      <c r="M3916" s="15"/>
      <c r="N3916" s="15"/>
      <c r="O3916" s="15"/>
      <c r="P3916" s="15"/>
      <c r="Q3916" s="71"/>
      <c r="R3916" s="84"/>
      <c r="S3916" s="10"/>
      <c r="T3916" s="10"/>
      <c r="U3916" s="10"/>
      <c r="V3916" s="10"/>
      <c r="W3916" s="138"/>
      <c r="Y3916"/>
      <c r="Z3916"/>
      <c r="AA3916"/>
      <c r="AB3916"/>
      <c r="AC3916"/>
      <c r="AD3916"/>
      <c r="AE3916"/>
      <c r="AF3916"/>
      <c r="AG3916"/>
      <c r="AH3916"/>
      <c r="AI3916"/>
      <c r="AJ3916"/>
      <c r="AK3916"/>
      <c r="AL3916"/>
      <c r="AM3916"/>
      <c r="AN3916"/>
      <c r="AO3916"/>
    </row>
    <row r="3917" spans="1:41" ht="15">
      <c r="A3917"/>
      <c r="B3917"/>
      <c r="C3917" s="137"/>
      <c r="D3917" s="30"/>
      <c r="E3917" s="30"/>
      <c r="F3917" s="10"/>
      <c r="G3917" s="10"/>
      <c r="H3917" s="15"/>
      <c r="I3917" s="15"/>
      <c r="J3917" s="15"/>
      <c r="K3917" s="15"/>
      <c r="L3917" s="15"/>
      <c r="M3917" s="15"/>
      <c r="N3917" s="15"/>
      <c r="O3917" s="15"/>
      <c r="P3917" s="15"/>
      <c r="Q3917" s="71"/>
      <c r="R3917" s="84"/>
      <c r="S3917" s="10"/>
      <c r="T3917" s="10"/>
      <c r="U3917" s="10"/>
      <c r="V3917" s="10"/>
      <c r="W3917" s="138"/>
      <c r="Y3917"/>
      <c r="Z3917"/>
      <c r="AA3917"/>
      <c r="AB3917"/>
      <c r="AC3917"/>
      <c r="AD3917"/>
      <c r="AE3917"/>
      <c r="AF3917"/>
      <c r="AG3917"/>
      <c r="AH3917"/>
      <c r="AI3917"/>
      <c r="AJ3917"/>
      <c r="AK3917"/>
      <c r="AL3917"/>
      <c r="AM3917"/>
      <c r="AN3917"/>
      <c r="AO3917"/>
    </row>
    <row r="3918" spans="1:41" ht="15">
      <c r="A3918"/>
      <c r="B3918"/>
      <c r="C3918" s="137"/>
      <c r="D3918" s="30"/>
      <c r="E3918" s="30"/>
      <c r="F3918" s="10"/>
      <c r="G3918" s="10"/>
      <c r="H3918" s="15"/>
      <c r="I3918" s="15"/>
      <c r="J3918" s="15"/>
      <c r="K3918" s="15"/>
      <c r="L3918" s="15"/>
      <c r="M3918" s="15"/>
      <c r="N3918" s="15"/>
      <c r="O3918" s="15"/>
      <c r="P3918" s="15"/>
      <c r="Q3918" s="71"/>
      <c r="R3918" s="84"/>
      <c r="S3918" s="10"/>
      <c r="T3918" s="10"/>
      <c r="U3918" s="10"/>
      <c r="V3918" s="10"/>
      <c r="W3918" s="138"/>
      <c r="Y3918"/>
      <c r="Z3918"/>
      <c r="AA3918"/>
      <c r="AB3918"/>
      <c r="AC3918"/>
      <c r="AD3918"/>
      <c r="AE3918"/>
      <c r="AF3918"/>
      <c r="AG3918"/>
      <c r="AH3918"/>
      <c r="AI3918"/>
      <c r="AJ3918"/>
      <c r="AK3918"/>
      <c r="AL3918"/>
      <c r="AM3918"/>
      <c r="AN3918"/>
      <c r="AO3918"/>
    </row>
    <row r="3919" spans="1:41" ht="15">
      <c r="A3919"/>
      <c r="B3919"/>
      <c r="C3919" s="137"/>
      <c r="D3919" s="30"/>
      <c r="E3919" s="30"/>
      <c r="F3919" s="10"/>
      <c r="G3919" s="10"/>
      <c r="H3919" s="15"/>
      <c r="I3919" s="15"/>
      <c r="J3919" s="15"/>
      <c r="K3919" s="15"/>
      <c r="L3919" s="15"/>
      <c r="M3919" s="15"/>
      <c r="N3919" s="15"/>
      <c r="O3919" s="15"/>
      <c r="P3919" s="15"/>
      <c r="Q3919" s="71"/>
      <c r="R3919" s="84"/>
      <c r="S3919" s="10"/>
      <c r="T3919" s="10"/>
      <c r="U3919" s="10"/>
      <c r="V3919" s="10"/>
      <c r="W3919" s="138"/>
      <c r="Y3919"/>
      <c r="Z3919"/>
      <c r="AA3919"/>
      <c r="AB3919"/>
      <c r="AC3919"/>
      <c r="AD3919"/>
      <c r="AE3919"/>
      <c r="AF3919"/>
      <c r="AG3919"/>
      <c r="AH3919"/>
      <c r="AI3919"/>
      <c r="AJ3919"/>
      <c r="AK3919"/>
      <c r="AL3919"/>
      <c r="AM3919"/>
      <c r="AN3919"/>
      <c r="AO3919"/>
    </row>
    <row r="3920" spans="1:41" ht="15">
      <c r="A3920"/>
      <c r="B3920"/>
      <c r="C3920" s="137"/>
      <c r="D3920" s="30"/>
      <c r="E3920" s="30"/>
      <c r="F3920" s="10"/>
      <c r="G3920" s="10"/>
      <c r="H3920" s="15"/>
      <c r="I3920" s="15"/>
      <c r="J3920" s="15"/>
      <c r="K3920" s="15"/>
      <c r="L3920" s="15"/>
      <c r="M3920" s="15"/>
      <c r="N3920" s="15"/>
      <c r="O3920" s="15"/>
      <c r="P3920" s="15"/>
      <c r="Q3920" s="71"/>
      <c r="R3920" s="84"/>
      <c r="S3920" s="10"/>
      <c r="T3920" s="10"/>
      <c r="U3920" s="10"/>
      <c r="V3920" s="10"/>
      <c r="W3920" s="138"/>
      <c r="Y3920"/>
      <c r="Z3920"/>
      <c r="AA3920"/>
      <c r="AB3920"/>
      <c r="AC3920"/>
      <c r="AD3920"/>
      <c r="AE3920"/>
      <c r="AF3920"/>
      <c r="AG3920"/>
      <c r="AH3920"/>
      <c r="AI3920"/>
      <c r="AJ3920"/>
      <c r="AK3920"/>
      <c r="AL3920"/>
      <c r="AM3920"/>
      <c r="AN3920"/>
      <c r="AO3920"/>
    </row>
    <row r="3921" spans="1:41" ht="15">
      <c r="A3921"/>
      <c r="B3921"/>
      <c r="C3921" s="137"/>
      <c r="D3921" s="30"/>
      <c r="E3921" s="30"/>
      <c r="F3921" s="10"/>
      <c r="G3921" s="10"/>
      <c r="H3921" s="15"/>
      <c r="I3921" s="15"/>
      <c r="J3921" s="15"/>
      <c r="K3921" s="15"/>
      <c r="L3921" s="15"/>
      <c r="M3921" s="15"/>
      <c r="N3921" s="15"/>
      <c r="O3921" s="15"/>
      <c r="P3921" s="15"/>
      <c r="Q3921" s="71"/>
      <c r="R3921" s="84"/>
      <c r="S3921" s="10"/>
      <c r="T3921" s="10"/>
      <c r="U3921" s="10"/>
      <c r="V3921" s="10"/>
      <c r="W3921" s="138"/>
      <c r="Y3921"/>
      <c r="Z3921"/>
      <c r="AA3921"/>
      <c r="AB3921"/>
      <c r="AC3921"/>
      <c r="AD3921"/>
      <c r="AE3921"/>
      <c r="AF3921"/>
      <c r="AG3921"/>
      <c r="AH3921"/>
      <c r="AI3921"/>
      <c r="AJ3921"/>
      <c r="AK3921"/>
      <c r="AL3921"/>
      <c r="AM3921"/>
      <c r="AN3921"/>
      <c r="AO3921"/>
    </row>
    <row r="3922" spans="1:41" ht="15">
      <c r="A3922"/>
      <c r="B3922"/>
      <c r="C3922" s="137"/>
      <c r="D3922" s="30"/>
      <c r="E3922" s="30"/>
      <c r="F3922" s="10"/>
      <c r="G3922" s="10"/>
      <c r="H3922" s="15"/>
      <c r="I3922" s="15"/>
      <c r="J3922" s="15"/>
      <c r="K3922" s="15"/>
      <c r="L3922" s="15"/>
      <c r="M3922" s="15"/>
      <c r="N3922" s="15"/>
      <c r="O3922" s="15"/>
      <c r="P3922" s="15"/>
      <c r="Q3922" s="71"/>
      <c r="R3922" s="84"/>
      <c r="S3922" s="10"/>
      <c r="T3922" s="10"/>
      <c r="U3922" s="10"/>
      <c r="V3922" s="10"/>
      <c r="W3922" s="138"/>
      <c r="Y3922"/>
      <c r="Z3922"/>
      <c r="AA3922"/>
      <c r="AB3922"/>
      <c r="AC3922"/>
      <c r="AD3922"/>
      <c r="AE3922"/>
      <c r="AF3922"/>
      <c r="AG3922"/>
      <c r="AH3922"/>
      <c r="AI3922"/>
      <c r="AJ3922"/>
      <c r="AK3922"/>
      <c r="AL3922"/>
      <c r="AM3922"/>
      <c r="AN3922"/>
      <c r="AO3922"/>
    </row>
    <row r="3923" spans="1:41" ht="15">
      <c r="A3923"/>
      <c r="B3923"/>
      <c r="C3923" s="137"/>
      <c r="D3923" s="30"/>
      <c r="E3923" s="30"/>
      <c r="F3923" s="10"/>
      <c r="G3923" s="10"/>
      <c r="H3923" s="15"/>
      <c r="I3923" s="15"/>
      <c r="J3923" s="15"/>
      <c r="K3923" s="15"/>
      <c r="L3923" s="15"/>
      <c r="M3923" s="15"/>
      <c r="N3923" s="15"/>
      <c r="O3923" s="15"/>
      <c r="P3923" s="15"/>
      <c r="Q3923" s="71"/>
      <c r="R3923" s="84"/>
      <c r="S3923" s="10"/>
      <c r="T3923" s="10"/>
      <c r="U3923" s="10"/>
      <c r="V3923" s="10"/>
      <c r="W3923" s="138"/>
      <c r="Y3923"/>
      <c r="Z3923"/>
      <c r="AA3923"/>
      <c r="AB3923"/>
      <c r="AC3923"/>
      <c r="AD3923"/>
      <c r="AE3923"/>
      <c r="AF3923"/>
      <c r="AG3923"/>
      <c r="AH3923"/>
      <c r="AI3923"/>
      <c r="AJ3923"/>
      <c r="AK3923"/>
      <c r="AL3923"/>
      <c r="AM3923"/>
      <c r="AN3923"/>
      <c r="AO3923"/>
    </row>
    <row r="3924" spans="1:41" ht="15">
      <c r="A3924"/>
      <c r="B3924"/>
      <c r="C3924" s="137"/>
      <c r="D3924" s="30"/>
      <c r="E3924" s="30"/>
      <c r="F3924" s="10"/>
      <c r="G3924" s="10"/>
      <c r="H3924" s="15"/>
      <c r="I3924" s="15"/>
      <c r="J3924" s="15"/>
      <c r="K3924" s="15"/>
      <c r="L3924" s="15"/>
      <c r="M3924" s="15"/>
      <c r="N3924" s="15"/>
      <c r="O3924" s="15"/>
      <c r="P3924" s="15"/>
      <c r="Q3924" s="71"/>
      <c r="R3924" s="84"/>
      <c r="S3924" s="10"/>
      <c r="T3924" s="10"/>
      <c r="U3924" s="10"/>
      <c r="V3924" s="10"/>
      <c r="W3924" s="138"/>
      <c r="Y3924"/>
      <c r="Z3924"/>
      <c r="AA3924"/>
      <c r="AB3924"/>
      <c r="AC3924"/>
      <c r="AD3924"/>
      <c r="AE3924"/>
      <c r="AF3924"/>
      <c r="AG3924"/>
      <c r="AH3924"/>
      <c r="AI3924"/>
      <c r="AJ3924"/>
      <c r="AK3924"/>
      <c r="AL3924"/>
      <c r="AM3924"/>
      <c r="AN3924"/>
      <c r="AO3924"/>
    </row>
    <row r="3925" spans="1:41" ht="15">
      <c r="A3925"/>
      <c r="B3925"/>
      <c r="C3925" s="137"/>
      <c r="D3925" s="30"/>
      <c r="E3925" s="30"/>
      <c r="F3925" s="10"/>
      <c r="G3925" s="10"/>
      <c r="H3925" s="15"/>
      <c r="I3925" s="15"/>
      <c r="J3925" s="15"/>
      <c r="K3925" s="15"/>
      <c r="L3925" s="15"/>
      <c r="M3925" s="15"/>
      <c r="N3925" s="15"/>
      <c r="O3925" s="15"/>
      <c r="P3925" s="15"/>
      <c r="Q3925" s="71"/>
      <c r="R3925" s="84"/>
      <c r="S3925" s="10"/>
      <c r="T3925" s="10"/>
      <c r="U3925" s="10"/>
      <c r="V3925" s="10"/>
      <c r="W3925" s="138"/>
      <c r="Y3925"/>
      <c r="Z3925"/>
      <c r="AA3925"/>
      <c r="AB3925"/>
      <c r="AC3925"/>
      <c r="AD3925"/>
      <c r="AE3925"/>
      <c r="AF3925"/>
      <c r="AG3925"/>
      <c r="AH3925"/>
      <c r="AI3925"/>
      <c r="AJ3925"/>
      <c r="AK3925"/>
      <c r="AL3925"/>
      <c r="AM3925"/>
      <c r="AN3925"/>
      <c r="AO3925"/>
    </row>
    <row r="3926" spans="1:41" ht="15">
      <c r="A3926"/>
      <c r="B3926"/>
      <c r="C3926" s="137"/>
      <c r="D3926" s="30"/>
      <c r="E3926" s="30"/>
      <c r="F3926" s="10"/>
      <c r="G3926" s="10"/>
      <c r="H3926" s="15"/>
      <c r="I3926" s="15"/>
      <c r="J3926" s="15"/>
      <c r="K3926" s="15"/>
      <c r="L3926" s="15"/>
      <c r="M3926" s="15"/>
      <c r="N3926" s="15"/>
      <c r="O3926" s="15"/>
      <c r="P3926" s="15"/>
      <c r="Q3926" s="71"/>
      <c r="R3926" s="84"/>
      <c r="S3926" s="10"/>
      <c r="T3926" s="10"/>
      <c r="U3926" s="10"/>
      <c r="V3926" s="10"/>
      <c r="W3926" s="138"/>
      <c r="Y3926"/>
      <c r="Z3926"/>
      <c r="AA3926"/>
      <c r="AB3926"/>
      <c r="AC3926"/>
      <c r="AD3926"/>
      <c r="AE3926"/>
      <c r="AF3926"/>
      <c r="AG3926"/>
      <c r="AH3926"/>
      <c r="AI3926"/>
      <c r="AJ3926"/>
      <c r="AK3926"/>
      <c r="AL3926"/>
      <c r="AM3926"/>
      <c r="AN3926"/>
      <c r="AO3926"/>
    </row>
    <row r="3927" spans="1:41" ht="15">
      <c r="A3927"/>
      <c r="B3927"/>
      <c r="C3927" s="137"/>
      <c r="D3927" s="30"/>
      <c r="E3927" s="30"/>
      <c r="F3927" s="10"/>
      <c r="G3927" s="10"/>
      <c r="H3927" s="15"/>
      <c r="I3927" s="15"/>
      <c r="J3927" s="15"/>
      <c r="K3927" s="15"/>
      <c r="L3927" s="15"/>
      <c r="M3927" s="15"/>
      <c r="N3927" s="15"/>
      <c r="O3927" s="15"/>
      <c r="P3927" s="15"/>
      <c r="Q3927" s="71"/>
      <c r="R3927" s="84"/>
      <c r="S3927" s="10"/>
      <c r="T3927" s="10"/>
      <c r="U3927" s="10"/>
      <c r="V3927" s="10"/>
      <c r="W3927" s="138"/>
      <c r="Y3927"/>
      <c r="Z3927"/>
      <c r="AA3927"/>
      <c r="AB3927"/>
      <c r="AC3927"/>
      <c r="AD3927"/>
      <c r="AE3927"/>
      <c r="AF3927"/>
      <c r="AG3927"/>
      <c r="AH3927"/>
      <c r="AI3927"/>
      <c r="AJ3927"/>
      <c r="AK3927"/>
      <c r="AL3927"/>
      <c r="AM3927"/>
      <c r="AN3927"/>
      <c r="AO3927"/>
    </row>
    <row r="3928" spans="1:41" ht="15">
      <c r="A3928"/>
      <c r="B3928"/>
      <c r="C3928" s="137"/>
      <c r="D3928" s="30"/>
      <c r="E3928" s="30"/>
      <c r="F3928" s="10"/>
      <c r="G3928" s="10"/>
      <c r="H3928" s="15"/>
      <c r="I3928" s="15"/>
      <c r="J3928" s="15"/>
      <c r="K3928" s="15"/>
      <c r="L3928" s="15"/>
      <c r="M3928" s="15"/>
      <c r="N3928" s="15"/>
      <c r="O3928" s="15"/>
      <c r="P3928" s="15"/>
      <c r="Q3928" s="71"/>
      <c r="R3928" s="84"/>
      <c r="S3928" s="10"/>
      <c r="T3928" s="10"/>
      <c r="U3928" s="10"/>
      <c r="V3928" s="10"/>
      <c r="W3928" s="138"/>
      <c r="Y3928"/>
      <c r="Z3928"/>
      <c r="AA3928"/>
      <c r="AB3928"/>
      <c r="AC3928"/>
      <c r="AD3928"/>
      <c r="AE3928"/>
      <c r="AF3928"/>
      <c r="AG3928"/>
      <c r="AH3928"/>
      <c r="AI3928"/>
      <c r="AJ3928"/>
      <c r="AK3928"/>
      <c r="AL3928"/>
      <c r="AM3928"/>
      <c r="AN3928"/>
      <c r="AO3928"/>
    </row>
    <row r="3929" spans="1:41" ht="15">
      <c r="A3929"/>
      <c r="B3929"/>
      <c r="C3929" s="137"/>
      <c r="D3929" s="30"/>
      <c r="E3929" s="30"/>
      <c r="F3929" s="10"/>
      <c r="G3929" s="10"/>
      <c r="H3929" s="15"/>
      <c r="I3929" s="15"/>
      <c r="J3929" s="15"/>
      <c r="K3929" s="15"/>
      <c r="L3929" s="15"/>
      <c r="M3929" s="15"/>
      <c r="N3929" s="15"/>
      <c r="O3929" s="15"/>
      <c r="P3929" s="15"/>
      <c r="Q3929" s="71"/>
      <c r="R3929" s="84"/>
      <c r="S3929" s="10"/>
      <c r="T3929" s="10"/>
      <c r="U3929" s="10"/>
      <c r="V3929" s="10"/>
      <c r="W3929" s="138"/>
      <c r="Y3929"/>
      <c r="Z3929"/>
      <c r="AA3929"/>
      <c r="AB3929"/>
      <c r="AC3929"/>
      <c r="AD3929"/>
      <c r="AE3929"/>
      <c r="AF3929"/>
      <c r="AG3929"/>
      <c r="AH3929"/>
      <c r="AI3929"/>
      <c r="AJ3929"/>
      <c r="AK3929"/>
      <c r="AL3929"/>
      <c r="AM3929"/>
      <c r="AN3929"/>
      <c r="AO3929"/>
    </row>
    <row r="3930" spans="1:41" ht="15">
      <c r="A3930"/>
      <c r="B3930"/>
      <c r="C3930" s="137"/>
      <c r="D3930" s="30"/>
      <c r="E3930" s="30"/>
      <c r="F3930" s="10"/>
      <c r="G3930" s="10"/>
      <c r="H3930" s="15"/>
      <c r="I3930" s="15"/>
      <c r="J3930" s="15"/>
      <c r="K3930" s="15"/>
      <c r="L3930" s="15"/>
      <c r="M3930" s="15"/>
      <c r="N3930" s="15"/>
      <c r="O3930" s="15"/>
      <c r="P3930" s="15"/>
      <c r="Q3930" s="71"/>
      <c r="R3930" s="84"/>
      <c r="S3930" s="10"/>
      <c r="T3930" s="10"/>
      <c r="U3930" s="10"/>
      <c r="V3930" s="10"/>
      <c r="W3930" s="138"/>
      <c r="Y3930"/>
      <c r="Z3930"/>
      <c r="AA3930"/>
      <c r="AB3930"/>
      <c r="AC3930"/>
      <c r="AD3930"/>
      <c r="AE3930"/>
      <c r="AF3930"/>
      <c r="AG3930"/>
      <c r="AH3930"/>
      <c r="AI3930"/>
      <c r="AJ3930"/>
      <c r="AK3930"/>
      <c r="AL3930"/>
      <c r="AM3930"/>
      <c r="AN3930"/>
      <c r="AO3930"/>
    </row>
    <row r="3931" spans="1:41" ht="15">
      <c r="A3931"/>
      <c r="B3931"/>
      <c r="C3931" s="137"/>
      <c r="D3931" s="30"/>
      <c r="E3931" s="30"/>
      <c r="F3931" s="10"/>
      <c r="G3931" s="10"/>
      <c r="H3931" s="15"/>
      <c r="I3931" s="15"/>
      <c r="J3931" s="15"/>
      <c r="K3931" s="15"/>
      <c r="L3931" s="15"/>
      <c r="M3931" s="15"/>
      <c r="N3931" s="15"/>
      <c r="O3931" s="15"/>
      <c r="P3931" s="15"/>
      <c r="Q3931" s="71"/>
      <c r="R3931" s="84"/>
      <c r="S3931" s="10"/>
      <c r="T3931" s="10"/>
      <c r="U3931" s="10"/>
      <c r="V3931" s="10"/>
      <c r="W3931" s="138"/>
      <c r="Y3931"/>
      <c r="Z3931"/>
      <c r="AA3931"/>
      <c r="AB3931"/>
      <c r="AC3931"/>
      <c r="AD3931"/>
      <c r="AE3931"/>
      <c r="AF3931"/>
      <c r="AG3931"/>
      <c r="AH3931"/>
      <c r="AI3931"/>
      <c r="AJ3931"/>
      <c r="AK3931"/>
      <c r="AL3931"/>
      <c r="AM3931"/>
      <c r="AN3931"/>
      <c r="AO3931"/>
    </row>
    <row r="3932" spans="1:41" ht="15">
      <c r="A3932"/>
      <c r="B3932"/>
      <c r="C3932" s="137"/>
      <c r="D3932" s="30"/>
      <c r="E3932" s="30"/>
      <c r="F3932" s="10"/>
      <c r="G3932" s="10"/>
      <c r="H3932" s="15"/>
      <c r="I3932" s="15"/>
      <c r="J3932" s="15"/>
      <c r="K3932" s="15"/>
      <c r="L3932" s="15"/>
      <c r="M3932" s="15"/>
      <c r="N3932" s="15"/>
      <c r="O3932" s="15"/>
      <c r="P3932" s="15"/>
      <c r="Q3932" s="71"/>
      <c r="R3932" s="84"/>
      <c r="S3932" s="10"/>
      <c r="T3932" s="10"/>
      <c r="U3932" s="10"/>
      <c r="V3932" s="10"/>
      <c r="W3932" s="138"/>
      <c r="Y3932"/>
      <c r="Z3932"/>
      <c r="AA3932"/>
      <c r="AB3932"/>
      <c r="AC3932"/>
      <c r="AD3932"/>
      <c r="AE3932"/>
      <c r="AF3932"/>
      <c r="AG3932"/>
      <c r="AH3932"/>
      <c r="AI3932"/>
      <c r="AJ3932"/>
      <c r="AK3932"/>
      <c r="AL3932"/>
      <c r="AM3932"/>
      <c r="AN3932"/>
      <c r="AO3932"/>
    </row>
    <row r="3933" spans="1:41" ht="15">
      <c r="A3933"/>
      <c r="B3933"/>
      <c r="C3933" s="137"/>
      <c r="D3933" s="30"/>
      <c r="E3933" s="30"/>
      <c r="F3933" s="10"/>
      <c r="G3933" s="10"/>
      <c r="H3933" s="15"/>
      <c r="I3933" s="15"/>
      <c r="J3933" s="15"/>
      <c r="K3933" s="15"/>
      <c r="L3933" s="15"/>
      <c r="M3933" s="15"/>
      <c r="N3933" s="15"/>
      <c r="O3933" s="15"/>
      <c r="P3933" s="15"/>
      <c r="Q3933" s="71"/>
      <c r="R3933" s="84"/>
      <c r="S3933" s="10"/>
      <c r="T3933" s="10"/>
      <c r="U3933" s="10"/>
      <c r="V3933" s="10"/>
      <c r="W3933" s="138"/>
      <c r="Y3933"/>
      <c r="Z3933"/>
      <c r="AA3933"/>
      <c r="AB3933"/>
      <c r="AC3933"/>
      <c r="AD3933"/>
      <c r="AE3933"/>
      <c r="AF3933"/>
      <c r="AG3933"/>
      <c r="AH3933"/>
      <c r="AI3933"/>
      <c r="AJ3933"/>
      <c r="AK3933"/>
      <c r="AL3933"/>
      <c r="AM3933"/>
      <c r="AN3933"/>
      <c r="AO3933"/>
    </row>
    <row r="3934" spans="1:41" ht="15">
      <c r="A3934"/>
      <c r="B3934"/>
      <c r="C3934" s="137"/>
      <c r="D3934" s="30"/>
      <c r="E3934" s="30"/>
      <c r="F3934" s="10"/>
      <c r="G3934" s="10"/>
      <c r="H3934" s="15"/>
      <c r="I3934" s="15"/>
      <c r="J3934" s="15"/>
      <c r="K3934" s="15"/>
      <c r="L3934" s="15"/>
      <c r="M3934" s="15"/>
      <c r="N3934" s="15"/>
      <c r="O3934" s="15"/>
      <c r="P3934" s="15"/>
      <c r="Q3934" s="71"/>
      <c r="R3934" s="84"/>
      <c r="S3934" s="10"/>
      <c r="T3934" s="10"/>
      <c r="U3934" s="10"/>
      <c r="V3934" s="10"/>
      <c r="W3934" s="138"/>
      <c r="Y3934"/>
      <c r="Z3934"/>
      <c r="AA3934"/>
      <c r="AB3934"/>
      <c r="AC3934"/>
      <c r="AD3934"/>
      <c r="AE3934"/>
      <c r="AF3934"/>
      <c r="AG3934"/>
      <c r="AH3934"/>
      <c r="AI3934"/>
      <c r="AJ3934"/>
      <c r="AK3934"/>
      <c r="AL3934"/>
      <c r="AM3934"/>
      <c r="AN3934"/>
      <c r="AO3934"/>
    </row>
    <row r="3935" spans="1:41" ht="15">
      <c r="A3935"/>
      <c r="B3935"/>
      <c r="C3935" s="137"/>
      <c r="D3935" s="30"/>
      <c r="E3935" s="30"/>
      <c r="F3935" s="10"/>
      <c r="G3935" s="10"/>
      <c r="H3935" s="15"/>
      <c r="I3935" s="15"/>
      <c r="J3935" s="15"/>
      <c r="K3935" s="15"/>
      <c r="L3935" s="15"/>
      <c r="M3935" s="15"/>
      <c r="N3935" s="15"/>
      <c r="O3935" s="15"/>
      <c r="P3935" s="15"/>
      <c r="Q3935" s="71"/>
      <c r="R3935" s="84"/>
      <c r="S3935" s="10"/>
      <c r="T3935" s="10"/>
      <c r="U3935" s="10"/>
      <c r="V3935" s="10"/>
      <c r="W3935" s="138"/>
      <c r="Y3935"/>
      <c r="Z3935"/>
      <c r="AA3935"/>
      <c r="AB3935"/>
      <c r="AC3935"/>
      <c r="AD3935"/>
      <c r="AE3935"/>
      <c r="AF3935"/>
      <c r="AG3935"/>
      <c r="AH3935"/>
      <c r="AI3935"/>
      <c r="AJ3935"/>
      <c r="AK3935"/>
      <c r="AL3935"/>
      <c r="AM3935"/>
      <c r="AN3935"/>
      <c r="AO3935"/>
    </row>
    <row r="3936" spans="1:41" ht="15">
      <c r="A3936"/>
      <c r="B3936"/>
      <c r="C3936" s="137"/>
      <c r="D3936" s="30"/>
      <c r="E3936" s="30"/>
      <c r="F3936" s="10"/>
      <c r="G3936" s="10"/>
      <c r="H3936" s="15"/>
      <c r="I3936" s="15"/>
      <c r="J3936" s="15"/>
      <c r="K3936" s="15"/>
      <c r="L3936" s="15"/>
      <c r="M3936" s="15"/>
      <c r="N3936" s="15"/>
      <c r="O3936" s="15"/>
      <c r="P3936" s="15"/>
      <c r="Q3936" s="71"/>
      <c r="R3936" s="84"/>
      <c r="S3936" s="10"/>
      <c r="T3936" s="10"/>
      <c r="U3936" s="10"/>
      <c r="V3936" s="10"/>
      <c r="W3936" s="138"/>
      <c r="Y3936"/>
      <c r="Z3936"/>
      <c r="AA3936"/>
      <c r="AB3936"/>
      <c r="AC3936"/>
      <c r="AD3936"/>
      <c r="AE3936"/>
      <c r="AF3936"/>
      <c r="AG3936"/>
      <c r="AH3936"/>
      <c r="AI3936"/>
      <c r="AJ3936"/>
      <c r="AK3936"/>
      <c r="AL3936"/>
      <c r="AM3936"/>
      <c r="AN3936"/>
      <c r="AO3936"/>
    </row>
    <row r="3937" spans="1:41" ht="15">
      <c r="A3937"/>
      <c r="B3937"/>
      <c r="C3937" s="137"/>
      <c r="D3937" s="30"/>
      <c r="E3937" s="30"/>
      <c r="F3937" s="10"/>
      <c r="G3937" s="10"/>
      <c r="H3937" s="15"/>
      <c r="I3937" s="15"/>
      <c r="J3937" s="15"/>
      <c r="K3937" s="15"/>
      <c r="L3937" s="15"/>
      <c r="M3937" s="15"/>
      <c r="N3937" s="15"/>
      <c r="O3937" s="15"/>
      <c r="P3937" s="15"/>
      <c r="Q3937" s="71"/>
      <c r="R3937" s="84"/>
      <c r="S3937" s="10"/>
      <c r="T3937" s="10"/>
      <c r="U3937" s="10"/>
      <c r="V3937" s="10"/>
      <c r="W3937" s="138"/>
      <c r="Y3937"/>
      <c r="Z3937"/>
      <c r="AA3937"/>
      <c r="AB3937"/>
      <c r="AC3937"/>
      <c r="AD3937"/>
      <c r="AE3937"/>
      <c r="AF3937"/>
      <c r="AG3937"/>
      <c r="AH3937"/>
      <c r="AI3937"/>
      <c r="AJ3937"/>
      <c r="AK3937"/>
      <c r="AL3937"/>
      <c r="AM3937"/>
      <c r="AN3937"/>
      <c r="AO3937"/>
    </row>
    <row r="3938" spans="1:41" ht="15">
      <c r="A3938"/>
      <c r="B3938"/>
      <c r="C3938" s="137"/>
      <c r="D3938" s="30"/>
      <c r="E3938" s="30"/>
      <c r="F3938" s="10"/>
      <c r="G3938" s="10"/>
      <c r="H3938" s="15"/>
      <c r="I3938" s="15"/>
      <c r="J3938" s="15"/>
      <c r="K3938" s="15"/>
      <c r="L3938" s="15"/>
      <c r="M3938" s="15"/>
      <c r="N3938" s="15"/>
      <c r="O3938" s="15"/>
      <c r="P3938" s="15"/>
      <c r="Q3938" s="71"/>
      <c r="R3938" s="84"/>
      <c r="S3938" s="10"/>
      <c r="T3938" s="10"/>
      <c r="U3938" s="10"/>
      <c r="V3938" s="10"/>
      <c r="W3938" s="138"/>
      <c r="Y3938"/>
      <c r="Z3938"/>
      <c r="AA3938"/>
      <c r="AB3938"/>
      <c r="AC3938"/>
      <c r="AD3938"/>
      <c r="AE3938"/>
      <c r="AF3938"/>
      <c r="AG3938"/>
      <c r="AH3938"/>
      <c r="AI3938"/>
      <c r="AJ3938"/>
      <c r="AK3938"/>
      <c r="AL3938"/>
      <c r="AM3938"/>
      <c r="AN3938"/>
      <c r="AO3938"/>
    </row>
    <row r="3939" spans="1:41" ht="15">
      <c r="A3939"/>
      <c r="B3939"/>
      <c r="C3939" s="137"/>
      <c r="D3939" s="30"/>
      <c r="E3939" s="30"/>
      <c r="F3939" s="10"/>
      <c r="G3939" s="10"/>
      <c r="H3939" s="15"/>
      <c r="I3939" s="15"/>
      <c r="J3939" s="15"/>
      <c r="K3939" s="15"/>
      <c r="L3939" s="15"/>
      <c r="M3939" s="15"/>
      <c r="N3939" s="15"/>
      <c r="O3939" s="15"/>
      <c r="P3939" s="15"/>
      <c r="Q3939" s="71"/>
      <c r="R3939" s="84"/>
      <c r="S3939" s="10"/>
      <c r="T3939" s="10"/>
      <c r="U3939" s="10"/>
      <c r="V3939" s="10"/>
      <c r="W3939" s="138"/>
      <c r="Y3939"/>
      <c r="Z3939"/>
      <c r="AA3939"/>
      <c r="AB3939"/>
      <c r="AC3939"/>
      <c r="AD3939"/>
      <c r="AE3939"/>
      <c r="AF3939"/>
      <c r="AG3939"/>
      <c r="AH3939"/>
      <c r="AI3939"/>
      <c r="AJ3939"/>
      <c r="AK3939"/>
      <c r="AL3939"/>
      <c r="AM3939"/>
      <c r="AN3939"/>
      <c r="AO3939"/>
    </row>
    <row r="3940" spans="1:41" ht="15">
      <c r="A3940"/>
      <c r="B3940"/>
      <c r="C3940" s="137"/>
      <c r="D3940" s="30"/>
      <c r="E3940" s="30"/>
      <c r="F3940" s="10"/>
      <c r="G3940" s="10"/>
      <c r="H3940" s="15"/>
      <c r="I3940" s="15"/>
      <c r="J3940" s="15"/>
      <c r="K3940" s="15"/>
      <c r="L3940" s="15"/>
      <c r="M3940" s="15"/>
      <c r="N3940" s="15"/>
      <c r="O3940" s="15"/>
      <c r="P3940" s="15"/>
      <c r="Q3940" s="71"/>
      <c r="R3940" s="84"/>
      <c r="S3940" s="10"/>
      <c r="T3940" s="10"/>
      <c r="U3940" s="10"/>
      <c r="V3940" s="10"/>
      <c r="W3940" s="138"/>
      <c r="Y3940"/>
      <c r="Z3940"/>
      <c r="AA3940"/>
      <c r="AB3940"/>
      <c r="AC3940"/>
      <c r="AD3940"/>
      <c r="AE3940"/>
      <c r="AF3940"/>
      <c r="AG3940"/>
      <c r="AH3940"/>
      <c r="AI3940"/>
      <c r="AJ3940"/>
      <c r="AK3940"/>
      <c r="AL3940"/>
      <c r="AM3940"/>
      <c r="AN3940"/>
      <c r="AO3940"/>
    </row>
    <row r="3941" spans="1:41" ht="15">
      <c r="A3941"/>
      <c r="B3941"/>
      <c r="C3941" s="137"/>
      <c r="D3941" s="30"/>
      <c r="E3941" s="30"/>
      <c r="F3941" s="10"/>
      <c r="G3941" s="10"/>
      <c r="H3941" s="15"/>
      <c r="I3941" s="15"/>
      <c r="J3941" s="15"/>
      <c r="K3941" s="15"/>
      <c r="L3941" s="15"/>
      <c r="M3941" s="15"/>
      <c r="N3941" s="15"/>
      <c r="O3941" s="15"/>
      <c r="P3941" s="15"/>
      <c r="Q3941" s="71"/>
      <c r="R3941" s="84"/>
      <c r="S3941" s="10"/>
      <c r="T3941" s="10"/>
      <c r="U3941" s="10"/>
      <c r="V3941" s="10"/>
      <c r="W3941" s="138"/>
      <c r="Y3941"/>
      <c r="Z3941"/>
      <c r="AA3941"/>
      <c r="AB3941"/>
      <c r="AC3941"/>
      <c r="AD3941"/>
      <c r="AE3941"/>
      <c r="AF3941"/>
      <c r="AG3941"/>
      <c r="AH3941"/>
      <c r="AI3941"/>
      <c r="AJ3941"/>
      <c r="AK3941"/>
      <c r="AL3941"/>
      <c r="AM3941"/>
      <c r="AN3941"/>
      <c r="AO3941"/>
    </row>
    <row r="3942" spans="1:41" ht="15">
      <c r="A3942"/>
      <c r="B3942"/>
      <c r="C3942" s="137"/>
      <c r="D3942" s="30"/>
      <c r="E3942" s="30"/>
      <c r="F3942" s="10"/>
      <c r="G3942" s="10"/>
      <c r="H3942" s="15"/>
      <c r="I3942" s="15"/>
      <c r="J3942" s="15"/>
      <c r="K3942" s="15"/>
      <c r="L3942" s="15"/>
      <c r="M3942" s="15"/>
      <c r="N3942" s="15"/>
      <c r="O3942" s="15"/>
      <c r="P3942" s="15"/>
      <c r="Q3942" s="71"/>
      <c r="R3942" s="84"/>
      <c r="S3942" s="10"/>
      <c r="T3942" s="10"/>
      <c r="U3942" s="10"/>
      <c r="V3942" s="10"/>
      <c r="W3942" s="138"/>
      <c r="Y3942"/>
      <c r="Z3942"/>
      <c r="AA3942"/>
      <c r="AB3942"/>
      <c r="AC3942"/>
      <c r="AD3942"/>
      <c r="AE3942"/>
      <c r="AF3942"/>
      <c r="AG3942"/>
      <c r="AH3942"/>
      <c r="AI3942"/>
      <c r="AJ3942"/>
      <c r="AK3942"/>
      <c r="AL3942"/>
      <c r="AM3942"/>
      <c r="AN3942"/>
      <c r="AO3942"/>
    </row>
    <row r="3943" spans="1:41" ht="15">
      <c r="A3943"/>
      <c r="B3943"/>
      <c r="C3943" s="137"/>
      <c r="D3943" s="30"/>
      <c r="E3943" s="30"/>
      <c r="F3943" s="10"/>
      <c r="G3943" s="10"/>
      <c r="H3943" s="15"/>
      <c r="I3943" s="15"/>
      <c r="J3943" s="15"/>
      <c r="K3943" s="15"/>
      <c r="L3943" s="15"/>
      <c r="M3943" s="15"/>
      <c r="N3943" s="15"/>
      <c r="O3943" s="15"/>
      <c r="P3943" s="15"/>
      <c r="Q3943" s="71"/>
      <c r="R3943" s="84"/>
      <c r="S3943" s="10"/>
      <c r="T3943" s="10"/>
      <c r="U3943" s="10"/>
      <c r="V3943" s="10"/>
      <c r="W3943" s="138"/>
      <c r="Y3943"/>
      <c r="Z3943"/>
      <c r="AA3943"/>
      <c r="AB3943"/>
      <c r="AC3943"/>
      <c r="AD3943"/>
      <c r="AE3943"/>
      <c r="AF3943"/>
      <c r="AG3943"/>
      <c r="AH3943"/>
      <c r="AI3943"/>
      <c r="AJ3943"/>
      <c r="AK3943"/>
      <c r="AL3943"/>
      <c r="AM3943"/>
      <c r="AN3943"/>
      <c r="AO3943"/>
    </row>
    <row r="3944" spans="1:41" ht="15">
      <c r="A3944"/>
      <c r="B3944"/>
      <c r="C3944" s="137"/>
      <c r="D3944" s="30"/>
      <c r="E3944" s="30"/>
      <c r="F3944" s="10"/>
      <c r="G3944" s="10"/>
      <c r="H3944" s="15"/>
      <c r="I3944" s="15"/>
      <c r="J3944" s="15"/>
      <c r="K3944" s="15"/>
      <c r="L3944" s="15"/>
      <c r="M3944" s="15"/>
      <c r="N3944" s="15"/>
      <c r="O3944" s="15"/>
      <c r="P3944" s="15"/>
      <c r="Q3944" s="71"/>
      <c r="R3944" s="84"/>
      <c r="S3944" s="10"/>
      <c r="T3944" s="10"/>
      <c r="U3944" s="10"/>
      <c r="V3944" s="10"/>
      <c r="W3944" s="138"/>
      <c r="Y3944"/>
      <c r="Z3944"/>
      <c r="AA3944"/>
      <c r="AB3944"/>
      <c r="AC3944"/>
      <c r="AD3944"/>
      <c r="AE3944"/>
      <c r="AF3944"/>
      <c r="AG3944"/>
      <c r="AH3944"/>
      <c r="AI3944"/>
      <c r="AJ3944"/>
      <c r="AK3944"/>
      <c r="AL3944"/>
      <c r="AM3944"/>
      <c r="AN3944"/>
      <c r="AO3944"/>
    </row>
    <row r="3945" spans="1:41" ht="15">
      <c r="A3945"/>
      <c r="B3945"/>
      <c r="C3945" s="137"/>
      <c r="D3945" s="30"/>
      <c r="E3945" s="30"/>
      <c r="F3945" s="10"/>
      <c r="G3945" s="10"/>
      <c r="H3945" s="15"/>
      <c r="I3945" s="15"/>
      <c r="J3945" s="15"/>
      <c r="K3945" s="15"/>
      <c r="L3945" s="15"/>
      <c r="M3945" s="15"/>
      <c r="N3945" s="15"/>
      <c r="O3945" s="15"/>
      <c r="P3945" s="15"/>
      <c r="Q3945" s="71"/>
      <c r="R3945" s="84"/>
      <c r="S3945" s="10"/>
      <c r="T3945" s="10"/>
      <c r="U3945" s="10"/>
      <c r="V3945" s="10"/>
      <c r="W3945" s="138"/>
      <c r="Y3945"/>
      <c r="Z3945"/>
      <c r="AA3945"/>
      <c r="AB3945"/>
      <c r="AC3945"/>
      <c r="AD3945"/>
      <c r="AE3945"/>
      <c r="AF3945"/>
      <c r="AG3945"/>
      <c r="AH3945"/>
      <c r="AI3945"/>
      <c r="AJ3945"/>
      <c r="AK3945"/>
      <c r="AL3945"/>
      <c r="AM3945"/>
      <c r="AN3945"/>
      <c r="AO3945"/>
    </row>
    <row r="3946" spans="1:41" ht="15">
      <c r="A3946"/>
      <c r="B3946"/>
      <c r="C3946" s="137"/>
      <c r="D3946" s="30"/>
      <c r="E3946" s="30"/>
      <c r="F3946" s="10"/>
      <c r="G3946" s="10"/>
      <c r="H3946" s="15"/>
      <c r="I3946" s="15"/>
      <c r="J3946" s="15"/>
      <c r="K3946" s="15"/>
      <c r="L3946" s="15"/>
      <c r="M3946" s="15"/>
      <c r="N3946" s="15"/>
      <c r="O3946" s="15"/>
      <c r="P3946" s="15"/>
      <c r="Q3946" s="71"/>
      <c r="R3946" s="84"/>
      <c r="S3946" s="10"/>
      <c r="T3946" s="10"/>
      <c r="U3946" s="10"/>
      <c r="V3946" s="10"/>
      <c r="W3946" s="138"/>
      <c r="Y3946"/>
      <c r="Z3946"/>
      <c r="AA3946"/>
      <c r="AB3946"/>
      <c r="AC3946"/>
      <c r="AD3946"/>
      <c r="AE3946"/>
      <c r="AF3946"/>
      <c r="AG3946"/>
      <c r="AH3946"/>
      <c r="AI3946"/>
      <c r="AJ3946"/>
      <c r="AK3946"/>
      <c r="AL3946"/>
      <c r="AM3946"/>
      <c r="AN3946"/>
      <c r="AO3946"/>
    </row>
    <row r="3947" spans="1:41" ht="15">
      <c r="A3947"/>
      <c r="B3947"/>
      <c r="C3947" s="137"/>
      <c r="D3947" s="30"/>
      <c r="E3947" s="30"/>
      <c r="F3947" s="10"/>
      <c r="G3947" s="10"/>
      <c r="H3947" s="15"/>
      <c r="I3947" s="15"/>
      <c r="J3947" s="15"/>
      <c r="K3947" s="15"/>
      <c r="L3947" s="15"/>
      <c r="M3947" s="15"/>
      <c r="N3947" s="15"/>
      <c r="O3947" s="15"/>
      <c r="P3947" s="15"/>
      <c r="Q3947" s="71"/>
      <c r="R3947" s="84"/>
      <c r="S3947" s="10"/>
      <c r="T3947" s="10"/>
      <c r="U3947" s="10"/>
      <c r="V3947" s="10"/>
      <c r="W3947" s="138"/>
      <c r="Y3947"/>
      <c r="Z3947"/>
      <c r="AA3947"/>
      <c r="AB3947"/>
      <c r="AC3947"/>
      <c r="AD3947"/>
      <c r="AE3947"/>
      <c r="AF3947"/>
      <c r="AG3947"/>
      <c r="AH3947"/>
      <c r="AI3947"/>
      <c r="AJ3947"/>
      <c r="AK3947"/>
      <c r="AL3947"/>
      <c r="AM3947"/>
      <c r="AN3947"/>
      <c r="AO3947"/>
    </row>
    <row r="3948" spans="1:41" ht="15">
      <c r="A3948"/>
      <c r="B3948"/>
      <c r="C3948" s="137"/>
      <c r="D3948" s="30"/>
      <c r="E3948" s="30"/>
      <c r="F3948" s="10"/>
      <c r="G3948" s="10"/>
      <c r="H3948" s="15"/>
      <c r="I3948" s="15"/>
      <c r="J3948" s="15"/>
      <c r="K3948" s="15"/>
      <c r="L3948" s="15"/>
      <c r="M3948" s="15"/>
      <c r="N3948" s="15"/>
      <c r="O3948" s="15"/>
      <c r="P3948" s="15"/>
      <c r="Q3948" s="71"/>
      <c r="R3948" s="84"/>
      <c r="S3948" s="10"/>
      <c r="T3948" s="10"/>
      <c r="U3948" s="10"/>
      <c r="V3948" s="10"/>
      <c r="W3948" s="138"/>
      <c r="Y3948"/>
      <c r="Z3948"/>
      <c r="AA3948"/>
      <c r="AB3948"/>
      <c r="AC3948"/>
      <c r="AD3948"/>
      <c r="AE3948"/>
      <c r="AF3948"/>
      <c r="AG3948"/>
      <c r="AH3948"/>
      <c r="AI3948"/>
      <c r="AJ3948"/>
      <c r="AK3948"/>
      <c r="AL3948"/>
      <c r="AM3948"/>
      <c r="AN3948"/>
      <c r="AO3948"/>
    </row>
    <row r="3949" spans="1:41" ht="15">
      <c r="A3949"/>
      <c r="B3949"/>
      <c r="C3949" s="137"/>
      <c r="D3949" s="30"/>
      <c r="E3949" s="30"/>
      <c r="F3949" s="10"/>
      <c r="G3949" s="10"/>
      <c r="H3949" s="15"/>
      <c r="I3949" s="15"/>
      <c r="J3949" s="15"/>
      <c r="K3949" s="15"/>
      <c r="L3949" s="15"/>
      <c r="M3949" s="15"/>
      <c r="N3949" s="15"/>
      <c r="O3949" s="15"/>
      <c r="P3949" s="15"/>
      <c r="Q3949" s="71"/>
      <c r="R3949" s="84"/>
      <c r="S3949" s="10"/>
      <c r="T3949" s="10"/>
      <c r="U3949" s="10"/>
      <c r="V3949" s="10"/>
      <c r="W3949" s="138"/>
      <c r="Y3949"/>
      <c r="Z3949"/>
      <c r="AA3949"/>
      <c r="AB3949"/>
      <c r="AC3949"/>
      <c r="AD3949"/>
      <c r="AE3949"/>
      <c r="AF3949"/>
      <c r="AG3949"/>
      <c r="AH3949"/>
      <c r="AI3949"/>
      <c r="AJ3949"/>
      <c r="AK3949"/>
      <c r="AL3949"/>
      <c r="AM3949"/>
      <c r="AN3949"/>
      <c r="AO3949"/>
    </row>
    <row r="3950" spans="1:41" ht="15">
      <c r="A3950"/>
      <c r="B3950"/>
      <c r="C3950" s="137"/>
      <c r="D3950" s="30"/>
      <c r="E3950" s="30"/>
      <c r="F3950" s="10"/>
      <c r="G3950" s="10"/>
      <c r="H3950" s="15"/>
      <c r="I3950" s="15"/>
      <c r="J3950" s="15"/>
      <c r="K3950" s="15"/>
      <c r="L3950" s="15"/>
      <c r="M3950" s="15"/>
      <c r="N3950" s="15"/>
      <c r="O3950" s="15"/>
      <c r="P3950" s="15"/>
      <c r="Q3950" s="71"/>
      <c r="R3950" s="84"/>
      <c r="S3950" s="10"/>
      <c r="T3950" s="10"/>
      <c r="U3950" s="10"/>
      <c r="V3950" s="10"/>
      <c r="W3950" s="138"/>
      <c r="Y3950"/>
      <c r="Z3950"/>
      <c r="AA3950"/>
      <c r="AB3950"/>
      <c r="AC3950"/>
      <c r="AD3950"/>
      <c r="AE3950"/>
      <c r="AF3950"/>
      <c r="AG3950"/>
      <c r="AH3950"/>
      <c r="AI3950"/>
      <c r="AJ3950"/>
      <c r="AK3950"/>
      <c r="AL3950"/>
      <c r="AM3950"/>
      <c r="AN3950"/>
      <c r="AO3950"/>
    </row>
    <row r="3951" spans="1:41" ht="15">
      <c r="A3951"/>
      <c r="B3951"/>
      <c r="C3951" s="137"/>
      <c r="D3951" s="30"/>
      <c r="E3951" s="30"/>
      <c r="F3951" s="10"/>
      <c r="G3951" s="10"/>
      <c r="H3951" s="15"/>
      <c r="I3951" s="15"/>
      <c r="J3951" s="15"/>
      <c r="K3951" s="15"/>
      <c r="L3951" s="15"/>
      <c r="M3951" s="15"/>
      <c r="N3951" s="15"/>
      <c r="O3951" s="15"/>
      <c r="P3951" s="15"/>
      <c r="Q3951" s="71"/>
      <c r="R3951" s="84"/>
      <c r="S3951" s="10"/>
      <c r="T3951" s="10"/>
      <c r="U3951" s="10"/>
      <c r="V3951" s="10"/>
      <c r="W3951" s="138"/>
      <c r="Y3951"/>
      <c r="Z3951"/>
      <c r="AA3951"/>
      <c r="AB3951"/>
      <c r="AC3951"/>
      <c r="AD3951"/>
      <c r="AE3951"/>
      <c r="AF3951"/>
      <c r="AG3951"/>
      <c r="AH3951"/>
      <c r="AI3951"/>
      <c r="AJ3951"/>
      <c r="AK3951"/>
      <c r="AL3951"/>
      <c r="AM3951"/>
      <c r="AN3951"/>
      <c r="AO3951"/>
    </row>
    <row r="3952" spans="1:41" ht="15">
      <c r="A3952"/>
      <c r="B3952"/>
      <c r="C3952" s="137"/>
      <c r="D3952" s="30"/>
      <c r="E3952" s="30"/>
      <c r="F3952" s="10"/>
      <c r="G3952" s="10"/>
      <c r="H3952" s="15"/>
      <c r="I3952" s="15"/>
      <c r="J3952" s="15"/>
      <c r="K3952" s="15"/>
      <c r="L3952" s="15"/>
      <c r="M3952" s="15"/>
      <c r="N3952" s="15"/>
      <c r="O3952" s="15"/>
      <c r="P3952" s="15"/>
      <c r="Q3952" s="71"/>
      <c r="R3952" s="84"/>
      <c r="S3952" s="10"/>
      <c r="T3952" s="10"/>
      <c r="U3952" s="10"/>
      <c r="V3952" s="10"/>
      <c r="W3952" s="138"/>
      <c r="Y3952"/>
      <c r="Z3952"/>
      <c r="AA3952"/>
      <c r="AB3952"/>
      <c r="AC3952"/>
      <c r="AD3952"/>
      <c r="AE3952"/>
      <c r="AF3952"/>
      <c r="AG3952"/>
      <c r="AH3952"/>
      <c r="AI3952"/>
      <c r="AJ3952"/>
      <c r="AK3952"/>
      <c r="AL3952"/>
      <c r="AM3952"/>
      <c r="AN3952"/>
      <c r="AO3952"/>
    </row>
    <row r="3953" spans="1:41" ht="15">
      <c r="A3953"/>
      <c r="B3953"/>
      <c r="C3953" s="137"/>
      <c r="D3953" s="30"/>
      <c r="E3953" s="30"/>
      <c r="F3953" s="10"/>
      <c r="G3953" s="10"/>
      <c r="H3953" s="15"/>
      <c r="I3953" s="15"/>
      <c r="J3953" s="15"/>
      <c r="K3953" s="15"/>
      <c r="L3953" s="15"/>
      <c r="M3953" s="15"/>
      <c r="N3953" s="15"/>
      <c r="O3953" s="15"/>
      <c r="P3953" s="15"/>
      <c r="Q3953" s="71"/>
      <c r="R3953" s="84"/>
      <c r="S3953" s="10"/>
      <c r="T3953" s="10"/>
      <c r="U3953" s="10"/>
      <c r="V3953" s="10"/>
      <c r="W3953" s="138"/>
      <c r="Y3953"/>
      <c r="Z3953"/>
      <c r="AA3953"/>
      <c r="AB3953"/>
      <c r="AC3953"/>
      <c r="AD3953"/>
      <c r="AE3953"/>
      <c r="AF3953"/>
      <c r="AG3953"/>
      <c r="AH3953"/>
      <c r="AI3953"/>
      <c r="AJ3953"/>
      <c r="AK3953"/>
      <c r="AL3953"/>
      <c r="AM3953"/>
      <c r="AN3953"/>
      <c r="AO3953"/>
    </row>
    <row r="3954" spans="1:41" ht="15">
      <c r="A3954"/>
      <c r="B3954"/>
      <c r="C3954" s="137"/>
      <c r="D3954" s="30"/>
      <c r="E3954" s="30"/>
      <c r="F3954" s="10"/>
      <c r="G3954" s="10"/>
      <c r="H3954" s="15"/>
      <c r="I3954" s="15"/>
      <c r="J3954" s="15"/>
      <c r="K3954" s="15"/>
      <c r="L3954" s="15"/>
      <c r="M3954" s="15"/>
      <c r="N3954" s="15"/>
      <c r="O3954" s="15"/>
      <c r="P3954" s="15"/>
      <c r="Q3954" s="71"/>
      <c r="R3954" s="84"/>
      <c r="S3954" s="10"/>
      <c r="T3954" s="10"/>
      <c r="U3954" s="10"/>
      <c r="V3954" s="10"/>
      <c r="W3954" s="138"/>
      <c r="Y3954"/>
      <c r="Z3954"/>
      <c r="AA3954"/>
      <c r="AB3954"/>
      <c r="AC3954"/>
      <c r="AD3954"/>
      <c r="AE3954"/>
      <c r="AF3954"/>
      <c r="AG3954"/>
      <c r="AH3954"/>
      <c r="AI3954"/>
      <c r="AJ3954"/>
      <c r="AK3954"/>
      <c r="AL3954"/>
      <c r="AM3954"/>
      <c r="AN3954"/>
      <c r="AO3954"/>
    </row>
    <row r="3955" spans="1:41" ht="15">
      <c r="A3955"/>
      <c r="B3955"/>
      <c r="C3955" s="137"/>
      <c r="D3955" s="30"/>
      <c r="E3955" s="30"/>
      <c r="F3955" s="10"/>
      <c r="G3955" s="10"/>
      <c r="H3955" s="15"/>
      <c r="I3955" s="15"/>
      <c r="J3955" s="15"/>
      <c r="K3955" s="15"/>
      <c r="L3955" s="15"/>
      <c r="M3955" s="15"/>
      <c r="N3955" s="15"/>
      <c r="O3955" s="15"/>
      <c r="P3955" s="15"/>
      <c r="Q3955" s="71"/>
      <c r="R3955" s="84"/>
      <c r="S3955" s="10"/>
      <c r="T3955" s="10"/>
      <c r="U3955" s="10"/>
      <c r="V3955" s="10"/>
      <c r="W3955" s="138"/>
      <c r="Y3955"/>
      <c r="Z3955"/>
      <c r="AA3955"/>
      <c r="AB3955"/>
      <c r="AC3955"/>
      <c r="AD3955"/>
      <c r="AE3955"/>
      <c r="AF3955"/>
      <c r="AG3955"/>
      <c r="AH3955"/>
      <c r="AI3955"/>
      <c r="AJ3955"/>
      <c r="AK3955"/>
      <c r="AL3955"/>
      <c r="AM3955"/>
      <c r="AN3955"/>
      <c r="AO3955"/>
    </row>
    <row r="3956" spans="1:41" ht="15">
      <c r="A3956"/>
      <c r="B3956"/>
      <c r="C3956" s="137"/>
      <c r="D3956" s="30"/>
      <c r="E3956" s="30"/>
      <c r="F3956" s="10"/>
      <c r="G3956" s="10"/>
      <c r="H3956" s="15"/>
      <c r="I3956" s="15"/>
      <c r="J3956" s="15"/>
      <c r="K3956" s="15"/>
      <c r="L3956" s="15"/>
      <c r="M3956" s="15"/>
      <c r="N3956" s="15"/>
      <c r="O3956" s="15"/>
      <c r="P3956" s="15"/>
      <c r="Q3956" s="71"/>
      <c r="R3956" s="84"/>
      <c r="S3956" s="10"/>
      <c r="T3956" s="10"/>
      <c r="U3956" s="10"/>
      <c r="V3956" s="10"/>
      <c r="W3956" s="138"/>
      <c r="Y3956"/>
      <c r="Z3956"/>
      <c r="AA3956"/>
      <c r="AB3956"/>
      <c r="AC3956"/>
      <c r="AD3956"/>
      <c r="AE3956"/>
      <c r="AF3956"/>
      <c r="AG3956"/>
      <c r="AH3956"/>
      <c r="AI3956"/>
      <c r="AJ3956"/>
      <c r="AK3956"/>
      <c r="AL3956"/>
      <c r="AM3956"/>
      <c r="AN3956"/>
      <c r="AO3956"/>
    </row>
    <row r="3957" spans="1:41" ht="15">
      <c r="A3957"/>
      <c r="B3957"/>
      <c r="C3957" s="137"/>
      <c r="D3957" s="30"/>
      <c r="E3957" s="30"/>
      <c r="F3957" s="10"/>
      <c r="G3957" s="10"/>
      <c r="H3957" s="15"/>
      <c r="I3957" s="15"/>
      <c r="J3957" s="15"/>
      <c r="K3957" s="15"/>
      <c r="L3957" s="15"/>
      <c r="M3957" s="15"/>
      <c r="N3957" s="15"/>
      <c r="O3957" s="15"/>
      <c r="P3957" s="15"/>
      <c r="Q3957" s="71"/>
      <c r="R3957" s="84"/>
      <c r="S3957" s="10"/>
      <c r="T3957" s="10"/>
      <c r="U3957" s="10"/>
      <c r="V3957" s="10"/>
      <c r="W3957" s="138"/>
      <c r="Y3957"/>
      <c r="Z3957"/>
      <c r="AA3957"/>
      <c r="AB3957"/>
      <c r="AC3957"/>
      <c r="AD3957"/>
      <c r="AE3957"/>
      <c r="AF3957"/>
      <c r="AG3957"/>
      <c r="AH3957"/>
      <c r="AI3957"/>
      <c r="AJ3957"/>
      <c r="AK3957"/>
      <c r="AL3957"/>
      <c r="AM3957"/>
      <c r="AN3957"/>
      <c r="AO3957"/>
    </row>
    <row r="3958" spans="1:41" ht="15">
      <c r="A3958"/>
      <c r="B3958"/>
      <c r="C3958" s="137"/>
      <c r="D3958" s="30"/>
      <c r="E3958" s="30"/>
      <c r="F3958" s="10"/>
      <c r="G3958" s="10"/>
      <c r="H3958" s="15"/>
      <c r="I3958" s="15"/>
      <c r="J3958" s="15"/>
      <c r="K3958" s="15"/>
      <c r="L3958" s="15"/>
      <c r="M3958" s="15"/>
      <c r="N3958" s="15"/>
      <c r="O3958" s="15"/>
      <c r="P3958" s="15"/>
      <c r="Q3958" s="71"/>
      <c r="R3958" s="84"/>
      <c r="S3958" s="10"/>
      <c r="T3958" s="10"/>
      <c r="U3958" s="10"/>
      <c r="V3958" s="10"/>
      <c r="W3958" s="138"/>
      <c r="Y3958"/>
      <c r="Z3958"/>
      <c r="AA3958"/>
      <c r="AB3958"/>
      <c r="AC3958"/>
      <c r="AD3958"/>
      <c r="AE3958"/>
      <c r="AF3958"/>
      <c r="AG3958"/>
      <c r="AH3958"/>
      <c r="AI3958"/>
      <c r="AJ3958"/>
      <c r="AK3958"/>
      <c r="AL3958"/>
      <c r="AM3958"/>
      <c r="AN3958"/>
      <c r="AO3958"/>
    </row>
    <row r="3959" spans="1:41" ht="15">
      <c r="A3959"/>
      <c r="B3959"/>
      <c r="C3959" s="137"/>
      <c r="D3959" s="30"/>
      <c r="E3959" s="30"/>
      <c r="F3959" s="10"/>
      <c r="G3959" s="10"/>
      <c r="H3959" s="15"/>
      <c r="I3959" s="15"/>
      <c r="J3959" s="15"/>
      <c r="K3959" s="15"/>
      <c r="L3959" s="15"/>
      <c r="M3959" s="15"/>
      <c r="N3959" s="15"/>
      <c r="O3959" s="15"/>
      <c r="P3959" s="15"/>
      <c r="Q3959" s="71"/>
      <c r="R3959" s="84"/>
      <c r="S3959" s="10"/>
      <c r="T3959" s="10"/>
      <c r="U3959" s="10"/>
      <c r="V3959" s="10"/>
      <c r="W3959" s="138"/>
      <c r="Y3959"/>
      <c r="Z3959"/>
      <c r="AA3959"/>
      <c r="AB3959"/>
      <c r="AC3959"/>
      <c r="AD3959"/>
      <c r="AE3959"/>
      <c r="AF3959"/>
      <c r="AG3959"/>
      <c r="AH3959"/>
      <c r="AI3959"/>
      <c r="AJ3959"/>
      <c r="AK3959"/>
      <c r="AL3959"/>
      <c r="AM3959"/>
      <c r="AN3959"/>
      <c r="AO3959"/>
    </row>
    <row r="3960" spans="1:41" ht="15">
      <c r="A3960"/>
      <c r="B3960"/>
      <c r="C3960" s="137"/>
      <c r="D3960" s="30"/>
      <c r="E3960" s="30"/>
      <c r="F3960" s="10"/>
      <c r="G3960" s="10"/>
      <c r="H3960" s="15"/>
      <c r="I3960" s="15"/>
      <c r="J3960" s="15"/>
      <c r="K3960" s="15"/>
      <c r="L3960" s="15"/>
      <c r="M3960" s="15"/>
      <c r="N3960" s="15"/>
      <c r="O3960" s="15"/>
      <c r="P3960" s="15"/>
      <c r="Q3960" s="71"/>
      <c r="R3960" s="84"/>
      <c r="S3960" s="10"/>
      <c r="T3960" s="10"/>
      <c r="U3960" s="10"/>
      <c r="V3960" s="10"/>
      <c r="W3960" s="138"/>
      <c r="Y3960"/>
      <c r="Z3960"/>
      <c r="AA3960"/>
      <c r="AB3960"/>
      <c r="AC3960"/>
      <c r="AD3960"/>
      <c r="AE3960"/>
      <c r="AF3960"/>
      <c r="AG3960"/>
      <c r="AH3960"/>
      <c r="AI3960"/>
      <c r="AJ3960"/>
      <c r="AK3960"/>
      <c r="AL3960"/>
      <c r="AM3960"/>
      <c r="AN3960"/>
      <c r="AO3960"/>
    </row>
    <row r="3961" spans="1:41" ht="15">
      <c r="A3961"/>
      <c r="B3961"/>
      <c r="C3961" s="137"/>
      <c r="D3961" s="30"/>
      <c r="E3961" s="30"/>
      <c r="F3961" s="10"/>
      <c r="G3961" s="10"/>
      <c r="H3961" s="15"/>
      <c r="I3961" s="15"/>
      <c r="J3961" s="15"/>
      <c r="K3961" s="15"/>
      <c r="L3961" s="15"/>
      <c r="M3961" s="15"/>
      <c r="N3961" s="15"/>
      <c r="O3961" s="15"/>
      <c r="P3961" s="15"/>
      <c r="Q3961" s="71"/>
      <c r="R3961" s="84"/>
      <c r="S3961" s="10"/>
      <c r="T3961" s="10"/>
      <c r="U3961" s="10"/>
      <c r="V3961" s="10"/>
      <c r="W3961" s="138"/>
      <c r="Y3961"/>
      <c r="Z3961"/>
      <c r="AA3961"/>
      <c r="AB3961"/>
      <c r="AC3961"/>
      <c r="AD3961"/>
      <c r="AE3961"/>
      <c r="AF3961"/>
      <c r="AG3961"/>
      <c r="AH3961"/>
      <c r="AI3961"/>
      <c r="AJ3961"/>
      <c r="AK3961"/>
      <c r="AL3961"/>
      <c r="AM3961"/>
      <c r="AN3961"/>
      <c r="AO3961"/>
    </row>
    <row r="3962" spans="1:41" ht="15">
      <c r="A3962"/>
      <c r="B3962"/>
      <c r="C3962" s="137"/>
      <c r="D3962" s="30"/>
      <c r="E3962" s="30"/>
      <c r="F3962" s="10"/>
      <c r="G3962" s="10"/>
      <c r="H3962" s="15"/>
      <c r="I3962" s="15"/>
      <c r="J3962" s="15"/>
      <c r="K3962" s="15"/>
      <c r="L3962" s="15"/>
      <c r="M3962" s="15"/>
      <c r="N3962" s="15"/>
      <c r="O3962" s="15"/>
      <c r="P3962" s="15"/>
      <c r="Q3962" s="71"/>
      <c r="R3962" s="84"/>
      <c r="S3962" s="10"/>
      <c r="T3962" s="10"/>
      <c r="U3962" s="10"/>
      <c r="V3962" s="10"/>
      <c r="W3962" s="138"/>
      <c r="Y3962"/>
      <c r="Z3962"/>
      <c r="AA3962"/>
      <c r="AB3962"/>
      <c r="AC3962"/>
      <c r="AD3962"/>
      <c r="AE3962"/>
      <c r="AF3962"/>
      <c r="AG3962"/>
      <c r="AH3962"/>
      <c r="AI3962"/>
      <c r="AJ3962"/>
      <c r="AK3962"/>
      <c r="AL3962"/>
      <c r="AM3962"/>
      <c r="AN3962"/>
      <c r="AO3962"/>
    </row>
    <row r="3963" spans="1:41" ht="15">
      <c r="A3963"/>
      <c r="B3963"/>
      <c r="C3963" s="137"/>
      <c r="D3963" s="30"/>
      <c r="E3963" s="30"/>
      <c r="F3963" s="10"/>
      <c r="G3963" s="10"/>
      <c r="H3963" s="15"/>
      <c r="I3963" s="15"/>
      <c r="J3963" s="15"/>
      <c r="K3963" s="15"/>
      <c r="L3963" s="15"/>
      <c r="M3963" s="15"/>
      <c r="N3963" s="15"/>
      <c r="O3963" s="15"/>
      <c r="P3963" s="15"/>
      <c r="Q3963" s="71"/>
      <c r="R3963" s="84"/>
      <c r="S3963" s="10"/>
      <c r="T3963" s="10"/>
      <c r="U3963" s="10"/>
      <c r="V3963" s="10"/>
      <c r="W3963" s="138"/>
      <c r="Y3963"/>
      <c r="Z3963"/>
      <c r="AA3963"/>
      <c r="AB3963"/>
      <c r="AC3963"/>
      <c r="AD3963"/>
      <c r="AE3963"/>
      <c r="AF3963"/>
      <c r="AG3963"/>
      <c r="AH3963"/>
      <c r="AI3963"/>
      <c r="AJ3963"/>
      <c r="AK3963"/>
      <c r="AL3963"/>
      <c r="AM3963"/>
      <c r="AN3963"/>
      <c r="AO3963"/>
    </row>
    <row r="3964" spans="1:41" ht="15">
      <c r="A3964"/>
      <c r="B3964"/>
      <c r="C3964" s="137"/>
      <c r="D3964" s="30"/>
      <c r="E3964" s="30"/>
      <c r="F3964" s="10"/>
      <c r="G3964" s="10"/>
      <c r="H3964" s="15"/>
      <c r="I3964" s="15"/>
      <c r="J3964" s="15"/>
      <c r="K3964" s="15"/>
      <c r="L3964" s="15"/>
      <c r="M3964" s="15"/>
      <c r="N3964" s="15"/>
      <c r="O3964" s="15"/>
      <c r="P3964" s="15"/>
      <c r="Q3964" s="71"/>
      <c r="R3964" s="84"/>
      <c r="S3964" s="10"/>
      <c r="T3964" s="10"/>
      <c r="U3964" s="10"/>
      <c r="V3964" s="10"/>
      <c r="W3964" s="138"/>
      <c r="Y3964"/>
      <c r="Z3964"/>
      <c r="AA3964"/>
      <c r="AB3964"/>
      <c r="AC3964"/>
      <c r="AD3964"/>
      <c r="AE3964"/>
      <c r="AF3964"/>
      <c r="AG3964"/>
      <c r="AH3964"/>
      <c r="AI3964"/>
      <c r="AJ3964"/>
      <c r="AK3964"/>
      <c r="AL3964"/>
      <c r="AM3964"/>
      <c r="AN3964"/>
      <c r="AO3964"/>
    </row>
    <row r="3965" spans="1:41" ht="15">
      <c r="A3965"/>
      <c r="B3965"/>
      <c r="C3965" s="137"/>
      <c r="D3965" s="30"/>
      <c r="E3965" s="30"/>
      <c r="F3965" s="10"/>
      <c r="G3965" s="10"/>
      <c r="H3965" s="15"/>
      <c r="I3965" s="15"/>
      <c r="J3965" s="15"/>
      <c r="K3965" s="15"/>
      <c r="L3965" s="15"/>
      <c r="M3965" s="15"/>
      <c r="N3965" s="15"/>
      <c r="O3965" s="15"/>
      <c r="P3965" s="15"/>
      <c r="Q3965" s="71"/>
      <c r="R3965" s="84"/>
      <c r="S3965" s="10"/>
      <c r="T3965" s="10"/>
      <c r="U3965" s="10"/>
      <c r="V3965" s="10"/>
      <c r="W3965" s="138"/>
      <c r="Y3965"/>
      <c r="Z3965"/>
      <c r="AA3965"/>
      <c r="AB3965"/>
      <c r="AC3965"/>
      <c r="AD3965"/>
      <c r="AE3965"/>
      <c r="AF3965"/>
      <c r="AG3965"/>
      <c r="AH3965"/>
      <c r="AI3965"/>
      <c r="AJ3965"/>
      <c r="AK3965"/>
      <c r="AL3965"/>
      <c r="AM3965"/>
      <c r="AN3965"/>
      <c r="AO3965"/>
    </row>
    <row r="3966" spans="1:41" ht="15">
      <c r="A3966"/>
      <c r="B3966"/>
      <c r="C3966" s="137"/>
      <c r="D3966" s="30"/>
      <c r="E3966" s="30"/>
      <c r="F3966" s="10"/>
      <c r="G3966" s="10"/>
      <c r="H3966" s="15"/>
      <c r="I3966" s="15"/>
      <c r="J3966" s="15"/>
      <c r="K3966" s="15"/>
      <c r="L3966" s="15"/>
      <c r="M3966" s="15"/>
      <c r="N3966" s="15"/>
      <c r="O3966" s="15"/>
      <c r="P3966" s="15"/>
      <c r="Q3966" s="71"/>
      <c r="R3966" s="84"/>
      <c r="S3966" s="10"/>
      <c r="T3966" s="10"/>
      <c r="U3966" s="10"/>
      <c r="V3966" s="10"/>
      <c r="W3966" s="138"/>
      <c r="Y3966"/>
      <c r="Z3966"/>
      <c r="AA3966"/>
      <c r="AB3966"/>
      <c r="AC3966"/>
      <c r="AD3966"/>
      <c r="AE3966"/>
      <c r="AF3966"/>
      <c r="AG3966"/>
      <c r="AH3966"/>
      <c r="AI3966"/>
      <c r="AJ3966"/>
      <c r="AK3966"/>
      <c r="AL3966"/>
      <c r="AM3966"/>
      <c r="AN3966"/>
      <c r="AO3966"/>
    </row>
    <row r="3967" spans="1:41" ht="15">
      <c r="A3967"/>
      <c r="B3967"/>
      <c r="C3967" s="137"/>
      <c r="D3967" s="30"/>
      <c r="E3967" s="30"/>
      <c r="F3967" s="10"/>
      <c r="G3967" s="10"/>
      <c r="H3967" s="15"/>
      <c r="I3967" s="15"/>
      <c r="J3967" s="15"/>
      <c r="K3967" s="15"/>
      <c r="L3967" s="15"/>
      <c r="M3967" s="15"/>
      <c r="N3967" s="15"/>
      <c r="O3967" s="15"/>
      <c r="P3967" s="15"/>
      <c r="Q3967" s="71"/>
      <c r="R3967" s="84"/>
      <c r="S3967" s="10"/>
      <c r="T3967" s="10"/>
      <c r="U3967" s="10"/>
      <c r="V3967" s="10"/>
      <c r="W3967" s="138"/>
      <c r="Y3967"/>
      <c r="Z3967"/>
      <c r="AA3967"/>
      <c r="AB3967"/>
      <c r="AC3967"/>
      <c r="AD3967"/>
      <c r="AE3967"/>
      <c r="AF3967"/>
      <c r="AG3967"/>
      <c r="AH3967"/>
      <c r="AI3967"/>
      <c r="AJ3967"/>
      <c r="AK3967"/>
      <c r="AL3967"/>
      <c r="AM3967"/>
      <c r="AN3967"/>
      <c r="AO3967"/>
    </row>
    <row r="3968" spans="1:41" ht="15">
      <c r="A3968"/>
      <c r="B3968"/>
      <c r="C3968" s="137"/>
      <c r="D3968" s="30"/>
      <c r="E3968" s="30"/>
      <c r="F3968" s="10"/>
      <c r="G3968" s="10"/>
      <c r="H3968" s="15"/>
      <c r="I3968" s="15"/>
      <c r="J3968" s="15"/>
      <c r="K3968" s="15"/>
      <c r="L3968" s="15"/>
      <c r="M3968" s="15"/>
      <c r="N3968" s="15"/>
      <c r="O3968" s="15"/>
      <c r="P3968" s="15"/>
      <c r="Q3968" s="71"/>
      <c r="R3968" s="84"/>
      <c r="S3968" s="10"/>
      <c r="T3968" s="10"/>
      <c r="U3968" s="10"/>
      <c r="V3968" s="10"/>
      <c r="W3968" s="138"/>
      <c r="Y3968"/>
      <c r="Z3968"/>
      <c r="AA3968"/>
      <c r="AB3968"/>
      <c r="AC3968"/>
      <c r="AD3968"/>
      <c r="AE3968"/>
      <c r="AF3968"/>
      <c r="AG3968"/>
      <c r="AH3968"/>
      <c r="AI3968"/>
      <c r="AJ3968"/>
      <c r="AK3968"/>
      <c r="AL3968"/>
      <c r="AM3968"/>
      <c r="AN3968"/>
      <c r="AO3968"/>
    </row>
    <row r="3969" spans="1:41" ht="15">
      <c r="A3969"/>
      <c r="B3969"/>
      <c r="C3969" s="137"/>
      <c r="D3969" s="30"/>
      <c r="E3969" s="30"/>
      <c r="F3969" s="10"/>
      <c r="G3969" s="10"/>
      <c r="H3969" s="15"/>
      <c r="I3969" s="15"/>
      <c r="J3969" s="15"/>
      <c r="K3969" s="15"/>
      <c r="L3969" s="15"/>
      <c r="M3969" s="15"/>
      <c r="N3969" s="15"/>
      <c r="O3969" s="15"/>
      <c r="P3969" s="15"/>
      <c r="Q3969" s="71"/>
      <c r="R3969" s="84"/>
      <c r="S3969" s="10"/>
      <c r="T3969" s="10"/>
      <c r="U3969" s="10"/>
      <c r="V3969" s="10"/>
      <c r="W3969" s="138"/>
      <c r="Y3969"/>
      <c r="Z3969"/>
      <c r="AA3969"/>
      <c r="AB3969"/>
      <c r="AC3969"/>
      <c r="AD3969"/>
      <c r="AE3969"/>
      <c r="AF3969"/>
      <c r="AG3969"/>
      <c r="AH3969"/>
      <c r="AI3969"/>
      <c r="AJ3969"/>
      <c r="AK3969"/>
      <c r="AL3969"/>
      <c r="AM3969"/>
      <c r="AN3969"/>
      <c r="AO3969"/>
    </row>
    <row r="3970" spans="1:41" ht="15">
      <c r="A3970"/>
      <c r="B3970"/>
      <c r="C3970" s="137"/>
      <c r="D3970" s="30"/>
      <c r="E3970" s="30"/>
      <c r="F3970" s="10"/>
      <c r="G3970" s="10"/>
      <c r="H3970" s="15"/>
      <c r="I3970" s="15"/>
      <c r="J3970" s="15"/>
      <c r="K3970" s="15"/>
      <c r="L3970" s="15"/>
      <c r="M3970" s="15"/>
      <c r="N3970" s="15"/>
      <c r="O3970" s="15"/>
      <c r="P3970" s="15"/>
      <c r="Q3970" s="71"/>
      <c r="R3970" s="84"/>
      <c r="S3970" s="10"/>
      <c r="T3970" s="10"/>
      <c r="U3970" s="10"/>
      <c r="V3970" s="10"/>
      <c r="W3970" s="138"/>
      <c r="Y3970"/>
      <c r="Z3970"/>
      <c r="AA3970"/>
      <c r="AB3970"/>
      <c r="AC3970"/>
      <c r="AD3970"/>
      <c r="AE3970"/>
      <c r="AF3970"/>
      <c r="AG3970"/>
      <c r="AH3970"/>
      <c r="AI3970"/>
      <c r="AJ3970"/>
      <c r="AK3970"/>
      <c r="AL3970"/>
      <c r="AM3970"/>
      <c r="AN3970"/>
      <c r="AO3970"/>
    </row>
    <row r="3971" spans="1:41" ht="15">
      <c r="A3971"/>
      <c r="B3971"/>
      <c r="C3971" s="137"/>
      <c r="D3971" s="30"/>
      <c r="E3971" s="30"/>
      <c r="F3971" s="10"/>
      <c r="G3971" s="10"/>
      <c r="H3971" s="15"/>
      <c r="I3971" s="15"/>
      <c r="J3971" s="15"/>
      <c r="K3971" s="15"/>
      <c r="L3971" s="15"/>
      <c r="M3971" s="15"/>
      <c r="N3971" s="15"/>
      <c r="O3971" s="15"/>
      <c r="P3971" s="15"/>
      <c r="Q3971" s="71"/>
      <c r="R3971" s="84"/>
      <c r="S3971" s="10"/>
      <c r="T3971" s="10"/>
      <c r="U3971" s="10"/>
      <c r="V3971" s="10"/>
      <c r="W3971" s="138"/>
      <c r="Y3971"/>
      <c r="Z3971"/>
      <c r="AA3971"/>
      <c r="AB3971"/>
      <c r="AC3971"/>
      <c r="AD3971"/>
      <c r="AE3971"/>
      <c r="AF3971"/>
      <c r="AG3971"/>
      <c r="AH3971"/>
      <c r="AI3971"/>
      <c r="AJ3971"/>
      <c r="AK3971"/>
      <c r="AL3971"/>
      <c r="AM3971"/>
      <c r="AN3971"/>
      <c r="AO3971"/>
    </row>
    <row r="3972" spans="1:41" ht="15">
      <c r="A3972"/>
      <c r="B3972"/>
      <c r="C3972" s="137"/>
      <c r="D3972" s="30"/>
      <c r="E3972" s="30"/>
      <c r="F3972" s="10"/>
      <c r="G3972" s="10"/>
      <c r="H3972" s="15"/>
      <c r="I3972" s="15"/>
      <c r="J3972" s="15"/>
      <c r="K3972" s="15"/>
      <c r="L3972" s="15"/>
      <c r="M3972" s="15"/>
      <c r="N3972" s="15"/>
      <c r="O3972" s="15"/>
      <c r="P3972" s="15"/>
      <c r="Q3972" s="71"/>
      <c r="R3972" s="84"/>
      <c r="S3972" s="10"/>
      <c r="T3972" s="10"/>
      <c r="U3972" s="10"/>
      <c r="V3972" s="10"/>
      <c r="W3972" s="138"/>
      <c r="Y3972"/>
      <c r="Z3972"/>
      <c r="AA3972"/>
      <c r="AB3972"/>
      <c r="AC3972"/>
      <c r="AD3972"/>
      <c r="AE3972"/>
      <c r="AF3972"/>
      <c r="AG3972"/>
      <c r="AH3972"/>
      <c r="AI3972"/>
      <c r="AJ3972"/>
      <c r="AK3972"/>
      <c r="AL3972"/>
      <c r="AM3972"/>
      <c r="AN3972"/>
      <c r="AO3972"/>
    </row>
    <row r="3973" spans="1:41" ht="15">
      <c r="A3973"/>
      <c r="B3973"/>
      <c r="C3973" s="137"/>
      <c r="D3973" s="30"/>
      <c r="E3973" s="30"/>
      <c r="F3973" s="10"/>
      <c r="G3973" s="10"/>
      <c r="H3973" s="15"/>
      <c r="I3973" s="15"/>
      <c r="J3973" s="15"/>
      <c r="K3973" s="15"/>
      <c r="L3973" s="15"/>
      <c r="M3973" s="15"/>
      <c r="N3973" s="15"/>
      <c r="O3973" s="15"/>
      <c r="P3973" s="15"/>
      <c r="Q3973" s="71"/>
      <c r="R3973" s="84"/>
      <c r="S3973" s="10"/>
      <c r="T3973" s="10"/>
      <c r="U3973" s="10"/>
      <c r="V3973" s="10"/>
      <c r="W3973" s="138"/>
      <c r="Y3973"/>
      <c r="Z3973"/>
      <c r="AA3973"/>
      <c r="AB3973"/>
      <c r="AC3973"/>
      <c r="AD3973"/>
      <c r="AE3973"/>
      <c r="AF3973"/>
      <c r="AG3973"/>
      <c r="AH3973"/>
      <c r="AI3973"/>
      <c r="AJ3973"/>
      <c r="AK3973"/>
      <c r="AL3973"/>
      <c r="AM3973"/>
      <c r="AN3973"/>
      <c r="AO3973"/>
    </row>
    <row r="3974" spans="1:41" ht="15">
      <c r="A3974"/>
      <c r="B3974"/>
      <c r="C3974" s="137"/>
      <c r="D3974" s="30"/>
      <c r="E3974" s="30"/>
      <c r="F3974" s="10"/>
      <c r="G3974" s="10"/>
      <c r="H3974" s="15"/>
      <c r="I3974" s="15"/>
      <c r="J3974" s="15"/>
      <c r="K3974" s="15"/>
      <c r="L3974" s="15"/>
      <c r="M3974" s="15"/>
      <c r="N3974" s="15"/>
      <c r="O3974" s="15"/>
      <c r="P3974" s="15"/>
      <c r="Q3974" s="71"/>
      <c r="R3974" s="84"/>
      <c r="S3974" s="10"/>
      <c r="T3974" s="10"/>
      <c r="U3974" s="10"/>
      <c r="V3974" s="10"/>
      <c r="W3974" s="138"/>
      <c r="Y3974"/>
      <c r="Z3974"/>
      <c r="AA3974"/>
      <c r="AB3974"/>
      <c r="AC3974"/>
      <c r="AD3974"/>
      <c r="AE3974"/>
      <c r="AF3974"/>
      <c r="AG3974"/>
      <c r="AH3974"/>
      <c r="AI3974"/>
      <c r="AJ3974"/>
      <c r="AK3974"/>
      <c r="AL3974"/>
      <c r="AM3974"/>
      <c r="AN3974"/>
      <c r="AO3974"/>
    </row>
    <row r="3975" spans="1:41" ht="15">
      <c r="A3975"/>
      <c r="B3975"/>
      <c r="C3975" s="137"/>
      <c r="D3975" s="30"/>
      <c r="E3975" s="30"/>
      <c r="F3975" s="10"/>
      <c r="G3975" s="10"/>
      <c r="H3975" s="15"/>
      <c r="I3975" s="15"/>
      <c r="J3975" s="15"/>
      <c r="K3975" s="15"/>
      <c r="L3975" s="15"/>
      <c r="M3975" s="15"/>
      <c r="N3975" s="15"/>
      <c r="O3975" s="15"/>
      <c r="P3975" s="15"/>
      <c r="Q3975" s="71"/>
      <c r="R3975" s="84"/>
      <c r="S3975" s="10"/>
      <c r="T3975" s="10"/>
      <c r="U3975" s="10"/>
      <c r="V3975" s="10"/>
      <c r="W3975" s="138"/>
      <c r="Y3975"/>
      <c r="Z3975"/>
      <c r="AA3975"/>
      <c r="AB3975"/>
      <c r="AC3975"/>
      <c r="AD3975"/>
      <c r="AE3975"/>
      <c r="AF3975"/>
      <c r="AG3975"/>
      <c r="AH3975"/>
      <c r="AI3975"/>
      <c r="AJ3975"/>
      <c r="AK3975"/>
      <c r="AL3975"/>
      <c r="AM3975"/>
      <c r="AN3975"/>
      <c r="AO3975"/>
    </row>
    <row r="3976" spans="1:41" ht="15">
      <c r="A3976"/>
      <c r="B3976"/>
      <c r="C3976" s="137"/>
      <c r="D3976" s="30"/>
      <c r="E3976" s="30"/>
      <c r="F3976" s="10"/>
      <c r="G3976" s="10"/>
      <c r="H3976" s="15"/>
      <c r="I3976" s="15"/>
      <c r="J3976" s="15"/>
      <c r="K3976" s="15"/>
      <c r="L3976" s="15"/>
      <c r="M3976" s="15"/>
      <c r="N3976" s="15"/>
      <c r="O3976" s="15"/>
      <c r="P3976" s="15"/>
      <c r="Q3976" s="71"/>
      <c r="R3976" s="84"/>
      <c r="S3976" s="10"/>
      <c r="T3976" s="10"/>
      <c r="U3976" s="10"/>
      <c r="V3976" s="10"/>
      <c r="W3976" s="138"/>
      <c r="Y3976"/>
      <c r="Z3976"/>
      <c r="AA3976"/>
      <c r="AB3976"/>
      <c r="AC3976"/>
      <c r="AD3976"/>
      <c r="AE3976"/>
      <c r="AF3976"/>
      <c r="AG3976"/>
      <c r="AH3976"/>
      <c r="AI3976"/>
      <c r="AJ3976"/>
      <c r="AK3976"/>
      <c r="AL3976"/>
      <c r="AM3976"/>
      <c r="AN3976"/>
      <c r="AO3976"/>
    </row>
    <row r="3977" spans="1:41" ht="15">
      <c r="A3977"/>
      <c r="B3977"/>
      <c r="C3977" s="137"/>
      <c r="D3977" s="30"/>
      <c r="E3977" s="30"/>
      <c r="F3977" s="10"/>
      <c r="G3977" s="10"/>
      <c r="H3977" s="15"/>
      <c r="I3977" s="15"/>
      <c r="J3977" s="15"/>
      <c r="K3977" s="15"/>
      <c r="L3977" s="15"/>
      <c r="M3977" s="15"/>
      <c r="N3977" s="15"/>
      <c r="O3977" s="15"/>
      <c r="P3977" s="15"/>
      <c r="Q3977" s="71"/>
      <c r="R3977" s="84"/>
      <c r="S3977" s="10"/>
      <c r="T3977" s="10"/>
      <c r="U3977" s="10"/>
      <c r="V3977" s="10"/>
      <c r="W3977" s="138"/>
      <c r="Y3977"/>
      <c r="Z3977"/>
      <c r="AA3977"/>
      <c r="AB3977"/>
      <c r="AC3977"/>
      <c r="AD3977"/>
      <c r="AE3977"/>
      <c r="AF3977"/>
      <c r="AG3977"/>
      <c r="AH3977"/>
      <c r="AI3977"/>
      <c r="AJ3977"/>
      <c r="AK3977"/>
      <c r="AL3977"/>
      <c r="AM3977"/>
      <c r="AN3977"/>
      <c r="AO3977"/>
    </row>
    <row r="3978" spans="1:41" ht="15">
      <c r="A3978"/>
      <c r="B3978"/>
      <c r="C3978" s="137"/>
      <c r="D3978" s="30"/>
      <c r="E3978" s="30"/>
      <c r="F3978" s="10"/>
      <c r="G3978" s="10"/>
      <c r="H3978" s="15"/>
      <c r="I3978" s="15"/>
      <c r="J3978" s="15"/>
      <c r="K3978" s="15"/>
      <c r="L3978" s="15"/>
      <c r="M3978" s="15"/>
      <c r="N3978" s="15"/>
      <c r="O3978" s="15"/>
      <c r="P3978" s="15"/>
      <c r="Q3978" s="71"/>
      <c r="R3978" s="84"/>
      <c r="S3978" s="10"/>
      <c r="T3978" s="10"/>
      <c r="U3978" s="10"/>
      <c r="V3978" s="10"/>
      <c r="W3978" s="138"/>
      <c r="Y3978"/>
      <c r="Z3978"/>
      <c r="AA3978"/>
      <c r="AB3978"/>
      <c r="AC3978"/>
      <c r="AD3978"/>
      <c r="AE3978"/>
      <c r="AF3978"/>
      <c r="AG3978"/>
      <c r="AH3978"/>
      <c r="AI3978"/>
      <c r="AJ3978"/>
      <c r="AK3978"/>
      <c r="AL3978"/>
      <c r="AM3978"/>
      <c r="AN3978"/>
      <c r="AO3978"/>
    </row>
    <row r="3979" spans="1:41" ht="15">
      <c r="A3979"/>
      <c r="B3979"/>
      <c r="C3979" s="137"/>
      <c r="D3979" s="30"/>
      <c r="E3979" s="30"/>
      <c r="F3979" s="10"/>
      <c r="G3979" s="10"/>
      <c r="H3979" s="15"/>
      <c r="I3979" s="15"/>
      <c r="J3979" s="15"/>
      <c r="K3979" s="15"/>
      <c r="L3979" s="15"/>
      <c r="M3979" s="15"/>
      <c r="N3979" s="15"/>
      <c r="O3979" s="15"/>
      <c r="P3979" s="15"/>
      <c r="Q3979" s="71"/>
      <c r="R3979" s="84"/>
      <c r="S3979" s="10"/>
      <c r="T3979" s="10"/>
      <c r="U3979" s="10"/>
      <c r="V3979" s="10"/>
      <c r="W3979" s="138"/>
      <c r="Y3979"/>
      <c r="Z3979"/>
      <c r="AA3979"/>
      <c r="AB3979"/>
      <c r="AC3979"/>
      <c r="AD3979"/>
      <c r="AE3979"/>
      <c r="AF3979"/>
      <c r="AG3979"/>
      <c r="AH3979"/>
      <c r="AI3979"/>
      <c r="AJ3979"/>
      <c r="AK3979"/>
      <c r="AL3979"/>
      <c r="AM3979"/>
      <c r="AN3979"/>
      <c r="AO3979"/>
    </row>
    <row r="3980" spans="1:41" ht="15">
      <c r="A3980"/>
      <c r="B3980"/>
      <c r="C3980" s="137"/>
      <c r="D3980" s="30"/>
      <c r="E3980" s="30"/>
      <c r="F3980" s="10"/>
      <c r="G3980" s="10"/>
      <c r="H3980" s="15"/>
      <c r="I3980" s="15"/>
      <c r="J3980" s="15"/>
      <c r="K3980" s="15"/>
      <c r="L3980" s="15"/>
      <c r="M3980" s="15"/>
      <c r="N3980" s="15"/>
      <c r="O3980" s="15"/>
      <c r="P3980" s="15"/>
      <c r="Q3980" s="71"/>
      <c r="R3980" s="84"/>
      <c r="S3980" s="10"/>
      <c r="T3980" s="10"/>
      <c r="U3980" s="10"/>
      <c r="V3980" s="10"/>
      <c r="W3980" s="138"/>
      <c r="Y3980"/>
      <c r="Z3980"/>
      <c r="AA3980"/>
      <c r="AB3980"/>
      <c r="AC3980"/>
      <c r="AD3980"/>
      <c r="AE3980"/>
      <c r="AF3980"/>
      <c r="AG3980"/>
      <c r="AH3980"/>
      <c r="AI3980"/>
      <c r="AJ3980"/>
      <c r="AK3980"/>
      <c r="AL3980"/>
      <c r="AM3980"/>
      <c r="AN3980"/>
      <c r="AO3980"/>
    </row>
    <row r="3981" spans="1:41" ht="15">
      <c r="A3981"/>
      <c r="B3981"/>
      <c r="C3981" s="137"/>
      <c r="D3981" s="30"/>
      <c r="E3981" s="30"/>
      <c r="F3981" s="10"/>
      <c r="G3981" s="10"/>
      <c r="H3981" s="15"/>
      <c r="I3981" s="15"/>
      <c r="J3981" s="15"/>
      <c r="K3981" s="15"/>
      <c r="L3981" s="15"/>
      <c r="M3981" s="15"/>
      <c r="N3981" s="15"/>
      <c r="O3981" s="15"/>
      <c r="P3981" s="15"/>
      <c r="Q3981" s="71"/>
      <c r="R3981" s="84"/>
      <c r="S3981" s="10"/>
      <c r="T3981" s="10"/>
      <c r="U3981" s="10"/>
      <c r="V3981" s="10"/>
      <c r="W3981" s="138"/>
      <c r="Y3981"/>
      <c r="Z3981"/>
      <c r="AA3981"/>
      <c r="AB3981"/>
      <c r="AC3981"/>
      <c r="AD3981"/>
      <c r="AE3981"/>
      <c r="AF3981"/>
      <c r="AG3981"/>
      <c r="AH3981"/>
      <c r="AI3981"/>
      <c r="AJ3981"/>
      <c r="AK3981"/>
      <c r="AL3981"/>
      <c r="AM3981"/>
      <c r="AN3981"/>
      <c r="AO3981"/>
    </row>
    <row r="3982" spans="1:41" ht="15">
      <c r="A3982"/>
      <c r="B3982"/>
      <c r="C3982" s="137"/>
      <c r="D3982" s="30"/>
      <c r="E3982" s="30"/>
      <c r="F3982" s="10"/>
      <c r="G3982" s="10"/>
      <c r="H3982" s="15"/>
      <c r="I3982" s="15"/>
      <c r="J3982" s="15"/>
      <c r="K3982" s="15"/>
      <c r="L3982" s="15"/>
      <c r="M3982" s="15"/>
      <c r="N3982" s="15"/>
      <c r="O3982" s="15"/>
      <c r="P3982" s="15"/>
      <c r="Q3982" s="71"/>
      <c r="R3982" s="84"/>
      <c r="S3982" s="10"/>
      <c r="T3982" s="10"/>
      <c r="U3982" s="10"/>
      <c r="V3982" s="10"/>
      <c r="W3982" s="138"/>
      <c r="Y3982"/>
      <c r="Z3982"/>
      <c r="AA3982"/>
      <c r="AB3982"/>
      <c r="AC3982"/>
      <c r="AD3982"/>
      <c r="AE3982"/>
      <c r="AF3982"/>
      <c r="AG3982"/>
      <c r="AH3982"/>
      <c r="AI3982"/>
      <c r="AJ3982"/>
      <c r="AK3982"/>
      <c r="AL3982"/>
      <c r="AM3982"/>
      <c r="AN3982"/>
      <c r="AO3982"/>
    </row>
    <row r="3983" spans="1:41" ht="15">
      <c r="A3983"/>
      <c r="B3983"/>
      <c r="C3983" s="137"/>
      <c r="D3983" s="30"/>
      <c r="E3983" s="30"/>
      <c r="F3983" s="10"/>
      <c r="G3983" s="10"/>
      <c r="H3983" s="15"/>
      <c r="I3983" s="15"/>
      <c r="J3983" s="15"/>
      <c r="K3983" s="15"/>
      <c r="L3983" s="15"/>
      <c r="M3983" s="15"/>
      <c r="N3983" s="15"/>
      <c r="O3983" s="15"/>
      <c r="P3983" s="15"/>
      <c r="Q3983" s="71"/>
      <c r="R3983" s="84"/>
      <c r="S3983" s="10"/>
      <c r="T3983" s="10"/>
      <c r="U3983" s="10"/>
      <c r="V3983" s="10"/>
      <c r="W3983" s="138"/>
      <c r="Y3983"/>
      <c r="Z3983"/>
      <c r="AA3983"/>
      <c r="AB3983"/>
      <c r="AC3983"/>
      <c r="AD3983"/>
      <c r="AE3983"/>
      <c r="AF3983"/>
      <c r="AG3983"/>
      <c r="AH3983"/>
      <c r="AI3983"/>
      <c r="AJ3983"/>
      <c r="AK3983"/>
      <c r="AL3983"/>
      <c r="AM3983"/>
      <c r="AN3983"/>
      <c r="AO3983"/>
    </row>
    <row r="3984" spans="1:41" ht="15">
      <c r="A3984"/>
      <c r="B3984"/>
      <c r="C3984" s="137"/>
      <c r="D3984" s="30"/>
      <c r="E3984" s="30"/>
      <c r="F3984" s="10"/>
      <c r="G3984" s="10"/>
      <c r="H3984" s="15"/>
      <c r="I3984" s="15"/>
      <c r="J3984" s="15"/>
      <c r="K3984" s="15"/>
      <c r="L3984" s="15"/>
      <c r="M3984" s="15"/>
      <c r="N3984" s="15"/>
      <c r="O3984" s="15"/>
      <c r="P3984" s="15"/>
      <c r="Q3984" s="71"/>
      <c r="R3984" s="84"/>
      <c r="S3984" s="10"/>
      <c r="T3984" s="10"/>
      <c r="U3984" s="10"/>
      <c r="V3984" s="10"/>
      <c r="W3984" s="138"/>
      <c r="Y3984"/>
      <c r="Z3984"/>
      <c r="AA3984"/>
      <c r="AB3984"/>
      <c r="AC3984"/>
      <c r="AD3984"/>
      <c r="AE3984"/>
      <c r="AF3984"/>
      <c r="AG3984"/>
      <c r="AH3984"/>
      <c r="AI3984"/>
      <c r="AJ3984"/>
      <c r="AK3984"/>
      <c r="AL3984"/>
      <c r="AM3984"/>
      <c r="AN3984"/>
      <c r="AO3984"/>
    </row>
    <row r="3985" spans="1:41" ht="15">
      <c r="A3985"/>
      <c r="B3985"/>
      <c r="C3985" s="137"/>
      <c r="D3985" s="30"/>
      <c r="E3985" s="30"/>
      <c r="F3985" s="10"/>
      <c r="G3985" s="10"/>
      <c r="H3985" s="15"/>
      <c r="I3985" s="15"/>
      <c r="J3985" s="15"/>
      <c r="K3985" s="15"/>
      <c r="L3985" s="15"/>
      <c r="M3985" s="15"/>
      <c r="N3985" s="15"/>
      <c r="O3985" s="15"/>
      <c r="P3985" s="15"/>
      <c r="Q3985" s="71"/>
      <c r="R3985" s="84"/>
      <c r="S3985" s="10"/>
      <c r="T3985" s="10"/>
      <c r="U3985" s="10"/>
      <c r="V3985" s="10"/>
      <c r="W3985" s="138"/>
      <c r="Y3985"/>
      <c r="Z3985"/>
      <c r="AA3985"/>
      <c r="AB3985"/>
      <c r="AC3985"/>
      <c r="AD3985"/>
      <c r="AE3985"/>
      <c r="AF3985"/>
      <c r="AG3985"/>
      <c r="AH3985"/>
      <c r="AI3985"/>
      <c r="AJ3985"/>
      <c r="AK3985"/>
      <c r="AL3985"/>
      <c r="AM3985"/>
      <c r="AN3985"/>
      <c r="AO3985"/>
    </row>
    <row r="3986" spans="1:41" ht="15">
      <c r="A3986"/>
      <c r="B3986"/>
      <c r="C3986" s="137"/>
      <c r="D3986" s="30"/>
      <c r="E3986" s="30"/>
      <c r="F3986" s="10"/>
      <c r="G3986" s="10"/>
      <c r="H3986" s="15"/>
      <c r="I3986" s="15"/>
      <c r="J3986" s="15"/>
      <c r="K3986" s="15"/>
      <c r="L3986" s="15"/>
      <c r="M3986" s="15"/>
      <c r="N3986" s="15"/>
      <c r="O3986" s="15"/>
      <c r="P3986" s="15"/>
      <c r="Q3986" s="71"/>
      <c r="R3986" s="84"/>
      <c r="S3986" s="10"/>
      <c r="T3986" s="10"/>
      <c r="U3986" s="10"/>
      <c r="V3986" s="10"/>
      <c r="W3986" s="138"/>
      <c r="Y3986"/>
      <c r="Z3986"/>
      <c r="AA3986"/>
      <c r="AB3986"/>
      <c r="AC3986"/>
      <c r="AD3986"/>
      <c r="AE3986"/>
      <c r="AF3986"/>
      <c r="AG3986"/>
      <c r="AH3986"/>
      <c r="AI3986"/>
      <c r="AJ3986"/>
      <c r="AK3986"/>
      <c r="AL3986"/>
      <c r="AM3986"/>
      <c r="AN3986"/>
      <c r="AO3986"/>
    </row>
    <row r="3987" spans="1:41" ht="15">
      <c r="A3987"/>
      <c r="B3987"/>
      <c r="C3987" s="137"/>
      <c r="D3987" s="30"/>
      <c r="E3987" s="30"/>
      <c r="F3987" s="10"/>
      <c r="G3987" s="10"/>
      <c r="H3987" s="15"/>
      <c r="I3987" s="15"/>
      <c r="J3987" s="15"/>
      <c r="K3987" s="15"/>
      <c r="L3987" s="15"/>
      <c r="M3987" s="15"/>
      <c r="N3987" s="15"/>
      <c r="O3987" s="15"/>
      <c r="P3987" s="15"/>
      <c r="Q3987" s="71"/>
      <c r="R3987" s="84"/>
      <c r="S3987" s="10"/>
      <c r="T3987" s="10"/>
      <c r="U3987" s="10"/>
      <c r="V3987" s="10"/>
      <c r="W3987" s="138"/>
      <c r="Y3987"/>
      <c r="Z3987"/>
      <c r="AA3987"/>
      <c r="AB3987"/>
      <c r="AC3987"/>
      <c r="AD3987"/>
      <c r="AE3987"/>
      <c r="AF3987"/>
      <c r="AG3987"/>
      <c r="AH3987"/>
      <c r="AI3987"/>
      <c r="AJ3987"/>
      <c r="AK3987"/>
      <c r="AL3987"/>
      <c r="AM3987"/>
      <c r="AN3987"/>
      <c r="AO3987"/>
    </row>
    <row r="3988" spans="1:41" ht="15">
      <c r="A3988"/>
      <c r="B3988"/>
      <c r="C3988" s="137"/>
      <c r="D3988" s="30"/>
      <c r="E3988" s="30"/>
      <c r="F3988" s="10"/>
      <c r="G3988" s="10"/>
      <c r="H3988" s="15"/>
      <c r="I3988" s="15"/>
      <c r="J3988" s="15"/>
      <c r="K3988" s="15"/>
      <c r="L3988" s="15"/>
      <c r="M3988" s="15"/>
      <c r="N3988" s="15"/>
      <c r="O3988" s="15"/>
      <c r="P3988" s="15"/>
      <c r="Q3988" s="71"/>
      <c r="R3988" s="84"/>
      <c r="S3988" s="10"/>
      <c r="T3988" s="10"/>
      <c r="U3988" s="10"/>
      <c r="V3988" s="10"/>
      <c r="W3988" s="138"/>
      <c r="Y3988"/>
      <c r="Z3988"/>
      <c r="AA3988"/>
      <c r="AB3988"/>
      <c r="AC3988"/>
      <c r="AD3988"/>
      <c r="AE3988"/>
      <c r="AF3988"/>
      <c r="AG3988"/>
      <c r="AH3988"/>
      <c r="AI3988"/>
      <c r="AJ3988"/>
      <c r="AK3988"/>
      <c r="AL3988"/>
      <c r="AM3988"/>
      <c r="AN3988"/>
      <c r="AO3988"/>
    </row>
    <row r="3989" spans="1:41" ht="15">
      <c r="A3989"/>
      <c r="B3989"/>
      <c r="C3989" s="137"/>
      <c r="D3989" s="30"/>
      <c r="E3989" s="30"/>
      <c r="F3989" s="10"/>
      <c r="G3989" s="10"/>
      <c r="H3989" s="15"/>
      <c r="I3989" s="15"/>
      <c r="J3989" s="15"/>
      <c r="K3989" s="15"/>
      <c r="L3989" s="15"/>
      <c r="M3989" s="15"/>
      <c r="N3989" s="15"/>
      <c r="O3989" s="15"/>
      <c r="P3989" s="15"/>
      <c r="Q3989" s="71"/>
      <c r="R3989" s="84"/>
      <c r="S3989" s="10"/>
      <c r="T3989" s="10"/>
      <c r="U3989" s="10"/>
      <c r="V3989" s="10"/>
      <c r="W3989" s="138"/>
      <c r="Y3989"/>
      <c r="Z3989"/>
      <c r="AA3989"/>
      <c r="AB3989"/>
      <c r="AC3989"/>
      <c r="AD3989"/>
      <c r="AE3989"/>
      <c r="AF3989"/>
      <c r="AG3989"/>
      <c r="AH3989"/>
      <c r="AI3989"/>
      <c r="AJ3989"/>
      <c r="AK3989"/>
      <c r="AL3989"/>
      <c r="AM3989"/>
      <c r="AN3989"/>
      <c r="AO3989"/>
    </row>
    <row r="3990" spans="1:41" ht="15">
      <c r="A3990"/>
      <c r="B3990"/>
      <c r="C3990" s="137"/>
      <c r="D3990" s="30"/>
      <c r="E3990" s="30"/>
      <c r="F3990" s="10"/>
      <c r="G3990" s="10"/>
      <c r="H3990" s="15"/>
      <c r="I3990" s="15"/>
      <c r="J3990" s="15"/>
      <c r="K3990" s="15"/>
      <c r="L3990" s="15"/>
      <c r="M3990" s="15"/>
      <c r="N3990" s="15"/>
      <c r="O3990" s="15"/>
      <c r="P3990" s="15"/>
      <c r="Q3990" s="71"/>
      <c r="R3990" s="84"/>
      <c r="S3990" s="10"/>
      <c r="T3990" s="10"/>
      <c r="U3990" s="10"/>
      <c r="V3990" s="10"/>
      <c r="W3990" s="138"/>
      <c r="Y3990"/>
      <c r="Z3990"/>
      <c r="AA3990"/>
      <c r="AB3990"/>
      <c r="AC3990"/>
      <c r="AD3990"/>
      <c r="AE3990"/>
      <c r="AF3990"/>
      <c r="AG3990"/>
      <c r="AH3990"/>
      <c r="AI3990"/>
      <c r="AJ3990"/>
      <c r="AK3990"/>
      <c r="AL3990"/>
      <c r="AM3990"/>
      <c r="AN3990"/>
      <c r="AO3990"/>
    </row>
    <row r="3991" spans="1:41" ht="15">
      <c r="A3991"/>
      <c r="B3991"/>
      <c r="C3991" s="137"/>
      <c r="D3991" s="30"/>
      <c r="E3991" s="30"/>
      <c r="F3991" s="10"/>
      <c r="G3991" s="10"/>
      <c r="H3991" s="15"/>
      <c r="I3991" s="15"/>
      <c r="J3991" s="15"/>
      <c r="K3991" s="15"/>
      <c r="L3991" s="15"/>
      <c r="M3991" s="15"/>
      <c r="N3991" s="15"/>
      <c r="O3991" s="15"/>
      <c r="P3991" s="15"/>
      <c r="Q3991" s="71"/>
      <c r="R3991" s="84"/>
      <c r="S3991" s="10"/>
      <c r="T3991" s="10"/>
      <c r="U3991" s="10"/>
      <c r="V3991" s="10"/>
      <c r="W3991" s="138"/>
      <c r="Y3991"/>
      <c r="Z3991"/>
      <c r="AA3991"/>
      <c r="AB3991"/>
      <c r="AC3991"/>
      <c r="AD3991"/>
      <c r="AE3991"/>
      <c r="AF3991"/>
      <c r="AG3991"/>
      <c r="AH3991"/>
      <c r="AI3991"/>
      <c r="AJ3991"/>
      <c r="AK3991"/>
      <c r="AL3991"/>
      <c r="AM3991"/>
      <c r="AN3991"/>
      <c r="AO3991"/>
    </row>
    <row r="3992" spans="1:41" ht="15">
      <c r="A3992"/>
      <c r="B3992"/>
      <c r="C3992" s="137"/>
      <c r="D3992" s="30"/>
      <c r="E3992" s="30"/>
      <c r="F3992" s="10"/>
      <c r="G3992" s="10"/>
      <c r="H3992" s="15"/>
      <c r="I3992" s="15"/>
      <c r="J3992" s="15"/>
      <c r="K3992" s="15"/>
      <c r="L3992" s="15"/>
      <c r="M3992" s="15"/>
      <c r="N3992" s="15"/>
      <c r="O3992" s="15"/>
      <c r="P3992" s="15"/>
      <c r="Q3992" s="71"/>
      <c r="R3992" s="84"/>
      <c r="S3992" s="10"/>
      <c r="T3992" s="10"/>
      <c r="U3992" s="10"/>
      <c r="V3992" s="10"/>
      <c r="W3992" s="138"/>
      <c r="Y3992"/>
      <c r="Z3992"/>
      <c r="AA3992"/>
      <c r="AB3992"/>
      <c r="AC3992"/>
      <c r="AD3992"/>
      <c r="AE3992"/>
      <c r="AF3992"/>
      <c r="AG3992"/>
      <c r="AH3992"/>
      <c r="AI3992"/>
      <c r="AJ3992"/>
      <c r="AK3992"/>
      <c r="AL3992"/>
      <c r="AM3992"/>
      <c r="AN3992"/>
      <c r="AO3992"/>
    </row>
    <row r="3993" spans="1:41" ht="15">
      <c r="A3993"/>
      <c r="B3993"/>
      <c r="C3993" s="137"/>
      <c r="D3993" s="30"/>
      <c r="E3993" s="30"/>
      <c r="F3993" s="10"/>
      <c r="G3993" s="10"/>
      <c r="H3993" s="15"/>
      <c r="I3993" s="15"/>
      <c r="J3993" s="15"/>
      <c r="K3993" s="15"/>
      <c r="L3993" s="15"/>
      <c r="M3993" s="15"/>
      <c r="N3993" s="15"/>
      <c r="O3993" s="15"/>
      <c r="P3993" s="15"/>
      <c r="Q3993" s="71"/>
      <c r="R3993" s="84"/>
      <c r="S3993" s="10"/>
      <c r="T3993" s="10"/>
      <c r="U3993" s="10"/>
      <c r="V3993" s="10"/>
      <c r="W3993" s="138"/>
      <c r="Y3993"/>
      <c r="Z3993"/>
      <c r="AA3993"/>
      <c r="AB3993"/>
      <c r="AC3993"/>
      <c r="AD3993"/>
      <c r="AE3993"/>
      <c r="AF3993"/>
      <c r="AG3993"/>
      <c r="AH3993"/>
      <c r="AI3993"/>
      <c r="AJ3993"/>
      <c r="AK3993"/>
      <c r="AL3993"/>
      <c r="AM3993"/>
      <c r="AN3993"/>
      <c r="AO3993"/>
    </row>
    <row r="3994" spans="1:41" ht="15">
      <c r="A3994"/>
      <c r="B3994"/>
      <c r="C3994" s="137"/>
      <c r="D3994" s="30"/>
      <c r="E3994" s="30"/>
      <c r="F3994" s="10"/>
      <c r="G3994" s="10"/>
      <c r="H3994" s="15"/>
      <c r="I3994" s="15"/>
      <c r="J3994" s="15"/>
      <c r="K3994" s="15"/>
      <c r="L3994" s="15"/>
      <c r="M3994" s="15"/>
      <c r="N3994" s="15"/>
      <c r="O3994" s="15"/>
      <c r="P3994" s="15"/>
      <c r="Q3994" s="71"/>
      <c r="R3994" s="84"/>
      <c r="S3994" s="10"/>
      <c r="T3994" s="10"/>
      <c r="U3994" s="10"/>
      <c r="V3994" s="10"/>
      <c r="W3994" s="138"/>
      <c r="Y3994"/>
      <c r="Z3994"/>
      <c r="AA3994"/>
      <c r="AB3994"/>
      <c r="AC3994"/>
      <c r="AD3994"/>
      <c r="AE3994"/>
      <c r="AF3994"/>
      <c r="AG3994"/>
      <c r="AH3994"/>
      <c r="AI3994"/>
      <c r="AJ3994"/>
      <c r="AK3994"/>
      <c r="AL3994"/>
      <c r="AM3994"/>
      <c r="AN3994"/>
      <c r="AO3994"/>
    </row>
    <row r="3995" spans="1:41" ht="15">
      <c r="A3995"/>
      <c r="B3995"/>
      <c r="C3995" s="137"/>
      <c r="D3995" s="30"/>
      <c r="E3995" s="30"/>
      <c r="F3995" s="10"/>
      <c r="G3995" s="10"/>
      <c r="H3995" s="15"/>
      <c r="I3995" s="15"/>
      <c r="J3995" s="15"/>
      <c r="K3995" s="15"/>
      <c r="L3995" s="15"/>
      <c r="M3995" s="15"/>
      <c r="N3995" s="15"/>
      <c r="O3995" s="15"/>
      <c r="P3995" s="15"/>
      <c r="Q3995" s="71"/>
      <c r="R3995" s="84"/>
      <c r="S3995" s="10"/>
      <c r="T3995" s="10"/>
      <c r="U3995" s="10"/>
      <c r="V3995" s="10"/>
      <c r="W3995" s="138"/>
      <c r="Y3995"/>
      <c r="Z3995"/>
      <c r="AA3995"/>
      <c r="AB3995"/>
      <c r="AC3995"/>
      <c r="AD3995"/>
      <c r="AE3995"/>
      <c r="AF3995"/>
      <c r="AG3995"/>
      <c r="AH3995"/>
      <c r="AI3995"/>
      <c r="AJ3995"/>
      <c r="AK3995"/>
      <c r="AL3995"/>
      <c r="AM3995"/>
      <c r="AN3995"/>
      <c r="AO3995"/>
    </row>
    <row r="3996" spans="1:41" ht="15">
      <c r="A3996"/>
      <c r="B3996"/>
      <c r="C3996" s="137"/>
      <c r="D3996" s="30"/>
      <c r="E3996" s="30"/>
      <c r="F3996" s="10"/>
      <c r="G3996" s="10"/>
      <c r="H3996" s="15"/>
      <c r="I3996" s="15"/>
      <c r="J3996" s="15"/>
      <c r="K3996" s="15"/>
      <c r="L3996" s="15"/>
      <c r="M3996" s="15"/>
      <c r="N3996" s="15"/>
      <c r="O3996" s="15"/>
      <c r="P3996" s="15"/>
      <c r="Q3996" s="71"/>
      <c r="R3996" s="84"/>
      <c r="S3996" s="10"/>
      <c r="T3996" s="10"/>
      <c r="U3996" s="10"/>
      <c r="V3996" s="10"/>
      <c r="W3996" s="138"/>
      <c r="Y3996"/>
      <c r="Z3996"/>
      <c r="AA3996"/>
      <c r="AB3996"/>
      <c r="AC3996"/>
      <c r="AD3996"/>
      <c r="AE3996"/>
      <c r="AF3996"/>
      <c r="AG3996"/>
      <c r="AH3996"/>
      <c r="AI3996"/>
      <c r="AJ3996"/>
      <c r="AK3996"/>
      <c r="AL3996"/>
      <c r="AM3996"/>
      <c r="AN3996"/>
      <c r="AO3996"/>
    </row>
    <row r="3997" spans="1:41" ht="15">
      <c r="A3997"/>
      <c r="B3997"/>
      <c r="C3997" s="137"/>
      <c r="D3997" s="30"/>
      <c r="E3997" s="30"/>
      <c r="F3997" s="10"/>
      <c r="G3997" s="10"/>
      <c r="H3997" s="15"/>
      <c r="I3997" s="15"/>
      <c r="J3997" s="15"/>
      <c r="K3997" s="15"/>
      <c r="L3997" s="15"/>
      <c r="M3997" s="15"/>
      <c r="N3997" s="15"/>
      <c r="O3997" s="15"/>
      <c r="P3997" s="15"/>
      <c r="Q3997" s="71"/>
      <c r="R3997" s="84"/>
      <c r="S3997" s="10"/>
      <c r="T3997" s="10"/>
      <c r="U3997" s="10"/>
      <c r="V3997" s="10"/>
      <c r="W3997" s="138"/>
      <c r="Y3997"/>
      <c r="Z3997"/>
      <c r="AA3997"/>
      <c r="AB3997"/>
      <c r="AC3997"/>
      <c r="AD3997"/>
      <c r="AE3997"/>
      <c r="AF3997"/>
      <c r="AG3997"/>
      <c r="AH3997"/>
      <c r="AI3997"/>
      <c r="AJ3997"/>
      <c r="AK3997"/>
      <c r="AL3997"/>
      <c r="AM3997"/>
      <c r="AN3997"/>
      <c r="AO3997"/>
    </row>
    <row r="3998" spans="1:41" ht="15">
      <c r="A3998"/>
      <c r="B3998"/>
      <c r="C3998" s="137"/>
      <c r="D3998" s="30"/>
      <c r="E3998" s="30"/>
      <c r="F3998" s="10"/>
      <c r="G3998" s="10"/>
      <c r="H3998" s="15"/>
      <c r="I3998" s="15"/>
      <c r="J3998" s="15"/>
      <c r="K3998" s="15"/>
      <c r="L3998" s="15"/>
      <c r="M3998" s="15"/>
      <c r="N3998" s="15"/>
      <c r="O3998" s="15"/>
      <c r="P3998" s="15"/>
      <c r="Q3998" s="71"/>
      <c r="R3998" s="84"/>
      <c r="S3998" s="10"/>
      <c r="T3998" s="10"/>
      <c r="U3998" s="10"/>
      <c r="V3998" s="10"/>
      <c r="W3998" s="138"/>
      <c r="Y3998"/>
      <c r="Z3998"/>
      <c r="AA3998"/>
      <c r="AB3998"/>
      <c r="AC3998"/>
      <c r="AD3998"/>
      <c r="AE3998"/>
      <c r="AF3998"/>
      <c r="AG3998"/>
      <c r="AH3998"/>
      <c r="AI3998"/>
      <c r="AJ3998"/>
      <c r="AK3998"/>
      <c r="AL3998"/>
      <c r="AM3998"/>
      <c r="AN3998"/>
      <c r="AO3998"/>
    </row>
    <row r="3999" spans="1:41" ht="15">
      <c r="A3999"/>
      <c r="B3999"/>
      <c r="C3999" s="137"/>
      <c r="D3999" s="30"/>
      <c r="E3999" s="30"/>
      <c r="F3999" s="10"/>
      <c r="G3999" s="10"/>
      <c r="H3999" s="15"/>
      <c r="I3999" s="15"/>
      <c r="J3999" s="15"/>
      <c r="K3999" s="15"/>
      <c r="L3999" s="15"/>
      <c r="M3999" s="15"/>
      <c r="N3999" s="15"/>
      <c r="O3999" s="15"/>
      <c r="P3999" s="15"/>
      <c r="Q3999" s="71"/>
      <c r="R3999" s="84"/>
      <c r="S3999" s="10"/>
      <c r="T3999" s="10"/>
      <c r="U3999" s="10"/>
      <c r="V3999" s="10"/>
      <c r="W3999" s="138"/>
      <c r="Y3999"/>
      <c r="Z3999"/>
      <c r="AA3999"/>
      <c r="AB3999"/>
      <c r="AC3999"/>
      <c r="AD3999"/>
      <c r="AE3999"/>
      <c r="AF3999"/>
      <c r="AG3999"/>
      <c r="AH3999"/>
      <c r="AI3999"/>
      <c r="AJ3999"/>
      <c r="AK3999"/>
      <c r="AL3999"/>
      <c r="AM3999"/>
      <c r="AN3999"/>
      <c r="AO3999"/>
    </row>
    <row r="4000" spans="1:41" ht="15">
      <c r="A4000"/>
      <c r="B4000"/>
      <c r="C4000" s="137"/>
      <c r="D4000" s="30"/>
      <c r="E4000" s="30"/>
      <c r="F4000" s="10"/>
      <c r="G4000" s="10"/>
      <c r="H4000" s="15"/>
      <c r="I4000" s="15"/>
      <c r="J4000" s="15"/>
      <c r="K4000" s="15"/>
      <c r="L4000" s="15"/>
      <c r="M4000" s="15"/>
      <c r="N4000" s="15"/>
      <c r="O4000" s="15"/>
      <c r="P4000" s="15"/>
      <c r="Q4000" s="71"/>
      <c r="R4000" s="84"/>
      <c r="S4000" s="10"/>
      <c r="T4000" s="10"/>
      <c r="U4000" s="10"/>
      <c r="V4000" s="10"/>
      <c r="W4000" s="138"/>
      <c r="Y4000"/>
      <c r="Z4000"/>
      <c r="AA4000"/>
      <c r="AB4000"/>
      <c r="AC4000"/>
      <c r="AD4000"/>
      <c r="AE4000"/>
      <c r="AF4000"/>
      <c r="AG4000"/>
      <c r="AH4000"/>
      <c r="AI4000"/>
      <c r="AJ4000"/>
      <c r="AK4000"/>
      <c r="AL4000"/>
      <c r="AM4000"/>
      <c r="AN4000"/>
      <c r="AO4000"/>
    </row>
    <row r="4001" spans="1:41" ht="15">
      <c r="A4001"/>
      <c r="B4001"/>
      <c r="C4001" s="137"/>
      <c r="D4001" s="30"/>
      <c r="E4001" s="30"/>
      <c r="F4001" s="10"/>
      <c r="G4001" s="10"/>
      <c r="H4001" s="15"/>
      <c r="I4001" s="15"/>
      <c r="J4001" s="15"/>
      <c r="K4001" s="15"/>
      <c r="L4001" s="15"/>
      <c r="M4001" s="15"/>
      <c r="N4001" s="15"/>
      <c r="O4001" s="15"/>
      <c r="P4001" s="15"/>
      <c r="Q4001" s="71"/>
      <c r="R4001" s="84"/>
      <c r="S4001" s="10"/>
      <c r="T4001" s="10"/>
      <c r="U4001" s="10"/>
      <c r="V4001" s="10"/>
      <c r="W4001" s="138"/>
      <c r="Y4001"/>
      <c r="Z4001"/>
      <c r="AA4001"/>
      <c r="AB4001"/>
      <c r="AC4001"/>
      <c r="AD4001"/>
      <c r="AE4001"/>
      <c r="AF4001"/>
      <c r="AG4001"/>
      <c r="AH4001"/>
      <c r="AI4001"/>
      <c r="AJ4001"/>
      <c r="AK4001"/>
      <c r="AL4001"/>
      <c r="AM4001"/>
      <c r="AN4001"/>
      <c r="AO4001"/>
    </row>
    <row r="4002" spans="1:41" ht="15">
      <c r="A4002"/>
      <c r="B4002"/>
      <c r="C4002" s="137"/>
      <c r="D4002" s="30"/>
      <c r="E4002" s="30"/>
      <c r="F4002" s="10"/>
      <c r="G4002" s="10"/>
      <c r="H4002" s="15"/>
      <c r="I4002" s="15"/>
      <c r="J4002" s="15"/>
      <c r="K4002" s="15"/>
      <c r="L4002" s="15"/>
      <c r="M4002" s="15"/>
      <c r="N4002" s="15"/>
      <c r="O4002" s="15"/>
      <c r="P4002" s="15"/>
      <c r="Q4002" s="71"/>
      <c r="R4002" s="84"/>
      <c r="S4002" s="10"/>
      <c r="T4002" s="10"/>
      <c r="U4002" s="10"/>
      <c r="V4002" s="10"/>
      <c r="W4002" s="138"/>
      <c r="Y4002"/>
      <c r="Z4002"/>
      <c r="AA4002"/>
      <c r="AB4002"/>
      <c r="AC4002"/>
      <c r="AD4002"/>
      <c r="AE4002"/>
      <c r="AF4002"/>
      <c r="AG4002"/>
      <c r="AH4002"/>
      <c r="AI4002"/>
      <c r="AJ4002"/>
      <c r="AK4002"/>
      <c r="AL4002"/>
      <c r="AM4002"/>
      <c r="AN4002"/>
      <c r="AO4002"/>
    </row>
    <row r="4003" spans="1:41" ht="15">
      <c r="A4003"/>
      <c r="B4003"/>
      <c r="C4003" s="137"/>
      <c r="D4003" s="30"/>
      <c r="E4003" s="30"/>
      <c r="F4003" s="10"/>
      <c r="G4003" s="10"/>
      <c r="H4003" s="15"/>
      <c r="I4003" s="15"/>
      <c r="J4003" s="15"/>
      <c r="K4003" s="15"/>
      <c r="L4003" s="15"/>
      <c r="M4003" s="15"/>
      <c r="N4003" s="15"/>
      <c r="O4003" s="15"/>
      <c r="P4003" s="15"/>
      <c r="Q4003" s="71"/>
      <c r="R4003" s="84"/>
      <c r="S4003" s="10"/>
      <c r="T4003" s="10"/>
      <c r="U4003" s="10"/>
      <c r="V4003" s="10"/>
      <c r="W4003" s="138"/>
      <c r="Y4003"/>
      <c r="Z4003"/>
      <c r="AA4003"/>
      <c r="AB4003"/>
      <c r="AC4003"/>
      <c r="AD4003"/>
      <c r="AE4003"/>
      <c r="AF4003"/>
      <c r="AG4003"/>
      <c r="AH4003"/>
      <c r="AI4003"/>
      <c r="AJ4003"/>
      <c r="AK4003"/>
      <c r="AL4003"/>
      <c r="AM4003"/>
      <c r="AN4003"/>
      <c r="AO4003"/>
    </row>
    <row r="4004" spans="1:41" ht="15">
      <c r="A4004"/>
      <c r="B4004"/>
      <c r="C4004" s="137"/>
      <c r="D4004" s="30"/>
      <c r="E4004" s="30"/>
      <c r="F4004" s="10"/>
      <c r="G4004" s="10"/>
      <c r="H4004" s="15"/>
      <c r="I4004" s="15"/>
      <c r="J4004" s="15"/>
      <c r="K4004" s="15"/>
      <c r="L4004" s="15"/>
      <c r="M4004" s="15"/>
      <c r="N4004" s="15"/>
      <c r="O4004" s="15"/>
      <c r="P4004" s="15"/>
      <c r="Q4004" s="71"/>
      <c r="R4004" s="84"/>
      <c r="S4004" s="10"/>
      <c r="T4004" s="10"/>
      <c r="U4004" s="10"/>
      <c r="V4004" s="10"/>
      <c r="W4004" s="138"/>
      <c r="Y4004"/>
      <c r="Z4004"/>
      <c r="AA4004"/>
      <c r="AB4004"/>
      <c r="AC4004"/>
      <c r="AD4004"/>
      <c r="AE4004"/>
      <c r="AF4004"/>
      <c r="AG4004"/>
      <c r="AH4004"/>
      <c r="AI4004"/>
      <c r="AJ4004"/>
      <c r="AK4004"/>
      <c r="AL4004"/>
      <c r="AM4004"/>
      <c r="AN4004"/>
      <c r="AO4004"/>
    </row>
    <row r="4005" spans="1:41" ht="15">
      <c r="A4005"/>
      <c r="B4005"/>
      <c r="C4005" s="137"/>
      <c r="D4005" s="30"/>
      <c r="E4005" s="30"/>
      <c r="F4005" s="10"/>
      <c r="G4005" s="10"/>
      <c r="H4005" s="15"/>
      <c r="I4005" s="15"/>
      <c r="J4005" s="15"/>
      <c r="K4005" s="15"/>
      <c r="L4005" s="15"/>
      <c r="M4005" s="15"/>
      <c r="N4005" s="15"/>
      <c r="O4005" s="15"/>
      <c r="P4005" s="15"/>
      <c r="Q4005" s="71"/>
      <c r="R4005" s="84"/>
      <c r="S4005" s="10"/>
      <c r="T4005" s="10"/>
      <c r="U4005" s="10"/>
      <c r="V4005" s="10"/>
      <c r="W4005" s="138"/>
      <c r="Y4005"/>
      <c r="Z4005"/>
      <c r="AA4005"/>
      <c r="AB4005"/>
      <c r="AC4005"/>
      <c r="AD4005"/>
      <c r="AE4005"/>
      <c r="AF4005"/>
      <c r="AG4005"/>
      <c r="AH4005"/>
      <c r="AI4005"/>
      <c r="AJ4005"/>
      <c r="AK4005"/>
      <c r="AL4005"/>
      <c r="AM4005"/>
      <c r="AN4005"/>
      <c r="AO4005"/>
    </row>
    <row r="4006" spans="1:41" ht="15">
      <c r="A4006"/>
      <c r="B4006"/>
      <c r="C4006" s="137"/>
      <c r="D4006" s="30"/>
      <c r="E4006" s="30"/>
      <c r="F4006" s="10"/>
      <c r="G4006" s="10"/>
      <c r="H4006" s="15"/>
      <c r="I4006" s="15"/>
      <c r="J4006" s="15"/>
      <c r="K4006" s="15"/>
      <c r="L4006" s="15"/>
      <c r="M4006" s="15"/>
      <c r="N4006" s="15"/>
      <c r="O4006" s="15"/>
      <c r="P4006" s="15"/>
      <c r="Q4006" s="71"/>
      <c r="R4006" s="84"/>
      <c r="S4006" s="10"/>
      <c r="T4006" s="10"/>
      <c r="U4006" s="10"/>
      <c r="V4006" s="10"/>
      <c r="W4006" s="138"/>
      <c r="Y4006"/>
      <c r="Z4006"/>
      <c r="AA4006"/>
      <c r="AB4006"/>
      <c r="AC4006"/>
      <c r="AD4006"/>
      <c r="AE4006"/>
      <c r="AF4006"/>
      <c r="AG4006"/>
      <c r="AH4006"/>
      <c r="AI4006"/>
      <c r="AJ4006"/>
      <c r="AK4006"/>
      <c r="AL4006"/>
      <c r="AM4006"/>
      <c r="AN4006"/>
      <c r="AO4006"/>
    </row>
    <row r="4007" spans="1:41" ht="15">
      <c r="A4007"/>
      <c r="B4007"/>
      <c r="C4007" s="137"/>
      <c r="D4007" s="30"/>
      <c r="E4007" s="30"/>
      <c r="F4007" s="10"/>
      <c r="G4007" s="10"/>
      <c r="H4007" s="15"/>
      <c r="I4007" s="15"/>
      <c r="J4007" s="15"/>
      <c r="K4007" s="15"/>
      <c r="L4007" s="15"/>
      <c r="M4007" s="15"/>
      <c r="N4007" s="15"/>
      <c r="O4007" s="15"/>
      <c r="P4007" s="15"/>
      <c r="Q4007" s="71"/>
      <c r="R4007" s="84"/>
      <c r="S4007" s="10"/>
      <c r="T4007" s="10"/>
      <c r="U4007" s="10"/>
      <c r="V4007" s="10"/>
      <c r="W4007" s="138"/>
      <c r="Y4007"/>
      <c r="Z4007"/>
      <c r="AA4007"/>
      <c r="AB4007"/>
      <c r="AC4007"/>
      <c r="AD4007"/>
      <c r="AE4007"/>
      <c r="AF4007"/>
      <c r="AG4007"/>
      <c r="AH4007"/>
      <c r="AI4007"/>
      <c r="AJ4007"/>
      <c r="AK4007"/>
      <c r="AL4007"/>
      <c r="AM4007"/>
      <c r="AN4007"/>
      <c r="AO4007"/>
    </row>
    <row r="4008" spans="1:41" ht="15">
      <c r="A4008"/>
      <c r="B4008"/>
      <c r="C4008" s="137"/>
      <c r="D4008" s="30"/>
      <c r="E4008" s="30"/>
      <c r="F4008" s="10"/>
      <c r="G4008" s="10"/>
      <c r="H4008" s="15"/>
      <c r="I4008" s="15"/>
      <c r="J4008" s="15"/>
      <c r="K4008" s="15"/>
      <c r="L4008" s="15"/>
      <c r="M4008" s="15"/>
      <c r="N4008" s="15"/>
      <c r="O4008" s="15"/>
      <c r="P4008" s="15"/>
      <c r="Q4008" s="71"/>
      <c r="R4008" s="84"/>
      <c r="S4008" s="10"/>
      <c r="T4008" s="10"/>
      <c r="U4008" s="10"/>
      <c r="V4008" s="10"/>
      <c r="W4008" s="138"/>
      <c r="Y4008"/>
      <c r="Z4008"/>
      <c r="AA4008"/>
      <c r="AB4008"/>
      <c r="AC4008"/>
      <c r="AD4008"/>
      <c r="AE4008"/>
      <c r="AF4008"/>
      <c r="AG4008"/>
      <c r="AH4008"/>
      <c r="AI4008"/>
      <c r="AJ4008"/>
      <c r="AK4008"/>
      <c r="AL4008"/>
      <c r="AM4008"/>
      <c r="AN4008"/>
      <c r="AO4008"/>
    </row>
    <row r="4009" spans="1:41" ht="15">
      <c r="A4009"/>
      <c r="B4009"/>
      <c r="C4009" s="137"/>
      <c r="D4009" s="30"/>
      <c r="E4009" s="30"/>
      <c r="F4009" s="10"/>
      <c r="G4009" s="10"/>
      <c r="H4009" s="15"/>
      <c r="I4009" s="15"/>
      <c r="J4009" s="15"/>
      <c r="K4009" s="15"/>
      <c r="L4009" s="15"/>
      <c r="M4009" s="15"/>
      <c r="N4009" s="15"/>
      <c r="O4009" s="15"/>
      <c r="P4009" s="15"/>
      <c r="Q4009" s="71"/>
      <c r="R4009" s="84"/>
      <c r="S4009" s="10"/>
      <c r="T4009" s="10"/>
      <c r="U4009" s="10"/>
      <c r="V4009" s="10"/>
      <c r="W4009" s="138"/>
      <c r="Y4009"/>
      <c r="Z4009"/>
      <c r="AA4009"/>
      <c r="AB4009"/>
      <c r="AC4009"/>
      <c r="AD4009"/>
      <c r="AE4009"/>
      <c r="AF4009"/>
      <c r="AG4009"/>
      <c r="AH4009"/>
      <c r="AI4009"/>
      <c r="AJ4009"/>
      <c r="AK4009"/>
      <c r="AL4009"/>
      <c r="AM4009"/>
      <c r="AN4009"/>
      <c r="AO4009"/>
    </row>
    <row r="4010" spans="1:41" ht="15">
      <c r="A4010"/>
      <c r="B4010"/>
      <c r="C4010" s="137"/>
      <c r="D4010" s="30"/>
      <c r="E4010" s="30"/>
      <c r="F4010" s="10"/>
      <c r="G4010" s="10"/>
      <c r="H4010" s="15"/>
      <c r="I4010" s="15"/>
      <c r="J4010" s="15"/>
      <c r="K4010" s="15"/>
      <c r="L4010" s="15"/>
      <c r="M4010" s="15"/>
      <c r="N4010" s="15"/>
      <c r="O4010" s="15"/>
      <c r="P4010" s="15"/>
      <c r="Q4010" s="71"/>
      <c r="R4010" s="84"/>
      <c r="S4010" s="10"/>
      <c r="T4010" s="10"/>
      <c r="U4010" s="10"/>
      <c r="V4010" s="10"/>
      <c r="W4010" s="138"/>
      <c r="Y4010"/>
      <c r="Z4010"/>
      <c r="AA4010"/>
      <c r="AB4010"/>
      <c r="AC4010"/>
      <c r="AD4010"/>
      <c r="AE4010"/>
      <c r="AF4010"/>
      <c r="AG4010"/>
      <c r="AH4010"/>
      <c r="AI4010"/>
      <c r="AJ4010"/>
      <c r="AK4010"/>
      <c r="AL4010"/>
      <c r="AM4010"/>
      <c r="AN4010"/>
      <c r="AO4010"/>
    </row>
    <row r="4011" spans="1:41" ht="15">
      <c r="A4011"/>
      <c r="B4011"/>
      <c r="C4011" s="137"/>
      <c r="D4011" s="30"/>
      <c r="E4011" s="30"/>
      <c r="F4011" s="10"/>
      <c r="G4011" s="10"/>
      <c r="H4011" s="15"/>
      <c r="I4011" s="15"/>
      <c r="J4011" s="15"/>
      <c r="K4011" s="15"/>
      <c r="L4011" s="15"/>
      <c r="M4011" s="15"/>
      <c r="N4011" s="15"/>
      <c r="O4011" s="15"/>
      <c r="P4011" s="15"/>
      <c r="Q4011" s="71"/>
      <c r="R4011" s="84"/>
      <c r="S4011" s="10"/>
      <c r="T4011" s="10"/>
      <c r="U4011" s="10"/>
      <c r="V4011" s="10"/>
      <c r="W4011" s="138"/>
      <c r="Y4011"/>
      <c r="Z4011"/>
      <c r="AA4011"/>
      <c r="AB4011"/>
      <c r="AC4011"/>
      <c r="AD4011"/>
      <c r="AE4011"/>
      <c r="AF4011"/>
      <c r="AG4011"/>
      <c r="AH4011"/>
      <c r="AI4011"/>
      <c r="AJ4011"/>
      <c r="AK4011"/>
      <c r="AL4011"/>
      <c r="AM4011"/>
      <c r="AN4011"/>
      <c r="AO4011"/>
    </row>
    <row r="4012" spans="1:41" ht="15">
      <c r="A4012"/>
      <c r="B4012"/>
      <c r="C4012" s="137"/>
      <c r="D4012" s="30"/>
      <c r="E4012" s="30"/>
      <c r="F4012" s="10"/>
      <c r="G4012" s="10"/>
      <c r="H4012" s="15"/>
      <c r="I4012" s="15"/>
      <c r="J4012" s="15"/>
      <c r="K4012" s="15"/>
      <c r="L4012" s="15"/>
      <c r="M4012" s="15"/>
      <c r="N4012" s="15"/>
      <c r="O4012" s="15"/>
      <c r="P4012" s="15"/>
      <c r="Q4012" s="71"/>
      <c r="R4012" s="84"/>
      <c r="S4012" s="10"/>
      <c r="T4012" s="10"/>
      <c r="U4012" s="10"/>
      <c r="V4012" s="10"/>
      <c r="W4012" s="138"/>
      <c r="Y4012"/>
      <c r="Z4012"/>
      <c r="AA4012"/>
      <c r="AB4012"/>
      <c r="AC4012"/>
      <c r="AD4012"/>
      <c r="AE4012"/>
      <c r="AF4012"/>
      <c r="AG4012"/>
      <c r="AH4012"/>
      <c r="AI4012"/>
      <c r="AJ4012"/>
      <c r="AK4012"/>
      <c r="AL4012"/>
      <c r="AM4012"/>
      <c r="AN4012"/>
      <c r="AO4012"/>
    </row>
    <row r="4013" spans="1:41" ht="15">
      <c r="A4013"/>
      <c r="B4013"/>
      <c r="C4013" s="137"/>
      <c r="D4013" s="30"/>
      <c r="E4013" s="30"/>
      <c r="F4013" s="10"/>
      <c r="G4013" s="10"/>
      <c r="H4013" s="15"/>
      <c r="I4013" s="15"/>
      <c r="J4013" s="15"/>
      <c r="K4013" s="15"/>
      <c r="L4013" s="15"/>
      <c r="M4013" s="15"/>
      <c r="N4013" s="15"/>
      <c r="O4013" s="15"/>
      <c r="P4013" s="15"/>
      <c r="Q4013" s="71"/>
      <c r="R4013" s="84"/>
      <c r="S4013" s="10"/>
      <c r="T4013" s="10"/>
      <c r="U4013" s="10"/>
      <c r="V4013" s="10"/>
      <c r="W4013" s="138"/>
      <c r="Y4013"/>
      <c r="Z4013"/>
      <c r="AA4013"/>
      <c r="AB4013"/>
      <c r="AC4013"/>
      <c r="AD4013"/>
      <c r="AE4013"/>
      <c r="AF4013"/>
      <c r="AG4013"/>
      <c r="AH4013"/>
      <c r="AI4013"/>
      <c r="AJ4013"/>
      <c r="AK4013"/>
      <c r="AL4013"/>
      <c r="AM4013"/>
      <c r="AN4013"/>
      <c r="AO4013"/>
    </row>
    <row r="4014" spans="1:41" ht="15">
      <c r="A4014"/>
      <c r="B4014"/>
      <c r="C4014" s="137"/>
      <c r="D4014" s="30"/>
      <c r="E4014" s="30"/>
      <c r="F4014" s="10"/>
      <c r="G4014" s="10"/>
      <c r="H4014" s="15"/>
      <c r="I4014" s="15"/>
      <c r="J4014" s="15"/>
      <c r="K4014" s="15"/>
      <c r="L4014" s="15"/>
      <c r="M4014" s="15"/>
      <c r="N4014" s="15"/>
      <c r="O4014" s="15"/>
      <c r="P4014" s="15"/>
      <c r="Q4014" s="71"/>
      <c r="R4014" s="84"/>
      <c r="S4014" s="10"/>
      <c r="T4014" s="10"/>
      <c r="U4014" s="10"/>
      <c r="V4014" s="10"/>
      <c r="W4014" s="138"/>
      <c r="Y4014"/>
      <c r="Z4014"/>
      <c r="AA4014"/>
      <c r="AB4014"/>
      <c r="AC4014"/>
      <c r="AD4014"/>
      <c r="AE4014"/>
      <c r="AF4014"/>
      <c r="AG4014"/>
      <c r="AH4014"/>
      <c r="AI4014"/>
      <c r="AJ4014"/>
      <c r="AK4014"/>
      <c r="AL4014"/>
      <c r="AM4014"/>
      <c r="AN4014"/>
      <c r="AO4014"/>
    </row>
    <row r="4015" spans="1:41" ht="15">
      <c r="A4015"/>
      <c r="B4015"/>
      <c r="C4015" s="137"/>
      <c r="D4015" s="30"/>
      <c r="E4015" s="30"/>
      <c r="F4015" s="10"/>
      <c r="G4015" s="10"/>
      <c r="H4015" s="15"/>
      <c r="I4015" s="15"/>
      <c r="J4015" s="15"/>
      <c r="K4015" s="15"/>
      <c r="L4015" s="15"/>
      <c r="M4015" s="15"/>
      <c r="N4015" s="15"/>
      <c r="O4015" s="15"/>
      <c r="P4015" s="15"/>
      <c r="Q4015" s="71"/>
      <c r="R4015" s="84"/>
      <c r="S4015" s="10"/>
      <c r="T4015" s="10"/>
      <c r="U4015" s="10"/>
      <c r="V4015" s="10"/>
      <c r="W4015" s="138"/>
      <c r="Y4015"/>
      <c r="Z4015"/>
      <c r="AA4015"/>
      <c r="AB4015"/>
      <c r="AC4015"/>
      <c r="AD4015"/>
      <c r="AE4015"/>
      <c r="AF4015"/>
      <c r="AG4015"/>
      <c r="AH4015"/>
      <c r="AI4015"/>
      <c r="AJ4015"/>
      <c r="AK4015"/>
      <c r="AL4015"/>
      <c r="AM4015"/>
      <c r="AN4015"/>
      <c r="AO4015"/>
    </row>
    <row r="4016" spans="1:41" ht="15">
      <c r="A4016"/>
      <c r="B4016"/>
      <c r="C4016" s="137"/>
      <c r="D4016" s="30"/>
      <c r="E4016" s="30"/>
      <c r="F4016" s="10"/>
      <c r="G4016" s="10"/>
      <c r="H4016" s="15"/>
      <c r="I4016" s="15"/>
      <c r="J4016" s="15"/>
      <c r="K4016" s="15"/>
      <c r="L4016" s="15"/>
      <c r="M4016" s="15"/>
      <c r="N4016" s="15"/>
      <c r="O4016" s="15"/>
      <c r="P4016" s="15"/>
      <c r="Q4016" s="71"/>
      <c r="R4016" s="84"/>
      <c r="S4016" s="10"/>
      <c r="T4016" s="10"/>
      <c r="U4016" s="10"/>
      <c r="V4016" s="10"/>
      <c r="W4016" s="138"/>
      <c r="Y4016"/>
      <c r="Z4016"/>
      <c r="AA4016"/>
      <c r="AB4016"/>
      <c r="AC4016"/>
      <c r="AD4016"/>
      <c r="AE4016"/>
      <c r="AF4016"/>
      <c r="AG4016"/>
      <c r="AH4016"/>
      <c r="AI4016"/>
      <c r="AJ4016"/>
      <c r="AK4016"/>
      <c r="AL4016"/>
      <c r="AM4016"/>
      <c r="AN4016"/>
      <c r="AO4016"/>
    </row>
    <row r="4017" spans="1:41" ht="15">
      <c r="A4017"/>
      <c r="B4017"/>
      <c r="C4017" s="137"/>
      <c r="D4017" s="30"/>
      <c r="E4017" s="30"/>
      <c r="F4017" s="10"/>
      <c r="G4017" s="10"/>
      <c r="H4017" s="15"/>
      <c r="I4017" s="15"/>
      <c r="J4017" s="15"/>
      <c r="K4017" s="15"/>
      <c r="L4017" s="15"/>
      <c r="M4017" s="15"/>
      <c r="N4017" s="15"/>
      <c r="O4017" s="15"/>
      <c r="P4017" s="15"/>
      <c r="Q4017" s="71"/>
      <c r="R4017" s="84"/>
      <c r="S4017" s="10"/>
      <c r="T4017" s="10"/>
      <c r="U4017" s="10"/>
      <c r="V4017" s="10"/>
      <c r="W4017" s="138"/>
      <c r="Y4017"/>
      <c r="Z4017"/>
      <c r="AA4017"/>
      <c r="AB4017"/>
      <c r="AC4017"/>
      <c r="AD4017"/>
      <c r="AE4017"/>
      <c r="AF4017"/>
      <c r="AG4017"/>
      <c r="AH4017"/>
      <c r="AI4017"/>
      <c r="AJ4017"/>
      <c r="AK4017"/>
      <c r="AL4017"/>
      <c r="AM4017"/>
      <c r="AN4017"/>
      <c r="AO4017"/>
    </row>
    <row r="4018" spans="1:41" ht="15">
      <c r="A4018"/>
      <c r="B4018"/>
      <c r="C4018" s="137"/>
      <c r="D4018" s="30"/>
      <c r="E4018" s="30"/>
      <c r="F4018" s="10"/>
      <c r="G4018" s="10"/>
      <c r="H4018" s="15"/>
      <c r="I4018" s="15"/>
      <c r="J4018" s="15"/>
      <c r="K4018" s="15"/>
      <c r="L4018" s="15"/>
      <c r="M4018" s="15"/>
      <c r="N4018" s="15"/>
      <c r="O4018" s="15"/>
      <c r="P4018" s="15"/>
      <c r="Q4018" s="71"/>
      <c r="R4018" s="84"/>
      <c r="S4018" s="10"/>
      <c r="T4018" s="10"/>
      <c r="U4018" s="10"/>
      <c r="V4018" s="10"/>
      <c r="W4018" s="138"/>
      <c r="Y4018"/>
      <c r="Z4018"/>
      <c r="AA4018"/>
      <c r="AB4018"/>
      <c r="AC4018"/>
      <c r="AD4018"/>
      <c r="AE4018"/>
      <c r="AF4018"/>
      <c r="AG4018"/>
      <c r="AH4018"/>
      <c r="AI4018"/>
      <c r="AJ4018"/>
      <c r="AK4018"/>
      <c r="AL4018"/>
      <c r="AM4018"/>
      <c r="AN4018"/>
      <c r="AO4018"/>
    </row>
    <row r="4019" spans="1:41" ht="15">
      <c r="A4019"/>
      <c r="B4019"/>
      <c r="C4019" s="137"/>
      <c r="D4019" s="30"/>
      <c r="E4019" s="30"/>
      <c r="F4019" s="10"/>
      <c r="G4019" s="10"/>
      <c r="H4019" s="15"/>
      <c r="I4019" s="15"/>
      <c r="J4019" s="15"/>
      <c r="K4019" s="15"/>
      <c r="L4019" s="15"/>
      <c r="M4019" s="15"/>
      <c r="N4019" s="15"/>
      <c r="O4019" s="15"/>
      <c r="P4019" s="15"/>
      <c r="Q4019" s="71"/>
      <c r="R4019" s="84"/>
      <c r="S4019" s="10"/>
      <c r="T4019" s="10"/>
      <c r="U4019" s="10"/>
      <c r="V4019" s="10"/>
      <c r="W4019" s="138"/>
      <c r="Y4019"/>
      <c r="Z4019"/>
      <c r="AA4019"/>
      <c r="AB4019"/>
      <c r="AC4019"/>
      <c r="AD4019"/>
      <c r="AE4019"/>
      <c r="AF4019"/>
      <c r="AG4019"/>
      <c r="AH4019"/>
      <c r="AI4019"/>
      <c r="AJ4019"/>
      <c r="AK4019"/>
      <c r="AL4019"/>
      <c r="AM4019"/>
      <c r="AN4019"/>
      <c r="AO4019"/>
    </row>
    <row r="4020" spans="1:41" ht="15">
      <c r="A4020"/>
      <c r="B4020"/>
      <c r="C4020" s="137"/>
      <c r="D4020" s="30"/>
      <c r="E4020" s="30"/>
      <c r="F4020" s="10"/>
      <c r="G4020" s="10"/>
      <c r="H4020" s="15"/>
      <c r="I4020" s="15"/>
      <c r="J4020" s="15"/>
      <c r="K4020" s="15"/>
      <c r="L4020" s="15"/>
      <c r="M4020" s="15"/>
      <c r="N4020" s="15"/>
      <c r="O4020" s="15"/>
      <c r="P4020" s="15"/>
      <c r="Q4020" s="71"/>
      <c r="R4020" s="84"/>
      <c r="S4020" s="10"/>
      <c r="T4020" s="10"/>
      <c r="U4020" s="10"/>
      <c r="V4020" s="10"/>
      <c r="W4020" s="138"/>
      <c r="Y4020"/>
      <c r="Z4020"/>
      <c r="AA4020"/>
      <c r="AB4020"/>
      <c r="AC4020"/>
      <c r="AD4020"/>
      <c r="AE4020"/>
      <c r="AF4020"/>
      <c r="AG4020"/>
      <c r="AH4020"/>
      <c r="AI4020"/>
      <c r="AJ4020"/>
      <c r="AK4020"/>
      <c r="AL4020"/>
      <c r="AM4020"/>
      <c r="AN4020"/>
      <c r="AO4020"/>
    </row>
    <row r="4021" spans="1:41" ht="15">
      <c r="A4021"/>
      <c r="B4021"/>
      <c r="C4021" s="137"/>
      <c r="D4021" s="30"/>
      <c r="E4021" s="30"/>
      <c r="F4021" s="10"/>
      <c r="G4021" s="10"/>
      <c r="H4021" s="15"/>
      <c r="I4021" s="15"/>
      <c r="J4021" s="15"/>
      <c r="K4021" s="15"/>
      <c r="L4021" s="15"/>
      <c r="M4021" s="15"/>
      <c r="N4021" s="15"/>
      <c r="O4021" s="15"/>
      <c r="P4021" s="15"/>
      <c r="Q4021" s="71"/>
      <c r="R4021" s="84"/>
      <c r="S4021" s="10"/>
      <c r="T4021" s="10"/>
      <c r="U4021" s="10"/>
      <c r="V4021" s="10"/>
      <c r="W4021" s="138"/>
      <c r="Y4021"/>
      <c r="Z4021"/>
      <c r="AA4021"/>
      <c r="AB4021"/>
      <c r="AC4021"/>
      <c r="AD4021"/>
      <c r="AE4021"/>
      <c r="AF4021"/>
      <c r="AG4021"/>
      <c r="AH4021"/>
      <c r="AI4021"/>
      <c r="AJ4021"/>
      <c r="AK4021"/>
      <c r="AL4021"/>
      <c r="AM4021"/>
      <c r="AN4021"/>
      <c r="AO4021"/>
    </row>
    <row r="4022" spans="1:41" ht="15">
      <c r="A4022"/>
      <c r="B4022"/>
      <c r="C4022" s="137"/>
      <c r="D4022" s="30"/>
      <c r="E4022" s="30"/>
      <c r="F4022" s="10"/>
      <c r="G4022" s="10"/>
      <c r="H4022" s="15"/>
      <c r="I4022" s="15"/>
      <c r="J4022" s="15"/>
      <c r="K4022" s="15"/>
      <c r="L4022" s="15"/>
      <c r="M4022" s="15"/>
      <c r="N4022" s="15"/>
      <c r="O4022" s="15"/>
      <c r="P4022" s="15"/>
      <c r="Q4022" s="71"/>
      <c r="R4022" s="84"/>
      <c r="S4022" s="10"/>
      <c r="T4022" s="10"/>
      <c r="U4022" s="10"/>
      <c r="V4022" s="10"/>
      <c r="W4022" s="138"/>
      <c r="Y4022"/>
      <c r="Z4022"/>
      <c r="AA4022"/>
      <c r="AB4022"/>
      <c r="AC4022"/>
      <c r="AD4022"/>
      <c r="AE4022"/>
      <c r="AF4022"/>
      <c r="AG4022"/>
      <c r="AH4022"/>
      <c r="AI4022"/>
      <c r="AJ4022"/>
      <c r="AK4022"/>
      <c r="AL4022"/>
      <c r="AM4022"/>
      <c r="AN4022"/>
      <c r="AO4022"/>
    </row>
    <row r="4023" spans="1:41" ht="15">
      <c r="A4023"/>
      <c r="B4023"/>
      <c r="C4023" s="137"/>
      <c r="D4023" s="30"/>
      <c r="E4023" s="30"/>
      <c r="F4023" s="10"/>
      <c r="G4023" s="10"/>
      <c r="H4023" s="15"/>
      <c r="I4023" s="15"/>
      <c r="J4023" s="15"/>
      <c r="K4023" s="15"/>
      <c r="L4023" s="15"/>
      <c r="M4023" s="15"/>
      <c r="N4023" s="15"/>
      <c r="O4023" s="15"/>
      <c r="P4023" s="15"/>
      <c r="Q4023" s="71"/>
      <c r="R4023" s="84"/>
      <c r="S4023" s="10"/>
      <c r="T4023" s="10"/>
      <c r="U4023" s="10"/>
      <c r="V4023" s="10"/>
      <c r="W4023" s="138"/>
      <c r="Y4023"/>
      <c r="Z4023"/>
      <c r="AA4023"/>
      <c r="AB4023"/>
      <c r="AC4023"/>
      <c r="AD4023"/>
      <c r="AE4023"/>
      <c r="AF4023"/>
      <c r="AG4023"/>
      <c r="AH4023"/>
      <c r="AI4023"/>
      <c r="AJ4023"/>
      <c r="AK4023"/>
      <c r="AL4023"/>
      <c r="AM4023"/>
      <c r="AN4023"/>
      <c r="AO4023"/>
    </row>
    <row r="4024" spans="1:41" ht="15">
      <c r="A4024"/>
      <c r="B4024"/>
      <c r="C4024" s="137"/>
      <c r="D4024" s="30"/>
      <c r="E4024" s="30"/>
      <c r="F4024" s="10"/>
      <c r="G4024" s="10"/>
      <c r="H4024" s="15"/>
      <c r="I4024" s="15"/>
      <c r="J4024" s="15"/>
      <c r="K4024" s="15"/>
      <c r="L4024" s="15"/>
      <c r="M4024" s="15"/>
      <c r="N4024" s="15"/>
      <c r="O4024" s="15"/>
      <c r="P4024" s="15"/>
      <c r="Q4024" s="71"/>
      <c r="R4024" s="84"/>
      <c r="S4024" s="10"/>
      <c r="T4024" s="10"/>
      <c r="U4024" s="10"/>
      <c r="V4024" s="10"/>
      <c r="W4024" s="138"/>
      <c r="Y4024"/>
      <c r="Z4024"/>
      <c r="AA4024"/>
      <c r="AB4024"/>
      <c r="AC4024"/>
      <c r="AD4024"/>
      <c r="AE4024"/>
      <c r="AF4024"/>
      <c r="AG4024"/>
      <c r="AH4024"/>
      <c r="AI4024"/>
      <c r="AJ4024"/>
      <c r="AK4024"/>
      <c r="AL4024"/>
      <c r="AM4024"/>
      <c r="AN4024"/>
      <c r="AO4024"/>
    </row>
    <row r="4025" spans="1:41" ht="15">
      <c r="A4025"/>
      <c r="B4025"/>
      <c r="C4025" s="137"/>
      <c r="D4025" s="30"/>
      <c r="E4025" s="30"/>
      <c r="F4025" s="10"/>
      <c r="G4025" s="10"/>
      <c r="H4025" s="15"/>
      <c r="I4025" s="15"/>
      <c r="J4025" s="15"/>
      <c r="K4025" s="15"/>
      <c r="L4025" s="15"/>
      <c r="M4025" s="15"/>
      <c r="N4025" s="15"/>
      <c r="O4025" s="15"/>
      <c r="P4025" s="15"/>
      <c r="Q4025" s="71"/>
      <c r="R4025" s="84"/>
      <c r="S4025" s="10"/>
      <c r="T4025" s="10"/>
      <c r="U4025" s="10"/>
      <c r="V4025" s="10"/>
      <c r="W4025" s="138"/>
      <c r="Y4025"/>
      <c r="Z4025"/>
      <c r="AA4025"/>
      <c r="AB4025"/>
      <c r="AC4025"/>
      <c r="AD4025"/>
      <c r="AE4025"/>
      <c r="AF4025"/>
      <c r="AG4025"/>
      <c r="AH4025"/>
      <c r="AI4025"/>
      <c r="AJ4025"/>
      <c r="AK4025"/>
      <c r="AL4025"/>
      <c r="AM4025"/>
      <c r="AN4025"/>
      <c r="AO4025"/>
    </row>
    <row r="4026" spans="1:41" ht="15">
      <c r="A4026"/>
      <c r="B4026"/>
      <c r="C4026" s="137"/>
      <c r="D4026" s="30"/>
      <c r="E4026" s="30"/>
      <c r="F4026" s="10"/>
      <c r="G4026" s="10"/>
      <c r="H4026" s="15"/>
      <c r="I4026" s="15"/>
      <c r="J4026" s="15"/>
      <c r="K4026" s="15"/>
      <c r="L4026" s="15"/>
      <c r="M4026" s="15"/>
      <c r="N4026" s="15"/>
      <c r="O4026" s="15"/>
      <c r="P4026" s="15"/>
      <c r="Q4026" s="71"/>
      <c r="R4026" s="84"/>
      <c r="S4026" s="10"/>
      <c r="T4026" s="10"/>
      <c r="U4026" s="10"/>
      <c r="V4026" s="10"/>
      <c r="W4026" s="138"/>
      <c r="Y4026"/>
      <c r="Z4026"/>
      <c r="AA4026"/>
      <c r="AB4026"/>
      <c r="AC4026"/>
      <c r="AD4026"/>
      <c r="AE4026"/>
      <c r="AF4026"/>
      <c r="AG4026"/>
      <c r="AH4026"/>
      <c r="AI4026"/>
      <c r="AJ4026"/>
      <c r="AK4026"/>
      <c r="AL4026"/>
      <c r="AM4026"/>
      <c r="AN4026"/>
      <c r="AO4026"/>
    </row>
    <row r="4027" spans="1:41" ht="15">
      <c r="A4027"/>
      <c r="B4027"/>
      <c r="C4027" s="137"/>
      <c r="D4027" s="30"/>
      <c r="E4027" s="30"/>
      <c r="F4027" s="10"/>
      <c r="G4027" s="10"/>
      <c r="H4027" s="15"/>
      <c r="I4027" s="15"/>
      <c r="J4027" s="15"/>
      <c r="K4027" s="15"/>
      <c r="L4027" s="15"/>
      <c r="M4027" s="15"/>
      <c r="N4027" s="15"/>
      <c r="O4027" s="15"/>
      <c r="P4027" s="15"/>
      <c r="Q4027" s="71"/>
      <c r="R4027" s="84"/>
      <c r="S4027" s="10"/>
      <c r="T4027" s="10"/>
      <c r="U4027" s="10"/>
      <c r="V4027" s="10"/>
      <c r="W4027" s="138"/>
      <c r="Y4027"/>
      <c r="Z4027"/>
      <c r="AA4027"/>
      <c r="AB4027"/>
      <c r="AC4027"/>
      <c r="AD4027"/>
      <c r="AE4027"/>
      <c r="AF4027"/>
      <c r="AG4027"/>
      <c r="AH4027"/>
      <c r="AI4027"/>
      <c r="AJ4027"/>
      <c r="AK4027"/>
      <c r="AL4027"/>
      <c r="AM4027"/>
      <c r="AN4027"/>
      <c r="AO4027"/>
    </row>
    <row r="4028" spans="1:41" ht="15">
      <c r="A4028"/>
      <c r="B4028"/>
      <c r="C4028" s="137"/>
      <c r="D4028" s="30"/>
      <c r="E4028" s="30"/>
      <c r="F4028" s="10"/>
      <c r="G4028" s="10"/>
      <c r="H4028" s="15"/>
      <c r="I4028" s="15"/>
      <c r="J4028" s="15"/>
      <c r="K4028" s="15"/>
      <c r="L4028" s="15"/>
      <c r="M4028" s="15"/>
      <c r="N4028" s="15"/>
      <c r="O4028" s="15"/>
      <c r="P4028" s="15"/>
      <c r="Q4028" s="71"/>
      <c r="R4028" s="84"/>
      <c r="S4028" s="10"/>
      <c r="T4028" s="10"/>
      <c r="U4028" s="10"/>
      <c r="V4028" s="10"/>
      <c r="W4028" s="138"/>
      <c r="Y4028"/>
      <c r="Z4028"/>
      <c r="AA4028"/>
      <c r="AB4028"/>
      <c r="AC4028"/>
      <c r="AD4028"/>
      <c r="AE4028"/>
      <c r="AF4028"/>
      <c r="AG4028"/>
      <c r="AH4028"/>
      <c r="AI4028"/>
      <c r="AJ4028"/>
      <c r="AK4028"/>
      <c r="AL4028"/>
      <c r="AM4028"/>
      <c r="AN4028"/>
      <c r="AO4028"/>
    </row>
    <row r="4029" spans="1:41" ht="15">
      <c r="A4029"/>
      <c r="B4029"/>
      <c r="C4029" s="137"/>
      <c r="D4029" s="30"/>
      <c r="E4029" s="30"/>
      <c r="F4029" s="10"/>
      <c r="G4029" s="10"/>
      <c r="H4029" s="15"/>
      <c r="I4029" s="15"/>
      <c r="J4029" s="15"/>
      <c r="K4029" s="15"/>
      <c r="L4029" s="15"/>
      <c r="M4029" s="15"/>
      <c r="N4029" s="15"/>
      <c r="O4029" s="15"/>
      <c r="P4029" s="15"/>
      <c r="Q4029" s="71"/>
      <c r="R4029" s="84"/>
      <c r="S4029" s="10"/>
      <c r="T4029" s="10"/>
      <c r="U4029" s="10"/>
      <c r="V4029" s="10"/>
      <c r="W4029" s="138"/>
      <c r="Y4029"/>
      <c r="Z4029"/>
      <c r="AA4029"/>
      <c r="AB4029"/>
      <c r="AC4029"/>
      <c r="AD4029"/>
      <c r="AE4029"/>
      <c r="AF4029"/>
      <c r="AG4029"/>
      <c r="AH4029"/>
      <c r="AI4029"/>
      <c r="AJ4029"/>
      <c r="AK4029"/>
      <c r="AL4029"/>
      <c r="AM4029"/>
      <c r="AN4029"/>
      <c r="AO4029"/>
    </row>
    <row r="4030" spans="1:41" ht="15">
      <c r="A4030"/>
      <c r="B4030"/>
      <c r="C4030" s="137"/>
      <c r="D4030" s="30"/>
      <c r="E4030" s="30"/>
      <c r="F4030" s="10"/>
      <c r="G4030" s="10"/>
      <c r="H4030" s="15"/>
      <c r="I4030" s="15"/>
      <c r="J4030" s="15"/>
      <c r="K4030" s="15"/>
      <c r="L4030" s="15"/>
      <c r="M4030" s="15"/>
      <c r="N4030" s="15"/>
      <c r="O4030" s="15"/>
      <c r="P4030" s="15"/>
      <c r="Q4030" s="71"/>
      <c r="R4030" s="84"/>
      <c r="S4030" s="10"/>
      <c r="T4030" s="10"/>
      <c r="U4030" s="10"/>
      <c r="V4030" s="10"/>
      <c r="W4030" s="138"/>
      <c r="Y4030"/>
      <c r="Z4030"/>
      <c r="AA4030"/>
      <c r="AB4030"/>
      <c r="AC4030"/>
      <c r="AD4030"/>
      <c r="AE4030"/>
      <c r="AF4030"/>
      <c r="AG4030"/>
      <c r="AH4030"/>
      <c r="AI4030"/>
      <c r="AJ4030"/>
      <c r="AK4030"/>
      <c r="AL4030"/>
      <c r="AM4030"/>
      <c r="AN4030"/>
      <c r="AO4030"/>
    </row>
    <row r="4031" spans="1:41" ht="15">
      <c r="A4031"/>
      <c r="B4031"/>
      <c r="C4031" s="137"/>
      <c r="D4031" s="30"/>
      <c r="E4031" s="30"/>
      <c r="F4031" s="10"/>
      <c r="G4031" s="10"/>
      <c r="H4031" s="15"/>
      <c r="I4031" s="15"/>
      <c r="J4031" s="15"/>
      <c r="K4031" s="15"/>
      <c r="L4031" s="15"/>
      <c r="M4031" s="15"/>
      <c r="N4031" s="15"/>
      <c r="O4031" s="15"/>
      <c r="P4031" s="15"/>
      <c r="Q4031" s="71"/>
      <c r="R4031" s="84"/>
      <c r="S4031" s="10"/>
      <c r="T4031" s="10"/>
      <c r="U4031" s="10"/>
      <c r="V4031" s="10"/>
      <c r="W4031" s="138"/>
      <c r="Y4031"/>
      <c r="Z4031"/>
      <c r="AA4031"/>
      <c r="AB4031"/>
      <c r="AC4031"/>
      <c r="AD4031"/>
      <c r="AE4031"/>
      <c r="AF4031"/>
      <c r="AG4031"/>
      <c r="AH4031"/>
      <c r="AI4031"/>
      <c r="AJ4031"/>
      <c r="AK4031"/>
      <c r="AL4031"/>
      <c r="AM4031"/>
      <c r="AN4031"/>
      <c r="AO4031"/>
    </row>
    <row r="4032" spans="1:41" ht="15">
      <c r="A4032"/>
      <c r="B4032"/>
      <c r="C4032" s="137"/>
      <c r="D4032" s="30"/>
      <c r="E4032" s="30"/>
      <c r="F4032" s="10"/>
      <c r="G4032" s="10"/>
      <c r="H4032" s="15"/>
      <c r="I4032" s="15"/>
      <c r="J4032" s="15"/>
      <c r="K4032" s="15"/>
      <c r="L4032" s="15"/>
      <c r="M4032" s="15"/>
      <c r="N4032" s="15"/>
      <c r="O4032" s="15"/>
      <c r="P4032" s="15"/>
      <c r="Q4032" s="71"/>
      <c r="R4032" s="84"/>
      <c r="S4032" s="10"/>
      <c r="T4032" s="10"/>
      <c r="U4032" s="10"/>
      <c r="V4032" s="10"/>
      <c r="W4032" s="138"/>
      <c r="Y4032"/>
      <c r="Z4032"/>
      <c r="AA4032"/>
      <c r="AB4032"/>
      <c r="AC4032"/>
      <c r="AD4032"/>
      <c r="AE4032"/>
      <c r="AF4032"/>
      <c r="AG4032"/>
      <c r="AH4032"/>
      <c r="AI4032"/>
      <c r="AJ4032"/>
      <c r="AK4032"/>
      <c r="AL4032"/>
      <c r="AM4032"/>
      <c r="AN4032"/>
      <c r="AO4032"/>
    </row>
    <row r="4033" spans="1:41" ht="15">
      <c r="A4033"/>
      <c r="B4033"/>
      <c r="C4033" s="137"/>
      <c r="D4033" s="30"/>
      <c r="E4033" s="30"/>
      <c r="F4033" s="10"/>
      <c r="G4033" s="10"/>
      <c r="H4033" s="15"/>
      <c r="I4033" s="15"/>
      <c r="J4033" s="15"/>
      <c r="K4033" s="15"/>
      <c r="L4033" s="15"/>
      <c r="M4033" s="15"/>
      <c r="N4033" s="15"/>
      <c r="O4033" s="15"/>
      <c r="P4033" s="15"/>
      <c r="Q4033" s="71"/>
      <c r="R4033" s="84"/>
      <c r="S4033" s="10"/>
      <c r="T4033" s="10"/>
      <c r="U4033" s="10"/>
      <c r="V4033" s="10"/>
      <c r="W4033" s="138"/>
      <c r="Y4033"/>
      <c r="Z4033"/>
      <c r="AA4033"/>
      <c r="AB4033"/>
      <c r="AC4033"/>
      <c r="AD4033"/>
      <c r="AE4033"/>
      <c r="AF4033"/>
      <c r="AG4033"/>
      <c r="AH4033"/>
      <c r="AI4033"/>
      <c r="AJ4033"/>
      <c r="AK4033"/>
      <c r="AL4033"/>
      <c r="AM4033"/>
      <c r="AN4033"/>
      <c r="AO4033"/>
    </row>
    <row r="4034" spans="1:41" ht="15">
      <c r="A4034"/>
      <c r="B4034"/>
      <c r="C4034" s="137"/>
      <c r="D4034" s="30"/>
      <c r="E4034" s="30"/>
      <c r="F4034" s="10"/>
      <c r="G4034" s="10"/>
      <c r="H4034" s="15"/>
      <c r="I4034" s="15"/>
      <c r="J4034" s="15"/>
      <c r="K4034" s="15"/>
      <c r="L4034" s="15"/>
      <c r="M4034" s="15"/>
      <c r="N4034" s="15"/>
      <c r="O4034" s="15"/>
      <c r="P4034" s="15"/>
      <c r="Q4034" s="71"/>
      <c r="R4034" s="84"/>
      <c r="S4034" s="10"/>
      <c r="T4034" s="10"/>
      <c r="U4034" s="10"/>
      <c r="V4034" s="10"/>
      <c r="W4034" s="138"/>
      <c r="Y4034"/>
      <c r="Z4034"/>
      <c r="AA4034"/>
      <c r="AB4034"/>
      <c r="AC4034"/>
      <c r="AD4034"/>
      <c r="AE4034"/>
      <c r="AF4034"/>
      <c r="AG4034"/>
      <c r="AH4034"/>
      <c r="AI4034"/>
      <c r="AJ4034"/>
      <c r="AK4034"/>
      <c r="AL4034"/>
      <c r="AM4034"/>
      <c r="AN4034"/>
      <c r="AO4034"/>
    </row>
    <row r="4035" spans="1:41" ht="15">
      <c r="A4035"/>
      <c r="B4035"/>
      <c r="C4035" s="137"/>
      <c r="D4035" s="30"/>
      <c r="E4035" s="30"/>
      <c r="F4035" s="10"/>
      <c r="G4035" s="10"/>
      <c r="H4035" s="15"/>
      <c r="I4035" s="15"/>
      <c r="J4035" s="15"/>
      <c r="K4035" s="15"/>
      <c r="L4035" s="15"/>
      <c r="M4035" s="15"/>
      <c r="N4035" s="15"/>
      <c r="O4035" s="15"/>
      <c r="P4035" s="15"/>
      <c r="Q4035" s="71"/>
      <c r="R4035" s="84"/>
      <c r="S4035" s="10"/>
      <c r="T4035" s="10"/>
      <c r="U4035" s="10"/>
      <c r="V4035" s="10"/>
      <c r="W4035" s="138"/>
      <c r="Y4035"/>
      <c r="Z4035"/>
      <c r="AA4035"/>
      <c r="AB4035"/>
      <c r="AC4035"/>
      <c r="AD4035"/>
      <c r="AE4035"/>
      <c r="AF4035"/>
      <c r="AG4035"/>
      <c r="AH4035"/>
      <c r="AI4035"/>
      <c r="AJ4035"/>
      <c r="AK4035"/>
      <c r="AL4035"/>
      <c r="AM4035"/>
      <c r="AN4035"/>
      <c r="AO4035"/>
    </row>
    <row r="4036" spans="1:41" ht="15">
      <c r="A4036"/>
      <c r="B4036"/>
      <c r="C4036" s="137"/>
      <c r="D4036" s="30"/>
      <c r="E4036" s="30"/>
      <c r="F4036" s="10"/>
      <c r="G4036" s="10"/>
      <c r="H4036" s="15"/>
      <c r="I4036" s="15"/>
      <c r="J4036" s="15"/>
      <c r="K4036" s="15"/>
      <c r="L4036" s="15"/>
      <c r="M4036" s="15"/>
      <c r="N4036" s="15"/>
      <c r="O4036" s="15"/>
      <c r="P4036" s="15"/>
      <c r="Q4036" s="71"/>
      <c r="R4036" s="84"/>
      <c r="S4036" s="10"/>
      <c r="T4036" s="10"/>
      <c r="U4036" s="10"/>
      <c r="V4036" s="10"/>
      <c r="W4036" s="138"/>
      <c r="Y4036"/>
      <c r="Z4036"/>
      <c r="AA4036"/>
      <c r="AB4036"/>
      <c r="AC4036"/>
      <c r="AD4036"/>
      <c r="AE4036"/>
      <c r="AF4036"/>
      <c r="AG4036"/>
      <c r="AH4036"/>
      <c r="AI4036"/>
      <c r="AJ4036"/>
      <c r="AK4036"/>
      <c r="AL4036"/>
      <c r="AM4036"/>
      <c r="AN4036"/>
      <c r="AO4036"/>
    </row>
    <row r="4037" spans="1:41" ht="15">
      <c r="A4037"/>
      <c r="B4037"/>
      <c r="C4037" s="137"/>
      <c r="D4037" s="30"/>
      <c r="E4037" s="30"/>
      <c r="F4037" s="10"/>
      <c r="G4037" s="10"/>
      <c r="H4037" s="15"/>
      <c r="I4037" s="15"/>
      <c r="J4037" s="15"/>
      <c r="K4037" s="15"/>
      <c r="L4037" s="15"/>
      <c r="M4037" s="15"/>
      <c r="N4037" s="15"/>
      <c r="O4037" s="15"/>
      <c r="P4037" s="15"/>
      <c r="Q4037" s="71"/>
      <c r="R4037" s="84"/>
      <c r="S4037" s="10"/>
      <c r="T4037" s="10"/>
      <c r="U4037" s="10"/>
      <c r="V4037" s="10"/>
      <c r="W4037" s="138"/>
      <c r="Y4037"/>
      <c r="Z4037"/>
      <c r="AA4037"/>
      <c r="AB4037"/>
      <c r="AC4037"/>
      <c r="AD4037"/>
      <c r="AE4037"/>
      <c r="AF4037"/>
      <c r="AG4037"/>
      <c r="AH4037"/>
      <c r="AI4037"/>
      <c r="AJ4037"/>
      <c r="AK4037"/>
      <c r="AL4037"/>
      <c r="AM4037"/>
      <c r="AN4037"/>
      <c r="AO4037"/>
    </row>
    <row r="4038" spans="1:41" ht="15">
      <c r="A4038"/>
      <c r="B4038"/>
      <c r="C4038" s="137"/>
      <c r="D4038" s="30"/>
      <c r="E4038" s="30"/>
      <c r="F4038" s="10"/>
      <c r="G4038" s="10"/>
      <c r="H4038" s="15"/>
      <c r="I4038" s="15"/>
      <c r="J4038" s="15"/>
      <c r="K4038" s="15"/>
      <c r="L4038" s="15"/>
      <c r="M4038" s="15"/>
      <c r="N4038" s="15"/>
      <c r="O4038" s="15"/>
      <c r="P4038" s="15"/>
      <c r="Q4038" s="71"/>
      <c r="R4038" s="84"/>
      <c r="S4038" s="10"/>
      <c r="T4038" s="10"/>
      <c r="U4038" s="10"/>
      <c r="V4038" s="10"/>
      <c r="W4038" s="138"/>
      <c r="Y4038"/>
      <c r="Z4038"/>
      <c r="AA4038"/>
      <c r="AB4038"/>
      <c r="AC4038"/>
      <c r="AD4038"/>
      <c r="AE4038"/>
      <c r="AF4038"/>
      <c r="AG4038"/>
      <c r="AH4038"/>
      <c r="AI4038"/>
      <c r="AJ4038"/>
      <c r="AK4038"/>
      <c r="AL4038"/>
      <c r="AM4038"/>
      <c r="AN4038"/>
      <c r="AO4038"/>
    </row>
    <row r="4039" spans="1:41" ht="15">
      <c r="A4039"/>
      <c r="B4039"/>
      <c r="C4039" s="137"/>
      <c r="D4039" s="30"/>
      <c r="E4039" s="30"/>
      <c r="F4039" s="10"/>
      <c r="G4039" s="10"/>
      <c r="H4039" s="15"/>
      <c r="I4039" s="15"/>
      <c r="J4039" s="15"/>
      <c r="K4039" s="15"/>
      <c r="L4039" s="15"/>
      <c r="M4039" s="15"/>
      <c r="N4039" s="15"/>
      <c r="O4039" s="15"/>
      <c r="P4039" s="15"/>
      <c r="Q4039" s="71"/>
      <c r="R4039" s="84"/>
      <c r="S4039" s="10"/>
      <c r="T4039" s="10"/>
      <c r="U4039" s="10"/>
      <c r="V4039" s="10"/>
      <c r="W4039" s="138"/>
      <c r="Y4039"/>
      <c r="Z4039"/>
      <c r="AA4039"/>
      <c r="AB4039"/>
      <c r="AC4039"/>
      <c r="AD4039"/>
      <c r="AE4039"/>
      <c r="AF4039"/>
      <c r="AG4039"/>
      <c r="AH4039"/>
      <c r="AI4039"/>
      <c r="AJ4039"/>
      <c r="AK4039"/>
      <c r="AL4039"/>
      <c r="AM4039"/>
      <c r="AN4039"/>
      <c r="AO4039"/>
    </row>
    <row r="4040" spans="1:41" ht="15">
      <c r="A4040"/>
      <c r="B4040"/>
      <c r="C4040" s="137"/>
      <c r="D4040" s="30"/>
      <c r="E4040" s="30"/>
      <c r="F4040" s="10"/>
      <c r="G4040" s="10"/>
      <c r="H4040" s="15"/>
      <c r="I4040" s="15"/>
      <c r="J4040" s="15"/>
      <c r="K4040" s="15"/>
      <c r="L4040" s="15"/>
      <c r="M4040" s="15"/>
      <c r="N4040" s="15"/>
      <c r="O4040" s="15"/>
      <c r="P4040" s="15"/>
      <c r="Q4040" s="71"/>
      <c r="R4040" s="84"/>
      <c r="S4040" s="10"/>
      <c r="T4040" s="10"/>
      <c r="U4040" s="10"/>
      <c r="V4040" s="10"/>
      <c r="W4040" s="138"/>
      <c r="Y4040"/>
      <c r="Z4040"/>
      <c r="AA4040"/>
      <c r="AB4040"/>
      <c r="AC4040"/>
      <c r="AD4040"/>
      <c r="AE4040"/>
      <c r="AF4040"/>
      <c r="AG4040"/>
      <c r="AH4040"/>
      <c r="AI4040"/>
      <c r="AJ4040"/>
      <c r="AK4040"/>
      <c r="AL4040"/>
      <c r="AM4040"/>
      <c r="AN4040"/>
      <c r="AO4040"/>
    </row>
    <row r="4041" spans="1:41" ht="15">
      <c r="A4041"/>
      <c r="B4041"/>
      <c r="C4041" s="137"/>
      <c r="D4041" s="30"/>
      <c r="E4041" s="30"/>
      <c r="F4041" s="10"/>
      <c r="G4041" s="10"/>
      <c r="H4041" s="15"/>
      <c r="I4041" s="15"/>
      <c r="J4041" s="15"/>
      <c r="K4041" s="15"/>
      <c r="L4041" s="15"/>
      <c r="M4041" s="15"/>
      <c r="N4041" s="15"/>
      <c r="O4041" s="15"/>
      <c r="P4041" s="15"/>
      <c r="Q4041" s="71"/>
      <c r="R4041" s="84"/>
      <c r="S4041" s="10"/>
      <c r="T4041" s="10"/>
      <c r="U4041" s="10"/>
      <c r="V4041" s="10"/>
      <c r="W4041" s="138"/>
      <c r="Y4041"/>
      <c r="Z4041"/>
      <c r="AA4041"/>
      <c r="AB4041"/>
      <c r="AC4041"/>
      <c r="AD4041"/>
      <c r="AE4041"/>
      <c r="AF4041"/>
      <c r="AG4041"/>
      <c r="AH4041"/>
      <c r="AI4041"/>
      <c r="AJ4041"/>
      <c r="AK4041"/>
      <c r="AL4041"/>
      <c r="AM4041"/>
      <c r="AN4041"/>
      <c r="AO4041"/>
    </row>
    <row r="4042" spans="1:41" ht="15">
      <c r="A4042"/>
      <c r="B4042"/>
      <c r="C4042" s="137"/>
      <c r="D4042" s="30"/>
      <c r="E4042" s="30"/>
      <c r="F4042" s="10"/>
      <c r="G4042" s="10"/>
      <c r="H4042" s="15"/>
      <c r="I4042" s="15"/>
      <c r="J4042" s="15"/>
      <c r="K4042" s="15"/>
      <c r="L4042" s="15"/>
      <c r="M4042" s="15"/>
      <c r="N4042" s="15"/>
      <c r="O4042" s="15"/>
      <c r="P4042" s="15"/>
      <c r="Q4042" s="71"/>
      <c r="R4042" s="84"/>
      <c r="S4042" s="10"/>
      <c r="T4042" s="10"/>
      <c r="U4042" s="10"/>
      <c r="V4042" s="10"/>
      <c r="W4042" s="138"/>
      <c r="Y4042"/>
      <c r="Z4042"/>
      <c r="AA4042"/>
      <c r="AB4042"/>
      <c r="AC4042"/>
      <c r="AD4042"/>
      <c r="AE4042"/>
      <c r="AF4042"/>
      <c r="AG4042"/>
      <c r="AH4042"/>
      <c r="AI4042"/>
      <c r="AJ4042"/>
      <c r="AK4042"/>
      <c r="AL4042"/>
      <c r="AM4042"/>
      <c r="AN4042"/>
      <c r="AO4042"/>
    </row>
    <row r="4043" spans="1:41" ht="15">
      <c r="A4043"/>
      <c r="B4043"/>
      <c r="C4043" s="137"/>
      <c r="D4043" s="30"/>
      <c r="E4043" s="30"/>
      <c r="F4043" s="10"/>
      <c r="G4043" s="10"/>
      <c r="H4043" s="15"/>
      <c r="I4043" s="15"/>
      <c r="J4043" s="15"/>
      <c r="K4043" s="15"/>
      <c r="L4043" s="15"/>
      <c r="M4043" s="15"/>
      <c r="N4043" s="15"/>
      <c r="O4043" s="15"/>
      <c r="P4043" s="15"/>
      <c r="Q4043" s="71"/>
      <c r="R4043" s="84"/>
      <c r="S4043" s="10"/>
      <c r="T4043" s="10"/>
      <c r="U4043" s="10"/>
      <c r="V4043" s="10"/>
      <c r="W4043" s="138"/>
      <c r="Y4043"/>
      <c r="Z4043"/>
      <c r="AA4043"/>
      <c r="AB4043"/>
      <c r="AC4043"/>
      <c r="AD4043"/>
      <c r="AE4043"/>
      <c r="AF4043"/>
      <c r="AG4043"/>
      <c r="AH4043"/>
      <c r="AI4043"/>
      <c r="AJ4043"/>
      <c r="AK4043"/>
      <c r="AL4043"/>
      <c r="AM4043"/>
      <c r="AN4043"/>
      <c r="AO4043"/>
    </row>
    <row r="4044" spans="1:41" ht="15">
      <c r="A4044"/>
      <c r="B4044"/>
      <c r="C4044" s="137"/>
      <c r="D4044" s="30"/>
      <c r="E4044" s="30"/>
      <c r="F4044" s="10"/>
      <c r="G4044" s="10"/>
      <c r="H4044" s="15"/>
      <c r="I4044" s="15"/>
      <c r="J4044" s="15"/>
      <c r="K4044" s="15"/>
      <c r="L4044" s="15"/>
      <c r="M4044" s="15"/>
      <c r="N4044" s="15"/>
      <c r="O4044" s="15"/>
      <c r="P4044" s="15"/>
      <c r="Q4044" s="71"/>
      <c r="R4044" s="84"/>
      <c r="S4044" s="10"/>
      <c r="T4044" s="10"/>
      <c r="U4044" s="10"/>
      <c r="V4044" s="10"/>
      <c r="W4044" s="138"/>
      <c r="Y4044"/>
      <c r="Z4044"/>
      <c r="AA4044"/>
      <c r="AB4044"/>
      <c r="AC4044"/>
      <c r="AD4044"/>
      <c r="AE4044"/>
      <c r="AF4044"/>
      <c r="AG4044"/>
      <c r="AH4044"/>
      <c r="AI4044"/>
      <c r="AJ4044"/>
      <c r="AK4044"/>
      <c r="AL4044"/>
      <c r="AM4044"/>
      <c r="AN4044"/>
      <c r="AO4044"/>
    </row>
    <row r="4045" spans="1:41" ht="15">
      <c r="A4045"/>
      <c r="B4045"/>
      <c r="C4045" s="137"/>
      <c r="D4045" s="30"/>
      <c r="E4045" s="30"/>
      <c r="F4045" s="10"/>
      <c r="G4045" s="10"/>
      <c r="H4045" s="15"/>
      <c r="I4045" s="15"/>
      <c r="J4045" s="15"/>
      <c r="K4045" s="15"/>
      <c r="L4045" s="15"/>
      <c r="M4045" s="15"/>
      <c r="N4045" s="15"/>
      <c r="O4045" s="15"/>
      <c r="P4045" s="15"/>
      <c r="Q4045" s="71"/>
      <c r="R4045" s="84"/>
      <c r="S4045" s="10"/>
      <c r="T4045" s="10"/>
      <c r="U4045" s="10"/>
      <c r="V4045" s="10"/>
      <c r="W4045" s="138"/>
      <c r="Y4045"/>
      <c r="Z4045"/>
      <c r="AA4045"/>
      <c r="AB4045"/>
      <c r="AC4045"/>
      <c r="AD4045"/>
      <c r="AE4045"/>
      <c r="AF4045"/>
      <c r="AG4045"/>
      <c r="AH4045"/>
      <c r="AI4045"/>
      <c r="AJ4045"/>
      <c r="AK4045"/>
      <c r="AL4045"/>
      <c r="AM4045"/>
      <c r="AN4045"/>
      <c r="AO4045"/>
    </row>
    <row r="4046" spans="1:41" ht="15">
      <c r="A4046"/>
      <c r="B4046"/>
      <c r="C4046" s="137"/>
      <c r="D4046" s="30"/>
      <c r="E4046" s="30"/>
      <c r="F4046" s="10"/>
      <c r="G4046" s="10"/>
      <c r="H4046" s="15"/>
      <c r="I4046" s="15"/>
      <c r="J4046" s="15"/>
      <c r="K4046" s="15"/>
      <c r="L4046" s="15"/>
      <c r="M4046" s="15"/>
      <c r="N4046" s="15"/>
      <c r="O4046" s="15"/>
      <c r="P4046" s="15"/>
      <c r="Q4046" s="71"/>
      <c r="R4046" s="84"/>
      <c r="S4046" s="10"/>
      <c r="T4046" s="10"/>
      <c r="U4046" s="10"/>
      <c r="V4046" s="10"/>
      <c r="W4046" s="138"/>
      <c r="Y4046"/>
      <c r="Z4046"/>
      <c r="AA4046"/>
      <c r="AB4046"/>
      <c r="AC4046"/>
      <c r="AD4046"/>
      <c r="AE4046"/>
      <c r="AF4046"/>
      <c r="AG4046"/>
      <c r="AH4046"/>
      <c r="AI4046"/>
      <c r="AJ4046"/>
      <c r="AK4046"/>
      <c r="AL4046"/>
      <c r="AM4046"/>
      <c r="AN4046"/>
      <c r="AO4046"/>
    </row>
    <row r="4047" spans="1:41" ht="15">
      <c r="A4047"/>
      <c r="B4047"/>
      <c r="C4047" s="137"/>
      <c r="D4047" s="30"/>
      <c r="E4047" s="30"/>
      <c r="F4047" s="10"/>
      <c r="G4047" s="10"/>
      <c r="H4047" s="15"/>
      <c r="I4047" s="15"/>
      <c r="J4047" s="15"/>
      <c r="K4047" s="15"/>
      <c r="L4047" s="15"/>
      <c r="M4047" s="15"/>
      <c r="N4047" s="15"/>
      <c r="O4047" s="15"/>
      <c r="P4047" s="15"/>
      <c r="Q4047" s="71"/>
      <c r="R4047" s="84"/>
      <c r="S4047" s="10"/>
      <c r="T4047" s="10"/>
      <c r="U4047" s="10"/>
      <c r="V4047" s="10"/>
      <c r="W4047" s="138"/>
      <c r="Y4047"/>
      <c r="Z4047"/>
      <c r="AA4047"/>
      <c r="AB4047"/>
      <c r="AC4047"/>
      <c r="AD4047"/>
      <c r="AE4047"/>
      <c r="AF4047"/>
      <c r="AG4047"/>
      <c r="AH4047"/>
      <c r="AI4047"/>
      <c r="AJ4047"/>
      <c r="AK4047"/>
      <c r="AL4047"/>
      <c r="AM4047"/>
      <c r="AN4047"/>
      <c r="AO4047"/>
    </row>
    <row r="4048" spans="1:41" ht="15">
      <c r="A4048"/>
      <c r="B4048"/>
      <c r="C4048" s="137"/>
      <c r="D4048" s="30"/>
      <c r="E4048" s="30"/>
      <c r="F4048" s="10"/>
      <c r="G4048" s="10"/>
      <c r="H4048" s="15"/>
      <c r="I4048" s="15"/>
      <c r="J4048" s="15"/>
      <c r="K4048" s="15"/>
      <c r="L4048" s="15"/>
      <c r="M4048" s="15"/>
      <c r="N4048" s="15"/>
      <c r="O4048" s="15"/>
      <c r="P4048" s="15"/>
      <c r="Q4048" s="71"/>
      <c r="R4048" s="84"/>
      <c r="S4048" s="10"/>
      <c r="T4048" s="10"/>
      <c r="U4048" s="10"/>
      <c r="V4048" s="10"/>
      <c r="W4048" s="138"/>
      <c r="Y4048"/>
      <c r="Z4048"/>
      <c r="AA4048"/>
      <c r="AB4048"/>
      <c r="AC4048"/>
      <c r="AD4048"/>
      <c r="AE4048"/>
      <c r="AF4048"/>
      <c r="AG4048"/>
      <c r="AH4048"/>
      <c r="AI4048"/>
      <c r="AJ4048"/>
      <c r="AK4048"/>
      <c r="AL4048"/>
      <c r="AM4048"/>
      <c r="AN4048"/>
      <c r="AO4048"/>
    </row>
    <row r="4049" spans="1:41" ht="15">
      <c r="A4049"/>
      <c r="B4049"/>
      <c r="C4049" s="137"/>
      <c r="D4049" s="30"/>
      <c r="E4049" s="30"/>
      <c r="F4049" s="10"/>
      <c r="G4049" s="10"/>
      <c r="H4049" s="15"/>
      <c r="I4049" s="15"/>
      <c r="J4049" s="15"/>
      <c r="K4049" s="15"/>
      <c r="L4049" s="15"/>
      <c r="M4049" s="15"/>
      <c r="N4049" s="15"/>
      <c r="O4049" s="15"/>
      <c r="P4049" s="15"/>
      <c r="Q4049" s="71"/>
      <c r="R4049" s="84"/>
      <c r="S4049" s="10"/>
      <c r="T4049" s="10"/>
      <c r="U4049" s="10"/>
      <c r="V4049" s="10"/>
      <c r="W4049" s="138"/>
      <c r="Y4049"/>
      <c r="Z4049"/>
      <c r="AA4049"/>
      <c r="AB4049"/>
      <c r="AC4049"/>
      <c r="AD4049"/>
      <c r="AE4049"/>
      <c r="AF4049"/>
      <c r="AG4049"/>
      <c r="AH4049"/>
      <c r="AI4049"/>
      <c r="AJ4049"/>
      <c r="AK4049"/>
      <c r="AL4049"/>
      <c r="AM4049"/>
      <c r="AN4049"/>
      <c r="AO4049"/>
    </row>
    <row r="4050" spans="1:41" ht="15">
      <c r="A4050"/>
      <c r="B4050"/>
      <c r="C4050" s="137"/>
      <c r="D4050" s="30"/>
      <c r="E4050" s="30"/>
      <c r="F4050" s="10"/>
      <c r="G4050" s="10"/>
      <c r="H4050" s="15"/>
      <c r="I4050" s="15"/>
      <c r="J4050" s="15"/>
      <c r="K4050" s="15"/>
      <c r="L4050" s="15"/>
      <c r="M4050" s="15"/>
      <c r="N4050" s="15"/>
      <c r="O4050" s="15"/>
      <c r="P4050" s="15"/>
      <c r="Q4050" s="71"/>
      <c r="R4050" s="84"/>
      <c r="S4050" s="10"/>
      <c r="T4050" s="10"/>
      <c r="U4050" s="10"/>
      <c r="V4050" s="10"/>
      <c r="W4050" s="138"/>
      <c r="Y4050"/>
      <c r="Z4050"/>
      <c r="AA4050"/>
      <c r="AB4050"/>
      <c r="AC4050"/>
      <c r="AD4050"/>
      <c r="AE4050"/>
      <c r="AF4050"/>
      <c r="AG4050"/>
      <c r="AH4050"/>
      <c r="AI4050"/>
      <c r="AJ4050"/>
      <c r="AK4050"/>
      <c r="AL4050"/>
      <c r="AM4050"/>
      <c r="AN4050"/>
      <c r="AO4050"/>
    </row>
    <row r="4051" spans="1:41" ht="15">
      <c r="A4051"/>
      <c r="B4051"/>
      <c r="C4051" s="137"/>
      <c r="D4051" s="30"/>
      <c r="E4051" s="30"/>
      <c r="F4051" s="10"/>
      <c r="G4051" s="10"/>
      <c r="H4051" s="15"/>
      <c r="I4051" s="15"/>
      <c r="J4051" s="15"/>
      <c r="K4051" s="15"/>
      <c r="L4051" s="15"/>
      <c r="M4051" s="15"/>
      <c r="N4051" s="15"/>
      <c r="O4051" s="15"/>
      <c r="P4051" s="15"/>
      <c r="Q4051" s="71"/>
      <c r="R4051" s="84"/>
      <c r="S4051" s="10"/>
      <c r="T4051" s="10"/>
      <c r="U4051" s="10"/>
      <c r="V4051" s="10"/>
      <c r="W4051" s="138"/>
      <c r="Y4051"/>
      <c r="Z4051"/>
      <c r="AA4051"/>
      <c r="AB4051"/>
      <c r="AC4051"/>
      <c r="AD4051"/>
      <c r="AE4051"/>
      <c r="AF4051"/>
      <c r="AG4051"/>
      <c r="AH4051"/>
      <c r="AI4051"/>
      <c r="AJ4051"/>
      <c r="AK4051"/>
      <c r="AL4051"/>
      <c r="AM4051"/>
      <c r="AN4051"/>
      <c r="AO4051"/>
    </row>
    <row r="4052" spans="1:41" ht="15">
      <c r="A4052"/>
      <c r="B4052"/>
      <c r="C4052" s="137"/>
      <c r="D4052" s="30"/>
      <c r="E4052" s="30"/>
      <c r="F4052" s="10"/>
      <c r="G4052" s="10"/>
      <c r="H4052" s="15"/>
      <c r="I4052" s="15"/>
      <c r="J4052" s="15"/>
      <c r="K4052" s="15"/>
      <c r="L4052" s="15"/>
      <c r="M4052" s="15"/>
      <c r="N4052" s="15"/>
      <c r="O4052" s="15"/>
      <c r="P4052" s="15"/>
      <c r="Q4052" s="71"/>
      <c r="R4052" s="84"/>
      <c r="S4052" s="10"/>
      <c r="T4052" s="10"/>
      <c r="U4052" s="10"/>
      <c r="V4052" s="10"/>
      <c r="W4052" s="138"/>
      <c r="Y4052"/>
      <c r="Z4052"/>
      <c r="AA4052"/>
      <c r="AB4052"/>
      <c r="AC4052"/>
      <c r="AD4052"/>
      <c r="AE4052"/>
      <c r="AF4052"/>
      <c r="AG4052"/>
      <c r="AH4052"/>
      <c r="AI4052"/>
      <c r="AJ4052"/>
      <c r="AK4052"/>
      <c r="AL4052"/>
      <c r="AM4052"/>
      <c r="AN4052"/>
      <c r="AO4052"/>
    </row>
    <row r="4053" spans="1:41" ht="15">
      <c r="A4053"/>
      <c r="B4053"/>
      <c r="C4053" s="137"/>
      <c r="D4053" s="30"/>
      <c r="E4053" s="30"/>
      <c r="F4053" s="10"/>
      <c r="G4053" s="10"/>
      <c r="H4053" s="15"/>
      <c r="I4053" s="15"/>
      <c r="J4053" s="15"/>
      <c r="K4053" s="15"/>
      <c r="L4053" s="15"/>
      <c r="M4053" s="15"/>
      <c r="N4053" s="15"/>
      <c r="O4053" s="15"/>
      <c r="P4053" s="15"/>
      <c r="Q4053" s="71"/>
      <c r="R4053" s="84"/>
      <c r="S4053" s="10"/>
      <c r="T4053" s="10"/>
      <c r="U4053" s="10"/>
      <c r="V4053" s="10"/>
      <c r="W4053" s="138"/>
      <c r="Y4053"/>
      <c r="Z4053"/>
      <c r="AA4053"/>
      <c r="AB4053"/>
      <c r="AC4053"/>
      <c r="AD4053"/>
      <c r="AE4053"/>
      <c r="AF4053"/>
      <c r="AG4053"/>
      <c r="AH4053"/>
      <c r="AI4053"/>
      <c r="AJ4053"/>
      <c r="AK4053"/>
      <c r="AL4053"/>
      <c r="AM4053"/>
      <c r="AN4053"/>
      <c r="AO4053"/>
    </row>
    <row r="4054" spans="1:41" ht="15">
      <c r="A4054"/>
      <c r="B4054"/>
      <c r="C4054" s="137"/>
      <c r="D4054" s="30"/>
      <c r="E4054" s="30"/>
      <c r="F4054" s="10"/>
      <c r="G4054" s="10"/>
      <c r="H4054" s="15"/>
      <c r="I4054" s="15"/>
      <c r="J4054" s="15"/>
      <c r="K4054" s="15"/>
      <c r="L4054" s="15"/>
      <c r="M4054" s="15"/>
      <c r="N4054" s="15"/>
      <c r="O4054" s="15"/>
      <c r="P4054" s="15"/>
      <c r="Q4054" s="71"/>
      <c r="R4054" s="84"/>
      <c r="S4054" s="10"/>
      <c r="T4054" s="10"/>
      <c r="U4054" s="10"/>
      <c r="V4054" s="10"/>
      <c r="W4054" s="138"/>
      <c r="Y4054"/>
      <c r="Z4054"/>
      <c r="AA4054"/>
      <c r="AB4054"/>
      <c r="AC4054"/>
      <c r="AD4054"/>
      <c r="AE4054"/>
      <c r="AF4054"/>
      <c r="AG4054"/>
      <c r="AH4054"/>
      <c r="AI4054"/>
      <c r="AJ4054"/>
      <c r="AK4054"/>
      <c r="AL4054"/>
      <c r="AM4054"/>
      <c r="AN4054"/>
      <c r="AO4054"/>
    </row>
    <row r="4055" spans="1:41" ht="15">
      <c r="A4055"/>
      <c r="B4055"/>
      <c r="C4055" s="137"/>
      <c r="D4055" s="30"/>
      <c r="E4055" s="30"/>
      <c r="F4055" s="10"/>
      <c r="G4055" s="10"/>
      <c r="H4055" s="15"/>
      <c r="I4055" s="15"/>
      <c r="J4055" s="15"/>
      <c r="K4055" s="15"/>
      <c r="L4055" s="15"/>
      <c r="M4055" s="15"/>
      <c r="N4055" s="15"/>
      <c r="O4055" s="15"/>
      <c r="P4055" s="15"/>
      <c r="Q4055" s="71"/>
      <c r="R4055" s="84"/>
      <c r="S4055" s="10"/>
      <c r="T4055" s="10"/>
      <c r="U4055" s="10"/>
      <c r="V4055" s="10"/>
      <c r="W4055" s="138"/>
      <c r="Y4055"/>
      <c r="Z4055"/>
      <c r="AA4055"/>
      <c r="AB4055"/>
      <c r="AC4055"/>
      <c r="AD4055"/>
      <c r="AE4055"/>
      <c r="AF4055"/>
      <c r="AG4055"/>
      <c r="AH4055"/>
      <c r="AI4055"/>
      <c r="AJ4055"/>
      <c r="AK4055"/>
      <c r="AL4055"/>
      <c r="AM4055"/>
      <c r="AN4055"/>
      <c r="AO4055"/>
    </row>
    <row r="4056" spans="1:41" ht="15">
      <c r="A4056"/>
      <c r="B4056"/>
      <c r="C4056" s="137"/>
      <c r="D4056" s="30"/>
      <c r="E4056" s="30"/>
      <c r="F4056" s="10"/>
      <c r="G4056" s="10"/>
      <c r="H4056" s="15"/>
      <c r="I4056" s="15"/>
      <c r="J4056" s="15"/>
      <c r="K4056" s="15"/>
      <c r="L4056" s="15"/>
      <c r="M4056" s="15"/>
      <c r="N4056" s="15"/>
      <c r="O4056" s="15"/>
      <c r="P4056" s="15"/>
      <c r="Q4056" s="71"/>
      <c r="R4056" s="84"/>
      <c r="S4056" s="10"/>
      <c r="T4056" s="10"/>
      <c r="U4056" s="10"/>
      <c r="V4056" s="10"/>
      <c r="W4056" s="138"/>
      <c r="Y4056"/>
      <c r="Z4056"/>
      <c r="AA4056"/>
      <c r="AB4056"/>
      <c r="AC4056"/>
      <c r="AD4056"/>
      <c r="AE4056"/>
      <c r="AF4056"/>
      <c r="AG4056"/>
      <c r="AH4056"/>
      <c r="AI4056"/>
      <c r="AJ4056"/>
      <c r="AK4056"/>
      <c r="AL4056"/>
      <c r="AM4056"/>
      <c r="AN4056"/>
      <c r="AO4056"/>
    </row>
    <row r="4057" spans="1:41" ht="15">
      <c r="A4057"/>
      <c r="B4057"/>
      <c r="C4057" s="137"/>
      <c r="D4057" s="30"/>
      <c r="E4057" s="30"/>
      <c r="F4057" s="10"/>
      <c r="G4057" s="10"/>
      <c r="H4057" s="15"/>
      <c r="I4057" s="15"/>
      <c r="J4057" s="15"/>
      <c r="K4057" s="15"/>
      <c r="L4057" s="15"/>
      <c r="M4057" s="15"/>
      <c r="N4057" s="15"/>
      <c r="O4057" s="15"/>
      <c r="P4057" s="15"/>
      <c r="Q4057" s="71"/>
      <c r="R4057" s="84"/>
      <c r="S4057" s="10"/>
      <c r="T4057" s="10"/>
      <c r="U4057" s="10"/>
      <c r="V4057" s="10"/>
      <c r="W4057" s="138"/>
      <c r="Y4057"/>
      <c r="Z4057"/>
      <c r="AA4057"/>
      <c r="AB4057"/>
      <c r="AC4057"/>
      <c r="AD4057"/>
      <c r="AE4057"/>
      <c r="AF4057"/>
      <c r="AG4057"/>
      <c r="AH4057"/>
      <c r="AI4057"/>
      <c r="AJ4057"/>
      <c r="AK4057"/>
      <c r="AL4057"/>
      <c r="AM4057"/>
      <c r="AN4057"/>
      <c r="AO4057"/>
    </row>
    <row r="4058" spans="1:41" ht="15">
      <c r="A4058"/>
      <c r="B4058"/>
      <c r="C4058" s="137"/>
      <c r="D4058" s="30"/>
      <c r="E4058" s="30"/>
      <c r="F4058" s="10"/>
      <c r="G4058" s="10"/>
      <c r="H4058" s="15"/>
      <c r="I4058" s="15"/>
      <c r="J4058" s="15"/>
      <c r="K4058" s="15"/>
      <c r="L4058" s="15"/>
      <c r="M4058" s="15"/>
      <c r="N4058" s="15"/>
      <c r="O4058" s="15"/>
      <c r="P4058" s="15"/>
      <c r="Q4058" s="71"/>
      <c r="R4058" s="84"/>
      <c r="S4058" s="10"/>
      <c r="T4058" s="10"/>
      <c r="U4058" s="10"/>
      <c r="V4058" s="10"/>
      <c r="W4058" s="138"/>
      <c r="Y4058"/>
      <c r="Z4058"/>
      <c r="AA4058"/>
      <c r="AB4058"/>
      <c r="AC4058"/>
      <c r="AD4058"/>
      <c r="AE4058"/>
      <c r="AF4058"/>
      <c r="AG4058"/>
      <c r="AH4058"/>
      <c r="AI4058"/>
      <c r="AJ4058"/>
      <c r="AK4058"/>
      <c r="AL4058"/>
      <c r="AM4058"/>
      <c r="AN4058"/>
      <c r="AO4058"/>
    </row>
    <row r="4059" spans="1:41" ht="15">
      <c r="A4059"/>
      <c r="B4059"/>
      <c r="C4059" s="137"/>
      <c r="D4059" s="30"/>
      <c r="E4059" s="30"/>
      <c r="F4059" s="10"/>
      <c r="G4059" s="10"/>
      <c r="H4059" s="15"/>
      <c r="I4059" s="15"/>
      <c r="J4059" s="15"/>
      <c r="K4059" s="15"/>
      <c r="L4059" s="15"/>
      <c r="M4059" s="15"/>
      <c r="N4059" s="15"/>
      <c r="O4059" s="15"/>
      <c r="P4059" s="15"/>
      <c r="Q4059" s="71"/>
      <c r="R4059" s="84"/>
      <c r="S4059" s="10"/>
      <c r="T4059" s="10"/>
      <c r="U4059" s="10"/>
      <c r="V4059" s="10"/>
      <c r="W4059" s="138"/>
      <c r="Y4059"/>
      <c r="Z4059"/>
      <c r="AA4059"/>
      <c r="AB4059"/>
      <c r="AC4059"/>
      <c r="AD4059"/>
      <c r="AE4059"/>
      <c r="AF4059"/>
      <c r="AG4059"/>
      <c r="AH4059"/>
      <c r="AI4059"/>
      <c r="AJ4059"/>
      <c r="AK4059"/>
      <c r="AL4059"/>
      <c r="AM4059"/>
      <c r="AN4059"/>
      <c r="AO4059"/>
    </row>
    <row r="4060" spans="1:41" ht="15">
      <c r="A4060"/>
      <c r="B4060"/>
      <c r="C4060" s="137"/>
      <c r="D4060" s="30"/>
      <c r="E4060" s="30"/>
      <c r="F4060" s="10"/>
      <c r="G4060" s="10"/>
      <c r="H4060" s="15"/>
      <c r="I4060" s="15"/>
      <c r="J4060" s="15"/>
      <c r="K4060" s="15"/>
      <c r="L4060" s="15"/>
      <c r="M4060" s="15"/>
      <c r="N4060" s="15"/>
      <c r="O4060" s="15"/>
      <c r="P4060" s="15"/>
      <c r="Q4060" s="71"/>
      <c r="R4060" s="84"/>
      <c r="S4060" s="10"/>
      <c r="T4060" s="10"/>
      <c r="U4060" s="10"/>
      <c r="V4060" s="10"/>
      <c r="W4060" s="138"/>
      <c r="Y4060"/>
      <c r="Z4060"/>
      <c r="AA4060"/>
      <c r="AB4060"/>
      <c r="AC4060"/>
      <c r="AD4060"/>
      <c r="AE4060"/>
      <c r="AF4060"/>
      <c r="AG4060"/>
      <c r="AH4060"/>
      <c r="AI4060"/>
      <c r="AJ4060"/>
      <c r="AK4060"/>
      <c r="AL4060"/>
      <c r="AM4060"/>
      <c r="AN4060"/>
      <c r="AO4060"/>
    </row>
    <row r="4061" spans="1:41" ht="15">
      <c r="A4061"/>
      <c r="B4061"/>
      <c r="C4061" s="137"/>
      <c r="D4061" s="30"/>
      <c r="E4061" s="30"/>
      <c r="F4061" s="10"/>
      <c r="G4061" s="10"/>
      <c r="H4061" s="15"/>
      <c r="I4061" s="15"/>
      <c r="J4061" s="15"/>
      <c r="K4061" s="15"/>
      <c r="L4061" s="15"/>
      <c r="M4061" s="15"/>
      <c r="N4061" s="15"/>
      <c r="O4061" s="15"/>
      <c r="P4061" s="15"/>
      <c r="Q4061" s="71"/>
      <c r="R4061" s="84"/>
      <c r="S4061" s="10"/>
      <c r="T4061" s="10"/>
      <c r="U4061" s="10"/>
      <c r="V4061" s="10"/>
      <c r="W4061" s="138"/>
      <c r="Y4061"/>
      <c r="Z4061"/>
      <c r="AA4061"/>
      <c r="AB4061"/>
      <c r="AC4061"/>
      <c r="AD4061"/>
      <c r="AE4061"/>
      <c r="AF4061"/>
      <c r="AG4061"/>
      <c r="AH4061"/>
      <c r="AI4061"/>
      <c r="AJ4061"/>
      <c r="AK4061"/>
      <c r="AL4061"/>
      <c r="AM4061"/>
      <c r="AN4061"/>
      <c r="AO4061"/>
    </row>
    <row r="4062" spans="1:41" ht="15">
      <c r="A4062"/>
      <c r="B4062"/>
      <c r="C4062" s="137"/>
      <c r="D4062" s="30"/>
      <c r="E4062" s="30"/>
      <c r="F4062" s="10"/>
      <c r="G4062" s="10"/>
      <c r="H4062" s="15"/>
      <c r="I4062" s="15"/>
      <c r="J4062" s="15"/>
      <c r="K4062" s="15"/>
      <c r="L4062" s="15"/>
      <c r="M4062" s="15"/>
      <c r="N4062" s="15"/>
      <c r="O4062" s="15"/>
      <c r="P4062" s="15"/>
      <c r="Q4062" s="71"/>
      <c r="R4062" s="84"/>
      <c r="S4062" s="10"/>
      <c r="T4062" s="10"/>
      <c r="U4062" s="10"/>
      <c r="V4062" s="10"/>
      <c r="W4062" s="138"/>
      <c r="Y4062"/>
      <c r="Z4062"/>
      <c r="AA4062"/>
      <c r="AB4062"/>
      <c r="AC4062"/>
      <c r="AD4062"/>
      <c r="AE4062"/>
      <c r="AF4062"/>
      <c r="AG4062"/>
      <c r="AH4062"/>
      <c r="AI4062"/>
      <c r="AJ4062"/>
      <c r="AK4062"/>
      <c r="AL4062"/>
      <c r="AM4062"/>
      <c r="AN4062"/>
      <c r="AO4062"/>
    </row>
    <row r="4063" spans="1:41" ht="15">
      <c r="A4063"/>
      <c r="B4063"/>
      <c r="C4063" s="137"/>
      <c r="D4063" s="30"/>
      <c r="E4063" s="30"/>
      <c r="F4063" s="10"/>
      <c r="G4063" s="10"/>
      <c r="H4063" s="15"/>
      <c r="I4063" s="15"/>
      <c r="J4063" s="15"/>
      <c r="K4063" s="15"/>
      <c r="L4063" s="15"/>
      <c r="M4063" s="15"/>
      <c r="N4063" s="15"/>
      <c r="O4063" s="15"/>
      <c r="P4063" s="15"/>
      <c r="Q4063" s="71"/>
      <c r="R4063" s="84"/>
      <c r="S4063" s="10"/>
      <c r="T4063" s="10"/>
      <c r="U4063" s="10"/>
      <c r="V4063" s="10"/>
      <c r="W4063" s="138"/>
      <c r="Y4063"/>
      <c r="Z4063"/>
      <c r="AA4063"/>
      <c r="AB4063"/>
      <c r="AC4063"/>
      <c r="AD4063"/>
      <c r="AE4063"/>
      <c r="AF4063"/>
      <c r="AG4063"/>
      <c r="AH4063"/>
      <c r="AI4063"/>
      <c r="AJ4063"/>
      <c r="AK4063"/>
      <c r="AL4063"/>
      <c r="AM4063"/>
      <c r="AN4063"/>
      <c r="AO4063"/>
    </row>
    <row r="4064" spans="1:41" ht="15">
      <c r="A4064"/>
      <c r="B4064"/>
      <c r="C4064" s="137"/>
      <c r="D4064" s="30"/>
      <c r="E4064" s="30"/>
      <c r="F4064" s="10"/>
      <c r="G4064" s="10"/>
      <c r="H4064" s="15"/>
      <c r="I4064" s="15"/>
      <c r="J4064" s="15"/>
      <c r="K4064" s="15"/>
      <c r="L4064" s="15"/>
      <c r="M4064" s="15"/>
      <c r="N4064" s="15"/>
      <c r="O4064" s="15"/>
      <c r="P4064" s="15"/>
      <c r="Q4064" s="71"/>
      <c r="R4064" s="84"/>
      <c r="S4064" s="10"/>
      <c r="T4064" s="10"/>
      <c r="U4064" s="10"/>
      <c r="V4064" s="10"/>
      <c r="W4064" s="138"/>
      <c r="Y4064"/>
      <c r="Z4064"/>
      <c r="AA4064"/>
      <c r="AB4064"/>
      <c r="AC4064"/>
      <c r="AD4064"/>
      <c r="AE4064"/>
      <c r="AF4064"/>
      <c r="AG4064"/>
      <c r="AH4064"/>
      <c r="AI4064"/>
      <c r="AJ4064"/>
      <c r="AK4064"/>
      <c r="AL4064"/>
      <c r="AM4064"/>
      <c r="AN4064"/>
      <c r="AO4064"/>
    </row>
    <row r="4065" spans="1:41" ht="15">
      <c r="A4065"/>
      <c r="B4065"/>
      <c r="C4065" s="137"/>
      <c r="D4065" s="30"/>
      <c r="E4065" s="30"/>
      <c r="F4065" s="10"/>
      <c r="G4065" s="10"/>
      <c r="H4065" s="15"/>
      <c r="I4065" s="15"/>
      <c r="J4065" s="15"/>
      <c r="K4065" s="15"/>
      <c r="L4065" s="15"/>
      <c r="M4065" s="15"/>
      <c r="N4065" s="15"/>
      <c r="O4065" s="15"/>
      <c r="P4065" s="15"/>
      <c r="Q4065" s="71"/>
      <c r="R4065" s="84"/>
      <c r="S4065" s="10"/>
      <c r="T4065" s="10"/>
      <c r="U4065" s="10"/>
      <c r="V4065" s="10"/>
      <c r="W4065" s="138"/>
      <c r="Y4065"/>
      <c r="Z4065"/>
      <c r="AA4065"/>
      <c r="AB4065"/>
      <c r="AC4065"/>
      <c r="AD4065"/>
      <c r="AE4065"/>
      <c r="AF4065"/>
      <c r="AG4065"/>
      <c r="AH4065"/>
      <c r="AI4065"/>
      <c r="AJ4065"/>
      <c r="AK4065"/>
      <c r="AL4065"/>
      <c r="AM4065"/>
      <c r="AN4065"/>
      <c r="AO4065"/>
    </row>
    <row r="4066" spans="1:41" ht="15">
      <c r="A4066"/>
      <c r="B4066"/>
      <c r="C4066" s="137"/>
      <c r="D4066" s="30"/>
      <c r="E4066" s="30"/>
      <c r="F4066" s="10"/>
      <c r="G4066" s="10"/>
      <c r="H4066" s="15"/>
      <c r="I4066" s="15"/>
      <c r="J4066" s="15"/>
      <c r="K4066" s="15"/>
      <c r="L4066" s="15"/>
      <c r="M4066" s="15"/>
      <c r="N4066" s="15"/>
      <c r="O4066" s="15"/>
      <c r="P4066" s="15"/>
      <c r="Q4066" s="71"/>
      <c r="R4066" s="84"/>
      <c r="S4066" s="10"/>
      <c r="T4066" s="10"/>
      <c r="U4066" s="10"/>
      <c r="V4066" s="10"/>
      <c r="W4066" s="138"/>
      <c r="Y4066"/>
      <c r="Z4066"/>
      <c r="AA4066"/>
      <c r="AB4066"/>
      <c r="AC4066"/>
      <c r="AD4066"/>
      <c r="AE4066"/>
      <c r="AF4066"/>
      <c r="AG4066"/>
      <c r="AH4066"/>
      <c r="AI4066"/>
      <c r="AJ4066"/>
      <c r="AK4066"/>
      <c r="AL4066"/>
      <c r="AM4066"/>
      <c r="AN4066"/>
      <c r="AO4066"/>
    </row>
    <row r="4067" spans="1:41" ht="15">
      <c r="A4067"/>
      <c r="B4067"/>
      <c r="C4067" s="137"/>
      <c r="D4067" s="30"/>
      <c r="E4067" s="30"/>
      <c r="F4067" s="10"/>
      <c r="G4067" s="10"/>
      <c r="H4067" s="15"/>
      <c r="I4067" s="15"/>
      <c r="J4067" s="15"/>
      <c r="K4067" s="15"/>
      <c r="L4067" s="15"/>
      <c r="M4067" s="15"/>
      <c r="N4067" s="15"/>
      <c r="O4067" s="15"/>
      <c r="P4067" s="15"/>
      <c r="Q4067" s="71"/>
      <c r="R4067" s="84"/>
      <c r="S4067" s="10"/>
      <c r="T4067" s="10"/>
      <c r="U4067" s="10"/>
      <c r="V4067" s="10"/>
      <c r="W4067" s="138"/>
      <c r="Y4067"/>
      <c r="Z4067"/>
      <c r="AA4067"/>
      <c r="AB4067"/>
      <c r="AC4067"/>
      <c r="AD4067"/>
      <c r="AE4067"/>
      <c r="AF4067"/>
      <c r="AG4067"/>
      <c r="AH4067"/>
      <c r="AI4067"/>
      <c r="AJ4067"/>
      <c r="AK4067"/>
      <c r="AL4067"/>
      <c r="AM4067"/>
      <c r="AN4067"/>
      <c r="AO4067"/>
    </row>
    <row r="4068" spans="1:41" ht="15">
      <c r="A4068"/>
      <c r="B4068"/>
      <c r="C4068" s="137"/>
      <c r="D4068" s="30"/>
      <c r="E4068" s="30"/>
      <c r="F4068" s="10"/>
      <c r="G4068" s="10"/>
      <c r="H4068" s="15"/>
      <c r="I4068" s="15"/>
      <c r="J4068" s="15"/>
      <c r="K4068" s="15"/>
      <c r="L4068" s="15"/>
      <c r="M4068" s="15"/>
      <c r="N4068" s="15"/>
      <c r="O4068" s="15"/>
      <c r="P4068" s="15"/>
      <c r="Q4068" s="71"/>
      <c r="R4068" s="84"/>
      <c r="S4068" s="10"/>
      <c r="T4068" s="10"/>
      <c r="U4068" s="10"/>
      <c r="V4068" s="10"/>
      <c r="W4068" s="138"/>
      <c r="Y4068"/>
      <c r="Z4068"/>
      <c r="AA4068"/>
      <c r="AB4068"/>
      <c r="AC4068"/>
      <c r="AD4068"/>
      <c r="AE4068"/>
      <c r="AF4068"/>
      <c r="AG4068"/>
      <c r="AH4068"/>
      <c r="AI4068"/>
      <c r="AJ4068"/>
      <c r="AK4068"/>
      <c r="AL4068"/>
      <c r="AM4068"/>
      <c r="AN4068"/>
      <c r="AO4068"/>
    </row>
    <row r="4069" spans="1:41" ht="15">
      <c r="A4069"/>
      <c r="B4069"/>
      <c r="C4069" s="137"/>
      <c r="D4069" s="30"/>
      <c r="E4069" s="30"/>
      <c r="F4069" s="10"/>
      <c r="G4069" s="10"/>
      <c r="H4069" s="15"/>
      <c r="I4069" s="15"/>
      <c r="J4069" s="15"/>
      <c r="K4069" s="15"/>
      <c r="L4069" s="15"/>
      <c r="M4069" s="15"/>
      <c r="N4069" s="15"/>
      <c r="O4069" s="15"/>
      <c r="P4069" s="15"/>
      <c r="Q4069" s="71"/>
      <c r="R4069" s="84"/>
      <c r="S4069" s="10"/>
      <c r="T4069" s="10"/>
      <c r="U4069" s="10"/>
      <c r="V4069" s="10"/>
      <c r="W4069" s="138"/>
      <c r="Y4069"/>
      <c r="Z4069"/>
      <c r="AA4069"/>
      <c r="AB4069"/>
      <c r="AC4069"/>
      <c r="AD4069"/>
      <c r="AE4069"/>
      <c r="AF4069"/>
      <c r="AG4069"/>
      <c r="AH4069"/>
      <c r="AI4069"/>
      <c r="AJ4069"/>
      <c r="AK4069"/>
      <c r="AL4069"/>
      <c r="AM4069"/>
      <c r="AN4069"/>
      <c r="AO4069"/>
    </row>
    <row r="4070" spans="1:41" ht="15">
      <c r="A4070"/>
      <c r="B4070"/>
      <c r="C4070" s="137"/>
      <c r="D4070" s="30"/>
      <c r="E4070" s="30"/>
      <c r="F4070" s="10"/>
      <c r="G4070" s="10"/>
      <c r="H4070" s="15"/>
      <c r="I4070" s="15"/>
      <c r="J4070" s="15"/>
      <c r="K4070" s="15"/>
      <c r="L4070" s="15"/>
      <c r="M4070" s="15"/>
      <c r="N4070" s="15"/>
      <c r="O4070" s="15"/>
      <c r="P4070" s="15"/>
      <c r="Q4070" s="71"/>
      <c r="R4070" s="84"/>
      <c r="S4070" s="10"/>
      <c r="T4070" s="10"/>
      <c r="U4070" s="10"/>
      <c r="V4070" s="10"/>
      <c r="W4070" s="138"/>
      <c r="Y4070"/>
      <c r="Z4070"/>
      <c r="AA4070"/>
      <c r="AB4070"/>
      <c r="AC4070"/>
      <c r="AD4070"/>
      <c r="AE4070"/>
      <c r="AF4070"/>
      <c r="AG4070"/>
      <c r="AH4070"/>
      <c r="AI4070"/>
      <c r="AJ4070"/>
      <c r="AK4070"/>
      <c r="AL4070"/>
      <c r="AM4070"/>
      <c r="AN4070"/>
      <c r="AO4070"/>
    </row>
    <row r="4071" spans="1:41" ht="15">
      <c r="A4071"/>
      <c r="B4071"/>
      <c r="C4071" s="137"/>
      <c r="D4071" s="30"/>
      <c r="E4071" s="30"/>
      <c r="F4071" s="10"/>
      <c r="G4071" s="10"/>
      <c r="H4071" s="15"/>
      <c r="I4071" s="15"/>
      <c r="J4071" s="15"/>
      <c r="K4071" s="15"/>
      <c r="L4071" s="15"/>
      <c r="M4071" s="15"/>
      <c r="N4071" s="15"/>
      <c r="O4071" s="15"/>
      <c r="P4071" s="15"/>
      <c r="Q4071" s="71"/>
      <c r="R4071" s="84"/>
      <c r="S4071" s="10"/>
      <c r="T4071" s="10"/>
      <c r="U4071" s="10"/>
      <c r="V4071" s="10"/>
      <c r="W4071" s="138"/>
      <c r="Y4071"/>
      <c r="Z4071"/>
      <c r="AA4071"/>
      <c r="AB4071"/>
      <c r="AC4071"/>
      <c r="AD4071"/>
      <c r="AE4071"/>
      <c r="AF4071"/>
      <c r="AG4071"/>
      <c r="AH4071"/>
      <c r="AI4071"/>
      <c r="AJ4071"/>
      <c r="AK4071"/>
      <c r="AL4071"/>
      <c r="AM4071"/>
      <c r="AN4071"/>
      <c r="AO4071"/>
    </row>
    <row r="4072" spans="1:41" ht="15">
      <c r="A4072"/>
      <c r="B4072"/>
      <c r="C4072" s="137"/>
      <c r="D4072" s="30"/>
      <c r="E4072" s="30"/>
      <c r="F4072" s="10"/>
      <c r="G4072" s="10"/>
      <c r="H4072" s="15"/>
      <c r="I4072" s="15"/>
      <c r="J4072" s="15"/>
      <c r="K4072" s="15"/>
      <c r="L4072" s="15"/>
      <c r="M4072" s="15"/>
      <c r="N4072" s="15"/>
      <c r="O4072" s="15"/>
      <c r="P4072" s="15"/>
      <c r="Q4072" s="71"/>
      <c r="R4072" s="84"/>
      <c r="S4072" s="10"/>
      <c r="T4072" s="10"/>
      <c r="U4072" s="10"/>
      <c r="V4072" s="10"/>
      <c r="W4072" s="138"/>
      <c r="Y4072"/>
      <c r="Z4072"/>
      <c r="AA4072"/>
      <c r="AB4072"/>
      <c r="AC4072"/>
      <c r="AD4072"/>
      <c r="AE4072"/>
      <c r="AF4072"/>
      <c r="AG4072"/>
      <c r="AH4072"/>
      <c r="AI4072"/>
      <c r="AJ4072"/>
      <c r="AK4072"/>
      <c r="AL4072"/>
      <c r="AM4072"/>
      <c r="AN4072"/>
      <c r="AO4072"/>
    </row>
    <row r="4073" spans="1:41" ht="15">
      <c r="A4073"/>
      <c r="B4073"/>
      <c r="C4073" s="137"/>
      <c r="D4073" s="30"/>
      <c r="E4073" s="30"/>
      <c r="F4073" s="10"/>
      <c r="G4073" s="10"/>
      <c r="H4073" s="15"/>
      <c r="I4073" s="15"/>
      <c r="J4073" s="15"/>
      <c r="K4073" s="15"/>
      <c r="L4073" s="15"/>
      <c r="M4073" s="15"/>
      <c r="N4073" s="15"/>
      <c r="O4073" s="15"/>
      <c r="P4073" s="15"/>
      <c r="Q4073" s="71"/>
      <c r="R4073" s="84"/>
      <c r="S4073" s="10"/>
      <c r="T4073" s="10"/>
      <c r="U4073" s="10"/>
      <c r="V4073" s="10"/>
      <c r="W4073" s="138"/>
      <c r="Y4073"/>
      <c r="Z4073"/>
      <c r="AA4073"/>
      <c r="AB4073"/>
      <c r="AC4073"/>
      <c r="AD4073"/>
      <c r="AE4073"/>
      <c r="AF4073"/>
      <c r="AG4073"/>
      <c r="AH4073"/>
      <c r="AI4073"/>
      <c r="AJ4073"/>
      <c r="AK4073"/>
      <c r="AL4073"/>
      <c r="AM4073"/>
      <c r="AN4073"/>
      <c r="AO4073"/>
    </row>
    <row r="4074" spans="1:41" ht="15">
      <c r="A4074"/>
      <c r="B4074"/>
      <c r="C4074" s="137"/>
      <c r="D4074" s="30"/>
      <c r="E4074" s="30"/>
      <c r="F4074" s="10"/>
      <c r="G4074" s="10"/>
      <c r="H4074" s="15"/>
      <c r="I4074" s="15"/>
      <c r="J4074" s="15"/>
      <c r="K4074" s="15"/>
      <c r="L4074" s="15"/>
      <c r="M4074" s="15"/>
      <c r="N4074" s="15"/>
      <c r="O4074" s="15"/>
      <c r="P4074" s="15"/>
      <c r="Q4074" s="71"/>
      <c r="R4074" s="84"/>
      <c r="S4074" s="10"/>
      <c r="T4074" s="10"/>
      <c r="U4074" s="10"/>
      <c r="V4074" s="10"/>
      <c r="W4074" s="138"/>
      <c r="Y4074"/>
      <c r="Z4074"/>
      <c r="AA4074"/>
      <c r="AB4074"/>
      <c r="AC4074"/>
      <c r="AD4074"/>
      <c r="AE4074"/>
      <c r="AF4074"/>
      <c r="AG4074"/>
      <c r="AH4074"/>
      <c r="AI4074"/>
      <c r="AJ4074"/>
      <c r="AK4074"/>
      <c r="AL4074"/>
      <c r="AM4074"/>
      <c r="AN4074"/>
      <c r="AO4074"/>
    </row>
    <row r="4075" spans="1:41" ht="15">
      <c r="A4075"/>
      <c r="B4075"/>
      <c r="C4075" s="137"/>
      <c r="D4075" s="30"/>
      <c r="E4075" s="30"/>
      <c r="F4075" s="10"/>
      <c r="G4075" s="10"/>
      <c r="H4075" s="15"/>
      <c r="I4075" s="15"/>
      <c r="J4075" s="15"/>
      <c r="K4075" s="15"/>
      <c r="L4075" s="15"/>
      <c r="M4075" s="15"/>
      <c r="N4075" s="15"/>
      <c r="O4075" s="15"/>
      <c r="P4075" s="15"/>
      <c r="Q4075" s="71"/>
      <c r="R4075" s="84"/>
      <c r="S4075" s="10"/>
      <c r="T4075" s="10"/>
      <c r="U4075" s="10"/>
      <c r="V4075" s="10"/>
      <c r="W4075" s="138"/>
      <c r="Y4075"/>
      <c r="Z4075"/>
      <c r="AA4075"/>
      <c r="AB4075"/>
      <c r="AC4075"/>
      <c r="AD4075"/>
      <c r="AE4075"/>
      <c r="AF4075"/>
      <c r="AG4075"/>
      <c r="AH4075"/>
      <c r="AI4075"/>
      <c r="AJ4075"/>
      <c r="AK4075"/>
      <c r="AL4075"/>
      <c r="AM4075"/>
      <c r="AN4075"/>
      <c r="AO4075"/>
    </row>
    <row r="4076" spans="1:41" ht="15">
      <c r="A4076"/>
      <c r="B4076"/>
      <c r="C4076" s="137"/>
      <c r="D4076" s="30"/>
      <c r="E4076" s="30"/>
      <c r="F4076" s="10"/>
      <c r="G4076" s="10"/>
      <c r="H4076" s="15"/>
      <c r="I4076" s="15"/>
      <c r="J4076" s="15"/>
      <c r="K4076" s="15"/>
      <c r="L4076" s="15"/>
      <c r="M4076" s="15"/>
      <c r="N4076" s="15"/>
      <c r="O4076" s="15"/>
      <c r="P4076" s="15"/>
      <c r="Q4076" s="71"/>
      <c r="R4076" s="84"/>
      <c r="S4076" s="10"/>
      <c r="T4076" s="10"/>
      <c r="U4076" s="10"/>
      <c r="V4076" s="10"/>
      <c r="W4076" s="138"/>
      <c r="Y4076"/>
      <c r="Z4076"/>
      <c r="AA4076"/>
      <c r="AB4076"/>
      <c r="AC4076"/>
      <c r="AD4076"/>
      <c r="AE4076"/>
      <c r="AF4076"/>
      <c r="AG4076"/>
      <c r="AH4076"/>
      <c r="AI4076"/>
      <c r="AJ4076"/>
      <c r="AK4076"/>
      <c r="AL4076"/>
      <c r="AM4076"/>
      <c r="AN4076"/>
      <c r="AO4076"/>
    </row>
    <row r="4077" spans="1:41" ht="15">
      <c r="A4077"/>
      <c r="B4077"/>
      <c r="C4077" s="137"/>
      <c r="D4077" s="30"/>
      <c r="E4077" s="30"/>
      <c r="F4077" s="10"/>
      <c r="G4077" s="10"/>
      <c r="H4077" s="15"/>
      <c r="I4077" s="15"/>
      <c r="J4077" s="15"/>
      <c r="K4077" s="15"/>
      <c r="L4077" s="15"/>
      <c r="M4077" s="15"/>
      <c r="N4077" s="15"/>
      <c r="O4077" s="15"/>
      <c r="P4077" s="15"/>
      <c r="Q4077" s="71"/>
      <c r="R4077" s="84"/>
      <c r="S4077" s="10"/>
      <c r="T4077" s="10"/>
      <c r="U4077" s="10"/>
      <c r="V4077" s="10"/>
      <c r="W4077" s="138"/>
      <c r="Y4077"/>
      <c r="Z4077"/>
      <c r="AA4077"/>
      <c r="AB4077"/>
      <c r="AC4077"/>
      <c r="AD4077"/>
      <c r="AE4077"/>
      <c r="AF4077"/>
      <c r="AG4077"/>
      <c r="AH4077"/>
      <c r="AI4077"/>
      <c r="AJ4077"/>
      <c r="AK4077"/>
      <c r="AL4077"/>
      <c r="AM4077"/>
      <c r="AN4077"/>
      <c r="AO4077"/>
    </row>
    <row r="4078" spans="1:41" ht="15">
      <c r="A4078"/>
      <c r="B4078"/>
      <c r="C4078" s="137"/>
      <c r="D4078" s="30"/>
      <c r="E4078" s="30"/>
      <c r="F4078" s="10"/>
      <c r="G4078" s="10"/>
      <c r="H4078" s="15"/>
      <c r="I4078" s="15"/>
      <c r="J4078" s="15"/>
      <c r="K4078" s="15"/>
      <c r="L4078" s="15"/>
      <c r="M4078" s="15"/>
      <c r="N4078" s="15"/>
      <c r="O4078" s="15"/>
      <c r="P4078" s="15"/>
      <c r="Q4078" s="71"/>
      <c r="R4078" s="84"/>
      <c r="S4078" s="10"/>
      <c r="T4078" s="10"/>
      <c r="U4078" s="10"/>
      <c r="V4078" s="10"/>
      <c r="W4078" s="138"/>
      <c r="Y4078"/>
      <c r="Z4078"/>
      <c r="AA4078"/>
      <c r="AB4078"/>
      <c r="AC4078"/>
      <c r="AD4078"/>
      <c r="AE4078"/>
      <c r="AF4078"/>
      <c r="AG4078"/>
      <c r="AH4078"/>
      <c r="AI4078"/>
      <c r="AJ4078"/>
      <c r="AK4078"/>
      <c r="AL4078"/>
      <c r="AM4078"/>
      <c r="AN4078"/>
      <c r="AO4078"/>
    </row>
    <row r="4079" spans="1:41" ht="15">
      <c r="A4079"/>
      <c r="B4079"/>
      <c r="C4079" s="137"/>
      <c r="D4079" s="30"/>
      <c r="E4079" s="30"/>
      <c r="F4079" s="10"/>
      <c r="G4079" s="10"/>
      <c r="H4079" s="15"/>
      <c r="I4079" s="15"/>
      <c r="J4079" s="15"/>
      <c r="K4079" s="15"/>
      <c r="L4079" s="15"/>
      <c r="M4079" s="15"/>
      <c r="N4079" s="15"/>
      <c r="O4079" s="15"/>
      <c r="P4079" s="15"/>
      <c r="Q4079" s="71"/>
      <c r="R4079" s="84"/>
      <c r="S4079" s="10"/>
      <c r="T4079" s="10"/>
      <c r="U4079" s="10"/>
      <c r="V4079" s="10"/>
      <c r="W4079" s="138"/>
      <c r="Y4079"/>
      <c r="Z4079"/>
      <c r="AA4079"/>
      <c r="AB4079"/>
      <c r="AC4079"/>
      <c r="AD4079"/>
      <c r="AE4079"/>
      <c r="AF4079"/>
      <c r="AG4079"/>
      <c r="AH4079"/>
      <c r="AI4079"/>
      <c r="AJ4079"/>
      <c r="AK4079"/>
      <c r="AL4079"/>
      <c r="AM4079"/>
      <c r="AN4079"/>
      <c r="AO4079"/>
    </row>
    <row r="4080" spans="1:41" ht="15">
      <c r="A4080"/>
      <c r="B4080"/>
      <c r="C4080" s="137"/>
      <c r="D4080" s="30"/>
      <c r="E4080" s="30"/>
      <c r="F4080" s="10"/>
      <c r="G4080" s="10"/>
      <c r="H4080" s="15"/>
      <c r="I4080" s="15"/>
      <c r="J4080" s="15"/>
      <c r="K4080" s="15"/>
      <c r="L4080" s="15"/>
      <c r="M4080" s="15"/>
      <c r="N4080" s="15"/>
      <c r="O4080" s="15"/>
      <c r="P4080" s="15"/>
      <c r="Q4080" s="71"/>
      <c r="R4080" s="84"/>
      <c r="S4080" s="10"/>
      <c r="T4080" s="10"/>
      <c r="U4080" s="10"/>
      <c r="V4080" s="10"/>
      <c r="W4080" s="138"/>
      <c r="Y4080"/>
      <c r="Z4080"/>
      <c r="AA4080"/>
      <c r="AB4080"/>
      <c r="AC4080"/>
      <c r="AD4080"/>
      <c r="AE4080"/>
      <c r="AF4080"/>
      <c r="AG4080"/>
      <c r="AH4080"/>
      <c r="AI4080"/>
      <c r="AJ4080"/>
      <c r="AK4080"/>
      <c r="AL4080"/>
      <c r="AM4080"/>
      <c r="AN4080"/>
      <c r="AO4080"/>
    </row>
    <row r="4081" spans="1:41" ht="15">
      <c r="A4081"/>
      <c r="B4081"/>
      <c r="C4081" s="137"/>
      <c r="D4081" s="30"/>
      <c r="E4081" s="30"/>
      <c r="F4081" s="10"/>
      <c r="G4081" s="10"/>
      <c r="H4081" s="15"/>
      <c r="I4081" s="15"/>
      <c r="J4081" s="15"/>
      <c r="K4081" s="15"/>
      <c r="L4081" s="15"/>
      <c r="M4081" s="15"/>
      <c r="N4081" s="15"/>
      <c r="O4081" s="15"/>
      <c r="P4081" s="15"/>
      <c r="Q4081" s="71"/>
      <c r="R4081" s="84"/>
      <c r="S4081" s="10"/>
      <c r="T4081" s="10"/>
      <c r="U4081" s="10"/>
      <c r="V4081" s="10"/>
      <c r="W4081" s="138"/>
      <c r="Y4081"/>
      <c r="Z4081"/>
      <c r="AA4081"/>
      <c r="AB4081"/>
      <c r="AC4081"/>
      <c r="AD4081"/>
      <c r="AE4081"/>
      <c r="AF4081"/>
      <c r="AG4081"/>
      <c r="AH4081"/>
      <c r="AI4081"/>
      <c r="AJ4081"/>
      <c r="AK4081"/>
      <c r="AL4081"/>
      <c r="AM4081"/>
      <c r="AN4081"/>
      <c r="AO4081"/>
    </row>
    <row r="4082" spans="1:41" ht="15">
      <c r="A4082"/>
      <c r="B4082"/>
      <c r="C4082" s="137"/>
      <c r="D4082" s="30"/>
      <c r="E4082" s="30"/>
      <c r="F4082" s="10"/>
      <c r="G4082" s="10"/>
      <c r="H4082" s="15"/>
      <c r="I4082" s="15"/>
      <c r="J4082" s="15"/>
      <c r="K4082" s="15"/>
      <c r="L4082" s="15"/>
      <c r="M4082" s="15"/>
      <c r="N4082" s="15"/>
      <c r="O4082" s="15"/>
      <c r="P4082" s="15"/>
      <c r="Q4082" s="71"/>
      <c r="R4082" s="84"/>
      <c r="S4082" s="10"/>
      <c r="T4082" s="10"/>
      <c r="U4082" s="10"/>
      <c r="V4082" s="10"/>
      <c r="W4082" s="138"/>
      <c r="Y4082"/>
      <c r="Z4082"/>
      <c r="AA4082"/>
      <c r="AB4082"/>
      <c r="AC4082"/>
      <c r="AD4082"/>
      <c r="AE4082"/>
      <c r="AF4082"/>
      <c r="AG4082"/>
      <c r="AH4082"/>
      <c r="AI4082"/>
      <c r="AJ4082"/>
      <c r="AK4082"/>
      <c r="AL4082"/>
      <c r="AM4082"/>
      <c r="AN4082"/>
      <c r="AO4082"/>
    </row>
    <row r="4083" spans="1:41" ht="15">
      <c r="A4083"/>
      <c r="B4083"/>
      <c r="C4083" s="137"/>
      <c r="D4083" s="30"/>
      <c r="E4083" s="30"/>
      <c r="F4083" s="10"/>
      <c r="G4083" s="10"/>
      <c r="H4083" s="15"/>
      <c r="I4083" s="15"/>
      <c r="J4083" s="15"/>
      <c r="K4083" s="15"/>
      <c r="L4083" s="15"/>
      <c r="M4083" s="15"/>
      <c r="N4083" s="15"/>
      <c r="O4083" s="15"/>
      <c r="P4083" s="15"/>
      <c r="Q4083" s="71"/>
      <c r="R4083" s="84"/>
      <c r="S4083" s="10"/>
      <c r="T4083" s="10"/>
      <c r="U4083" s="10"/>
      <c r="V4083" s="10"/>
      <c r="W4083" s="138"/>
      <c r="Y4083"/>
      <c r="Z4083"/>
      <c r="AA4083"/>
      <c r="AB4083"/>
      <c r="AC4083"/>
      <c r="AD4083"/>
      <c r="AE4083"/>
      <c r="AF4083"/>
      <c r="AG4083"/>
      <c r="AH4083"/>
      <c r="AI4083"/>
      <c r="AJ4083"/>
      <c r="AK4083"/>
      <c r="AL4083"/>
      <c r="AM4083"/>
      <c r="AN4083"/>
      <c r="AO4083"/>
    </row>
    <row r="4084" spans="1:41" ht="15">
      <c r="A4084"/>
      <c r="B4084"/>
      <c r="C4084" s="137"/>
      <c r="D4084" s="30"/>
      <c r="E4084" s="30"/>
      <c r="F4084" s="10"/>
      <c r="G4084" s="10"/>
      <c r="H4084" s="15"/>
      <c r="I4084" s="15"/>
      <c r="J4084" s="15"/>
      <c r="K4084" s="15"/>
      <c r="L4084" s="15"/>
      <c r="M4084" s="15"/>
      <c r="N4084" s="15"/>
      <c r="O4084" s="15"/>
      <c r="P4084" s="15"/>
      <c r="Q4084" s="71"/>
      <c r="R4084" s="84"/>
      <c r="S4084" s="10"/>
      <c r="T4084" s="10"/>
      <c r="U4084" s="10"/>
      <c r="V4084" s="10"/>
      <c r="W4084" s="138"/>
      <c r="Y4084"/>
      <c r="Z4084"/>
      <c r="AA4084"/>
      <c r="AB4084"/>
      <c r="AC4084"/>
      <c r="AD4084"/>
      <c r="AE4084"/>
      <c r="AF4084"/>
      <c r="AG4084"/>
      <c r="AH4084"/>
      <c r="AI4084"/>
      <c r="AJ4084"/>
      <c r="AK4084"/>
      <c r="AL4084"/>
      <c r="AM4084"/>
      <c r="AN4084"/>
      <c r="AO4084"/>
    </row>
    <row r="4085" spans="1:41" ht="15">
      <c r="A4085"/>
      <c r="B4085"/>
      <c r="C4085" s="137"/>
      <c r="D4085" s="30"/>
      <c r="E4085" s="30"/>
      <c r="F4085" s="10"/>
      <c r="G4085" s="10"/>
      <c r="H4085" s="15"/>
      <c r="I4085" s="15"/>
      <c r="J4085" s="15"/>
      <c r="K4085" s="15"/>
      <c r="L4085" s="15"/>
      <c r="M4085" s="15"/>
      <c r="N4085" s="15"/>
      <c r="O4085" s="15"/>
      <c r="P4085" s="15"/>
      <c r="Q4085" s="71"/>
      <c r="R4085" s="84"/>
      <c r="S4085" s="10"/>
      <c r="T4085" s="10"/>
      <c r="U4085" s="10"/>
      <c r="V4085" s="10"/>
      <c r="W4085" s="138"/>
      <c r="Y4085"/>
      <c r="Z4085"/>
      <c r="AA4085"/>
      <c r="AB4085"/>
      <c r="AC4085"/>
      <c r="AD4085"/>
      <c r="AE4085"/>
      <c r="AF4085"/>
      <c r="AG4085"/>
      <c r="AH4085"/>
      <c r="AI4085"/>
      <c r="AJ4085"/>
      <c r="AK4085"/>
      <c r="AL4085"/>
      <c r="AM4085"/>
      <c r="AN4085"/>
      <c r="AO4085"/>
    </row>
    <row r="4086" spans="1:41" ht="15">
      <c r="A4086"/>
      <c r="B4086"/>
      <c r="C4086" s="137"/>
      <c r="D4086" s="30"/>
      <c r="E4086" s="30"/>
      <c r="F4086" s="10"/>
      <c r="G4086" s="10"/>
      <c r="H4086" s="15"/>
      <c r="I4086" s="15"/>
      <c r="J4086" s="15"/>
      <c r="K4086" s="15"/>
      <c r="L4086" s="15"/>
      <c r="M4086" s="15"/>
      <c r="N4086" s="15"/>
      <c r="O4086" s="15"/>
      <c r="P4086" s="15"/>
      <c r="Q4086" s="71"/>
      <c r="R4086" s="84"/>
      <c r="S4086" s="10"/>
      <c r="T4086" s="10"/>
      <c r="U4086" s="10"/>
      <c r="V4086" s="10"/>
      <c r="W4086" s="138"/>
      <c r="Y4086"/>
      <c r="Z4086"/>
      <c r="AA4086"/>
      <c r="AB4086"/>
      <c r="AC4086"/>
      <c r="AD4086"/>
      <c r="AE4086"/>
      <c r="AF4086"/>
      <c r="AG4086"/>
      <c r="AH4086"/>
      <c r="AI4086"/>
      <c r="AJ4086"/>
      <c r="AK4086"/>
      <c r="AL4086"/>
      <c r="AM4086"/>
      <c r="AN4086"/>
      <c r="AO4086"/>
    </row>
    <row r="4087" spans="1:41" ht="15">
      <c r="A4087"/>
      <c r="B4087"/>
      <c r="C4087" s="137"/>
      <c r="D4087" s="30"/>
      <c r="E4087" s="30"/>
      <c r="F4087" s="10"/>
      <c r="G4087" s="10"/>
      <c r="H4087" s="15"/>
      <c r="I4087" s="15"/>
      <c r="J4087" s="15"/>
      <c r="K4087" s="15"/>
      <c r="L4087" s="15"/>
      <c r="M4087" s="15"/>
      <c r="N4087" s="15"/>
      <c r="O4087" s="15"/>
      <c r="P4087" s="15"/>
      <c r="Q4087" s="71"/>
      <c r="R4087" s="84"/>
      <c r="S4087" s="10"/>
      <c r="T4087" s="10"/>
      <c r="U4087" s="10"/>
      <c r="V4087" s="10"/>
      <c r="W4087" s="138"/>
      <c r="Y4087"/>
      <c r="Z4087"/>
      <c r="AA4087"/>
      <c r="AB4087"/>
      <c r="AC4087"/>
      <c r="AD4087"/>
      <c r="AE4087"/>
      <c r="AF4087"/>
      <c r="AG4087"/>
      <c r="AH4087"/>
      <c r="AI4087"/>
      <c r="AJ4087"/>
      <c r="AK4087"/>
      <c r="AL4087"/>
      <c r="AM4087"/>
      <c r="AN4087"/>
      <c r="AO4087"/>
    </row>
    <row r="4088" spans="1:41" ht="15">
      <c r="A4088"/>
      <c r="B4088"/>
      <c r="C4088" s="137"/>
      <c r="D4088" s="30"/>
      <c r="E4088" s="30"/>
      <c r="F4088" s="10"/>
      <c r="G4088" s="10"/>
      <c r="H4088" s="15"/>
      <c r="I4088" s="15"/>
      <c r="J4088" s="15"/>
      <c r="K4088" s="15"/>
      <c r="L4088" s="15"/>
      <c r="M4088" s="15"/>
      <c r="N4088" s="15"/>
      <c r="O4088" s="15"/>
      <c r="P4088" s="15"/>
      <c r="Q4088" s="71"/>
      <c r="R4088" s="84"/>
      <c r="S4088" s="10"/>
      <c r="T4088" s="10"/>
      <c r="U4088" s="10"/>
      <c r="V4088" s="10"/>
      <c r="W4088" s="138"/>
      <c r="Y4088"/>
      <c r="Z4088"/>
      <c r="AA4088"/>
      <c r="AB4088"/>
      <c r="AC4088"/>
      <c r="AD4088"/>
      <c r="AE4088"/>
      <c r="AF4088"/>
      <c r="AG4088"/>
      <c r="AH4088"/>
      <c r="AI4088"/>
      <c r="AJ4088"/>
      <c r="AK4088"/>
      <c r="AL4088"/>
      <c r="AM4088"/>
      <c r="AN4088"/>
      <c r="AO4088"/>
    </row>
    <row r="4089" spans="1:41" ht="15">
      <c r="A4089"/>
      <c r="B4089"/>
      <c r="C4089" s="137"/>
      <c r="D4089" s="30"/>
      <c r="E4089" s="30"/>
      <c r="F4089" s="10"/>
      <c r="G4089" s="10"/>
      <c r="H4089" s="15"/>
      <c r="I4089" s="15"/>
      <c r="J4089" s="15"/>
      <c r="K4089" s="15"/>
      <c r="L4089" s="15"/>
      <c r="M4089" s="15"/>
      <c r="N4089" s="15"/>
      <c r="O4089" s="15"/>
      <c r="P4089" s="15"/>
      <c r="Q4089" s="71"/>
      <c r="R4089" s="84"/>
      <c r="S4089" s="10"/>
      <c r="T4089" s="10"/>
      <c r="U4089" s="10"/>
      <c r="V4089" s="10"/>
      <c r="W4089" s="138"/>
      <c r="Y4089"/>
      <c r="Z4089"/>
      <c r="AA4089"/>
      <c r="AB4089"/>
      <c r="AC4089"/>
      <c r="AD4089"/>
      <c r="AE4089"/>
      <c r="AF4089"/>
      <c r="AG4089"/>
      <c r="AH4089"/>
      <c r="AI4089"/>
      <c r="AJ4089"/>
      <c r="AK4089"/>
      <c r="AL4089"/>
      <c r="AM4089"/>
      <c r="AN4089"/>
      <c r="AO4089"/>
    </row>
    <row r="4090" spans="1:41" ht="15">
      <c r="A4090"/>
      <c r="B4090"/>
      <c r="C4090" s="137"/>
      <c r="D4090" s="30"/>
      <c r="E4090" s="30"/>
      <c r="F4090" s="10"/>
      <c r="G4090" s="10"/>
      <c r="H4090" s="15"/>
      <c r="I4090" s="15"/>
      <c r="J4090" s="15"/>
      <c r="K4090" s="15"/>
      <c r="L4090" s="15"/>
      <c r="M4090" s="15"/>
      <c r="N4090" s="15"/>
      <c r="O4090" s="15"/>
      <c r="P4090" s="15"/>
      <c r="Q4090" s="71"/>
      <c r="R4090" s="84"/>
      <c r="S4090" s="10"/>
      <c r="T4090" s="10"/>
      <c r="U4090" s="10"/>
      <c r="V4090" s="10"/>
      <c r="W4090" s="138"/>
      <c r="Y4090"/>
      <c r="Z4090"/>
      <c r="AA4090"/>
      <c r="AB4090"/>
      <c r="AC4090"/>
      <c r="AD4090"/>
      <c r="AE4090"/>
      <c r="AF4090"/>
      <c r="AG4090"/>
      <c r="AH4090"/>
      <c r="AI4090"/>
      <c r="AJ4090"/>
      <c r="AK4090"/>
      <c r="AL4090"/>
      <c r="AM4090"/>
      <c r="AN4090"/>
      <c r="AO4090"/>
    </row>
    <row r="4091" spans="1:41" ht="15">
      <c r="A4091"/>
      <c r="B4091"/>
      <c r="C4091" s="137"/>
      <c r="D4091" s="30"/>
      <c r="E4091" s="30"/>
      <c r="F4091" s="10"/>
      <c r="G4091" s="10"/>
      <c r="H4091" s="15"/>
      <c r="I4091" s="15"/>
      <c r="J4091" s="15"/>
      <c r="K4091" s="15"/>
      <c r="L4091" s="15"/>
      <c r="M4091" s="15"/>
      <c r="N4091" s="15"/>
      <c r="O4091" s="15"/>
      <c r="P4091" s="15"/>
      <c r="Q4091" s="71"/>
      <c r="R4091" s="84"/>
      <c r="S4091" s="10"/>
      <c r="T4091" s="10"/>
      <c r="U4091" s="10"/>
      <c r="V4091" s="10"/>
      <c r="W4091" s="138"/>
      <c r="Y4091"/>
      <c r="Z4091"/>
      <c r="AA4091"/>
      <c r="AB4091"/>
      <c r="AC4091"/>
      <c r="AD4091"/>
      <c r="AE4091"/>
      <c r="AF4091"/>
      <c r="AG4091"/>
      <c r="AH4091"/>
      <c r="AI4091"/>
      <c r="AJ4091"/>
      <c r="AK4091"/>
      <c r="AL4091"/>
      <c r="AM4091"/>
      <c r="AN4091"/>
      <c r="AO4091"/>
    </row>
    <row r="4092" spans="1:41" ht="15">
      <c r="A4092"/>
      <c r="B4092"/>
      <c r="C4092" s="137"/>
      <c r="D4092" s="30"/>
      <c r="E4092" s="30"/>
      <c r="F4092" s="10"/>
      <c r="G4092" s="10"/>
      <c r="H4092" s="15"/>
      <c r="I4092" s="15"/>
      <c r="J4092" s="15"/>
      <c r="K4092" s="15"/>
      <c r="L4092" s="15"/>
      <c r="M4092" s="15"/>
      <c r="N4092" s="15"/>
      <c r="O4092" s="15"/>
      <c r="P4092" s="15"/>
      <c r="Q4092" s="71"/>
      <c r="R4092" s="84"/>
      <c r="S4092" s="10"/>
      <c r="T4092" s="10"/>
      <c r="U4092" s="10"/>
      <c r="V4092" s="10"/>
      <c r="W4092" s="138"/>
      <c r="Y4092"/>
      <c r="Z4092"/>
      <c r="AA4092"/>
      <c r="AB4092"/>
      <c r="AC4092"/>
      <c r="AD4092"/>
      <c r="AE4092"/>
      <c r="AF4092"/>
      <c r="AG4092"/>
      <c r="AH4092"/>
      <c r="AI4092"/>
      <c r="AJ4092"/>
      <c r="AK4092"/>
      <c r="AL4092"/>
      <c r="AM4092"/>
      <c r="AN4092"/>
      <c r="AO4092"/>
    </row>
    <row r="4093" spans="1:41" ht="15">
      <c r="A4093"/>
      <c r="B4093"/>
      <c r="C4093" s="137"/>
      <c r="D4093" s="30"/>
      <c r="E4093" s="30"/>
      <c r="F4093" s="10"/>
      <c r="G4093" s="10"/>
      <c r="H4093" s="15"/>
      <c r="I4093" s="15"/>
      <c r="J4093" s="15"/>
      <c r="K4093" s="15"/>
      <c r="L4093" s="15"/>
      <c r="M4093" s="15"/>
      <c r="N4093" s="15"/>
      <c r="O4093" s="15"/>
      <c r="P4093" s="15"/>
      <c r="Q4093" s="71"/>
      <c r="R4093" s="84"/>
      <c r="S4093" s="10"/>
      <c r="T4093" s="10"/>
      <c r="U4093" s="10"/>
      <c r="V4093" s="10"/>
      <c r="W4093" s="138"/>
      <c r="Y4093"/>
      <c r="Z4093"/>
      <c r="AA4093"/>
      <c r="AB4093"/>
      <c r="AC4093"/>
      <c r="AD4093"/>
      <c r="AE4093"/>
      <c r="AF4093"/>
      <c r="AG4093"/>
      <c r="AH4093"/>
      <c r="AI4093"/>
      <c r="AJ4093"/>
      <c r="AK4093"/>
      <c r="AL4093"/>
      <c r="AM4093"/>
      <c r="AN4093"/>
      <c r="AO4093"/>
    </row>
    <row r="4094" spans="1:41" ht="15">
      <c r="A4094"/>
      <c r="B4094"/>
      <c r="C4094" s="137"/>
      <c r="D4094" s="30"/>
      <c r="E4094" s="30"/>
      <c r="F4094" s="10"/>
      <c r="G4094" s="10"/>
      <c r="H4094" s="15"/>
      <c r="I4094" s="15"/>
      <c r="J4094" s="15"/>
      <c r="K4094" s="15"/>
      <c r="L4094" s="15"/>
      <c r="M4094" s="15"/>
      <c r="N4094" s="15"/>
      <c r="O4094" s="15"/>
      <c r="P4094" s="15"/>
      <c r="Q4094" s="71"/>
      <c r="R4094" s="84"/>
      <c r="S4094" s="10"/>
      <c r="T4094" s="10"/>
      <c r="U4094" s="10"/>
      <c r="V4094" s="10"/>
      <c r="W4094" s="138"/>
      <c r="Y4094"/>
      <c r="Z4094"/>
      <c r="AA4094"/>
      <c r="AB4094"/>
      <c r="AC4094"/>
      <c r="AD4094"/>
      <c r="AE4094"/>
      <c r="AF4094"/>
      <c r="AG4094"/>
      <c r="AH4094"/>
      <c r="AI4094"/>
      <c r="AJ4094"/>
      <c r="AK4094"/>
      <c r="AL4094"/>
      <c r="AM4094"/>
      <c r="AN4094"/>
      <c r="AO4094"/>
    </row>
    <row r="4095" spans="1:41" ht="15">
      <c r="A4095"/>
      <c r="B4095"/>
      <c r="C4095" s="137"/>
      <c r="D4095" s="30"/>
      <c r="E4095" s="30"/>
      <c r="F4095" s="10"/>
      <c r="G4095" s="10"/>
      <c r="H4095" s="15"/>
      <c r="I4095" s="15"/>
      <c r="J4095" s="15"/>
      <c r="K4095" s="15"/>
      <c r="L4095" s="15"/>
      <c r="M4095" s="15"/>
      <c r="N4095" s="15"/>
      <c r="O4095" s="15"/>
      <c r="P4095" s="15"/>
      <c r="Q4095" s="71"/>
      <c r="R4095" s="84"/>
      <c r="S4095" s="10"/>
      <c r="T4095" s="10"/>
      <c r="U4095" s="10"/>
      <c r="V4095" s="10"/>
      <c r="W4095" s="138"/>
      <c r="Y4095"/>
      <c r="Z4095"/>
      <c r="AA4095"/>
      <c r="AB4095"/>
      <c r="AC4095"/>
      <c r="AD4095"/>
      <c r="AE4095"/>
      <c r="AF4095"/>
      <c r="AG4095"/>
      <c r="AH4095"/>
      <c r="AI4095"/>
      <c r="AJ4095"/>
      <c r="AK4095"/>
      <c r="AL4095"/>
      <c r="AM4095"/>
      <c r="AN4095"/>
      <c r="AO4095"/>
    </row>
    <row r="4096" spans="1:41" ht="15">
      <c r="A4096"/>
      <c r="B4096"/>
      <c r="C4096" s="137"/>
      <c r="D4096" s="30"/>
      <c r="E4096" s="30"/>
      <c r="F4096" s="10"/>
      <c r="G4096" s="10"/>
      <c r="H4096" s="15"/>
      <c r="I4096" s="15"/>
      <c r="J4096" s="15"/>
      <c r="K4096" s="15"/>
      <c r="L4096" s="15"/>
      <c r="M4096" s="15"/>
      <c r="N4096" s="15"/>
      <c r="O4096" s="15"/>
      <c r="P4096" s="15"/>
      <c r="Q4096" s="71"/>
      <c r="R4096" s="84"/>
      <c r="S4096" s="10"/>
      <c r="T4096" s="10"/>
      <c r="U4096" s="10"/>
      <c r="V4096" s="10"/>
      <c r="W4096" s="138"/>
      <c r="Y4096"/>
      <c r="Z4096"/>
      <c r="AA4096"/>
      <c r="AB4096"/>
      <c r="AC4096"/>
      <c r="AD4096"/>
      <c r="AE4096"/>
      <c r="AF4096"/>
      <c r="AG4096"/>
      <c r="AH4096"/>
      <c r="AI4096"/>
      <c r="AJ4096"/>
      <c r="AK4096"/>
      <c r="AL4096"/>
      <c r="AM4096"/>
      <c r="AN4096"/>
      <c r="AO4096"/>
    </row>
    <row r="4097" spans="1:41" ht="15">
      <c r="A4097"/>
      <c r="B4097"/>
      <c r="C4097" s="137"/>
      <c r="D4097" s="30"/>
      <c r="E4097" s="30"/>
      <c r="F4097" s="10"/>
      <c r="G4097" s="10"/>
      <c r="H4097" s="15"/>
      <c r="I4097" s="15"/>
      <c r="J4097" s="15"/>
      <c r="K4097" s="15"/>
      <c r="L4097" s="15"/>
      <c r="M4097" s="15"/>
      <c r="N4097" s="15"/>
      <c r="O4097" s="15"/>
      <c r="P4097" s="15"/>
      <c r="Q4097" s="71"/>
      <c r="R4097" s="84"/>
      <c r="S4097" s="10"/>
      <c r="T4097" s="10"/>
      <c r="U4097" s="10"/>
      <c r="V4097" s="10"/>
      <c r="W4097" s="138"/>
      <c r="Y4097"/>
      <c r="Z4097"/>
      <c r="AA4097"/>
      <c r="AB4097"/>
      <c r="AC4097"/>
      <c r="AD4097"/>
      <c r="AE4097"/>
      <c r="AF4097"/>
      <c r="AG4097"/>
      <c r="AH4097"/>
      <c r="AI4097"/>
      <c r="AJ4097"/>
      <c r="AK4097"/>
      <c r="AL4097"/>
      <c r="AM4097"/>
      <c r="AN4097"/>
      <c r="AO4097"/>
    </row>
    <row r="4098" spans="1:41" ht="15">
      <c r="A4098"/>
      <c r="B4098"/>
      <c r="C4098" s="137"/>
      <c r="D4098" s="30"/>
      <c r="E4098" s="30"/>
      <c r="F4098" s="10"/>
      <c r="G4098" s="10"/>
      <c r="H4098" s="15"/>
      <c r="I4098" s="15"/>
      <c r="J4098" s="15"/>
      <c r="K4098" s="15"/>
      <c r="L4098" s="15"/>
      <c r="M4098" s="15"/>
      <c r="N4098" s="15"/>
      <c r="O4098" s="15"/>
      <c r="P4098" s="15"/>
      <c r="Q4098" s="71"/>
      <c r="R4098" s="84"/>
      <c r="S4098" s="10"/>
      <c r="T4098" s="10"/>
      <c r="U4098" s="10"/>
      <c r="V4098" s="10"/>
      <c r="W4098" s="138"/>
      <c r="Y4098"/>
      <c r="Z4098"/>
      <c r="AA4098"/>
      <c r="AB4098"/>
      <c r="AC4098"/>
      <c r="AD4098"/>
      <c r="AE4098"/>
      <c r="AF4098"/>
      <c r="AG4098"/>
      <c r="AH4098"/>
      <c r="AI4098"/>
      <c r="AJ4098"/>
      <c r="AK4098"/>
      <c r="AL4098"/>
      <c r="AM4098"/>
      <c r="AN4098"/>
      <c r="AO4098"/>
    </row>
    <row r="4099" spans="1:41" ht="15">
      <c r="A4099"/>
      <c r="B4099"/>
      <c r="C4099" s="137"/>
      <c r="D4099" s="30"/>
      <c r="E4099" s="30"/>
      <c r="F4099" s="10"/>
      <c r="G4099" s="10"/>
      <c r="H4099" s="15"/>
      <c r="I4099" s="15"/>
      <c r="J4099" s="15"/>
      <c r="K4099" s="15"/>
      <c r="L4099" s="15"/>
      <c r="M4099" s="15"/>
      <c r="N4099" s="15"/>
      <c r="O4099" s="15"/>
      <c r="P4099" s="15"/>
      <c r="Q4099" s="71"/>
      <c r="R4099" s="84"/>
      <c r="S4099" s="10"/>
      <c r="T4099" s="10"/>
      <c r="U4099" s="10"/>
      <c r="V4099" s="10"/>
      <c r="W4099" s="138"/>
      <c r="Y4099"/>
      <c r="Z4099"/>
      <c r="AA4099"/>
      <c r="AB4099"/>
      <c r="AC4099"/>
      <c r="AD4099"/>
      <c r="AE4099"/>
      <c r="AF4099"/>
      <c r="AG4099"/>
      <c r="AH4099"/>
      <c r="AI4099"/>
      <c r="AJ4099"/>
      <c r="AK4099"/>
      <c r="AL4099"/>
      <c r="AM4099"/>
      <c r="AN4099"/>
      <c r="AO4099"/>
    </row>
    <row r="4100" spans="1:41" ht="15">
      <c r="A4100"/>
      <c r="B4100"/>
      <c r="C4100" s="137"/>
      <c r="D4100" s="30"/>
      <c r="E4100" s="30"/>
      <c r="F4100" s="10"/>
      <c r="G4100" s="10"/>
      <c r="H4100" s="15"/>
      <c r="I4100" s="15"/>
      <c r="J4100" s="15"/>
      <c r="K4100" s="15"/>
      <c r="L4100" s="15"/>
      <c r="M4100" s="15"/>
      <c r="N4100" s="15"/>
      <c r="O4100" s="15"/>
      <c r="P4100" s="15"/>
      <c r="Q4100" s="71"/>
      <c r="R4100" s="84"/>
      <c r="S4100" s="10"/>
      <c r="T4100" s="10"/>
      <c r="U4100" s="10"/>
      <c r="V4100" s="10"/>
      <c r="W4100" s="138"/>
      <c r="Y4100"/>
      <c r="Z4100"/>
      <c r="AA4100"/>
      <c r="AB4100"/>
      <c r="AC4100"/>
      <c r="AD4100"/>
      <c r="AE4100"/>
      <c r="AF4100"/>
      <c r="AG4100"/>
      <c r="AH4100"/>
      <c r="AI4100"/>
      <c r="AJ4100"/>
      <c r="AK4100"/>
      <c r="AL4100"/>
      <c r="AM4100"/>
      <c r="AN4100"/>
      <c r="AO4100"/>
    </row>
    <row r="4101" spans="1:41" ht="15">
      <c r="A4101"/>
      <c r="B4101"/>
      <c r="C4101" s="137"/>
      <c r="D4101" s="30"/>
      <c r="E4101" s="30"/>
      <c r="F4101" s="10"/>
      <c r="G4101" s="10"/>
      <c r="H4101" s="15"/>
      <c r="I4101" s="15"/>
      <c r="J4101" s="15"/>
      <c r="K4101" s="15"/>
      <c r="L4101" s="15"/>
      <c r="M4101" s="15"/>
      <c r="N4101" s="15"/>
      <c r="O4101" s="15"/>
      <c r="P4101" s="15"/>
      <c r="Q4101" s="71"/>
      <c r="R4101" s="84"/>
      <c r="S4101" s="10"/>
      <c r="T4101" s="10"/>
      <c r="U4101" s="10"/>
      <c r="V4101" s="10"/>
      <c r="W4101" s="138"/>
      <c r="Y4101"/>
      <c r="Z4101"/>
      <c r="AA4101"/>
      <c r="AB4101"/>
      <c r="AC4101"/>
      <c r="AD4101"/>
      <c r="AE4101"/>
      <c r="AF4101"/>
      <c r="AG4101"/>
      <c r="AH4101"/>
      <c r="AI4101"/>
      <c r="AJ4101"/>
      <c r="AK4101"/>
      <c r="AL4101"/>
      <c r="AM4101"/>
      <c r="AN4101"/>
      <c r="AO4101"/>
    </row>
    <row r="4102" spans="1:41" ht="15">
      <c r="A4102"/>
      <c r="B4102"/>
      <c r="C4102" s="137"/>
      <c r="D4102" s="30"/>
      <c r="E4102" s="30"/>
      <c r="F4102" s="10"/>
      <c r="G4102" s="10"/>
      <c r="H4102" s="15"/>
      <c r="I4102" s="15"/>
      <c r="J4102" s="15"/>
      <c r="K4102" s="15"/>
      <c r="L4102" s="15"/>
      <c r="M4102" s="15"/>
      <c r="N4102" s="15"/>
      <c r="O4102" s="15"/>
      <c r="P4102" s="15"/>
      <c r="Q4102" s="71"/>
      <c r="R4102" s="84"/>
      <c r="S4102" s="10"/>
      <c r="T4102" s="10"/>
      <c r="U4102" s="10"/>
      <c r="V4102" s="10"/>
      <c r="W4102" s="138"/>
      <c r="Y4102"/>
      <c r="Z4102"/>
      <c r="AA4102"/>
      <c r="AB4102"/>
      <c r="AC4102"/>
      <c r="AD4102"/>
      <c r="AE4102"/>
      <c r="AF4102"/>
      <c r="AG4102"/>
      <c r="AH4102"/>
      <c r="AI4102"/>
      <c r="AJ4102"/>
      <c r="AK4102"/>
      <c r="AL4102"/>
      <c r="AM4102"/>
      <c r="AN4102"/>
      <c r="AO4102"/>
    </row>
    <row r="4103" spans="1:41" ht="15">
      <c r="A4103"/>
      <c r="B4103"/>
      <c r="C4103" s="137"/>
      <c r="D4103" s="30"/>
      <c r="E4103" s="30"/>
      <c r="F4103" s="10"/>
      <c r="G4103" s="10"/>
      <c r="H4103" s="15"/>
      <c r="I4103" s="15"/>
      <c r="J4103" s="15"/>
      <c r="K4103" s="15"/>
      <c r="L4103" s="15"/>
      <c r="M4103" s="15"/>
      <c r="N4103" s="15"/>
      <c r="O4103" s="15"/>
      <c r="P4103" s="15"/>
      <c r="Q4103" s="71"/>
      <c r="R4103" s="84"/>
      <c r="S4103" s="10"/>
      <c r="T4103" s="10"/>
      <c r="U4103" s="10"/>
      <c r="V4103" s="10"/>
      <c r="W4103" s="138"/>
      <c r="Y4103"/>
      <c r="Z4103"/>
      <c r="AA4103"/>
      <c r="AB4103"/>
      <c r="AC4103"/>
      <c r="AD4103"/>
      <c r="AE4103"/>
      <c r="AF4103"/>
      <c r="AG4103"/>
      <c r="AH4103"/>
      <c r="AI4103"/>
      <c r="AJ4103"/>
      <c r="AK4103"/>
      <c r="AL4103"/>
      <c r="AM4103"/>
      <c r="AN4103"/>
      <c r="AO4103"/>
    </row>
    <row r="4104" spans="1:41" ht="15">
      <c r="A4104"/>
      <c r="B4104"/>
      <c r="C4104" s="137"/>
      <c r="D4104" s="30"/>
      <c r="E4104" s="30"/>
      <c r="F4104" s="10"/>
      <c r="G4104" s="10"/>
      <c r="H4104" s="15"/>
      <c r="I4104" s="15"/>
      <c r="J4104" s="15"/>
      <c r="K4104" s="15"/>
      <c r="L4104" s="15"/>
      <c r="M4104" s="15"/>
      <c r="N4104" s="15"/>
      <c r="O4104" s="15"/>
      <c r="P4104" s="15"/>
      <c r="Q4104" s="71"/>
      <c r="R4104" s="84"/>
      <c r="S4104" s="10"/>
      <c r="T4104" s="10"/>
      <c r="U4104" s="10"/>
      <c r="V4104" s="10"/>
      <c r="W4104" s="138"/>
      <c r="Y4104"/>
      <c r="Z4104"/>
      <c r="AA4104"/>
      <c r="AB4104"/>
      <c r="AC4104"/>
      <c r="AD4104"/>
      <c r="AE4104"/>
      <c r="AF4104"/>
      <c r="AG4104"/>
      <c r="AH4104"/>
      <c r="AI4104"/>
      <c r="AJ4104"/>
      <c r="AK4104"/>
      <c r="AL4104"/>
      <c r="AM4104"/>
      <c r="AN4104"/>
      <c r="AO4104"/>
    </row>
    <row r="4105" spans="1:41" ht="15">
      <c r="A4105"/>
      <c r="B4105"/>
      <c r="C4105" s="137"/>
      <c r="D4105" s="30"/>
      <c r="E4105" s="30"/>
      <c r="F4105" s="10"/>
      <c r="G4105" s="10"/>
      <c r="H4105" s="15"/>
      <c r="I4105" s="15"/>
      <c r="J4105" s="15"/>
      <c r="K4105" s="15"/>
      <c r="L4105" s="15"/>
      <c r="M4105" s="15"/>
      <c r="N4105" s="15"/>
      <c r="O4105" s="15"/>
      <c r="P4105" s="15"/>
      <c r="Q4105" s="71"/>
      <c r="R4105" s="84"/>
      <c r="S4105" s="10"/>
      <c r="T4105" s="10"/>
      <c r="U4105" s="10"/>
      <c r="V4105" s="10"/>
      <c r="W4105" s="138"/>
      <c r="Y4105"/>
      <c r="Z4105"/>
      <c r="AA4105"/>
      <c r="AB4105"/>
      <c r="AC4105"/>
      <c r="AD4105"/>
      <c r="AE4105"/>
      <c r="AF4105"/>
      <c r="AG4105"/>
      <c r="AH4105"/>
      <c r="AI4105"/>
      <c r="AJ4105"/>
      <c r="AK4105"/>
      <c r="AL4105"/>
      <c r="AM4105"/>
      <c r="AN4105"/>
      <c r="AO4105"/>
    </row>
    <row r="4106" spans="1:41" ht="15">
      <c r="A4106"/>
      <c r="B4106"/>
      <c r="C4106" s="137"/>
      <c r="D4106" s="30"/>
      <c r="E4106" s="30"/>
      <c r="F4106" s="10"/>
      <c r="G4106" s="10"/>
      <c r="H4106" s="15"/>
      <c r="I4106" s="15"/>
      <c r="J4106" s="15"/>
      <c r="K4106" s="15"/>
      <c r="L4106" s="15"/>
      <c r="M4106" s="15"/>
      <c r="N4106" s="15"/>
      <c r="O4106" s="15"/>
      <c r="P4106" s="15"/>
      <c r="Q4106" s="71"/>
      <c r="R4106" s="84"/>
      <c r="S4106" s="10"/>
      <c r="T4106" s="10"/>
      <c r="U4106" s="10"/>
      <c r="V4106" s="10"/>
      <c r="W4106" s="138"/>
      <c r="Y4106"/>
      <c r="Z4106"/>
      <c r="AA4106"/>
      <c r="AB4106"/>
      <c r="AC4106"/>
      <c r="AD4106"/>
      <c r="AE4106"/>
      <c r="AF4106"/>
      <c r="AG4106"/>
      <c r="AH4106"/>
      <c r="AI4106"/>
      <c r="AJ4106"/>
      <c r="AK4106"/>
      <c r="AL4106"/>
      <c r="AM4106"/>
      <c r="AN4106"/>
      <c r="AO4106"/>
    </row>
    <row r="4107" spans="1:41" ht="15">
      <c r="A4107"/>
      <c r="B4107"/>
      <c r="C4107" s="137"/>
      <c r="D4107" s="30"/>
      <c r="E4107" s="30"/>
      <c r="F4107" s="10"/>
      <c r="G4107" s="10"/>
      <c r="H4107" s="15"/>
      <c r="I4107" s="15"/>
      <c r="J4107" s="15"/>
      <c r="K4107" s="15"/>
      <c r="L4107" s="15"/>
      <c r="M4107" s="15"/>
      <c r="N4107" s="15"/>
      <c r="O4107" s="15"/>
      <c r="P4107" s="15"/>
      <c r="Q4107" s="71"/>
      <c r="R4107" s="84"/>
      <c r="S4107" s="10"/>
      <c r="T4107" s="10"/>
      <c r="U4107" s="10"/>
      <c r="V4107" s="10"/>
      <c r="W4107" s="138"/>
      <c r="Y4107"/>
      <c r="Z4107"/>
      <c r="AA4107"/>
      <c r="AB4107"/>
      <c r="AC4107"/>
      <c r="AD4107"/>
      <c r="AE4107"/>
      <c r="AF4107"/>
      <c r="AG4107"/>
      <c r="AH4107"/>
      <c r="AI4107"/>
      <c r="AJ4107"/>
      <c r="AK4107"/>
      <c r="AL4107"/>
      <c r="AM4107"/>
      <c r="AN4107"/>
      <c r="AO4107"/>
    </row>
    <row r="4108" spans="1:41" ht="15">
      <c r="A4108"/>
      <c r="B4108"/>
      <c r="C4108" s="137"/>
      <c r="D4108" s="30"/>
      <c r="E4108" s="30"/>
      <c r="F4108" s="10"/>
      <c r="G4108" s="10"/>
      <c r="H4108" s="15"/>
      <c r="I4108" s="15"/>
      <c r="J4108" s="15"/>
      <c r="K4108" s="15"/>
      <c r="L4108" s="15"/>
      <c r="M4108" s="15"/>
      <c r="N4108" s="15"/>
      <c r="O4108" s="15"/>
      <c r="P4108" s="15"/>
      <c r="Q4108" s="71"/>
      <c r="R4108" s="84"/>
      <c r="S4108" s="10"/>
      <c r="T4108" s="10"/>
      <c r="U4108" s="10"/>
      <c r="V4108" s="10"/>
      <c r="W4108" s="138"/>
      <c r="Y4108"/>
      <c r="Z4108"/>
      <c r="AA4108"/>
      <c r="AB4108"/>
      <c r="AC4108"/>
      <c r="AD4108"/>
      <c r="AE4108"/>
      <c r="AF4108"/>
      <c r="AG4108"/>
      <c r="AH4108"/>
      <c r="AI4108"/>
      <c r="AJ4108"/>
      <c r="AK4108"/>
      <c r="AL4108"/>
      <c r="AM4108"/>
      <c r="AN4108"/>
      <c r="AO4108"/>
    </row>
    <row r="4109" spans="1:41" ht="15">
      <c r="A4109"/>
      <c r="B4109"/>
      <c r="C4109" s="137"/>
      <c r="D4109" s="30"/>
      <c r="E4109" s="30"/>
      <c r="F4109" s="10"/>
      <c r="G4109" s="10"/>
      <c r="H4109" s="15"/>
      <c r="I4109" s="15"/>
      <c r="J4109" s="15"/>
      <c r="K4109" s="15"/>
      <c r="L4109" s="15"/>
      <c r="M4109" s="15"/>
      <c r="N4109" s="15"/>
      <c r="O4109" s="15"/>
      <c r="P4109" s="15"/>
      <c r="Q4109" s="71"/>
      <c r="R4109" s="84"/>
      <c r="S4109" s="10"/>
      <c r="T4109" s="10"/>
      <c r="U4109" s="10"/>
      <c r="V4109" s="10"/>
      <c r="W4109" s="138"/>
      <c r="Y4109"/>
      <c r="Z4109"/>
      <c r="AA4109"/>
      <c r="AB4109"/>
      <c r="AC4109"/>
      <c r="AD4109"/>
      <c r="AE4109"/>
      <c r="AF4109"/>
      <c r="AG4109"/>
      <c r="AH4109"/>
      <c r="AI4109"/>
      <c r="AJ4109"/>
      <c r="AK4109"/>
      <c r="AL4109"/>
      <c r="AM4109"/>
      <c r="AN4109"/>
      <c r="AO4109"/>
    </row>
    <row r="4110" spans="1:41" ht="15">
      <c r="A4110"/>
      <c r="B4110"/>
      <c r="C4110" s="137"/>
      <c r="D4110" s="30"/>
      <c r="E4110" s="30"/>
      <c r="F4110" s="10"/>
      <c r="G4110" s="10"/>
      <c r="H4110" s="15"/>
      <c r="I4110" s="15"/>
      <c r="J4110" s="15"/>
      <c r="K4110" s="15"/>
      <c r="L4110" s="15"/>
      <c r="M4110" s="15"/>
      <c r="N4110" s="15"/>
      <c r="O4110" s="15"/>
      <c r="P4110" s="15"/>
      <c r="Q4110" s="71"/>
      <c r="R4110" s="84"/>
      <c r="S4110" s="10"/>
      <c r="T4110" s="10"/>
      <c r="U4110" s="10"/>
      <c r="V4110" s="10"/>
      <c r="W4110" s="138"/>
      <c r="Y4110"/>
      <c r="Z4110"/>
      <c r="AA4110"/>
      <c r="AB4110"/>
      <c r="AC4110"/>
      <c r="AD4110"/>
      <c r="AE4110"/>
      <c r="AF4110"/>
      <c r="AG4110"/>
      <c r="AH4110"/>
      <c r="AI4110"/>
      <c r="AJ4110"/>
      <c r="AK4110"/>
      <c r="AL4110"/>
      <c r="AM4110"/>
      <c r="AN4110"/>
      <c r="AO4110"/>
    </row>
    <row r="4111" spans="1:41" ht="15">
      <c r="A4111"/>
      <c r="B4111"/>
      <c r="C4111" s="137"/>
      <c r="D4111" s="30"/>
      <c r="E4111" s="30"/>
      <c r="F4111" s="10"/>
      <c r="G4111" s="10"/>
      <c r="H4111" s="15"/>
      <c r="I4111" s="15"/>
      <c r="J4111" s="15"/>
      <c r="K4111" s="15"/>
      <c r="L4111" s="15"/>
      <c r="M4111" s="15"/>
      <c r="N4111" s="15"/>
      <c r="O4111" s="15"/>
      <c r="P4111" s="15"/>
      <c r="Q4111" s="71"/>
      <c r="R4111" s="84"/>
      <c r="S4111" s="10"/>
      <c r="T4111" s="10"/>
      <c r="U4111" s="10"/>
      <c r="V4111" s="10"/>
      <c r="W4111" s="138"/>
      <c r="Y4111"/>
      <c r="Z4111"/>
      <c r="AA4111"/>
      <c r="AB4111"/>
      <c r="AC4111"/>
      <c r="AD4111"/>
      <c r="AE4111"/>
      <c r="AF4111"/>
      <c r="AG4111"/>
      <c r="AH4111"/>
      <c r="AI4111"/>
      <c r="AJ4111"/>
      <c r="AK4111"/>
      <c r="AL4111"/>
      <c r="AM4111"/>
      <c r="AN4111"/>
      <c r="AO4111"/>
    </row>
    <row r="4112" spans="1:41" ht="15">
      <c r="A4112"/>
      <c r="B4112"/>
      <c r="C4112" s="137"/>
      <c r="D4112" s="30"/>
      <c r="E4112" s="30"/>
      <c r="F4112" s="10"/>
      <c r="G4112" s="10"/>
      <c r="H4112" s="15"/>
      <c r="I4112" s="15"/>
      <c r="J4112" s="15"/>
      <c r="K4112" s="15"/>
      <c r="L4112" s="15"/>
      <c r="M4112" s="15"/>
      <c r="N4112" s="15"/>
      <c r="O4112" s="15"/>
      <c r="P4112" s="15"/>
      <c r="Q4112" s="71"/>
      <c r="R4112" s="84"/>
      <c r="S4112" s="10"/>
      <c r="T4112" s="10"/>
      <c r="U4112" s="10"/>
      <c r="V4112" s="10"/>
      <c r="W4112" s="138"/>
      <c r="Y4112"/>
      <c r="Z4112"/>
      <c r="AA4112"/>
      <c r="AB4112"/>
      <c r="AC4112"/>
      <c r="AD4112"/>
      <c r="AE4112"/>
      <c r="AF4112"/>
      <c r="AG4112"/>
      <c r="AH4112"/>
      <c r="AI4112"/>
      <c r="AJ4112"/>
      <c r="AK4112"/>
      <c r="AL4112"/>
      <c r="AM4112"/>
      <c r="AN4112"/>
      <c r="AO4112"/>
    </row>
    <row r="4113" spans="1:41" ht="15">
      <c r="A4113"/>
      <c r="B4113"/>
      <c r="C4113" s="137"/>
      <c r="D4113" s="30"/>
      <c r="E4113" s="30"/>
      <c r="F4113" s="10"/>
      <c r="G4113" s="10"/>
      <c r="H4113" s="15"/>
      <c r="I4113" s="15"/>
      <c r="J4113" s="15"/>
      <c r="K4113" s="15"/>
      <c r="L4113" s="15"/>
      <c r="M4113" s="15"/>
      <c r="N4113" s="15"/>
      <c r="O4113" s="15"/>
      <c r="P4113" s="15"/>
      <c r="Q4113" s="71"/>
      <c r="R4113" s="84"/>
      <c r="S4113" s="10"/>
      <c r="T4113" s="10"/>
      <c r="U4113" s="10"/>
      <c r="V4113" s="10"/>
      <c r="W4113" s="138"/>
      <c r="Y4113"/>
      <c r="Z4113"/>
      <c r="AA4113"/>
      <c r="AB4113"/>
      <c r="AC4113"/>
      <c r="AD4113"/>
      <c r="AE4113"/>
      <c r="AF4113"/>
      <c r="AG4113"/>
      <c r="AH4113"/>
      <c r="AI4113"/>
      <c r="AJ4113"/>
      <c r="AK4113"/>
      <c r="AL4113"/>
      <c r="AM4113"/>
      <c r="AN4113"/>
      <c r="AO4113"/>
    </row>
    <row r="4114" spans="1:41" ht="15">
      <c r="A4114"/>
      <c r="B4114"/>
      <c r="C4114" s="137"/>
      <c r="D4114" s="30"/>
      <c r="E4114" s="30"/>
      <c r="F4114" s="10"/>
      <c r="G4114" s="10"/>
      <c r="H4114" s="15"/>
      <c r="I4114" s="15"/>
      <c r="J4114" s="15"/>
      <c r="K4114" s="15"/>
      <c r="L4114" s="15"/>
      <c r="M4114" s="15"/>
      <c r="N4114" s="15"/>
      <c r="O4114" s="15"/>
      <c r="P4114" s="15"/>
      <c r="Q4114" s="71"/>
      <c r="R4114" s="84"/>
      <c r="S4114" s="10"/>
      <c r="T4114" s="10"/>
      <c r="U4114" s="10"/>
      <c r="V4114" s="10"/>
      <c r="W4114" s="138"/>
      <c r="Y4114"/>
      <c r="Z4114"/>
      <c r="AA4114"/>
      <c r="AB4114"/>
      <c r="AC4114"/>
      <c r="AD4114"/>
      <c r="AE4114"/>
      <c r="AF4114"/>
      <c r="AG4114"/>
      <c r="AH4114"/>
      <c r="AI4114"/>
      <c r="AJ4114"/>
      <c r="AK4114"/>
      <c r="AL4114"/>
      <c r="AM4114"/>
      <c r="AN4114"/>
      <c r="AO4114"/>
    </row>
    <row r="4115" spans="1:41" ht="15">
      <c r="A4115"/>
      <c r="B4115"/>
      <c r="C4115" s="137"/>
      <c r="D4115" s="30"/>
      <c r="E4115" s="30"/>
      <c r="F4115" s="10"/>
      <c r="G4115" s="10"/>
      <c r="H4115" s="15"/>
      <c r="I4115" s="15"/>
      <c r="J4115" s="15"/>
      <c r="K4115" s="15"/>
      <c r="L4115" s="15"/>
      <c r="M4115" s="15"/>
      <c r="N4115" s="15"/>
      <c r="O4115" s="15"/>
      <c r="P4115" s="15"/>
      <c r="Q4115" s="71"/>
      <c r="R4115" s="84"/>
      <c r="S4115" s="10"/>
      <c r="T4115" s="10"/>
      <c r="U4115" s="10"/>
      <c r="V4115" s="10"/>
      <c r="W4115" s="138"/>
      <c r="Y4115"/>
      <c r="Z4115"/>
      <c r="AA4115"/>
      <c r="AB4115"/>
      <c r="AC4115"/>
      <c r="AD4115"/>
      <c r="AE4115"/>
      <c r="AF4115"/>
      <c r="AG4115"/>
      <c r="AH4115"/>
      <c r="AI4115"/>
      <c r="AJ4115"/>
      <c r="AK4115"/>
      <c r="AL4115"/>
      <c r="AM4115"/>
      <c r="AN4115"/>
      <c r="AO4115"/>
    </row>
    <row r="4116" spans="1:41" ht="15">
      <c r="A4116"/>
      <c r="B4116"/>
      <c r="C4116" s="137"/>
      <c r="D4116" s="30"/>
      <c r="E4116" s="30"/>
      <c r="F4116" s="10"/>
      <c r="G4116" s="10"/>
      <c r="H4116" s="15"/>
      <c r="I4116" s="15"/>
      <c r="J4116" s="15"/>
      <c r="K4116" s="15"/>
      <c r="L4116" s="15"/>
      <c r="M4116" s="15"/>
      <c r="N4116" s="15"/>
      <c r="O4116" s="15"/>
      <c r="P4116" s="15"/>
      <c r="Q4116" s="71"/>
      <c r="R4116" s="84"/>
      <c r="S4116" s="10"/>
      <c r="T4116" s="10"/>
      <c r="U4116" s="10"/>
      <c r="V4116" s="10"/>
      <c r="W4116" s="138"/>
      <c r="Y4116"/>
      <c r="Z4116"/>
      <c r="AA4116"/>
      <c r="AB4116"/>
      <c r="AC4116"/>
      <c r="AD4116"/>
      <c r="AE4116"/>
      <c r="AF4116"/>
      <c r="AG4116"/>
      <c r="AH4116"/>
      <c r="AI4116"/>
      <c r="AJ4116"/>
      <c r="AK4116"/>
      <c r="AL4116"/>
      <c r="AM4116"/>
      <c r="AN4116"/>
      <c r="AO4116"/>
    </row>
    <row r="4117" spans="1:41" ht="15">
      <c r="A4117"/>
      <c r="B4117"/>
      <c r="C4117" s="137"/>
      <c r="D4117" s="30"/>
      <c r="E4117" s="30"/>
      <c r="F4117" s="10"/>
      <c r="G4117" s="10"/>
      <c r="H4117" s="15"/>
      <c r="I4117" s="15"/>
      <c r="J4117" s="15"/>
      <c r="K4117" s="15"/>
      <c r="L4117" s="15"/>
      <c r="M4117" s="15"/>
      <c r="N4117" s="15"/>
      <c r="O4117" s="15"/>
      <c r="P4117" s="15"/>
      <c r="Q4117" s="71"/>
      <c r="R4117" s="84"/>
      <c r="S4117" s="10"/>
      <c r="T4117" s="10"/>
      <c r="U4117" s="10"/>
      <c r="V4117" s="10"/>
      <c r="W4117" s="138"/>
      <c r="Y4117"/>
      <c r="Z4117"/>
      <c r="AA4117"/>
      <c r="AB4117"/>
      <c r="AC4117"/>
      <c r="AD4117"/>
      <c r="AE4117"/>
      <c r="AF4117"/>
      <c r="AG4117"/>
      <c r="AH4117"/>
      <c r="AI4117"/>
      <c r="AJ4117"/>
      <c r="AK4117"/>
      <c r="AL4117"/>
      <c r="AM4117"/>
      <c r="AN4117"/>
      <c r="AO4117"/>
    </row>
    <row r="4118" spans="1:41" ht="15">
      <c r="A4118"/>
      <c r="B4118"/>
      <c r="C4118" s="137"/>
      <c r="D4118" s="30"/>
      <c r="E4118" s="30"/>
      <c r="F4118" s="10"/>
      <c r="G4118" s="10"/>
      <c r="H4118" s="15"/>
      <c r="I4118" s="15"/>
      <c r="J4118" s="15"/>
      <c r="K4118" s="15"/>
      <c r="L4118" s="15"/>
      <c r="M4118" s="15"/>
      <c r="N4118" s="15"/>
      <c r="O4118" s="15"/>
      <c r="P4118" s="15"/>
      <c r="Q4118" s="71"/>
      <c r="R4118" s="84"/>
      <c r="S4118" s="10"/>
      <c r="T4118" s="10"/>
      <c r="U4118" s="10"/>
      <c r="V4118" s="10"/>
      <c r="W4118" s="138"/>
      <c r="Y4118"/>
      <c r="Z4118"/>
      <c r="AA4118"/>
      <c r="AB4118"/>
      <c r="AC4118"/>
      <c r="AD4118"/>
      <c r="AE4118"/>
      <c r="AF4118"/>
      <c r="AG4118"/>
      <c r="AH4118"/>
      <c r="AI4118"/>
      <c r="AJ4118"/>
      <c r="AK4118"/>
      <c r="AL4118"/>
      <c r="AM4118"/>
      <c r="AN4118"/>
      <c r="AO4118"/>
    </row>
    <row r="4119" spans="1:41" ht="15">
      <c r="A4119"/>
      <c r="B4119"/>
      <c r="C4119" s="137"/>
      <c r="D4119" s="30"/>
      <c r="E4119" s="30"/>
      <c r="F4119" s="10"/>
      <c r="G4119" s="10"/>
      <c r="H4119" s="15"/>
      <c r="I4119" s="15"/>
      <c r="J4119" s="15"/>
      <c r="K4119" s="15"/>
      <c r="L4119" s="15"/>
      <c r="M4119" s="15"/>
      <c r="N4119" s="15"/>
      <c r="O4119" s="15"/>
      <c r="P4119" s="15"/>
      <c r="Q4119" s="71"/>
      <c r="R4119" s="84"/>
      <c r="S4119" s="10"/>
      <c r="T4119" s="10"/>
      <c r="U4119" s="10"/>
      <c r="V4119" s="10"/>
      <c r="W4119" s="138"/>
      <c r="Y4119"/>
      <c r="Z4119"/>
      <c r="AA4119"/>
      <c r="AB4119"/>
      <c r="AC4119"/>
      <c r="AD4119"/>
      <c r="AE4119"/>
      <c r="AF4119"/>
      <c r="AG4119"/>
      <c r="AH4119"/>
      <c r="AI4119"/>
      <c r="AJ4119"/>
      <c r="AK4119"/>
      <c r="AL4119"/>
      <c r="AM4119"/>
      <c r="AN4119"/>
      <c r="AO4119"/>
    </row>
    <row r="4120" spans="1:41" ht="15">
      <c r="A4120"/>
      <c r="B4120"/>
      <c r="C4120" s="137"/>
      <c r="D4120" s="30"/>
      <c r="E4120" s="30"/>
      <c r="F4120" s="10"/>
      <c r="G4120" s="10"/>
      <c r="H4120" s="15"/>
      <c r="I4120" s="15"/>
      <c r="J4120" s="15"/>
      <c r="K4120" s="15"/>
      <c r="L4120" s="15"/>
      <c r="M4120" s="15"/>
      <c r="N4120" s="15"/>
      <c r="O4120" s="15"/>
      <c r="P4120" s="15"/>
      <c r="Q4120" s="71"/>
      <c r="R4120" s="84"/>
      <c r="S4120" s="10"/>
      <c r="T4120" s="10"/>
      <c r="U4120" s="10"/>
      <c r="V4120" s="10"/>
      <c r="W4120" s="138"/>
      <c r="Y4120"/>
      <c r="Z4120"/>
      <c r="AA4120"/>
      <c r="AB4120"/>
      <c r="AC4120"/>
      <c r="AD4120"/>
      <c r="AE4120"/>
      <c r="AF4120"/>
      <c r="AG4120"/>
      <c r="AH4120"/>
      <c r="AI4120"/>
      <c r="AJ4120"/>
      <c r="AK4120"/>
      <c r="AL4120"/>
      <c r="AM4120"/>
      <c r="AN4120"/>
      <c r="AO4120"/>
    </row>
    <row r="4121" spans="1:41" ht="15">
      <c r="A4121"/>
      <c r="B4121"/>
      <c r="C4121" s="137"/>
      <c r="D4121" s="30"/>
      <c r="E4121" s="30"/>
      <c r="F4121" s="10"/>
      <c r="G4121" s="10"/>
      <c r="H4121" s="15"/>
      <c r="I4121" s="15"/>
      <c r="J4121" s="15"/>
      <c r="K4121" s="15"/>
      <c r="L4121" s="15"/>
      <c r="M4121" s="15"/>
      <c r="N4121" s="15"/>
      <c r="O4121" s="15"/>
      <c r="P4121" s="15"/>
      <c r="Q4121" s="71"/>
      <c r="R4121" s="84"/>
      <c r="S4121" s="10"/>
      <c r="T4121" s="10"/>
      <c r="U4121" s="10"/>
      <c r="V4121" s="10"/>
      <c r="W4121" s="138"/>
      <c r="Y4121"/>
      <c r="Z4121"/>
      <c r="AA4121"/>
      <c r="AB4121"/>
      <c r="AC4121"/>
      <c r="AD4121"/>
      <c r="AE4121"/>
      <c r="AF4121"/>
      <c r="AG4121"/>
      <c r="AH4121"/>
      <c r="AI4121"/>
      <c r="AJ4121"/>
      <c r="AK4121"/>
      <c r="AL4121"/>
      <c r="AM4121"/>
      <c r="AN4121"/>
      <c r="AO4121"/>
    </row>
    <row r="4122" spans="1:41" ht="15">
      <c r="A4122"/>
      <c r="B4122"/>
      <c r="C4122" s="137"/>
      <c r="D4122" s="30"/>
      <c r="E4122" s="30"/>
      <c r="F4122" s="10"/>
      <c r="G4122" s="10"/>
      <c r="H4122" s="15"/>
      <c r="I4122" s="15"/>
      <c r="J4122" s="15"/>
      <c r="K4122" s="15"/>
      <c r="L4122" s="15"/>
      <c r="M4122" s="15"/>
      <c r="N4122" s="15"/>
      <c r="O4122" s="15"/>
      <c r="P4122" s="15"/>
      <c r="Q4122" s="71"/>
      <c r="R4122" s="84"/>
      <c r="S4122" s="10"/>
      <c r="T4122" s="10"/>
      <c r="U4122" s="10"/>
      <c r="V4122" s="10"/>
      <c r="W4122" s="138"/>
      <c r="Y4122"/>
      <c r="Z4122"/>
      <c r="AA4122"/>
      <c r="AB4122"/>
      <c r="AC4122"/>
      <c r="AD4122"/>
      <c r="AE4122"/>
      <c r="AF4122"/>
      <c r="AG4122"/>
      <c r="AH4122"/>
      <c r="AI4122"/>
      <c r="AJ4122"/>
      <c r="AK4122"/>
      <c r="AL4122"/>
      <c r="AM4122"/>
      <c r="AN4122"/>
      <c r="AO4122"/>
    </row>
    <row r="4123" spans="1:41" ht="15">
      <c r="A4123"/>
      <c r="B4123"/>
      <c r="C4123" s="137"/>
      <c r="D4123" s="30"/>
      <c r="E4123" s="30"/>
      <c r="F4123" s="10"/>
      <c r="G4123" s="10"/>
      <c r="H4123" s="15"/>
      <c r="I4123" s="15"/>
      <c r="J4123" s="15"/>
      <c r="K4123" s="15"/>
      <c r="L4123" s="15"/>
      <c r="M4123" s="15"/>
      <c r="N4123" s="15"/>
      <c r="O4123" s="15"/>
      <c r="P4123" s="15"/>
      <c r="Q4123" s="71"/>
      <c r="R4123" s="84"/>
      <c r="S4123" s="10"/>
      <c r="T4123" s="10"/>
      <c r="U4123" s="10"/>
      <c r="V4123" s="10"/>
      <c r="W4123" s="138"/>
      <c r="Y4123"/>
      <c r="Z4123"/>
      <c r="AA4123"/>
      <c r="AB4123"/>
      <c r="AC4123"/>
      <c r="AD4123"/>
      <c r="AE4123"/>
      <c r="AF4123"/>
      <c r="AG4123"/>
      <c r="AH4123"/>
      <c r="AI4123"/>
      <c r="AJ4123"/>
      <c r="AK4123"/>
      <c r="AL4123"/>
      <c r="AM4123"/>
      <c r="AN4123"/>
      <c r="AO4123"/>
    </row>
    <row r="4124" spans="1:41" ht="15">
      <c r="A4124"/>
      <c r="B4124"/>
      <c r="C4124" s="137"/>
      <c r="D4124" s="30"/>
      <c r="E4124" s="30"/>
      <c r="F4124" s="10"/>
      <c r="G4124" s="10"/>
      <c r="H4124" s="15"/>
      <c r="I4124" s="15"/>
      <c r="J4124" s="15"/>
      <c r="K4124" s="15"/>
      <c r="L4124" s="15"/>
      <c r="M4124" s="15"/>
      <c r="N4124" s="15"/>
      <c r="O4124" s="15"/>
      <c r="P4124" s="15"/>
      <c r="Q4124" s="71"/>
      <c r="R4124" s="84"/>
      <c r="S4124" s="10"/>
      <c r="T4124" s="10"/>
      <c r="U4124" s="10"/>
      <c r="V4124" s="10"/>
      <c r="W4124" s="138"/>
      <c r="Y4124"/>
      <c r="Z4124"/>
      <c r="AA4124"/>
      <c r="AB4124"/>
      <c r="AC4124"/>
      <c r="AD4124"/>
      <c r="AE4124"/>
      <c r="AF4124"/>
      <c r="AG4124"/>
      <c r="AH4124"/>
      <c r="AI4124"/>
      <c r="AJ4124"/>
      <c r="AK4124"/>
      <c r="AL4124"/>
      <c r="AM4124"/>
      <c r="AN4124"/>
      <c r="AO4124"/>
    </row>
    <row r="4125" spans="1:41" ht="15">
      <c r="A4125"/>
      <c r="B4125"/>
      <c r="C4125" s="137"/>
      <c r="D4125" s="30"/>
      <c r="E4125" s="30"/>
      <c r="F4125" s="10"/>
      <c r="G4125" s="10"/>
      <c r="H4125" s="15"/>
      <c r="I4125" s="15"/>
      <c r="J4125" s="15"/>
      <c r="K4125" s="15"/>
      <c r="L4125" s="15"/>
      <c r="M4125" s="15"/>
      <c r="N4125" s="15"/>
      <c r="O4125" s="15"/>
      <c r="P4125" s="15"/>
      <c r="Q4125" s="71"/>
      <c r="R4125" s="84"/>
      <c r="S4125" s="10"/>
      <c r="T4125" s="10"/>
      <c r="U4125" s="10"/>
      <c r="V4125" s="10"/>
      <c r="W4125" s="138"/>
      <c r="Y4125"/>
      <c r="Z4125"/>
      <c r="AA4125"/>
      <c r="AB4125"/>
      <c r="AC4125"/>
      <c r="AD4125"/>
      <c r="AE4125"/>
      <c r="AF4125"/>
      <c r="AG4125"/>
      <c r="AH4125"/>
      <c r="AI4125"/>
      <c r="AJ4125"/>
      <c r="AK4125"/>
      <c r="AL4125"/>
      <c r="AM4125"/>
      <c r="AN4125"/>
      <c r="AO4125"/>
    </row>
    <row r="4126" spans="1:41" ht="15">
      <c r="A4126"/>
      <c r="B4126"/>
      <c r="C4126" s="137"/>
      <c r="D4126" s="30"/>
      <c r="E4126" s="30"/>
      <c r="F4126" s="10"/>
      <c r="G4126" s="10"/>
      <c r="H4126" s="15"/>
      <c r="I4126" s="15"/>
      <c r="J4126" s="15"/>
      <c r="K4126" s="15"/>
      <c r="L4126" s="15"/>
      <c r="M4126" s="15"/>
      <c r="N4126" s="15"/>
      <c r="O4126" s="15"/>
      <c r="P4126" s="15"/>
      <c r="Q4126" s="71"/>
      <c r="R4126" s="84"/>
      <c r="S4126" s="10"/>
      <c r="T4126" s="10"/>
      <c r="U4126" s="10"/>
      <c r="V4126" s="10"/>
      <c r="W4126" s="138"/>
      <c r="Y4126"/>
      <c r="Z4126"/>
      <c r="AA4126"/>
      <c r="AB4126"/>
      <c r="AC4126"/>
      <c r="AD4126"/>
      <c r="AE4126"/>
      <c r="AF4126"/>
      <c r="AG4126"/>
      <c r="AH4126"/>
      <c r="AI4126"/>
      <c r="AJ4126"/>
      <c r="AK4126"/>
      <c r="AL4126"/>
      <c r="AM4126"/>
      <c r="AN4126"/>
      <c r="AO4126"/>
    </row>
    <row r="4127" spans="1:41" ht="15">
      <c r="A4127"/>
      <c r="B4127"/>
      <c r="C4127" s="137"/>
      <c r="D4127" s="30"/>
      <c r="E4127" s="30"/>
      <c r="F4127" s="10"/>
      <c r="G4127" s="10"/>
      <c r="H4127" s="15"/>
      <c r="I4127" s="15"/>
      <c r="J4127" s="15"/>
      <c r="K4127" s="15"/>
      <c r="L4127" s="15"/>
      <c r="M4127" s="15"/>
      <c r="N4127" s="15"/>
      <c r="O4127" s="15"/>
      <c r="P4127" s="15"/>
      <c r="Q4127" s="71"/>
      <c r="R4127" s="84"/>
      <c r="S4127" s="10"/>
      <c r="T4127" s="10"/>
      <c r="U4127" s="10"/>
      <c r="V4127" s="10"/>
      <c r="W4127" s="138"/>
      <c r="Y4127"/>
      <c r="Z4127"/>
      <c r="AA4127"/>
      <c r="AB4127"/>
      <c r="AC4127"/>
      <c r="AD4127"/>
      <c r="AE4127"/>
      <c r="AF4127"/>
      <c r="AG4127"/>
      <c r="AH4127"/>
      <c r="AI4127"/>
      <c r="AJ4127"/>
      <c r="AK4127"/>
      <c r="AL4127"/>
      <c r="AM4127"/>
      <c r="AN4127"/>
      <c r="AO4127"/>
    </row>
    <row r="4128" spans="1:41" ht="15">
      <c r="A4128"/>
      <c r="B4128"/>
      <c r="C4128" s="137"/>
      <c r="D4128" s="30"/>
      <c r="E4128" s="30"/>
      <c r="F4128" s="10"/>
      <c r="G4128" s="10"/>
      <c r="H4128" s="15"/>
      <c r="I4128" s="15"/>
      <c r="J4128" s="15"/>
      <c r="K4128" s="15"/>
      <c r="L4128" s="15"/>
      <c r="M4128" s="15"/>
      <c r="N4128" s="15"/>
      <c r="O4128" s="15"/>
      <c r="P4128" s="15"/>
      <c r="Q4128" s="71"/>
      <c r="R4128" s="84"/>
      <c r="S4128" s="10"/>
      <c r="T4128" s="10"/>
      <c r="U4128" s="10"/>
      <c r="V4128" s="10"/>
      <c r="W4128" s="138"/>
      <c r="Y4128"/>
      <c r="Z4128"/>
      <c r="AA4128"/>
      <c r="AB4128"/>
      <c r="AC4128"/>
      <c r="AD4128"/>
      <c r="AE4128"/>
      <c r="AF4128"/>
      <c r="AG4128"/>
      <c r="AH4128"/>
      <c r="AI4128"/>
      <c r="AJ4128"/>
      <c r="AK4128"/>
      <c r="AL4128"/>
      <c r="AM4128"/>
      <c r="AN4128"/>
      <c r="AO4128"/>
    </row>
    <row r="4129" spans="1:41" ht="15">
      <c r="A4129"/>
      <c r="B4129"/>
      <c r="C4129" s="137"/>
      <c r="D4129" s="30"/>
      <c r="E4129" s="30"/>
      <c r="F4129" s="10"/>
      <c r="G4129" s="10"/>
      <c r="H4129" s="15"/>
      <c r="I4129" s="15"/>
      <c r="J4129" s="15"/>
      <c r="K4129" s="15"/>
      <c r="L4129" s="15"/>
      <c r="M4129" s="15"/>
      <c r="N4129" s="15"/>
      <c r="O4129" s="15"/>
      <c r="P4129" s="15"/>
      <c r="Q4129" s="71"/>
      <c r="R4129" s="84"/>
      <c r="S4129" s="10"/>
      <c r="T4129" s="10"/>
      <c r="U4129" s="10"/>
      <c r="V4129" s="10"/>
      <c r="W4129" s="138"/>
      <c r="Y4129"/>
      <c r="Z4129"/>
      <c r="AA4129"/>
      <c r="AB4129"/>
      <c r="AC4129"/>
      <c r="AD4129"/>
      <c r="AE4129"/>
      <c r="AF4129"/>
      <c r="AG4129"/>
      <c r="AH4129"/>
      <c r="AI4129"/>
      <c r="AJ4129"/>
      <c r="AK4129"/>
      <c r="AL4129"/>
      <c r="AM4129"/>
      <c r="AN4129"/>
      <c r="AO4129"/>
    </row>
    <row r="4130" spans="1:41" ht="15">
      <c r="A4130"/>
      <c r="B4130"/>
      <c r="C4130" s="137"/>
      <c r="D4130" s="30"/>
      <c r="E4130" s="30"/>
      <c r="F4130" s="10"/>
      <c r="G4130" s="10"/>
      <c r="H4130" s="15"/>
      <c r="I4130" s="15"/>
      <c r="J4130" s="15"/>
      <c r="K4130" s="15"/>
      <c r="L4130" s="15"/>
      <c r="M4130" s="15"/>
      <c r="N4130" s="15"/>
      <c r="O4130" s="15"/>
      <c r="P4130" s="15"/>
      <c r="Q4130" s="71"/>
      <c r="R4130" s="84"/>
      <c r="S4130" s="10"/>
      <c r="T4130" s="10"/>
      <c r="U4130" s="10"/>
      <c r="V4130" s="10"/>
      <c r="W4130" s="138"/>
      <c r="Y4130"/>
      <c r="Z4130"/>
      <c r="AA4130"/>
      <c r="AB4130"/>
      <c r="AC4130"/>
      <c r="AD4130"/>
      <c r="AE4130"/>
      <c r="AF4130"/>
      <c r="AG4130"/>
      <c r="AH4130"/>
      <c r="AI4130"/>
      <c r="AJ4130"/>
      <c r="AK4130"/>
      <c r="AL4130"/>
      <c r="AM4130"/>
      <c r="AN4130"/>
      <c r="AO4130"/>
    </row>
    <row r="4131" spans="1:41" ht="15">
      <c r="A4131"/>
      <c r="B4131"/>
      <c r="C4131" s="137"/>
      <c r="D4131" s="30"/>
      <c r="E4131" s="30"/>
      <c r="F4131" s="10"/>
      <c r="G4131" s="10"/>
      <c r="H4131" s="15"/>
      <c r="I4131" s="15"/>
      <c r="J4131" s="15"/>
      <c r="K4131" s="15"/>
      <c r="L4131" s="15"/>
      <c r="M4131" s="15"/>
      <c r="N4131" s="15"/>
      <c r="O4131" s="15"/>
      <c r="P4131" s="15"/>
      <c r="Q4131" s="71"/>
      <c r="R4131" s="84"/>
      <c r="S4131" s="10"/>
      <c r="T4131" s="10"/>
      <c r="U4131" s="10"/>
      <c r="V4131" s="10"/>
      <c r="W4131" s="138"/>
      <c r="Y4131"/>
      <c r="Z4131"/>
      <c r="AA4131"/>
      <c r="AB4131"/>
      <c r="AC4131"/>
      <c r="AD4131"/>
      <c r="AE4131"/>
      <c r="AF4131"/>
      <c r="AG4131"/>
      <c r="AH4131"/>
      <c r="AI4131"/>
      <c r="AJ4131"/>
      <c r="AK4131"/>
      <c r="AL4131"/>
      <c r="AM4131"/>
      <c r="AN4131"/>
      <c r="AO4131"/>
    </row>
    <row r="4132" spans="1:41" ht="15">
      <c r="A4132"/>
      <c r="B4132"/>
      <c r="C4132" s="137"/>
      <c r="D4132" s="30"/>
      <c r="E4132" s="30"/>
      <c r="F4132" s="10"/>
      <c r="G4132" s="10"/>
      <c r="H4132" s="15"/>
      <c r="I4132" s="15"/>
      <c r="J4132" s="15"/>
      <c r="K4132" s="15"/>
      <c r="L4132" s="15"/>
      <c r="M4132" s="15"/>
      <c r="N4132" s="15"/>
      <c r="O4132" s="15"/>
      <c r="P4132" s="15"/>
      <c r="Q4132" s="71"/>
      <c r="R4132" s="84"/>
      <c r="S4132" s="10"/>
      <c r="T4132" s="10"/>
      <c r="U4132" s="10"/>
      <c r="V4132" s="10"/>
      <c r="W4132" s="138"/>
      <c r="Y4132"/>
      <c r="Z4132"/>
      <c r="AA4132"/>
      <c r="AB4132"/>
      <c r="AC4132"/>
      <c r="AD4132"/>
      <c r="AE4132"/>
      <c r="AF4132"/>
      <c r="AG4132"/>
      <c r="AH4132"/>
      <c r="AI4132"/>
      <c r="AJ4132"/>
      <c r="AK4132"/>
      <c r="AL4132"/>
      <c r="AM4132"/>
      <c r="AN4132"/>
      <c r="AO4132"/>
    </row>
    <row r="4133" spans="1:41" ht="15">
      <c r="A4133"/>
      <c r="B4133"/>
      <c r="C4133" s="137"/>
      <c r="D4133" s="30"/>
      <c r="E4133" s="30"/>
      <c r="F4133" s="10"/>
      <c r="G4133" s="10"/>
      <c r="H4133" s="15"/>
      <c r="I4133" s="15"/>
      <c r="J4133" s="15"/>
      <c r="K4133" s="15"/>
      <c r="L4133" s="15"/>
      <c r="M4133" s="15"/>
      <c r="N4133" s="15"/>
      <c r="O4133" s="15"/>
      <c r="P4133" s="15"/>
      <c r="Q4133" s="71"/>
      <c r="R4133" s="84"/>
      <c r="S4133" s="10"/>
      <c r="T4133" s="10"/>
      <c r="U4133" s="10"/>
      <c r="V4133" s="10"/>
      <c r="W4133" s="138"/>
      <c r="Y4133"/>
      <c r="Z4133"/>
      <c r="AA4133"/>
      <c r="AB4133"/>
      <c r="AC4133"/>
      <c r="AD4133"/>
      <c r="AE4133"/>
      <c r="AF4133"/>
      <c r="AG4133"/>
      <c r="AH4133"/>
      <c r="AI4133"/>
      <c r="AJ4133"/>
      <c r="AK4133"/>
      <c r="AL4133"/>
      <c r="AM4133"/>
      <c r="AN4133"/>
      <c r="AO4133"/>
    </row>
    <row r="4134" spans="1:41" ht="15">
      <c r="A4134"/>
      <c r="B4134"/>
      <c r="C4134" s="137"/>
      <c r="D4134" s="30"/>
      <c r="E4134" s="30"/>
      <c r="F4134" s="10"/>
      <c r="G4134" s="10"/>
      <c r="H4134" s="15"/>
      <c r="I4134" s="15"/>
      <c r="J4134" s="15"/>
      <c r="K4134" s="15"/>
      <c r="L4134" s="15"/>
      <c r="M4134" s="15"/>
      <c r="N4134" s="15"/>
      <c r="O4134" s="15"/>
      <c r="P4134" s="15"/>
      <c r="Q4134" s="71"/>
      <c r="R4134" s="84"/>
      <c r="S4134" s="10"/>
      <c r="T4134" s="10"/>
      <c r="U4134" s="10"/>
      <c r="V4134" s="10"/>
      <c r="W4134" s="138"/>
      <c r="Y4134"/>
      <c r="Z4134"/>
      <c r="AA4134"/>
      <c r="AB4134"/>
      <c r="AC4134"/>
      <c r="AD4134"/>
      <c r="AE4134"/>
      <c r="AF4134"/>
      <c r="AG4134"/>
      <c r="AH4134"/>
      <c r="AI4134"/>
      <c r="AJ4134"/>
      <c r="AK4134"/>
      <c r="AL4134"/>
      <c r="AM4134"/>
      <c r="AN4134"/>
      <c r="AO4134"/>
    </row>
    <row r="4135" spans="1:41" ht="15">
      <c r="A4135"/>
      <c r="B4135"/>
      <c r="C4135" s="137"/>
      <c r="D4135" s="30"/>
      <c r="E4135" s="30"/>
      <c r="F4135" s="10"/>
      <c r="G4135" s="10"/>
      <c r="H4135" s="15"/>
      <c r="I4135" s="15"/>
      <c r="J4135" s="15"/>
      <c r="K4135" s="15"/>
      <c r="L4135" s="15"/>
      <c r="M4135" s="15"/>
      <c r="N4135" s="15"/>
      <c r="O4135" s="15"/>
      <c r="P4135" s="15"/>
      <c r="Q4135" s="71"/>
      <c r="R4135" s="84"/>
      <c r="S4135" s="10"/>
      <c r="T4135" s="10"/>
      <c r="U4135" s="10"/>
      <c r="V4135" s="10"/>
      <c r="W4135" s="138"/>
      <c r="Y4135"/>
      <c r="Z4135"/>
      <c r="AA4135"/>
      <c r="AB4135"/>
      <c r="AC4135"/>
      <c r="AD4135"/>
      <c r="AE4135"/>
      <c r="AF4135"/>
      <c r="AG4135"/>
      <c r="AH4135"/>
      <c r="AI4135"/>
      <c r="AJ4135"/>
      <c r="AK4135"/>
      <c r="AL4135"/>
      <c r="AM4135"/>
      <c r="AN4135"/>
      <c r="AO4135"/>
    </row>
    <row r="4136" spans="1:41" ht="15">
      <c r="A4136"/>
      <c r="B4136"/>
      <c r="C4136" s="137"/>
      <c r="D4136" s="30"/>
      <c r="E4136" s="30"/>
      <c r="F4136" s="10"/>
      <c r="G4136" s="10"/>
      <c r="H4136" s="15"/>
      <c r="I4136" s="15"/>
      <c r="J4136" s="15"/>
      <c r="K4136" s="15"/>
      <c r="L4136" s="15"/>
      <c r="M4136" s="15"/>
      <c r="N4136" s="15"/>
      <c r="O4136" s="15"/>
      <c r="P4136" s="15"/>
      <c r="Q4136" s="71"/>
      <c r="R4136" s="84"/>
      <c r="S4136" s="10"/>
      <c r="T4136" s="10"/>
      <c r="U4136" s="10"/>
      <c r="V4136" s="10"/>
      <c r="W4136" s="138"/>
      <c r="Y4136"/>
      <c r="Z4136"/>
      <c r="AA4136"/>
      <c r="AB4136"/>
      <c r="AC4136"/>
      <c r="AD4136"/>
      <c r="AE4136"/>
      <c r="AF4136"/>
      <c r="AG4136"/>
      <c r="AH4136"/>
      <c r="AI4136"/>
      <c r="AJ4136"/>
      <c r="AK4136"/>
      <c r="AL4136"/>
      <c r="AM4136"/>
      <c r="AN4136"/>
      <c r="AO4136"/>
    </row>
    <row r="4137" spans="1:41" ht="15">
      <c r="A4137"/>
      <c r="B4137"/>
      <c r="C4137" s="137"/>
      <c r="D4137" s="30"/>
      <c r="E4137" s="30"/>
      <c r="F4137" s="10"/>
      <c r="G4137" s="10"/>
      <c r="H4137" s="15"/>
      <c r="I4137" s="15"/>
      <c r="J4137" s="15"/>
      <c r="K4137" s="15"/>
      <c r="L4137" s="15"/>
      <c r="M4137" s="15"/>
      <c r="N4137" s="15"/>
      <c r="O4137" s="15"/>
      <c r="P4137" s="15"/>
      <c r="Q4137" s="71"/>
      <c r="R4137" s="84"/>
      <c r="S4137" s="10"/>
      <c r="T4137" s="10"/>
      <c r="U4137" s="10"/>
      <c r="V4137" s="10"/>
      <c r="W4137" s="138"/>
      <c r="Y4137"/>
      <c r="Z4137"/>
      <c r="AA4137"/>
      <c r="AB4137"/>
      <c r="AC4137"/>
      <c r="AD4137"/>
      <c r="AE4137"/>
      <c r="AF4137"/>
      <c r="AG4137"/>
      <c r="AH4137"/>
      <c r="AI4137"/>
      <c r="AJ4137"/>
      <c r="AK4137"/>
      <c r="AL4137"/>
      <c r="AM4137"/>
      <c r="AN4137"/>
      <c r="AO4137"/>
    </row>
    <row r="4138" spans="1:41" ht="15">
      <c r="A4138"/>
      <c r="B4138"/>
      <c r="C4138" s="137"/>
      <c r="D4138" s="30"/>
      <c r="E4138" s="30"/>
      <c r="F4138" s="10"/>
      <c r="G4138" s="10"/>
      <c r="H4138" s="15"/>
      <c r="I4138" s="15"/>
      <c r="J4138" s="15"/>
      <c r="K4138" s="15"/>
      <c r="L4138" s="15"/>
      <c r="M4138" s="15"/>
      <c r="N4138" s="15"/>
      <c r="O4138" s="15"/>
      <c r="P4138" s="15"/>
      <c r="Q4138" s="71"/>
      <c r="R4138" s="84"/>
      <c r="S4138" s="10"/>
      <c r="T4138" s="10"/>
      <c r="U4138" s="10"/>
      <c r="V4138" s="10"/>
      <c r="W4138" s="138"/>
      <c r="Y4138"/>
      <c r="Z4138"/>
      <c r="AA4138"/>
      <c r="AB4138"/>
      <c r="AC4138"/>
      <c r="AD4138"/>
      <c r="AE4138"/>
      <c r="AF4138"/>
      <c r="AG4138"/>
      <c r="AH4138"/>
      <c r="AI4138"/>
      <c r="AJ4138"/>
      <c r="AK4138"/>
      <c r="AL4138"/>
      <c r="AM4138"/>
      <c r="AN4138"/>
      <c r="AO4138"/>
    </row>
    <row r="4139" spans="1:41" ht="15">
      <c r="A4139"/>
      <c r="B4139"/>
      <c r="C4139" s="137"/>
      <c r="D4139" s="30"/>
      <c r="E4139" s="30"/>
      <c r="F4139" s="10"/>
      <c r="G4139" s="10"/>
      <c r="H4139" s="15"/>
      <c r="I4139" s="15"/>
      <c r="J4139" s="15"/>
      <c r="K4139" s="15"/>
      <c r="L4139" s="15"/>
      <c r="M4139" s="15"/>
      <c r="N4139" s="15"/>
      <c r="O4139" s="15"/>
      <c r="P4139" s="15"/>
      <c r="Q4139" s="71"/>
      <c r="R4139" s="84"/>
      <c r="S4139" s="10"/>
      <c r="T4139" s="10"/>
      <c r="U4139" s="10"/>
      <c r="V4139" s="10"/>
      <c r="W4139" s="138"/>
      <c r="Y4139"/>
      <c r="Z4139"/>
      <c r="AA4139"/>
      <c r="AB4139"/>
      <c r="AC4139"/>
      <c r="AD4139"/>
      <c r="AE4139"/>
      <c r="AF4139"/>
      <c r="AG4139"/>
      <c r="AH4139"/>
      <c r="AI4139"/>
      <c r="AJ4139"/>
      <c r="AK4139"/>
      <c r="AL4139"/>
      <c r="AM4139"/>
      <c r="AN4139"/>
      <c r="AO4139"/>
    </row>
    <row r="4140" spans="1:41" ht="15">
      <c r="A4140"/>
      <c r="B4140"/>
      <c r="C4140" s="137"/>
      <c r="D4140" s="30"/>
      <c r="E4140" s="30"/>
      <c r="F4140" s="10"/>
      <c r="G4140" s="10"/>
      <c r="H4140" s="15"/>
      <c r="I4140" s="15"/>
      <c r="J4140" s="15"/>
      <c r="K4140" s="15"/>
      <c r="L4140" s="15"/>
      <c r="M4140" s="15"/>
      <c r="N4140" s="15"/>
      <c r="O4140" s="15"/>
      <c r="P4140" s="15"/>
      <c r="Q4140" s="71"/>
      <c r="R4140" s="84"/>
      <c r="S4140" s="10"/>
      <c r="T4140" s="10"/>
      <c r="U4140" s="10"/>
      <c r="V4140" s="10"/>
      <c r="W4140" s="138"/>
      <c r="Y4140"/>
      <c r="Z4140"/>
      <c r="AA4140"/>
      <c r="AB4140"/>
      <c r="AC4140"/>
      <c r="AD4140"/>
      <c r="AE4140"/>
      <c r="AF4140"/>
      <c r="AG4140"/>
      <c r="AH4140"/>
      <c r="AI4140"/>
      <c r="AJ4140"/>
      <c r="AK4140"/>
      <c r="AL4140"/>
      <c r="AM4140"/>
      <c r="AN4140"/>
      <c r="AO4140"/>
    </row>
    <row r="4141" spans="1:41" ht="15">
      <c r="A4141"/>
      <c r="B4141"/>
      <c r="C4141" s="137"/>
      <c r="D4141" s="30"/>
      <c r="E4141" s="30"/>
      <c r="F4141" s="10"/>
      <c r="G4141" s="10"/>
      <c r="H4141" s="15"/>
      <c r="I4141" s="15"/>
      <c r="J4141" s="15"/>
      <c r="K4141" s="15"/>
      <c r="L4141" s="15"/>
      <c r="M4141" s="15"/>
      <c r="N4141" s="15"/>
      <c r="O4141" s="15"/>
      <c r="P4141" s="15"/>
      <c r="Q4141" s="71"/>
      <c r="R4141" s="84"/>
      <c r="S4141" s="10"/>
      <c r="T4141" s="10"/>
      <c r="U4141" s="10"/>
      <c r="V4141" s="10"/>
      <c r="W4141" s="138"/>
      <c r="Y4141"/>
      <c r="Z4141"/>
      <c r="AA4141"/>
      <c r="AB4141"/>
      <c r="AC4141"/>
      <c r="AD4141"/>
      <c r="AE4141"/>
      <c r="AF4141"/>
      <c r="AG4141"/>
      <c r="AH4141"/>
      <c r="AI4141"/>
      <c r="AJ4141"/>
      <c r="AK4141"/>
      <c r="AL4141"/>
      <c r="AM4141"/>
      <c r="AN4141"/>
      <c r="AO4141"/>
    </row>
    <row r="4142" spans="1:41" ht="15">
      <c r="A4142"/>
      <c r="B4142"/>
      <c r="C4142" s="137"/>
      <c r="D4142" s="30"/>
      <c r="E4142" s="30"/>
      <c r="F4142" s="10"/>
      <c r="G4142" s="10"/>
      <c r="H4142" s="15"/>
      <c r="I4142" s="15"/>
      <c r="J4142" s="15"/>
      <c r="K4142" s="15"/>
      <c r="L4142" s="15"/>
      <c r="M4142" s="15"/>
      <c r="N4142" s="15"/>
      <c r="O4142" s="15"/>
      <c r="P4142" s="15"/>
      <c r="Q4142" s="71"/>
      <c r="R4142" s="84"/>
      <c r="S4142" s="10"/>
      <c r="T4142" s="10"/>
      <c r="U4142" s="10"/>
      <c r="V4142" s="10"/>
      <c r="W4142" s="138"/>
      <c r="Y4142"/>
      <c r="Z4142"/>
      <c r="AA4142"/>
      <c r="AB4142"/>
      <c r="AC4142"/>
      <c r="AD4142"/>
      <c r="AE4142"/>
      <c r="AF4142"/>
      <c r="AG4142"/>
      <c r="AH4142"/>
      <c r="AI4142"/>
      <c r="AJ4142"/>
      <c r="AK4142"/>
      <c r="AL4142"/>
      <c r="AM4142"/>
      <c r="AN4142"/>
      <c r="AO4142"/>
    </row>
    <row r="4143" spans="1:41" ht="15">
      <c r="A4143"/>
      <c r="B4143"/>
      <c r="C4143" s="137"/>
      <c r="D4143" s="30"/>
      <c r="E4143" s="30"/>
      <c r="F4143" s="10"/>
      <c r="G4143" s="10"/>
      <c r="H4143" s="15"/>
      <c r="I4143" s="15"/>
      <c r="J4143" s="15"/>
      <c r="K4143" s="15"/>
      <c r="L4143" s="15"/>
      <c r="M4143" s="15"/>
      <c r="N4143" s="15"/>
      <c r="O4143" s="15"/>
      <c r="P4143" s="15"/>
      <c r="Q4143" s="71"/>
      <c r="R4143" s="84"/>
      <c r="S4143" s="10"/>
      <c r="T4143" s="10"/>
      <c r="U4143" s="10"/>
      <c r="V4143" s="10"/>
      <c r="W4143" s="138"/>
      <c r="Y4143"/>
      <c r="Z4143"/>
      <c r="AA4143"/>
      <c r="AB4143"/>
      <c r="AC4143"/>
      <c r="AD4143"/>
      <c r="AE4143"/>
      <c r="AF4143"/>
      <c r="AG4143"/>
      <c r="AH4143"/>
      <c r="AI4143"/>
      <c r="AJ4143"/>
      <c r="AK4143"/>
      <c r="AL4143"/>
      <c r="AM4143"/>
      <c r="AN4143"/>
      <c r="AO4143"/>
    </row>
    <row r="4144" spans="1:41" ht="15">
      <c r="A4144"/>
      <c r="B4144"/>
      <c r="C4144" s="137"/>
      <c r="D4144" s="30"/>
      <c r="E4144" s="30"/>
      <c r="F4144" s="10"/>
      <c r="G4144" s="10"/>
      <c r="H4144" s="15"/>
      <c r="I4144" s="15"/>
      <c r="J4144" s="15"/>
      <c r="K4144" s="15"/>
      <c r="L4144" s="15"/>
      <c r="M4144" s="15"/>
      <c r="N4144" s="15"/>
      <c r="O4144" s="15"/>
      <c r="P4144" s="15"/>
      <c r="Q4144" s="71"/>
      <c r="R4144" s="84"/>
      <c r="S4144" s="10"/>
      <c r="T4144" s="10"/>
      <c r="U4144" s="10"/>
      <c r="V4144" s="10"/>
      <c r="W4144" s="138"/>
      <c r="Y4144"/>
      <c r="Z4144"/>
      <c r="AA4144"/>
      <c r="AB4144"/>
      <c r="AC4144"/>
      <c r="AD4144"/>
      <c r="AE4144"/>
      <c r="AF4144"/>
      <c r="AG4144"/>
      <c r="AH4144"/>
      <c r="AI4144"/>
      <c r="AJ4144"/>
      <c r="AK4144"/>
      <c r="AL4144"/>
      <c r="AM4144"/>
      <c r="AN4144"/>
      <c r="AO4144"/>
    </row>
    <row r="4145" spans="1:41" ht="15">
      <c r="A4145"/>
      <c r="B4145"/>
      <c r="C4145" s="137"/>
      <c r="D4145" s="30"/>
      <c r="E4145" s="30"/>
      <c r="F4145" s="10"/>
      <c r="G4145" s="10"/>
      <c r="H4145" s="15"/>
      <c r="I4145" s="15"/>
      <c r="J4145" s="15"/>
      <c r="K4145" s="15"/>
      <c r="L4145" s="15"/>
      <c r="M4145" s="15"/>
      <c r="N4145" s="15"/>
      <c r="O4145" s="15"/>
      <c r="P4145" s="15"/>
      <c r="Q4145" s="71"/>
      <c r="R4145" s="84"/>
      <c r="S4145" s="10"/>
      <c r="T4145" s="10"/>
      <c r="U4145" s="10"/>
      <c r="V4145" s="10"/>
      <c r="W4145" s="138"/>
      <c r="Y4145"/>
      <c r="Z4145"/>
      <c r="AA4145"/>
      <c r="AB4145"/>
      <c r="AC4145"/>
      <c r="AD4145"/>
      <c r="AE4145"/>
      <c r="AF4145"/>
      <c r="AG4145"/>
      <c r="AH4145"/>
      <c r="AI4145"/>
      <c r="AJ4145"/>
      <c r="AK4145"/>
      <c r="AL4145"/>
      <c r="AM4145"/>
      <c r="AN4145"/>
      <c r="AO4145"/>
    </row>
    <row r="4146" spans="1:41" ht="15">
      <c r="A4146"/>
      <c r="B4146"/>
      <c r="C4146" s="137"/>
      <c r="D4146" s="30"/>
      <c r="E4146" s="30"/>
      <c r="F4146" s="10"/>
      <c r="G4146" s="10"/>
      <c r="H4146" s="15"/>
      <c r="I4146" s="15"/>
      <c r="J4146" s="15"/>
      <c r="K4146" s="15"/>
      <c r="L4146" s="15"/>
      <c r="M4146" s="15"/>
      <c r="N4146" s="15"/>
      <c r="O4146" s="15"/>
      <c r="P4146" s="15"/>
      <c r="Q4146" s="71"/>
      <c r="R4146" s="84"/>
      <c r="S4146" s="10"/>
      <c r="T4146" s="10"/>
      <c r="U4146" s="10"/>
      <c r="V4146" s="10"/>
      <c r="W4146" s="138"/>
      <c r="Y4146"/>
      <c r="Z4146"/>
      <c r="AA4146"/>
      <c r="AB4146"/>
      <c r="AC4146"/>
      <c r="AD4146"/>
      <c r="AE4146"/>
      <c r="AF4146"/>
      <c r="AG4146"/>
      <c r="AH4146"/>
      <c r="AI4146"/>
      <c r="AJ4146"/>
      <c r="AK4146"/>
      <c r="AL4146"/>
      <c r="AM4146"/>
      <c r="AN4146"/>
      <c r="AO4146"/>
    </row>
    <row r="4147" spans="1:41" ht="15">
      <c r="A4147"/>
      <c r="B4147"/>
      <c r="C4147" s="137"/>
      <c r="D4147" s="30"/>
      <c r="E4147" s="30"/>
      <c r="F4147" s="10"/>
      <c r="G4147" s="10"/>
      <c r="H4147" s="15"/>
      <c r="I4147" s="15"/>
      <c r="J4147" s="15"/>
      <c r="K4147" s="15"/>
      <c r="L4147" s="15"/>
      <c r="M4147" s="15"/>
      <c r="N4147" s="15"/>
      <c r="O4147" s="15"/>
      <c r="P4147" s="15"/>
      <c r="Q4147" s="71"/>
      <c r="R4147" s="84"/>
      <c r="S4147" s="10"/>
      <c r="T4147" s="10"/>
      <c r="U4147" s="10"/>
      <c r="V4147" s="10"/>
      <c r="W4147" s="138"/>
      <c r="Y4147"/>
      <c r="Z4147"/>
      <c r="AA4147"/>
      <c r="AB4147"/>
      <c r="AC4147"/>
      <c r="AD4147"/>
      <c r="AE4147"/>
      <c r="AF4147"/>
      <c r="AG4147"/>
      <c r="AH4147"/>
      <c r="AI4147"/>
      <c r="AJ4147"/>
      <c r="AK4147"/>
      <c r="AL4147"/>
      <c r="AM4147"/>
      <c r="AN4147"/>
      <c r="AO4147"/>
    </row>
    <row r="4148" spans="1:41" ht="15">
      <c r="A4148"/>
      <c r="B4148"/>
      <c r="C4148" s="137"/>
      <c r="D4148" s="30"/>
      <c r="E4148" s="30"/>
      <c r="F4148" s="10"/>
      <c r="G4148" s="10"/>
      <c r="H4148" s="15"/>
      <c r="I4148" s="15"/>
      <c r="J4148" s="15"/>
      <c r="K4148" s="15"/>
      <c r="L4148" s="15"/>
      <c r="M4148" s="15"/>
      <c r="N4148" s="15"/>
      <c r="O4148" s="15"/>
      <c r="P4148" s="15"/>
      <c r="Q4148" s="71"/>
      <c r="R4148" s="84"/>
      <c r="S4148" s="10"/>
      <c r="T4148" s="10"/>
      <c r="U4148" s="10"/>
      <c r="V4148" s="10"/>
      <c r="W4148" s="138"/>
      <c r="Y4148"/>
      <c r="Z4148"/>
      <c r="AA4148"/>
      <c r="AB4148"/>
      <c r="AC4148"/>
      <c r="AD4148"/>
      <c r="AE4148"/>
      <c r="AF4148"/>
      <c r="AG4148"/>
      <c r="AH4148"/>
      <c r="AI4148"/>
      <c r="AJ4148"/>
      <c r="AK4148"/>
      <c r="AL4148"/>
      <c r="AM4148"/>
      <c r="AN4148"/>
      <c r="AO4148"/>
    </row>
    <row r="4149" spans="1:41" ht="15">
      <c r="A4149"/>
      <c r="B4149"/>
      <c r="C4149" s="137"/>
      <c r="D4149" s="30"/>
      <c r="E4149" s="30"/>
      <c r="F4149" s="10"/>
      <c r="G4149" s="10"/>
      <c r="H4149" s="15"/>
      <c r="I4149" s="15"/>
      <c r="J4149" s="15"/>
      <c r="K4149" s="15"/>
      <c r="L4149" s="15"/>
      <c r="M4149" s="15"/>
      <c r="N4149" s="15"/>
      <c r="O4149" s="15"/>
      <c r="P4149" s="15"/>
      <c r="Q4149" s="71"/>
      <c r="R4149" s="84"/>
      <c r="S4149" s="10"/>
      <c r="T4149" s="10"/>
      <c r="U4149" s="10"/>
      <c r="V4149" s="10"/>
      <c r="W4149" s="138"/>
      <c r="Y4149"/>
      <c r="Z4149"/>
      <c r="AA4149"/>
      <c r="AB4149"/>
      <c r="AC4149"/>
      <c r="AD4149"/>
      <c r="AE4149"/>
      <c r="AF4149"/>
      <c r="AG4149"/>
      <c r="AH4149"/>
      <c r="AI4149"/>
      <c r="AJ4149"/>
      <c r="AK4149"/>
      <c r="AL4149"/>
      <c r="AM4149"/>
      <c r="AN4149"/>
      <c r="AO4149"/>
    </row>
    <row r="4150" spans="1:41" ht="15">
      <c r="A4150"/>
      <c r="B4150"/>
      <c r="C4150" s="137"/>
      <c r="D4150" s="30"/>
      <c r="E4150" s="30"/>
      <c r="F4150" s="10"/>
      <c r="G4150" s="10"/>
      <c r="H4150" s="15"/>
      <c r="I4150" s="15"/>
      <c r="J4150" s="15"/>
      <c r="K4150" s="15"/>
      <c r="L4150" s="15"/>
      <c r="M4150" s="15"/>
      <c r="N4150" s="15"/>
      <c r="O4150" s="15"/>
      <c r="P4150" s="15"/>
      <c r="Q4150" s="71"/>
      <c r="R4150" s="84"/>
      <c r="S4150" s="10"/>
      <c r="T4150" s="10"/>
      <c r="U4150" s="10"/>
      <c r="V4150" s="10"/>
      <c r="W4150" s="138"/>
      <c r="Y4150"/>
      <c r="Z4150"/>
      <c r="AA4150"/>
      <c r="AB4150"/>
      <c r="AC4150"/>
      <c r="AD4150"/>
      <c r="AE4150"/>
      <c r="AF4150"/>
      <c r="AG4150"/>
      <c r="AH4150"/>
      <c r="AI4150"/>
      <c r="AJ4150"/>
      <c r="AK4150"/>
      <c r="AL4150"/>
      <c r="AM4150"/>
      <c r="AN4150"/>
      <c r="AO4150"/>
    </row>
    <row r="4151" spans="1:41" ht="15">
      <c r="A4151"/>
      <c r="B4151"/>
      <c r="C4151" s="137"/>
      <c r="D4151" s="30"/>
      <c r="E4151" s="30"/>
      <c r="F4151" s="10"/>
      <c r="G4151" s="10"/>
      <c r="H4151" s="15"/>
      <c r="I4151" s="15"/>
      <c r="J4151" s="15"/>
      <c r="K4151" s="15"/>
      <c r="L4151" s="15"/>
      <c r="M4151" s="15"/>
      <c r="N4151" s="15"/>
      <c r="O4151" s="15"/>
      <c r="P4151" s="15"/>
      <c r="Q4151" s="71"/>
      <c r="R4151" s="84"/>
      <c r="S4151" s="10"/>
      <c r="T4151" s="10"/>
      <c r="U4151" s="10"/>
      <c r="V4151" s="10"/>
      <c r="W4151" s="138"/>
      <c r="Y4151"/>
      <c r="Z4151"/>
      <c r="AA4151"/>
      <c r="AB4151"/>
      <c r="AC4151"/>
      <c r="AD4151"/>
      <c r="AE4151"/>
      <c r="AF4151"/>
      <c r="AG4151"/>
      <c r="AH4151"/>
      <c r="AI4151"/>
      <c r="AJ4151"/>
      <c r="AK4151"/>
      <c r="AL4151"/>
      <c r="AM4151"/>
      <c r="AN4151"/>
      <c r="AO4151"/>
    </row>
    <row r="4152" spans="1:41" ht="15">
      <c r="A4152"/>
      <c r="B4152"/>
      <c r="C4152" s="137"/>
      <c r="D4152" s="30"/>
      <c r="E4152" s="30"/>
      <c r="F4152" s="10"/>
      <c r="G4152" s="10"/>
      <c r="H4152" s="15"/>
      <c r="I4152" s="15"/>
      <c r="J4152" s="15"/>
      <c r="K4152" s="15"/>
      <c r="L4152" s="15"/>
      <c r="M4152" s="15"/>
      <c r="N4152" s="15"/>
      <c r="O4152" s="15"/>
      <c r="P4152" s="15"/>
      <c r="Q4152" s="71"/>
      <c r="R4152" s="84"/>
      <c r="S4152" s="10"/>
      <c r="T4152" s="10"/>
      <c r="U4152" s="10"/>
      <c r="V4152" s="10"/>
      <c r="W4152" s="138"/>
      <c r="Y4152"/>
      <c r="Z4152"/>
      <c r="AA4152"/>
      <c r="AB4152"/>
      <c r="AC4152"/>
      <c r="AD4152"/>
      <c r="AE4152"/>
      <c r="AF4152"/>
      <c r="AG4152"/>
      <c r="AH4152"/>
      <c r="AI4152"/>
      <c r="AJ4152"/>
      <c r="AK4152"/>
      <c r="AL4152"/>
      <c r="AM4152"/>
      <c r="AN4152"/>
      <c r="AO4152"/>
    </row>
    <row r="4153" spans="1:41" ht="15">
      <c r="A4153"/>
      <c r="B4153"/>
      <c r="C4153" s="137"/>
      <c r="D4153" s="30"/>
      <c r="E4153" s="30"/>
      <c r="F4153" s="10"/>
      <c r="G4153" s="10"/>
      <c r="H4153" s="15"/>
      <c r="I4153" s="15"/>
      <c r="J4153" s="15"/>
      <c r="K4153" s="15"/>
      <c r="L4153" s="15"/>
      <c r="M4153" s="15"/>
      <c r="N4153" s="15"/>
      <c r="O4153" s="15"/>
      <c r="P4153" s="15"/>
      <c r="Q4153" s="71"/>
      <c r="R4153" s="84"/>
      <c r="S4153" s="10"/>
      <c r="T4153" s="10"/>
      <c r="U4153" s="10"/>
      <c r="V4153" s="10"/>
      <c r="W4153" s="138"/>
      <c r="Y4153"/>
      <c r="Z4153"/>
      <c r="AA4153"/>
      <c r="AB4153"/>
      <c r="AC4153"/>
      <c r="AD4153"/>
      <c r="AE4153"/>
      <c r="AF4153"/>
      <c r="AG4153"/>
      <c r="AH4153"/>
      <c r="AI4153"/>
      <c r="AJ4153"/>
      <c r="AK4153"/>
      <c r="AL4153"/>
      <c r="AM4153"/>
      <c r="AN4153"/>
      <c r="AO4153"/>
    </row>
    <row r="4154" spans="1:41" ht="15">
      <c r="A4154"/>
      <c r="B4154"/>
      <c r="C4154" s="137"/>
      <c r="D4154" s="30"/>
      <c r="E4154" s="30"/>
      <c r="F4154" s="10"/>
      <c r="G4154" s="10"/>
      <c r="H4154" s="15"/>
      <c r="I4154" s="15"/>
      <c r="J4154" s="15"/>
      <c r="K4154" s="15"/>
      <c r="L4154" s="15"/>
      <c r="M4154" s="15"/>
      <c r="N4154" s="15"/>
      <c r="O4154" s="15"/>
      <c r="P4154" s="15"/>
      <c r="Q4154" s="71"/>
      <c r="R4154" s="84"/>
      <c r="S4154" s="10"/>
      <c r="T4154" s="10"/>
      <c r="U4154" s="10"/>
      <c r="V4154" s="10"/>
      <c r="W4154" s="138"/>
      <c r="Y4154"/>
      <c r="Z4154"/>
      <c r="AA4154"/>
      <c r="AB4154"/>
      <c r="AC4154"/>
      <c r="AD4154"/>
      <c r="AE4154"/>
      <c r="AF4154"/>
      <c r="AG4154"/>
      <c r="AH4154"/>
      <c r="AI4154"/>
      <c r="AJ4154"/>
      <c r="AK4154"/>
      <c r="AL4154"/>
      <c r="AM4154"/>
      <c r="AN4154"/>
      <c r="AO4154"/>
    </row>
    <row r="4155" spans="1:41" ht="15">
      <c r="A4155"/>
      <c r="B4155"/>
      <c r="C4155" s="137"/>
      <c r="D4155" s="30"/>
      <c r="E4155" s="30"/>
      <c r="F4155" s="10"/>
      <c r="G4155" s="10"/>
      <c r="H4155" s="15"/>
      <c r="I4155" s="15"/>
      <c r="J4155" s="15"/>
      <c r="K4155" s="15"/>
      <c r="L4155" s="15"/>
      <c r="M4155" s="15"/>
      <c r="N4155" s="15"/>
      <c r="O4155" s="15"/>
      <c r="P4155" s="15"/>
      <c r="Q4155" s="71"/>
      <c r="R4155" s="84"/>
      <c r="S4155" s="10"/>
      <c r="T4155" s="10"/>
      <c r="U4155" s="10"/>
      <c r="V4155" s="10"/>
      <c r="W4155" s="138"/>
      <c r="Y4155"/>
      <c r="Z4155"/>
      <c r="AA4155"/>
      <c r="AB4155"/>
      <c r="AC4155"/>
      <c r="AD4155"/>
      <c r="AE4155"/>
      <c r="AF4155"/>
      <c r="AG4155"/>
      <c r="AH4155"/>
      <c r="AI4155"/>
      <c r="AJ4155"/>
      <c r="AK4155"/>
      <c r="AL4155"/>
      <c r="AM4155"/>
      <c r="AN4155"/>
      <c r="AO4155"/>
    </row>
    <row r="4156" spans="1:41" ht="15">
      <c r="A4156"/>
      <c r="B4156"/>
      <c r="C4156" s="137"/>
      <c r="D4156" s="30"/>
      <c r="E4156" s="30"/>
      <c r="F4156" s="10"/>
      <c r="G4156" s="10"/>
      <c r="H4156" s="15"/>
      <c r="I4156" s="15"/>
      <c r="J4156" s="15"/>
      <c r="K4156" s="15"/>
      <c r="L4156" s="15"/>
      <c r="M4156" s="15"/>
      <c r="N4156" s="15"/>
      <c r="O4156" s="15"/>
      <c r="P4156" s="15"/>
      <c r="Q4156" s="71"/>
      <c r="R4156" s="84"/>
      <c r="S4156" s="10"/>
      <c r="T4156" s="10"/>
      <c r="U4156" s="10"/>
      <c r="V4156" s="10"/>
      <c r="W4156" s="138"/>
      <c r="Y4156"/>
      <c r="Z4156"/>
      <c r="AA4156"/>
      <c r="AB4156"/>
      <c r="AC4156"/>
      <c r="AD4156"/>
      <c r="AE4156"/>
      <c r="AF4156"/>
      <c r="AG4156"/>
      <c r="AH4156"/>
      <c r="AI4156"/>
      <c r="AJ4156"/>
      <c r="AK4156"/>
      <c r="AL4156"/>
      <c r="AM4156"/>
      <c r="AN4156"/>
      <c r="AO4156"/>
    </row>
    <row r="4157" spans="1:41" ht="15">
      <c r="A4157"/>
      <c r="B4157"/>
      <c r="C4157" s="137"/>
      <c r="D4157" s="30"/>
      <c r="E4157" s="30"/>
      <c r="F4157" s="10"/>
      <c r="G4157" s="10"/>
      <c r="H4157" s="15"/>
      <c r="I4157" s="15"/>
      <c r="J4157" s="15"/>
      <c r="K4157" s="15"/>
      <c r="L4157" s="15"/>
      <c r="M4157" s="15"/>
      <c r="N4157" s="15"/>
      <c r="O4157" s="15"/>
      <c r="P4157" s="15"/>
      <c r="Q4157" s="71"/>
      <c r="R4157" s="84"/>
      <c r="S4157" s="10"/>
      <c r="T4157" s="10"/>
      <c r="U4157" s="10"/>
      <c r="V4157" s="10"/>
      <c r="W4157" s="138"/>
      <c r="Y4157"/>
      <c r="Z4157"/>
      <c r="AA4157"/>
      <c r="AB4157"/>
      <c r="AC4157"/>
      <c r="AD4157"/>
      <c r="AE4157"/>
      <c r="AF4157"/>
      <c r="AG4157"/>
      <c r="AH4157"/>
      <c r="AI4157"/>
      <c r="AJ4157"/>
      <c r="AK4157"/>
      <c r="AL4157"/>
      <c r="AM4157"/>
      <c r="AN4157"/>
      <c r="AO4157"/>
    </row>
    <row r="4158" spans="1:41" ht="15">
      <c r="A4158"/>
      <c r="B4158"/>
      <c r="C4158" s="137"/>
      <c r="D4158" s="30"/>
      <c r="E4158" s="30"/>
      <c r="F4158" s="10"/>
      <c r="G4158" s="10"/>
      <c r="H4158" s="15"/>
      <c r="I4158" s="15"/>
      <c r="J4158" s="15"/>
      <c r="K4158" s="15"/>
      <c r="L4158" s="15"/>
      <c r="M4158" s="15"/>
      <c r="N4158" s="15"/>
      <c r="O4158" s="15"/>
      <c r="P4158" s="15"/>
      <c r="Q4158" s="71"/>
      <c r="R4158" s="84"/>
      <c r="S4158" s="10"/>
      <c r="T4158" s="10"/>
      <c r="U4158" s="10"/>
      <c r="V4158" s="10"/>
      <c r="W4158" s="138"/>
      <c r="Y4158"/>
      <c r="Z4158"/>
      <c r="AA4158"/>
      <c r="AB4158"/>
      <c r="AC4158"/>
      <c r="AD4158"/>
      <c r="AE4158"/>
      <c r="AF4158"/>
      <c r="AG4158"/>
      <c r="AH4158"/>
      <c r="AI4158"/>
      <c r="AJ4158"/>
      <c r="AK4158"/>
      <c r="AL4158"/>
      <c r="AM4158"/>
      <c r="AN4158"/>
      <c r="AO4158"/>
    </row>
    <row r="4159" spans="1:41" ht="15">
      <c r="A4159"/>
      <c r="B4159"/>
      <c r="C4159" s="137"/>
      <c r="D4159" s="30"/>
      <c r="E4159" s="30"/>
      <c r="F4159" s="10"/>
      <c r="G4159" s="10"/>
      <c r="H4159" s="15"/>
      <c r="I4159" s="15"/>
      <c r="J4159" s="15"/>
      <c r="K4159" s="15"/>
      <c r="L4159" s="15"/>
      <c r="M4159" s="15"/>
      <c r="N4159" s="15"/>
      <c r="O4159" s="15"/>
      <c r="P4159" s="15"/>
      <c r="Q4159" s="71"/>
      <c r="R4159" s="84"/>
      <c r="S4159" s="10"/>
      <c r="T4159" s="10"/>
      <c r="U4159" s="10"/>
      <c r="V4159" s="10"/>
      <c r="W4159" s="138"/>
      <c r="Y4159"/>
      <c r="Z4159"/>
      <c r="AA4159"/>
      <c r="AB4159"/>
      <c r="AC4159"/>
      <c r="AD4159"/>
      <c r="AE4159"/>
      <c r="AF4159"/>
      <c r="AG4159"/>
      <c r="AH4159"/>
      <c r="AI4159"/>
      <c r="AJ4159"/>
      <c r="AK4159"/>
      <c r="AL4159"/>
      <c r="AM4159"/>
      <c r="AN4159"/>
      <c r="AO4159"/>
    </row>
    <row r="4160" spans="1:41" ht="15">
      <c r="A4160"/>
      <c r="B4160"/>
      <c r="C4160" s="137"/>
      <c r="D4160" s="30"/>
      <c r="E4160" s="30"/>
      <c r="F4160" s="10"/>
      <c r="G4160" s="10"/>
      <c r="H4160" s="15"/>
      <c r="I4160" s="15"/>
      <c r="J4160" s="15"/>
      <c r="K4160" s="15"/>
      <c r="L4160" s="15"/>
      <c r="M4160" s="15"/>
      <c r="N4160" s="15"/>
      <c r="O4160" s="15"/>
      <c r="P4160" s="15"/>
      <c r="Q4160" s="71"/>
      <c r="R4160" s="84"/>
      <c r="S4160" s="10"/>
      <c r="T4160" s="10"/>
      <c r="U4160" s="10"/>
      <c r="V4160" s="10"/>
      <c r="W4160" s="138"/>
      <c r="Y4160"/>
      <c r="Z4160"/>
      <c r="AA4160"/>
      <c r="AB4160"/>
      <c r="AC4160"/>
      <c r="AD4160"/>
      <c r="AE4160"/>
      <c r="AF4160"/>
      <c r="AG4160"/>
      <c r="AH4160"/>
      <c r="AI4160"/>
      <c r="AJ4160"/>
      <c r="AK4160"/>
      <c r="AL4160"/>
      <c r="AM4160"/>
      <c r="AN4160"/>
      <c r="AO4160"/>
    </row>
    <row r="4161" spans="1:41" ht="15">
      <c r="A4161"/>
      <c r="B4161"/>
      <c r="C4161" s="137"/>
      <c r="D4161" s="30"/>
      <c r="E4161" s="30"/>
      <c r="F4161" s="10"/>
      <c r="G4161" s="10"/>
      <c r="H4161" s="15"/>
      <c r="I4161" s="15"/>
      <c r="J4161" s="15"/>
      <c r="K4161" s="15"/>
      <c r="L4161" s="15"/>
      <c r="M4161" s="15"/>
      <c r="N4161" s="15"/>
      <c r="O4161" s="15"/>
      <c r="P4161" s="15"/>
      <c r="Q4161" s="71"/>
      <c r="R4161" s="84"/>
      <c r="S4161" s="10"/>
      <c r="T4161" s="10"/>
      <c r="U4161" s="10"/>
      <c r="V4161" s="10"/>
      <c r="W4161" s="138"/>
      <c r="Y4161"/>
      <c r="Z4161"/>
      <c r="AA4161"/>
      <c r="AB4161"/>
      <c r="AC4161"/>
      <c r="AD4161"/>
      <c r="AE4161"/>
      <c r="AF4161"/>
      <c r="AG4161"/>
      <c r="AH4161"/>
      <c r="AI4161"/>
      <c r="AJ4161"/>
      <c r="AK4161"/>
      <c r="AL4161"/>
      <c r="AM4161"/>
      <c r="AN4161"/>
      <c r="AO4161"/>
    </row>
    <row r="4162" spans="1:41" ht="15">
      <c r="A4162"/>
      <c r="B4162"/>
      <c r="C4162" s="137"/>
      <c r="D4162" s="30"/>
      <c r="E4162" s="30"/>
      <c r="F4162" s="10"/>
      <c r="G4162" s="10"/>
      <c r="H4162" s="15"/>
      <c r="I4162" s="15"/>
      <c r="J4162" s="15"/>
      <c r="K4162" s="15"/>
      <c r="L4162" s="15"/>
      <c r="M4162" s="15"/>
      <c r="N4162" s="15"/>
      <c r="O4162" s="15"/>
      <c r="P4162" s="15"/>
      <c r="Q4162" s="71"/>
      <c r="R4162" s="84"/>
      <c r="S4162" s="10"/>
      <c r="T4162" s="10"/>
      <c r="U4162" s="10"/>
      <c r="V4162" s="10"/>
      <c r="W4162" s="138"/>
      <c r="Y4162"/>
      <c r="Z4162"/>
      <c r="AA4162"/>
      <c r="AB4162"/>
      <c r="AC4162"/>
      <c r="AD4162"/>
      <c r="AE4162"/>
      <c r="AF4162"/>
      <c r="AG4162"/>
      <c r="AH4162"/>
      <c r="AI4162"/>
      <c r="AJ4162"/>
      <c r="AK4162"/>
      <c r="AL4162"/>
      <c r="AM4162"/>
      <c r="AN4162"/>
      <c r="AO4162"/>
    </row>
    <row r="4163" spans="1:41" ht="15">
      <c r="A4163"/>
      <c r="B4163"/>
      <c r="C4163" s="137"/>
      <c r="D4163" s="30"/>
      <c r="E4163" s="30"/>
      <c r="F4163" s="10"/>
      <c r="G4163" s="10"/>
      <c r="H4163" s="15"/>
      <c r="I4163" s="15"/>
      <c r="J4163" s="15"/>
      <c r="K4163" s="15"/>
      <c r="L4163" s="15"/>
      <c r="M4163" s="15"/>
      <c r="N4163" s="15"/>
      <c r="O4163" s="15"/>
      <c r="P4163" s="15"/>
      <c r="Q4163" s="71"/>
      <c r="R4163" s="84"/>
      <c r="S4163" s="10"/>
      <c r="T4163" s="10"/>
      <c r="U4163" s="10"/>
      <c r="V4163" s="10"/>
      <c r="W4163" s="138"/>
      <c r="Y4163"/>
      <c r="Z4163"/>
      <c r="AA4163"/>
      <c r="AB4163"/>
      <c r="AC4163"/>
      <c r="AD4163"/>
      <c r="AE4163"/>
      <c r="AF4163"/>
      <c r="AG4163"/>
      <c r="AH4163"/>
      <c r="AI4163"/>
      <c r="AJ4163"/>
      <c r="AK4163"/>
      <c r="AL4163"/>
      <c r="AM4163"/>
      <c r="AN4163"/>
      <c r="AO4163"/>
    </row>
    <row r="4164" spans="1:41" ht="15">
      <c r="A4164"/>
      <c r="B4164"/>
      <c r="C4164" s="137"/>
      <c r="D4164" s="30"/>
      <c r="E4164" s="30"/>
      <c r="F4164" s="10"/>
      <c r="G4164" s="10"/>
      <c r="H4164" s="15"/>
      <c r="I4164" s="15"/>
      <c r="J4164" s="15"/>
      <c r="K4164" s="15"/>
      <c r="L4164" s="15"/>
      <c r="M4164" s="15"/>
      <c r="N4164" s="15"/>
      <c r="O4164" s="15"/>
      <c r="P4164" s="15"/>
      <c r="Q4164" s="71"/>
      <c r="R4164" s="84"/>
      <c r="S4164" s="10"/>
      <c r="T4164" s="10"/>
      <c r="U4164" s="10"/>
      <c r="V4164" s="10"/>
      <c r="W4164" s="138"/>
      <c r="Y4164"/>
      <c r="Z4164"/>
      <c r="AA4164"/>
      <c r="AB4164"/>
      <c r="AC4164"/>
      <c r="AD4164"/>
      <c r="AE4164"/>
      <c r="AF4164"/>
      <c r="AG4164"/>
      <c r="AH4164"/>
      <c r="AI4164"/>
      <c r="AJ4164"/>
      <c r="AK4164"/>
      <c r="AL4164"/>
      <c r="AM4164"/>
      <c r="AN4164"/>
      <c r="AO4164"/>
    </row>
    <row r="4165" spans="1:41" ht="15">
      <c r="A4165"/>
      <c r="B4165"/>
      <c r="C4165" s="137"/>
      <c r="D4165" s="30"/>
      <c r="E4165" s="30"/>
      <c r="F4165" s="10"/>
      <c r="G4165" s="10"/>
      <c r="H4165" s="15"/>
      <c r="I4165" s="15"/>
      <c r="J4165" s="15"/>
      <c r="K4165" s="15"/>
      <c r="L4165" s="15"/>
      <c r="M4165" s="15"/>
      <c r="N4165" s="15"/>
      <c r="O4165" s="15"/>
      <c r="P4165" s="15"/>
      <c r="Q4165" s="71"/>
      <c r="R4165" s="84"/>
      <c r="S4165" s="10"/>
      <c r="T4165" s="10"/>
      <c r="U4165" s="10"/>
      <c r="V4165" s="10"/>
      <c r="W4165" s="138"/>
      <c r="Y4165"/>
      <c r="Z4165"/>
      <c r="AA4165"/>
      <c r="AB4165"/>
      <c r="AC4165"/>
      <c r="AD4165"/>
      <c r="AE4165"/>
      <c r="AF4165"/>
      <c r="AG4165"/>
      <c r="AH4165"/>
      <c r="AI4165"/>
      <c r="AJ4165"/>
      <c r="AK4165"/>
      <c r="AL4165"/>
      <c r="AM4165"/>
      <c r="AN4165"/>
      <c r="AO4165"/>
    </row>
    <row r="4166" spans="1:41" ht="15">
      <c r="A4166"/>
      <c r="B4166"/>
      <c r="C4166" s="137"/>
      <c r="D4166" s="30"/>
      <c r="E4166" s="30"/>
      <c r="F4166" s="10"/>
      <c r="G4166" s="10"/>
      <c r="H4166" s="15"/>
      <c r="I4166" s="15"/>
      <c r="J4166" s="15"/>
      <c r="K4166" s="15"/>
      <c r="L4166" s="15"/>
      <c r="M4166" s="15"/>
      <c r="N4166" s="15"/>
      <c r="O4166" s="15"/>
      <c r="P4166" s="15"/>
      <c r="Q4166" s="71"/>
      <c r="R4166" s="84"/>
      <c r="S4166" s="10"/>
      <c r="T4166" s="10"/>
      <c r="U4166" s="10"/>
      <c r="V4166" s="10"/>
      <c r="W4166" s="138"/>
      <c r="Y4166"/>
      <c r="Z4166"/>
      <c r="AA4166"/>
      <c r="AB4166"/>
      <c r="AC4166"/>
      <c r="AD4166"/>
      <c r="AE4166"/>
      <c r="AF4166"/>
      <c r="AG4166"/>
      <c r="AH4166"/>
      <c r="AI4166"/>
      <c r="AJ4166"/>
      <c r="AK4166"/>
      <c r="AL4166"/>
      <c r="AM4166"/>
      <c r="AN4166"/>
      <c r="AO4166"/>
    </row>
    <row r="4167" spans="1:41" ht="15">
      <c r="A4167"/>
      <c r="B4167"/>
      <c r="C4167" s="137"/>
      <c r="D4167" s="30"/>
      <c r="E4167" s="30"/>
      <c r="F4167" s="10"/>
      <c r="G4167" s="10"/>
      <c r="H4167" s="15"/>
      <c r="I4167" s="15"/>
      <c r="J4167" s="15"/>
      <c r="K4167" s="15"/>
      <c r="L4167" s="15"/>
      <c r="M4167" s="15"/>
      <c r="N4167" s="15"/>
      <c r="O4167" s="15"/>
      <c r="P4167" s="15"/>
      <c r="Q4167" s="71"/>
      <c r="R4167" s="84"/>
      <c r="S4167" s="10"/>
      <c r="T4167" s="10"/>
      <c r="U4167" s="10"/>
      <c r="V4167" s="10"/>
      <c r="W4167" s="138"/>
      <c r="Y4167"/>
      <c r="Z4167"/>
      <c r="AA4167"/>
      <c r="AB4167"/>
      <c r="AC4167"/>
      <c r="AD4167"/>
      <c r="AE4167"/>
      <c r="AF4167"/>
      <c r="AG4167"/>
      <c r="AH4167"/>
      <c r="AI4167"/>
      <c r="AJ4167"/>
      <c r="AK4167"/>
      <c r="AL4167"/>
      <c r="AM4167"/>
      <c r="AN4167"/>
      <c r="AO4167"/>
    </row>
    <row r="4168" spans="1:41" ht="15">
      <c r="A4168"/>
      <c r="B4168"/>
      <c r="C4168" s="137"/>
      <c r="D4168" s="30"/>
      <c r="E4168" s="30"/>
      <c r="F4168" s="10"/>
      <c r="G4168" s="10"/>
      <c r="H4168" s="15"/>
      <c r="I4168" s="15"/>
      <c r="J4168" s="15"/>
      <c r="K4168" s="15"/>
      <c r="L4168" s="15"/>
      <c r="M4168" s="15"/>
      <c r="N4168" s="15"/>
      <c r="O4168" s="15"/>
      <c r="P4168" s="15"/>
      <c r="Q4168" s="71"/>
      <c r="R4168" s="84"/>
      <c r="S4168" s="10"/>
      <c r="T4168" s="10"/>
      <c r="U4168" s="10"/>
      <c r="V4168" s="10"/>
      <c r="W4168" s="138"/>
      <c r="Y4168"/>
      <c r="Z4168"/>
      <c r="AA4168"/>
      <c r="AB4168"/>
      <c r="AC4168"/>
      <c r="AD4168"/>
      <c r="AE4168"/>
      <c r="AF4168"/>
      <c r="AG4168"/>
      <c r="AH4168"/>
      <c r="AI4168"/>
      <c r="AJ4168"/>
      <c r="AK4168"/>
      <c r="AL4168"/>
      <c r="AM4168"/>
      <c r="AN4168"/>
      <c r="AO4168"/>
    </row>
    <row r="4169" spans="1:41" ht="15">
      <c r="A4169"/>
      <c r="B4169"/>
      <c r="C4169" s="137"/>
      <c r="D4169" s="30"/>
      <c r="E4169" s="30"/>
      <c r="F4169" s="10"/>
      <c r="G4169" s="10"/>
      <c r="H4169" s="15"/>
      <c r="I4169" s="15"/>
      <c r="J4169" s="15"/>
      <c r="K4169" s="15"/>
      <c r="L4169" s="15"/>
      <c r="M4169" s="15"/>
      <c r="N4169" s="15"/>
      <c r="O4169" s="15"/>
      <c r="P4169" s="15"/>
      <c r="Q4169" s="71"/>
      <c r="R4169" s="84"/>
      <c r="S4169" s="10"/>
      <c r="T4169" s="10"/>
      <c r="U4169" s="10"/>
      <c r="V4169" s="10"/>
      <c r="W4169" s="138"/>
      <c r="Y4169"/>
      <c r="Z4169"/>
      <c r="AA4169"/>
      <c r="AB4169"/>
      <c r="AC4169"/>
      <c r="AD4169"/>
      <c r="AE4169"/>
      <c r="AF4169"/>
      <c r="AG4169"/>
      <c r="AH4169"/>
      <c r="AI4169"/>
      <c r="AJ4169"/>
      <c r="AK4169"/>
      <c r="AL4169"/>
      <c r="AM4169"/>
      <c r="AN4169"/>
      <c r="AO4169"/>
    </row>
    <row r="4170" spans="1:41" ht="15">
      <c r="A4170"/>
      <c r="B4170"/>
      <c r="C4170" s="137"/>
      <c r="D4170" s="30"/>
      <c r="E4170" s="30"/>
      <c r="F4170" s="10"/>
      <c r="G4170" s="10"/>
      <c r="H4170" s="15"/>
      <c r="I4170" s="15"/>
      <c r="J4170" s="15"/>
      <c r="K4170" s="15"/>
      <c r="L4170" s="15"/>
      <c r="M4170" s="15"/>
      <c r="N4170" s="15"/>
      <c r="O4170" s="15"/>
      <c r="P4170" s="15"/>
      <c r="Q4170" s="71"/>
      <c r="R4170" s="84"/>
      <c r="S4170" s="10"/>
      <c r="T4170" s="10"/>
      <c r="U4170" s="10"/>
      <c r="V4170" s="10"/>
      <c r="W4170" s="138"/>
      <c r="Y4170"/>
      <c r="Z4170"/>
      <c r="AA4170"/>
      <c r="AB4170"/>
      <c r="AC4170"/>
      <c r="AD4170"/>
      <c r="AE4170"/>
      <c r="AF4170"/>
      <c r="AG4170"/>
      <c r="AH4170"/>
      <c r="AI4170"/>
      <c r="AJ4170"/>
      <c r="AK4170"/>
      <c r="AL4170"/>
      <c r="AM4170"/>
      <c r="AN4170"/>
      <c r="AO4170"/>
    </row>
    <row r="4171" spans="1:41" ht="15">
      <c r="A4171"/>
      <c r="B4171"/>
      <c r="C4171" s="137"/>
      <c r="D4171" s="30"/>
      <c r="E4171" s="30"/>
      <c r="F4171" s="10"/>
      <c r="G4171" s="10"/>
      <c r="H4171" s="15"/>
      <c r="I4171" s="15"/>
      <c r="J4171" s="15"/>
      <c r="K4171" s="15"/>
      <c r="L4171" s="15"/>
      <c r="M4171" s="15"/>
      <c r="N4171" s="15"/>
      <c r="O4171" s="15"/>
      <c r="P4171" s="15"/>
      <c r="Q4171" s="71"/>
      <c r="R4171" s="84"/>
      <c r="S4171" s="10"/>
      <c r="T4171" s="10"/>
      <c r="U4171" s="10"/>
      <c r="V4171" s="10"/>
      <c r="W4171" s="138"/>
      <c r="Y4171"/>
      <c r="Z4171"/>
      <c r="AA4171"/>
      <c r="AB4171"/>
      <c r="AC4171"/>
      <c r="AD4171"/>
      <c r="AE4171"/>
      <c r="AF4171"/>
      <c r="AG4171"/>
      <c r="AH4171"/>
      <c r="AI4171"/>
      <c r="AJ4171"/>
      <c r="AK4171"/>
      <c r="AL4171"/>
      <c r="AM4171"/>
      <c r="AN4171"/>
      <c r="AO4171"/>
    </row>
    <row r="4172" spans="1:41" ht="15">
      <c r="A4172"/>
      <c r="B4172"/>
      <c r="C4172" s="137"/>
      <c r="D4172" s="30"/>
      <c r="E4172" s="30"/>
      <c r="F4172" s="10"/>
      <c r="G4172" s="10"/>
      <c r="H4172" s="15"/>
      <c r="I4172" s="15"/>
      <c r="J4172" s="15"/>
      <c r="K4172" s="15"/>
      <c r="L4172" s="15"/>
      <c r="M4172" s="15"/>
      <c r="N4172" s="15"/>
      <c r="O4172" s="15"/>
      <c r="P4172" s="15"/>
      <c r="Q4172" s="71"/>
      <c r="R4172" s="84"/>
      <c r="S4172" s="10"/>
      <c r="T4172" s="10"/>
      <c r="U4172" s="10"/>
      <c r="V4172" s="10"/>
      <c r="W4172" s="138"/>
      <c r="Y4172"/>
      <c r="Z4172"/>
      <c r="AA4172"/>
      <c r="AB4172"/>
      <c r="AC4172"/>
      <c r="AD4172"/>
      <c r="AE4172"/>
      <c r="AF4172"/>
      <c r="AG4172"/>
      <c r="AH4172"/>
      <c r="AI4172"/>
      <c r="AJ4172"/>
      <c r="AK4172"/>
      <c r="AL4172"/>
      <c r="AM4172"/>
      <c r="AN4172"/>
      <c r="AO4172"/>
    </row>
    <row r="4173" spans="1:41" ht="15">
      <c r="A4173"/>
      <c r="B4173"/>
      <c r="C4173" s="137"/>
      <c r="D4173" s="30"/>
      <c r="E4173" s="30"/>
      <c r="F4173" s="10"/>
      <c r="G4173" s="10"/>
      <c r="H4173" s="15"/>
      <c r="I4173" s="15"/>
      <c r="J4173" s="15"/>
      <c r="K4173" s="15"/>
      <c r="L4173" s="15"/>
      <c r="M4173" s="15"/>
      <c r="N4173" s="15"/>
      <c r="O4173" s="15"/>
      <c r="P4173" s="15"/>
      <c r="Q4173" s="71"/>
      <c r="R4173" s="84"/>
      <c r="S4173" s="10"/>
      <c r="T4173" s="10"/>
      <c r="U4173" s="10"/>
      <c r="V4173" s="10"/>
      <c r="W4173" s="138"/>
      <c r="Y4173"/>
      <c r="Z4173"/>
      <c r="AA4173"/>
      <c r="AB4173"/>
      <c r="AC4173"/>
      <c r="AD4173"/>
      <c r="AE4173"/>
      <c r="AF4173"/>
      <c r="AG4173"/>
      <c r="AH4173"/>
      <c r="AI4173"/>
      <c r="AJ4173"/>
      <c r="AK4173"/>
      <c r="AL4173"/>
      <c r="AM4173"/>
      <c r="AN4173"/>
      <c r="AO4173"/>
    </row>
    <row r="4174" spans="1:41" ht="15">
      <c r="A4174"/>
      <c r="B4174"/>
      <c r="C4174" s="137"/>
      <c r="D4174" s="30"/>
      <c r="E4174" s="30"/>
      <c r="F4174" s="10"/>
      <c r="G4174" s="10"/>
      <c r="H4174" s="15"/>
      <c r="I4174" s="15"/>
      <c r="J4174" s="15"/>
      <c r="K4174" s="15"/>
      <c r="L4174" s="15"/>
      <c r="M4174" s="15"/>
      <c r="N4174" s="15"/>
      <c r="O4174" s="15"/>
      <c r="P4174" s="15"/>
      <c r="Q4174" s="71"/>
      <c r="R4174" s="84"/>
      <c r="S4174" s="10"/>
      <c r="T4174" s="10"/>
      <c r="U4174" s="10"/>
      <c r="V4174" s="10"/>
      <c r="W4174" s="138"/>
      <c r="Y4174"/>
      <c r="Z4174"/>
      <c r="AA4174"/>
      <c r="AB4174"/>
      <c r="AC4174"/>
      <c r="AD4174"/>
      <c r="AE4174"/>
      <c r="AF4174"/>
      <c r="AG4174"/>
      <c r="AH4174"/>
      <c r="AI4174"/>
      <c r="AJ4174"/>
      <c r="AK4174"/>
      <c r="AL4174"/>
      <c r="AM4174"/>
      <c r="AN4174"/>
      <c r="AO4174"/>
    </row>
    <row r="4175" spans="1:41" ht="15">
      <c r="A4175"/>
      <c r="B4175"/>
      <c r="C4175" s="137"/>
      <c r="D4175" s="30"/>
      <c r="E4175" s="30"/>
      <c r="F4175" s="10"/>
      <c r="G4175" s="10"/>
      <c r="H4175" s="15"/>
      <c r="I4175" s="15"/>
      <c r="J4175" s="15"/>
      <c r="K4175" s="15"/>
      <c r="L4175" s="15"/>
      <c r="M4175" s="15"/>
      <c r="N4175" s="15"/>
      <c r="O4175" s="15"/>
      <c r="P4175" s="15"/>
      <c r="Q4175" s="71"/>
      <c r="R4175" s="84"/>
      <c r="S4175" s="10"/>
      <c r="T4175" s="10"/>
      <c r="U4175" s="10"/>
      <c r="V4175" s="10"/>
      <c r="W4175" s="138"/>
      <c r="Y4175"/>
      <c r="Z4175"/>
      <c r="AA4175"/>
      <c r="AB4175"/>
      <c r="AC4175"/>
      <c r="AD4175"/>
      <c r="AE4175"/>
      <c r="AF4175"/>
      <c r="AG4175"/>
      <c r="AH4175"/>
      <c r="AI4175"/>
      <c r="AJ4175"/>
      <c r="AK4175"/>
      <c r="AL4175"/>
      <c r="AM4175"/>
      <c r="AN4175"/>
      <c r="AO4175"/>
    </row>
    <row r="4176" spans="1:41" ht="15">
      <c r="A4176"/>
      <c r="B4176"/>
      <c r="C4176" s="137"/>
      <c r="D4176" s="30"/>
      <c r="E4176" s="30"/>
      <c r="F4176" s="10"/>
      <c r="G4176" s="10"/>
      <c r="H4176" s="15"/>
      <c r="I4176" s="15"/>
      <c r="J4176" s="15"/>
      <c r="K4176" s="15"/>
      <c r="L4176" s="15"/>
      <c r="M4176" s="15"/>
      <c r="N4176" s="15"/>
      <c r="O4176" s="15"/>
      <c r="P4176" s="15"/>
      <c r="Q4176" s="71"/>
      <c r="R4176" s="84"/>
      <c r="S4176" s="10"/>
      <c r="T4176" s="10"/>
      <c r="U4176" s="10"/>
      <c r="V4176" s="10"/>
      <c r="W4176" s="138"/>
      <c r="Y4176"/>
      <c r="Z4176"/>
      <c r="AA4176"/>
      <c r="AB4176"/>
      <c r="AC4176"/>
      <c r="AD4176"/>
      <c r="AE4176"/>
      <c r="AF4176"/>
      <c r="AG4176"/>
      <c r="AH4176"/>
      <c r="AI4176"/>
      <c r="AJ4176"/>
      <c r="AK4176"/>
      <c r="AL4176"/>
      <c r="AM4176"/>
      <c r="AN4176"/>
      <c r="AO4176"/>
    </row>
    <row r="4177" spans="1:41" ht="15">
      <c r="A4177"/>
      <c r="B4177"/>
      <c r="C4177" s="137"/>
      <c r="D4177" s="30"/>
      <c r="E4177" s="30"/>
      <c r="F4177" s="10"/>
      <c r="G4177" s="10"/>
      <c r="H4177" s="15"/>
      <c r="I4177" s="15"/>
      <c r="J4177" s="15"/>
      <c r="K4177" s="15"/>
      <c r="L4177" s="15"/>
      <c r="M4177" s="15"/>
      <c r="N4177" s="15"/>
      <c r="O4177" s="15"/>
      <c r="P4177" s="15"/>
      <c r="Q4177" s="71"/>
      <c r="R4177" s="84"/>
      <c r="S4177" s="10"/>
      <c r="T4177" s="10"/>
      <c r="U4177" s="10"/>
      <c r="V4177" s="10"/>
      <c r="W4177" s="138"/>
      <c r="Y4177"/>
      <c r="Z4177"/>
      <c r="AA4177"/>
      <c r="AB4177"/>
      <c r="AC4177"/>
      <c r="AD4177"/>
      <c r="AE4177"/>
      <c r="AF4177"/>
      <c r="AG4177"/>
      <c r="AH4177"/>
      <c r="AI4177"/>
      <c r="AJ4177"/>
      <c r="AK4177"/>
      <c r="AL4177"/>
      <c r="AM4177"/>
      <c r="AN4177"/>
      <c r="AO4177"/>
    </row>
    <row r="4178" spans="1:41" ht="15">
      <c r="A4178"/>
      <c r="B4178"/>
      <c r="C4178" s="137"/>
      <c r="D4178" s="30"/>
      <c r="E4178" s="30"/>
      <c r="F4178" s="10"/>
      <c r="G4178" s="10"/>
      <c r="H4178" s="15"/>
      <c r="I4178" s="15"/>
      <c r="J4178" s="15"/>
      <c r="K4178" s="15"/>
      <c r="L4178" s="15"/>
      <c r="M4178" s="15"/>
      <c r="N4178" s="15"/>
      <c r="O4178" s="15"/>
      <c r="P4178" s="15"/>
      <c r="Q4178" s="71"/>
      <c r="R4178" s="84"/>
      <c r="S4178" s="10"/>
      <c r="T4178" s="10"/>
      <c r="U4178" s="10"/>
      <c r="V4178" s="10"/>
      <c r="W4178" s="138"/>
      <c r="Y4178"/>
      <c r="Z4178"/>
      <c r="AA4178"/>
      <c r="AB4178"/>
      <c r="AC4178"/>
      <c r="AD4178"/>
      <c r="AE4178"/>
      <c r="AF4178"/>
      <c r="AG4178"/>
      <c r="AH4178"/>
      <c r="AI4178"/>
      <c r="AJ4178"/>
      <c r="AK4178"/>
      <c r="AL4178"/>
      <c r="AM4178"/>
      <c r="AN4178"/>
      <c r="AO4178"/>
    </row>
    <row r="4179" spans="1:41" ht="15">
      <c r="A4179"/>
      <c r="B4179"/>
      <c r="C4179" s="137"/>
      <c r="D4179" s="30"/>
      <c r="E4179" s="30"/>
      <c r="F4179" s="10"/>
      <c r="G4179" s="10"/>
      <c r="H4179" s="15"/>
      <c r="I4179" s="15"/>
      <c r="J4179" s="15"/>
      <c r="K4179" s="15"/>
      <c r="L4179" s="15"/>
      <c r="M4179" s="15"/>
      <c r="N4179" s="15"/>
      <c r="O4179" s="15"/>
      <c r="P4179" s="15"/>
      <c r="Q4179" s="71"/>
      <c r="R4179" s="84"/>
      <c r="S4179" s="10"/>
      <c r="T4179" s="10"/>
      <c r="U4179" s="10"/>
      <c r="V4179" s="10"/>
      <c r="W4179" s="138"/>
      <c r="Y4179"/>
      <c r="Z4179"/>
      <c r="AA4179"/>
      <c r="AB4179"/>
      <c r="AC4179"/>
      <c r="AD4179"/>
      <c r="AE4179"/>
      <c r="AF4179"/>
      <c r="AG4179"/>
      <c r="AH4179"/>
      <c r="AI4179"/>
      <c r="AJ4179"/>
      <c r="AK4179"/>
      <c r="AL4179"/>
      <c r="AM4179"/>
      <c r="AN4179"/>
      <c r="AO4179"/>
    </row>
    <row r="4180" spans="1:41" ht="15">
      <c r="A4180"/>
      <c r="B4180"/>
      <c r="C4180" s="137"/>
      <c r="D4180" s="30"/>
      <c r="E4180" s="30"/>
      <c r="F4180" s="10"/>
      <c r="G4180" s="10"/>
      <c r="H4180" s="15"/>
      <c r="I4180" s="15"/>
      <c r="J4180" s="15"/>
      <c r="K4180" s="15"/>
      <c r="L4180" s="15"/>
      <c r="M4180" s="15"/>
      <c r="N4180" s="15"/>
      <c r="O4180" s="15"/>
      <c r="P4180" s="15"/>
      <c r="Q4180" s="71"/>
      <c r="R4180" s="84"/>
      <c r="S4180" s="10"/>
      <c r="T4180" s="10"/>
      <c r="U4180" s="10"/>
      <c r="V4180" s="10"/>
      <c r="W4180" s="138"/>
      <c r="Y4180"/>
      <c r="Z4180"/>
      <c r="AA4180"/>
      <c r="AB4180"/>
      <c r="AC4180"/>
      <c r="AD4180"/>
      <c r="AE4180"/>
      <c r="AF4180"/>
      <c r="AG4180"/>
      <c r="AH4180"/>
      <c r="AI4180"/>
      <c r="AJ4180"/>
      <c r="AK4180"/>
      <c r="AL4180"/>
      <c r="AM4180"/>
      <c r="AN4180"/>
      <c r="AO4180"/>
    </row>
    <row r="4181" spans="1:41" ht="15">
      <c r="A4181"/>
      <c r="B4181"/>
      <c r="C4181" s="137"/>
      <c r="D4181" s="30"/>
      <c r="E4181" s="30"/>
      <c r="F4181" s="10"/>
      <c r="G4181" s="10"/>
      <c r="H4181" s="15"/>
      <c r="I4181" s="15"/>
      <c r="J4181" s="15"/>
      <c r="K4181" s="15"/>
      <c r="L4181" s="15"/>
      <c r="M4181" s="15"/>
      <c r="N4181" s="15"/>
      <c r="O4181" s="15"/>
      <c r="P4181" s="15"/>
      <c r="Q4181" s="71"/>
      <c r="R4181" s="84"/>
      <c r="S4181" s="10"/>
      <c r="T4181" s="10"/>
      <c r="U4181" s="10"/>
      <c r="V4181" s="10"/>
      <c r="W4181" s="138"/>
      <c r="Y4181"/>
      <c r="Z4181"/>
      <c r="AA4181"/>
      <c r="AB4181"/>
      <c r="AC4181"/>
      <c r="AD4181"/>
      <c r="AE4181"/>
      <c r="AF4181"/>
      <c r="AG4181"/>
      <c r="AH4181"/>
      <c r="AI4181"/>
      <c r="AJ4181"/>
      <c r="AK4181"/>
      <c r="AL4181"/>
      <c r="AM4181"/>
      <c r="AN4181"/>
      <c r="AO4181"/>
    </row>
    <row r="4182" spans="1:41" ht="15">
      <c r="A4182"/>
      <c r="B4182"/>
      <c r="C4182" s="137"/>
      <c r="D4182" s="30"/>
      <c r="E4182" s="30"/>
      <c r="F4182" s="10"/>
      <c r="G4182" s="10"/>
      <c r="H4182" s="15"/>
      <c r="I4182" s="15"/>
      <c r="J4182" s="15"/>
      <c r="K4182" s="15"/>
      <c r="L4182" s="15"/>
      <c r="M4182" s="15"/>
      <c r="N4182" s="15"/>
      <c r="O4182" s="15"/>
      <c r="P4182" s="15"/>
      <c r="Q4182" s="71"/>
      <c r="R4182" s="84"/>
      <c r="S4182" s="10"/>
      <c r="T4182" s="10"/>
      <c r="U4182" s="10"/>
      <c r="V4182" s="10"/>
      <c r="W4182" s="138"/>
      <c r="Y4182"/>
      <c r="Z4182"/>
      <c r="AA4182"/>
      <c r="AB4182"/>
      <c r="AC4182"/>
      <c r="AD4182"/>
      <c r="AE4182"/>
      <c r="AF4182"/>
      <c r="AG4182"/>
      <c r="AH4182"/>
      <c r="AI4182"/>
      <c r="AJ4182"/>
      <c r="AK4182"/>
      <c r="AL4182"/>
      <c r="AM4182"/>
      <c r="AN4182"/>
      <c r="AO4182"/>
    </row>
    <row r="4183" spans="1:41" ht="15">
      <c r="A4183"/>
      <c r="B4183"/>
      <c r="C4183" s="137"/>
      <c r="D4183" s="30"/>
      <c r="E4183" s="30"/>
      <c r="F4183" s="10"/>
      <c r="G4183" s="10"/>
      <c r="H4183" s="15"/>
      <c r="I4183" s="15"/>
      <c r="J4183" s="15"/>
      <c r="K4183" s="15"/>
      <c r="L4183" s="15"/>
      <c r="M4183" s="15"/>
      <c r="N4183" s="15"/>
      <c r="O4183" s="15"/>
      <c r="P4183" s="15"/>
      <c r="Q4183" s="71"/>
      <c r="R4183" s="84"/>
      <c r="S4183" s="10"/>
      <c r="T4183" s="10"/>
      <c r="U4183" s="10"/>
      <c r="V4183" s="10"/>
      <c r="W4183" s="138"/>
      <c r="Y4183"/>
      <c r="Z4183"/>
      <c r="AA4183"/>
      <c r="AB4183"/>
      <c r="AC4183"/>
      <c r="AD4183"/>
      <c r="AE4183"/>
      <c r="AF4183"/>
      <c r="AG4183"/>
      <c r="AH4183"/>
      <c r="AI4183"/>
      <c r="AJ4183"/>
      <c r="AK4183"/>
      <c r="AL4183"/>
      <c r="AM4183"/>
      <c r="AN4183"/>
      <c r="AO4183"/>
    </row>
    <row r="4184" spans="1:41" ht="15">
      <c r="A4184"/>
      <c r="B4184"/>
      <c r="C4184" s="137"/>
      <c r="D4184" s="30"/>
      <c r="E4184" s="30"/>
      <c r="F4184" s="10"/>
      <c r="G4184" s="10"/>
      <c r="H4184" s="15"/>
      <c r="I4184" s="15"/>
      <c r="J4184" s="15"/>
      <c r="K4184" s="15"/>
      <c r="L4184" s="15"/>
      <c r="M4184" s="15"/>
      <c r="N4184" s="15"/>
      <c r="O4184" s="15"/>
      <c r="P4184" s="15"/>
      <c r="Q4184" s="71"/>
      <c r="R4184" s="84"/>
      <c r="S4184" s="10"/>
      <c r="T4184" s="10"/>
      <c r="U4184" s="10"/>
      <c r="V4184" s="10"/>
      <c r="W4184" s="138"/>
      <c r="Y4184"/>
      <c r="Z4184"/>
      <c r="AA4184"/>
      <c r="AB4184"/>
      <c r="AC4184"/>
      <c r="AD4184"/>
      <c r="AE4184"/>
      <c r="AF4184"/>
      <c r="AG4184"/>
      <c r="AH4184"/>
      <c r="AI4184"/>
      <c r="AJ4184"/>
      <c r="AK4184"/>
      <c r="AL4184"/>
      <c r="AM4184"/>
      <c r="AN4184"/>
      <c r="AO4184"/>
    </row>
    <row r="4185" spans="1:41" ht="15">
      <c r="A4185"/>
      <c r="B4185"/>
      <c r="C4185" s="137"/>
      <c r="D4185" s="30"/>
      <c r="E4185" s="30"/>
      <c r="F4185" s="10"/>
      <c r="G4185" s="10"/>
      <c r="H4185" s="15"/>
      <c r="I4185" s="15"/>
      <c r="J4185" s="15"/>
      <c r="K4185" s="15"/>
      <c r="L4185" s="15"/>
      <c r="M4185" s="15"/>
      <c r="N4185" s="15"/>
      <c r="O4185" s="15"/>
      <c r="P4185" s="15"/>
      <c r="Q4185" s="71"/>
      <c r="R4185" s="84"/>
      <c r="S4185" s="10"/>
      <c r="T4185" s="10"/>
      <c r="U4185" s="10"/>
      <c r="V4185" s="10"/>
      <c r="W4185" s="138"/>
      <c r="Y4185"/>
      <c r="Z4185"/>
      <c r="AA4185"/>
      <c r="AB4185"/>
      <c r="AC4185"/>
      <c r="AD4185"/>
      <c r="AE4185"/>
      <c r="AF4185"/>
      <c r="AG4185"/>
      <c r="AH4185"/>
      <c r="AI4185"/>
      <c r="AJ4185"/>
      <c r="AK4185"/>
      <c r="AL4185"/>
      <c r="AM4185"/>
      <c r="AN4185"/>
      <c r="AO4185"/>
    </row>
    <row r="4186" spans="1:41" ht="15">
      <c r="A4186"/>
      <c r="B4186"/>
      <c r="C4186" s="137"/>
      <c r="D4186" s="30"/>
      <c r="E4186" s="30"/>
      <c r="F4186" s="10"/>
      <c r="G4186" s="10"/>
      <c r="H4186" s="15"/>
      <c r="I4186" s="15"/>
      <c r="J4186" s="15"/>
      <c r="K4186" s="15"/>
      <c r="L4186" s="15"/>
      <c r="M4186" s="15"/>
      <c r="N4186" s="15"/>
      <c r="O4186" s="15"/>
      <c r="P4186" s="15"/>
      <c r="Q4186" s="71"/>
      <c r="R4186" s="84"/>
      <c r="S4186" s="10"/>
      <c r="T4186" s="10"/>
      <c r="U4186" s="10"/>
      <c r="V4186" s="10"/>
      <c r="W4186" s="138"/>
      <c r="Y4186"/>
      <c r="Z4186"/>
      <c r="AA4186"/>
      <c r="AB4186"/>
      <c r="AC4186"/>
      <c r="AD4186"/>
      <c r="AE4186"/>
      <c r="AF4186"/>
      <c r="AG4186"/>
      <c r="AH4186"/>
      <c r="AI4186"/>
      <c r="AJ4186"/>
      <c r="AK4186"/>
      <c r="AL4186"/>
      <c r="AM4186"/>
      <c r="AN4186"/>
      <c r="AO4186"/>
    </row>
    <row r="4187" spans="1:41" ht="15">
      <c r="A4187"/>
      <c r="B4187"/>
      <c r="C4187" s="137"/>
      <c r="D4187" s="30"/>
      <c r="E4187" s="30"/>
      <c r="F4187" s="10"/>
      <c r="G4187" s="10"/>
      <c r="H4187" s="15"/>
      <c r="I4187" s="15"/>
      <c r="J4187" s="15"/>
      <c r="K4187" s="15"/>
      <c r="L4187" s="15"/>
      <c r="M4187" s="15"/>
      <c r="N4187" s="15"/>
      <c r="O4187" s="15"/>
      <c r="P4187" s="15"/>
      <c r="Q4187" s="71"/>
      <c r="R4187" s="84"/>
      <c r="S4187" s="10"/>
      <c r="T4187" s="10"/>
      <c r="U4187" s="10"/>
      <c r="V4187" s="10"/>
      <c r="W4187" s="138"/>
      <c r="Y4187"/>
      <c r="Z4187"/>
      <c r="AA4187"/>
      <c r="AB4187"/>
      <c r="AC4187"/>
      <c r="AD4187"/>
      <c r="AE4187"/>
      <c r="AF4187"/>
      <c r="AG4187"/>
      <c r="AH4187"/>
      <c r="AI4187"/>
      <c r="AJ4187"/>
      <c r="AK4187"/>
      <c r="AL4187"/>
      <c r="AM4187"/>
      <c r="AN4187"/>
      <c r="AO4187"/>
    </row>
    <row r="4188" spans="1:41" ht="15">
      <c r="A4188"/>
      <c r="B4188"/>
      <c r="C4188" s="137"/>
      <c r="D4188" s="30"/>
      <c r="E4188" s="30"/>
      <c r="F4188" s="10"/>
      <c r="G4188" s="10"/>
      <c r="H4188" s="15"/>
      <c r="I4188" s="15"/>
      <c r="J4188" s="15"/>
      <c r="K4188" s="15"/>
      <c r="L4188" s="15"/>
      <c r="M4188" s="15"/>
      <c r="N4188" s="15"/>
      <c r="O4188" s="15"/>
      <c r="P4188" s="15"/>
      <c r="Q4188" s="71"/>
      <c r="R4188" s="84"/>
      <c r="S4188" s="10"/>
      <c r="T4188" s="10"/>
      <c r="U4188" s="10"/>
      <c r="V4188" s="10"/>
      <c r="W4188" s="138"/>
      <c r="Y4188"/>
      <c r="Z4188"/>
      <c r="AA4188"/>
      <c r="AB4188"/>
      <c r="AC4188"/>
      <c r="AD4188"/>
      <c r="AE4188"/>
      <c r="AF4188"/>
      <c r="AG4188"/>
      <c r="AH4188"/>
      <c r="AI4188"/>
      <c r="AJ4188"/>
      <c r="AK4188"/>
      <c r="AL4188"/>
      <c r="AM4188"/>
      <c r="AN4188"/>
      <c r="AO4188"/>
    </row>
    <row r="4189" spans="1:41" ht="15">
      <c r="A4189"/>
      <c r="B4189"/>
      <c r="C4189" s="137"/>
      <c r="D4189" s="30"/>
      <c r="E4189" s="30"/>
      <c r="F4189" s="10"/>
      <c r="G4189" s="10"/>
      <c r="H4189" s="15"/>
      <c r="I4189" s="15"/>
      <c r="J4189" s="15"/>
      <c r="K4189" s="15"/>
      <c r="L4189" s="15"/>
      <c r="M4189" s="15"/>
      <c r="N4189" s="15"/>
      <c r="O4189" s="15"/>
      <c r="P4189" s="15"/>
      <c r="Q4189" s="71"/>
      <c r="R4189" s="84"/>
      <c r="S4189" s="10"/>
      <c r="T4189" s="10"/>
      <c r="U4189" s="10"/>
      <c r="V4189" s="10"/>
      <c r="W4189" s="138"/>
      <c r="Y4189"/>
      <c r="Z4189"/>
      <c r="AA4189"/>
      <c r="AB4189"/>
      <c r="AC4189"/>
      <c r="AD4189"/>
      <c r="AE4189"/>
      <c r="AF4189"/>
      <c r="AG4189"/>
      <c r="AH4189"/>
      <c r="AI4189"/>
      <c r="AJ4189"/>
      <c r="AK4189"/>
      <c r="AL4189"/>
      <c r="AM4189"/>
      <c r="AN4189"/>
      <c r="AO4189"/>
    </row>
    <row r="4190" spans="1:41" ht="15">
      <c r="A4190"/>
      <c r="B4190"/>
      <c r="C4190" s="137"/>
      <c r="D4190" s="30"/>
      <c r="E4190" s="30"/>
      <c r="F4190" s="10"/>
      <c r="G4190" s="10"/>
      <c r="H4190" s="15"/>
      <c r="I4190" s="15"/>
      <c r="J4190" s="15"/>
      <c r="K4190" s="15"/>
      <c r="L4190" s="15"/>
      <c r="M4190" s="15"/>
      <c r="N4190" s="15"/>
      <c r="O4190" s="15"/>
      <c r="P4190" s="15"/>
      <c r="Q4190" s="71"/>
      <c r="R4190" s="84"/>
      <c r="S4190" s="10"/>
      <c r="T4190" s="10"/>
      <c r="U4190" s="10"/>
      <c r="V4190" s="10"/>
      <c r="W4190" s="138"/>
      <c r="Y4190"/>
      <c r="Z4190"/>
      <c r="AA4190"/>
      <c r="AB4190"/>
      <c r="AC4190"/>
      <c r="AD4190"/>
      <c r="AE4190"/>
      <c r="AF4190"/>
      <c r="AG4190"/>
      <c r="AH4190"/>
      <c r="AI4190"/>
      <c r="AJ4190"/>
      <c r="AK4190"/>
      <c r="AL4190"/>
      <c r="AM4190"/>
      <c r="AN4190"/>
      <c r="AO4190"/>
    </row>
    <row r="4191" spans="1:41" ht="15">
      <c r="A4191"/>
      <c r="B4191"/>
      <c r="C4191" s="137"/>
      <c r="D4191" s="30"/>
      <c r="E4191" s="30"/>
      <c r="F4191" s="10"/>
      <c r="G4191" s="10"/>
      <c r="H4191" s="15"/>
      <c r="I4191" s="15"/>
      <c r="J4191" s="15"/>
      <c r="K4191" s="15"/>
      <c r="L4191" s="15"/>
      <c r="M4191" s="15"/>
      <c r="N4191" s="15"/>
      <c r="O4191" s="15"/>
      <c r="P4191" s="15"/>
      <c r="Q4191" s="71"/>
      <c r="R4191" s="84"/>
      <c r="S4191" s="10"/>
      <c r="T4191" s="10"/>
      <c r="U4191" s="10"/>
      <c r="V4191" s="10"/>
      <c r="W4191" s="138"/>
      <c r="Y4191"/>
      <c r="Z4191"/>
      <c r="AA4191"/>
      <c r="AB4191"/>
      <c r="AC4191"/>
      <c r="AD4191"/>
      <c r="AE4191"/>
      <c r="AF4191"/>
      <c r="AG4191"/>
      <c r="AH4191"/>
      <c r="AI4191"/>
      <c r="AJ4191"/>
      <c r="AK4191"/>
      <c r="AL4191"/>
      <c r="AM4191"/>
      <c r="AN4191"/>
      <c r="AO4191"/>
    </row>
    <row r="4192" spans="1:41" ht="15">
      <c r="A4192"/>
      <c r="B4192"/>
      <c r="C4192" s="137"/>
      <c r="D4192" s="30"/>
      <c r="E4192" s="30"/>
      <c r="F4192" s="10"/>
      <c r="G4192" s="10"/>
      <c r="H4192" s="15"/>
      <c r="I4192" s="15"/>
      <c r="J4192" s="15"/>
      <c r="K4192" s="15"/>
      <c r="L4192" s="15"/>
      <c r="M4192" s="15"/>
      <c r="N4192" s="15"/>
      <c r="O4192" s="15"/>
      <c r="P4192" s="15"/>
      <c r="Q4192" s="71"/>
      <c r="R4192" s="84"/>
      <c r="S4192" s="10"/>
      <c r="T4192" s="10"/>
      <c r="U4192" s="10"/>
      <c r="V4192" s="10"/>
      <c r="W4192" s="138"/>
      <c r="Y4192"/>
      <c r="Z4192"/>
      <c r="AA4192"/>
      <c r="AB4192"/>
      <c r="AC4192"/>
      <c r="AD4192"/>
      <c r="AE4192"/>
      <c r="AF4192"/>
      <c r="AG4192"/>
      <c r="AH4192"/>
      <c r="AI4192"/>
      <c r="AJ4192"/>
      <c r="AK4192"/>
      <c r="AL4192"/>
      <c r="AM4192"/>
      <c r="AN4192"/>
      <c r="AO4192"/>
    </row>
    <row r="4193" spans="1:41" ht="15">
      <c r="A4193"/>
      <c r="B4193"/>
      <c r="C4193" s="137"/>
      <c r="D4193" s="30"/>
      <c r="E4193" s="30"/>
      <c r="F4193" s="10"/>
      <c r="G4193" s="10"/>
      <c r="H4193" s="15"/>
      <c r="I4193" s="15"/>
      <c r="J4193" s="15"/>
      <c r="K4193" s="15"/>
      <c r="L4193" s="15"/>
      <c r="M4193" s="15"/>
      <c r="N4193" s="15"/>
      <c r="O4193" s="15"/>
      <c r="P4193" s="15"/>
      <c r="Q4193" s="71"/>
      <c r="R4193" s="84"/>
      <c r="S4193" s="10"/>
      <c r="T4193" s="10"/>
      <c r="U4193" s="10"/>
      <c r="V4193" s="10"/>
      <c r="W4193" s="138"/>
      <c r="Y4193"/>
      <c r="Z4193"/>
      <c r="AA4193"/>
      <c r="AB4193"/>
      <c r="AC4193"/>
      <c r="AD4193"/>
      <c r="AE4193"/>
      <c r="AF4193"/>
      <c r="AG4193"/>
      <c r="AH4193"/>
      <c r="AI4193"/>
      <c r="AJ4193"/>
      <c r="AK4193"/>
      <c r="AL4193"/>
      <c r="AM4193"/>
      <c r="AN4193"/>
      <c r="AO4193"/>
    </row>
    <row r="4194" spans="1:41" ht="15">
      <c r="A4194"/>
      <c r="B4194"/>
      <c r="C4194" s="137"/>
      <c r="D4194" s="30"/>
      <c r="E4194" s="30"/>
      <c r="F4194" s="10"/>
      <c r="G4194" s="10"/>
      <c r="H4194" s="15"/>
      <c r="I4194" s="15"/>
      <c r="J4194" s="15"/>
      <c r="K4194" s="15"/>
      <c r="L4194" s="15"/>
      <c r="M4194" s="15"/>
      <c r="N4194" s="15"/>
      <c r="O4194" s="15"/>
      <c r="P4194" s="15"/>
      <c r="Q4194" s="71"/>
      <c r="R4194" s="84"/>
      <c r="S4194" s="10"/>
      <c r="T4194" s="10"/>
      <c r="U4194" s="10"/>
      <c r="V4194" s="10"/>
      <c r="W4194" s="138"/>
      <c r="Y4194"/>
      <c r="Z4194"/>
      <c r="AA4194"/>
      <c r="AB4194"/>
      <c r="AC4194"/>
      <c r="AD4194"/>
      <c r="AE4194"/>
      <c r="AF4194"/>
      <c r="AG4194"/>
      <c r="AH4194"/>
      <c r="AI4194"/>
      <c r="AJ4194"/>
      <c r="AK4194"/>
      <c r="AL4194"/>
      <c r="AM4194"/>
      <c r="AN4194"/>
      <c r="AO4194"/>
    </row>
    <row r="4195" spans="1:41" ht="15">
      <c r="A4195"/>
      <c r="B4195"/>
      <c r="C4195" s="137"/>
      <c r="D4195" s="30"/>
      <c r="E4195" s="30"/>
      <c r="F4195" s="10"/>
      <c r="G4195" s="10"/>
      <c r="H4195" s="15"/>
      <c r="I4195" s="15"/>
      <c r="J4195" s="15"/>
      <c r="K4195" s="15"/>
      <c r="L4195" s="15"/>
      <c r="M4195" s="15"/>
      <c r="N4195" s="15"/>
      <c r="O4195" s="15"/>
      <c r="P4195" s="15"/>
      <c r="Q4195" s="71"/>
      <c r="R4195" s="84"/>
      <c r="S4195" s="10"/>
      <c r="T4195" s="10"/>
      <c r="U4195" s="10"/>
      <c r="V4195" s="10"/>
      <c r="W4195" s="138"/>
      <c r="Y4195"/>
      <c r="Z4195"/>
      <c r="AA4195"/>
      <c r="AB4195"/>
      <c r="AC4195"/>
      <c r="AD4195"/>
      <c r="AE4195"/>
      <c r="AF4195"/>
      <c r="AG4195"/>
      <c r="AH4195"/>
      <c r="AI4195"/>
      <c r="AJ4195"/>
      <c r="AK4195"/>
      <c r="AL4195"/>
      <c r="AM4195"/>
      <c r="AN4195"/>
      <c r="AO4195"/>
    </row>
    <row r="4196" spans="1:41" ht="15">
      <c r="A4196"/>
      <c r="B4196"/>
      <c r="C4196" s="137"/>
      <c r="D4196" s="30"/>
      <c r="E4196" s="30"/>
      <c r="F4196" s="10"/>
      <c r="G4196" s="10"/>
      <c r="H4196" s="15"/>
      <c r="I4196" s="15"/>
      <c r="J4196" s="15"/>
      <c r="K4196" s="15"/>
      <c r="L4196" s="15"/>
      <c r="M4196" s="15"/>
      <c r="N4196" s="15"/>
      <c r="O4196" s="15"/>
      <c r="P4196" s="15"/>
      <c r="Q4196" s="71"/>
      <c r="R4196" s="84"/>
      <c r="S4196" s="10"/>
      <c r="T4196" s="10"/>
      <c r="U4196" s="10"/>
      <c r="V4196" s="10"/>
      <c r="W4196" s="138"/>
      <c r="Y4196"/>
      <c r="Z4196"/>
      <c r="AA4196"/>
      <c r="AB4196"/>
      <c r="AC4196"/>
      <c r="AD4196"/>
      <c r="AE4196"/>
      <c r="AF4196"/>
      <c r="AG4196"/>
      <c r="AH4196"/>
      <c r="AI4196"/>
      <c r="AJ4196"/>
      <c r="AK4196"/>
      <c r="AL4196"/>
      <c r="AM4196"/>
      <c r="AN4196"/>
      <c r="AO4196"/>
    </row>
    <row r="4197" spans="1:41" ht="15">
      <c r="A4197"/>
      <c r="B4197"/>
      <c r="C4197" s="137"/>
      <c r="D4197" s="30"/>
      <c r="E4197" s="30"/>
      <c r="F4197" s="10"/>
      <c r="G4197" s="10"/>
      <c r="H4197" s="15"/>
      <c r="I4197" s="15"/>
      <c r="J4197" s="15"/>
      <c r="K4197" s="15"/>
      <c r="L4197" s="15"/>
      <c r="M4197" s="15"/>
      <c r="N4197" s="15"/>
      <c r="O4197" s="15"/>
      <c r="P4197" s="15"/>
      <c r="Q4197" s="71"/>
      <c r="R4197" s="84"/>
      <c r="S4197" s="10"/>
      <c r="T4197" s="10"/>
      <c r="U4197" s="10"/>
      <c r="V4197" s="10"/>
      <c r="W4197" s="138"/>
      <c r="Y4197"/>
      <c r="Z4197"/>
      <c r="AA4197"/>
      <c r="AB4197"/>
      <c r="AC4197"/>
      <c r="AD4197"/>
      <c r="AE4197"/>
      <c r="AF4197"/>
      <c r="AG4197"/>
      <c r="AH4197"/>
      <c r="AI4197"/>
      <c r="AJ4197"/>
      <c r="AK4197"/>
      <c r="AL4197"/>
      <c r="AM4197"/>
      <c r="AN4197"/>
      <c r="AO4197"/>
    </row>
    <row r="4198" spans="1:41" ht="15">
      <c r="A4198"/>
      <c r="B4198"/>
      <c r="C4198" s="137"/>
      <c r="D4198" s="30"/>
      <c r="E4198" s="30"/>
      <c r="F4198" s="10"/>
      <c r="G4198" s="10"/>
      <c r="H4198" s="15"/>
      <c r="I4198" s="15"/>
      <c r="J4198" s="15"/>
      <c r="K4198" s="15"/>
      <c r="L4198" s="15"/>
      <c r="M4198" s="15"/>
      <c r="N4198" s="15"/>
      <c r="O4198" s="15"/>
      <c r="P4198" s="15"/>
      <c r="Q4198" s="71"/>
      <c r="R4198" s="84"/>
      <c r="S4198" s="10"/>
      <c r="T4198" s="10"/>
      <c r="U4198" s="10"/>
      <c r="V4198" s="10"/>
      <c r="W4198" s="138"/>
      <c r="Y4198"/>
      <c r="Z4198"/>
      <c r="AA4198"/>
      <c r="AB4198"/>
      <c r="AC4198"/>
      <c r="AD4198"/>
      <c r="AE4198"/>
      <c r="AF4198"/>
      <c r="AG4198"/>
      <c r="AH4198"/>
      <c r="AI4198"/>
      <c r="AJ4198"/>
      <c r="AK4198"/>
      <c r="AL4198"/>
      <c r="AM4198"/>
      <c r="AN4198"/>
      <c r="AO4198"/>
    </row>
    <row r="4199" spans="1:41" ht="15">
      <c r="A4199"/>
      <c r="B4199"/>
      <c r="C4199" s="137"/>
      <c r="D4199" s="30"/>
      <c r="E4199" s="30"/>
      <c r="F4199" s="10"/>
      <c r="G4199" s="10"/>
      <c r="H4199" s="15"/>
      <c r="I4199" s="15"/>
      <c r="J4199" s="15"/>
      <c r="K4199" s="15"/>
      <c r="L4199" s="15"/>
      <c r="M4199" s="15"/>
      <c r="N4199" s="15"/>
      <c r="O4199" s="15"/>
      <c r="P4199" s="15"/>
      <c r="Q4199" s="71"/>
      <c r="R4199" s="84"/>
      <c r="S4199" s="10"/>
      <c r="T4199" s="10"/>
      <c r="U4199" s="10"/>
      <c r="V4199" s="10"/>
      <c r="W4199" s="138"/>
      <c r="Y4199"/>
      <c r="Z4199"/>
      <c r="AA4199"/>
      <c r="AB4199"/>
      <c r="AC4199"/>
      <c r="AD4199"/>
      <c r="AE4199"/>
      <c r="AF4199"/>
      <c r="AG4199"/>
      <c r="AH4199"/>
      <c r="AI4199"/>
      <c r="AJ4199"/>
      <c r="AK4199"/>
      <c r="AL4199"/>
      <c r="AM4199"/>
      <c r="AN4199"/>
      <c r="AO4199"/>
    </row>
    <row r="4200" spans="1:41" ht="15">
      <c r="A4200"/>
      <c r="B4200"/>
      <c r="C4200" s="137"/>
      <c r="D4200" s="30"/>
      <c r="E4200" s="30"/>
      <c r="F4200" s="10"/>
      <c r="G4200" s="10"/>
      <c r="H4200" s="15"/>
      <c r="I4200" s="15"/>
      <c r="J4200" s="15"/>
      <c r="K4200" s="15"/>
      <c r="L4200" s="15"/>
      <c r="M4200" s="15"/>
      <c r="N4200" s="15"/>
      <c r="O4200" s="15"/>
      <c r="P4200" s="15"/>
      <c r="Q4200" s="71"/>
      <c r="R4200" s="84"/>
      <c r="S4200" s="10"/>
      <c r="T4200" s="10"/>
      <c r="U4200" s="10"/>
      <c r="V4200" s="10"/>
      <c r="W4200" s="138"/>
      <c r="Y4200"/>
      <c r="Z4200"/>
      <c r="AA4200"/>
      <c r="AB4200"/>
      <c r="AC4200"/>
      <c r="AD4200"/>
      <c r="AE4200"/>
      <c r="AF4200"/>
      <c r="AG4200"/>
      <c r="AH4200"/>
      <c r="AI4200"/>
      <c r="AJ4200"/>
      <c r="AK4200"/>
      <c r="AL4200"/>
      <c r="AM4200"/>
      <c r="AN4200"/>
      <c r="AO4200"/>
    </row>
    <row r="4201" spans="1:41" ht="15">
      <c r="A4201"/>
      <c r="B4201"/>
      <c r="C4201" s="137"/>
      <c r="D4201" s="30"/>
      <c r="E4201" s="30"/>
      <c r="F4201" s="10"/>
      <c r="G4201" s="10"/>
      <c r="H4201" s="15"/>
      <c r="I4201" s="15"/>
      <c r="J4201" s="15"/>
      <c r="K4201" s="15"/>
      <c r="L4201" s="15"/>
      <c r="M4201" s="15"/>
      <c r="N4201" s="15"/>
      <c r="O4201" s="15"/>
      <c r="P4201" s="15"/>
      <c r="Q4201" s="71"/>
      <c r="R4201" s="84"/>
      <c r="S4201" s="10"/>
      <c r="T4201" s="10"/>
      <c r="U4201" s="10"/>
      <c r="V4201" s="10"/>
      <c r="W4201" s="138"/>
      <c r="Y4201"/>
      <c r="Z4201"/>
      <c r="AA4201"/>
      <c r="AB4201"/>
      <c r="AC4201"/>
      <c r="AD4201"/>
      <c r="AE4201"/>
      <c r="AF4201"/>
      <c r="AG4201"/>
      <c r="AH4201"/>
      <c r="AI4201"/>
      <c r="AJ4201"/>
      <c r="AK4201"/>
      <c r="AL4201"/>
      <c r="AM4201"/>
      <c r="AN4201"/>
      <c r="AO4201"/>
    </row>
    <row r="4202" spans="1:41" ht="15">
      <c r="A4202"/>
      <c r="B4202"/>
      <c r="C4202" s="137"/>
      <c r="D4202" s="30"/>
      <c r="E4202" s="30"/>
      <c r="F4202" s="10"/>
      <c r="G4202" s="10"/>
      <c r="H4202" s="15"/>
      <c r="I4202" s="15"/>
      <c r="J4202" s="15"/>
      <c r="K4202" s="15"/>
      <c r="L4202" s="15"/>
      <c r="M4202" s="15"/>
      <c r="N4202" s="15"/>
      <c r="O4202" s="15"/>
      <c r="P4202" s="15"/>
      <c r="Q4202" s="71"/>
      <c r="R4202" s="84"/>
      <c r="S4202" s="10"/>
      <c r="T4202" s="10"/>
      <c r="U4202" s="10"/>
      <c r="V4202" s="10"/>
      <c r="W4202" s="138"/>
      <c r="Y4202"/>
      <c r="Z4202"/>
      <c r="AA4202"/>
      <c r="AB4202"/>
      <c r="AC4202"/>
      <c r="AD4202"/>
      <c r="AE4202"/>
      <c r="AF4202"/>
      <c r="AG4202"/>
      <c r="AH4202"/>
      <c r="AI4202"/>
      <c r="AJ4202"/>
      <c r="AK4202"/>
      <c r="AL4202"/>
      <c r="AM4202"/>
      <c r="AN4202"/>
      <c r="AO4202"/>
    </row>
    <row r="4203" spans="1:41" ht="15">
      <c r="A4203"/>
      <c r="B4203"/>
      <c r="C4203" s="137"/>
      <c r="D4203" s="30"/>
      <c r="E4203" s="30"/>
      <c r="F4203" s="10"/>
      <c r="G4203" s="10"/>
      <c r="H4203" s="15"/>
      <c r="I4203" s="15"/>
      <c r="J4203" s="15"/>
      <c r="K4203" s="15"/>
      <c r="L4203" s="15"/>
      <c r="M4203" s="15"/>
      <c r="N4203" s="15"/>
      <c r="O4203" s="15"/>
      <c r="P4203" s="15"/>
      <c r="Q4203" s="71"/>
      <c r="R4203" s="84"/>
      <c r="S4203" s="10"/>
      <c r="T4203" s="10"/>
      <c r="U4203" s="10"/>
      <c r="V4203" s="10"/>
      <c r="W4203" s="138"/>
      <c r="Y4203"/>
      <c r="Z4203"/>
      <c r="AA4203"/>
      <c r="AB4203"/>
      <c r="AC4203"/>
      <c r="AD4203"/>
      <c r="AE4203"/>
      <c r="AF4203"/>
      <c r="AG4203"/>
      <c r="AH4203"/>
      <c r="AI4203"/>
      <c r="AJ4203"/>
      <c r="AK4203"/>
      <c r="AL4203"/>
      <c r="AM4203"/>
      <c r="AN4203"/>
      <c r="AO4203"/>
    </row>
    <row r="4204" spans="1:41" ht="15">
      <c r="A4204"/>
      <c r="B4204"/>
      <c r="C4204" s="137"/>
      <c r="D4204" s="30"/>
      <c r="E4204" s="30"/>
      <c r="F4204" s="10"/>
      <c r="G4204" s="10"/>
      <c r="H4204" s="15"/>
      <c r="I4204" s="15"/>
      <c r="J4204" s="15"/>
      <c r="K4204" s="15"/>
      <c r="L4204" s="15"/>
      <c r="M4204" s="15"/>
      <c r="N4204" s="15"/>
      <c r="O4204" s="15"/>
      <c r="P4204" s="15"/>
      <c r="Q4204" s="71"/>
      <c r="R4204" s="84"/>
      <c r="S4204" s="10"/>
      <c r="T4204" s="10"/>
      <c r="U4204" s="10"/>
      <c r="V4204" s="10"/>
      <c r="W4204" s="138"/>
      <c r="Y4204"/>
      <c r="Z4204"/>
      <c r="AA4204"/>
      <c r="AB4204"/>
      <c r="AC4204"/>
      <c r="AD4204"/>
      <c r="AE4204"/>
      <c r="AF4204"/>
      <c r="AG4204"/>
      <c r="AH4204"/>
      <c r="AI4204"/>
      <c r="AJ4204"/>
      <c r="AK4204"/>
      <c r="AL4204"/>
      <c r="AM4204"/>
      <c r="AN4204"/>
      <c r="AO4204"/>
    </row>
    <row r="4205" spans="1:41" ht="15">
      <c r="A4205"/>
      <c r="B4205"/>
      <c r="C4205" s="137"/>
      <c r="D4205" s="30"/>
      <c r="E4205" s="30"/>
      <c r="F4205" s="10"/>
      <c r="G4205" s="10"/>
      <c r="H4205" s="15"/>
      <c r="I4205" s="15"/>
      <c r="J4205" s="15"/>
      <c r="K4205" s="15"/>
      <c r="L4205" s="15"/>
      <c r="M4205" s="15"/>
      <c r="N4205" s="15"/>
      <c r="O4205" s="15"/>
      <c r="P4205" s="15"/>
      <c r="Q4205" s="71"/>
      <c r="R4205" s="84"/>
      <c r="S4205" s="10"/>
      <c r="T4205" s="10"/>
      <c r="U4205" s="10"/>
      <c r="V4205" s="10"/>
      <c r="W4205" s="138"/>
      <c r="Y4205"/>
      <c r="Z4205"/>
      <c r="AA4205"/>
      <c r="AB4205"/>
      <c r="AC4205"/>
      <c r="AD4205"/>
      <c r="AE4205"/>
      <c r="AF4205"/>
      <c r="AG4205"/>
      <c r="AH4205"/>
      <c r="AI4205"/>
      <c r="AJ4205"/>
      <c r="AK4205"/>
      <c r="AL4205"/>
      <c r="AM4205"/>
      <c r="AN4205"/>
      <c r="AO4205"/>
    </row>
    <row r="4206" spans="1:41" ht="15">
      <c r="A4206"/>
      <c r="B4206"/>
      <c r="C4206" s="137"/>
      <c r="D4206" s="30"/>
      <c r="E4206" s="30"/>
      <c r="F4206" s="10"/>
      <c r="G4206" s="10"/>
      <c r="H4206" s="15"/>
      <c r="I4206" s="15"/>
      <c r="J4206" s="15"/>
      <c r="K4206" s="15"/>
      <c r="L4206" s="15"/>
      <c r="M4206" s="15"/>
      <c r="N4206" s="15"/>
      <c r="O4206" s="15"/>
      <c r="P4206" s="15"/>
      <c r="Q4206" s="71"/>
      <c r="R4206" s="84"/>
      <c r="S4206" s="10"/>
      <c r="T4206" s="10"/>
      <c r="U4206" s="10"/>
      <c r="V4206" s="10"/>
      <c r="W4206" s="138"/>
      <c r="Y4206"/>
      <c r="Z4206"/>
      <c r="AA4206"/>
      <c r="AB4206"/>
      <c r="AC4206"/>
      <c r="AD4206"/>
      <c r="AE4206"/>
      <c r="AF4206"/>
      <c r="AG4206"/>
      <c r="AH4206"/>
      <c r="AI4206"/>
      <c r="AJ4206"/>
      <c r="AK4206"/>
      <c r="AL4206"/>
      <c r="AM4206"/>
      <c r="AN4206"/>
      <c r="AO4206"/>
    </row>
    <row r="4207" spans="1:41" ht="15">
      <c r="A4207"/>
      <c r="B4207"/>
      <c r="C4207" s="137"/>
      <c r="D4207" s="30"/>
      <c r="E4207" s="30"/>
      <c r="F4207" s="10"/>
      <c r="G4207" s="10"/>
      <c r="H4207" s="15"/>
      <c r="I4207" s="15"/>
      <c r="J4207" s="15"/>
      <c r="K4207" s="15"/>
      <c r="L4207" s="15"/>
      <c r="M4207" s="15"/>
      <c r="N4207" s="15"/>
      <c r="O4207" s="15"/>
      <c r="P4207" s="15"/>
      <c r="Q4207" s="71"/>
      <c r="R4207" s="84"/>
      <c r="S4207" s="10"/>
      <c r="T4207" s="10"/>
      <c r="U4207" s="10"/>
      <c r="V4207" s="10"/>
      <c r="W4207" s="138"/>
      <c r="Y4207"/>
      <c r="Z4207"/>
      <c r="AA4207"/>
      <c r="AB4207"/>
      <c r="AC4207"/>
      <c r="AD4207"/>
      <c r="AE4207"/>
      <c r="AF4207"/>
      <c r="AG4207"/>
      <c r="AH4207"/>
      <c r="AI4207"/>
      <c r="AJ4207"/>
      <c r="AK4207"/>
      <c r="AL4207"/>
      <c r="AM4207"/>
      <c r="AN4207"/>
      <c r="AO4207"/>
    </row>
    <row r="4208" spans="1:41" ht="15">
      <c r="A4208"/>
      <c r="B4208"/>
      <c r="C4208" s="137"/>
      <c r="D4208" s="30"/>
      <c r="E4208" s="30"/>
      <c r="F4208" s="10"/>
      <c r="G4208" s="10"/>
      <c r="H4208" s="15"/>
      <c r="I4208" s="15"/>
      <c r="J4208" s="15"/>
      <c r="K4208" s="15"/>
      <c r="L4208" s="15"/>
      <c r="M4208" s="15"/>
      <c r="N4208" s="15"/>
      <c r="O4208" s="15"/>
      <c r="P4208" s="15"/>
      <c r="Q4208" s="71"/>
      <c r="R4208" s="84"/>
      <c r="S4208" s="10"/>
      <c r="T4208" s="10"/>
      <c r="U4208" s="10"/>
      <c r="V4208" s="10"/>
      <c r="W4208" s="138"/>
      <c r="Y4208"/>
      <c r="Z4208"/>
      <c r="AA4208"/>
      <c r="AB4208"/>
      <c r="AC4208"/>
      <c r="AD4208"/>
      <c r="AE4208"/>
      <c r="AF4208"/>
      <c r="AG4208"/>
      <c r="AH4208"/>
      <c r="AI4208"/>
      <c r="AJ4208"/>
      <c r="AK4208"/>
      <c r="AL4208"/>
      <c r="AM4208"/>
      <c r="AN4208"/>
      <c r="AO4208"/>
    </row>
    <row r="4209" spans="1:41" ht="15">
      <c r="A4209"/>
      <c r="B4209"/>
      <c r="C4209" s="137"/>
      <c r="D4209" s="30"/>
      <c r="E4209" s="30"/>
      <c r="F4209" s="10"/>
      <c r="G4209" s="10"/>
      <c r="H4209" s="15"/>
      <c r="I4209" s="15"/>
      <c r="J4209" s="15"/>
      <c r="K4209" s="15"/>
      <c r="L4209" s="15"/>
      <c r="M4209" s="15"/>
      <c r="N4209" s="15"/>
      <c r="O4209" s="15"/>
      <c r="P4209" s="15"/>
      <c r="Q4209" s="71"/>
      <c r="R4209" s="84"/>
      <c r="S4209" s="10"/>
      <c r="T4209" s="10"/>
      <c r="U4209" s="10"/>
      <c r="V4209" s="10"/>
      <c r="W4209" s="138"/>
      <c r="Y4209"/>
      <c r="Z4209"/>
      <c r="AA4209"/>
      <c r="AB4209"/>
      <c r="AC4209"/>
      <c r="AD4209"/>
      <c r="AE4209"/>
      <c r="AF4209"/>
      <c r="AG4209"/>
      <c r="AH4209"/>
      <c r="AI4209"/>
      <c r="AJ4209"/>
      <c r="AK4209"/>
      <c r="AL4209"/>
      <c r="AM4209"/>
      <c r="AN4209"/>
      <c r="AO4209"/>
    </row>
    <row r="4210" spans="1:41" ht="15">
      <c r="A4210"/>
      <c r="B4210"/>
      <c r="C4210" s="137"/>
      <c r="D4210" s="30"/>
      <c r="E4210" s="30"/>
      <c r="F4210" s="10"/>
      <c r="G4210" s="10"/>
      <c r="H4210" s="15"/>
      <c r="I4210" s="15"/>
      <c r="J4210" s="15"/>
      <c r="K4210" s="15"/>
      <c r="L4210" s="15"/>
      <c r="M4210" s="15"/>
      <c r="N4210" s="15"/>
      <c r="O4210" s="15"/>
      <c r="P4210" s="15"/>
      <c r="Q4210" s="71"/>
      <c r="R4210" s="84"/>
      <c r="S4210" s="10"/>
      <c r="T4210" s="10"/>
      <c r="U4210" s="10"/>
      <c r="V4210" s="10"/>
      <c r="W4210" s="138"/>
      <c r="Y4210"/>
      <c r="Z4210"/>
      <c r="AA4210"/>
      <c r="AB4210"/>
      <c r="AC4210"/>
      <c r="AD4210"/>
      <c r="AE4210"/>
      <c r="AF4210"/>
      <c r="AG4210"/>
      <c r="AH4210"/>
      <c r="AI4210"/>
      <c r="AJ4210"/>
      <c r="AK4210"/>
      <c r="AL4210"/>
      <c r="AM4210"/>
      <c r="AN4210"/>
      <c r="AO4210"/>
    </row>
    <row r="4211" spans="1:41" ht="15">
      <c r="A4211"/>
      <c r="B4211"/>
      <c r="C4211" s="137"/>
      <c r="D4211" s="30"/>
      <c r="E4211" s="30"/>
      <c r="F4211" s="10"/>
      <c r="G4211" s="10"/>
      <c r="H4211" s="15"/>
      <c r="I4211" s="15"/>
      <c r="J4211" s="15"/>
      <c r="K4211" s="15"/>
      <c r="L4211" s="15"/>
      <c r="M4211" s="15"/>
      <c r="N4211" s="15"/>
      <c r="O4211" s="15"/>
      <c r="P4211" s="15"/>
      <c r="Q4211" s="71"/>
      <c r="R4211" s="84"/>
      <c r="S4211" s="10"/>
      <c r="T4211" s="10"/>
      <c r="U4211" s="10"/>
      <c r="V4211" s="10"/>
      <c r="W4211" s="138"/>
      <c r="Y4211"/>
      <c r="Z4211"/>
      <c r="AA4211"/>
      <c r="AB4211"/>
      <c r="AC4211"/>
      <c r="AD4211"/>
      <c r="AE4211"/>
      <c r="AF4211"/>
      <c r="AG4211"/>
      <c r="AH4211"/>
      <c r="AI4211"/>
      <c r="AJ4211"/>
      <c r="AK4211"/>
      <c r="AL4211"/>
      <c r="AM4211"/>
      <c r="AN4211"/>
      <c r="AO4211"/>
    </row>
    <row r="4212" spans="1:41" ht="15">
      <c r="A4212"/>
      <c r="B4212"/>
      <c r="C4212" s="137"/>
      <c r="D4212" s="30"/>
      <c r="E4212" s="30"/>
      <c r="F4212" s="10"/>
      <c r="G4212" s="10"/>
      <c r="H4212" s="15"/>
      <c r="I4212" s="15"/>
      <c r="J4212" s="15"/>
      <c r="K4212" s="15"/>
      <c r="L4212" s="15"/>
      <c r="M4212" s="15"/>
      <c r="N4212" s="15"/>
      <c r="O4212" s="15"/>
      <c r="P4212" s="15"/>
      <c r="Q4212" s="71"/>
      <c r="R4212" s="84"/>
      <c r="S4212" s="10"/>
      <c r="T4212" s="10"/>
      <c r="U4212" s="10"/>
      <c r="V4212" s="10"/>
      <c r="W4212" s="138"/>
      <c r="Y4212"/>
      <c r="Z4212"/>
      <c r="AA4212"/>
      <c r="AB4212"/>
      <c r="AC4212"/>
      <c r="AD4212"/>
      <c r="AE4212"/>
      <c r="AF4212"/>
      <c r="AG4212"/>
      <c r="AH4212"/>
      <c r="AI4212"/>
      <c r="AJ4212"/>
      <c r="AK4212"/>
      <c r="AL4212"/>
      <c r="AM4212"/>
      <c r="AN4212"/>
      <c r="AO4212"/>
    </row>
    <row r="4213" spans="1:41" ht="15">
      <c r="A4213"/>
      <c r="B4213"/>
      <c r="C4213" s="137"/>
      <c r="D4213" s="30"/>
      <c r="E4213" s="30"/>
      <c r="F4213" s="10"/>
      <c r="G4213" s="10"/>
      <c r="H4213" s="15"/>
      <c r="I4213" s="15"/>
      <c r="J4213" s="15"/>
      <c r="K4213" s="15"/>
      <c r="L4213" s="15"/>
      <c r="M4213" s="15"/>
      <c r="N4213" s="15"/>
      <c r="O4213" s="15"/>
      <c r="P4213" s="15"/>
      <c r="Q4213" s="71"/>
      <c r="R4213" s="84"/>
      <c r="S4213" s="10"/>
      <c r="T4213" s="10"/>
      <c r="U4213" s="10"/>
      <c r="V4213" s="10"/>
      <c r="W4213" s="138"/>
      <c r="Y4213"/>
      <c r="Z4213"/>
      <c r="AA4213"/>
      <c r="AB4213"/>
      <c r="AC4213"/>
      <c r="AD4213"/>
      <c r="AE4213"/>
      <c r="AF4213"/>
      <c r="AG4213"/>
      <c r="AH4213"/>
      <c r="AI4213"/>
      <c r="AJ4213"/>
      <c r="AK4213"/>
      <c r="AL4213"/>
      <c r="AM4213"/>
      <c r="AN4213"/>
      <c r="AO4213"/>
    </row>
    <row r="4214" spans="1:41" ht="15">
      <c r="A4214"/>
      <c r="B4214"/>
      <c r="C4214" s="137"/>
      <c r="D4214" s="30"/>
      <c r="E4214" s="30"/>
      <c r="F4214" s="10"/>
      <c r="G4214" s="10"/>
      <c r="H4214" s="15"/>
      <c r="I4214" s="15"/>
      <c r="J4214" s="15"/>
      <c r="K4214" s="15"/>
      <c r="L4214" s="15"/>
      <c r="M4214" s="15"/>
      <c r="N4214" s="15"/>
      <c r="O4214" s="15"/>
      <c r="P4214" s="15"/>
      <c r="Q4214" s="71"/>
      <c r="R4214" s="84"/>
      <c r="S4214" s="10"/>
      <c r="T4214" s="10"/>
      <c r="U4214" s="10"/>
      <c r="V4214" s="10"/>
      <c r="W4214" s="138"/>
      <c r="Y4214"/>
      <c r="Z4214"/>
      <c r="AA4214"/>
      <c r="AB4214"/>
      <c r="AC4214"/>
      <c r="AD4214"/>
      <c r="AE4214"/>
      <c r="AF4214"/>
      <c r="AG4214"/>
      <c r="AH4214"/>
      <c r="AI4214"/>
      <c r="AJ4214"/>
      <c r="AK4214"/>
      <c r="AL4214"/>
      <c r="AM4214"/>
      <c r="AN4214"/>
      <c r="AO4214"/>
    </row>
    <row r="4215" spans="1:41" ht="15">
      <c r="A4215"/>
      <c r="B4215"/>
      <c r="C4215" s="137"/>
      <c r="D4215" s="30"/>
      <c r="E4215" s="30"/>
      <c r="F4215" s="10"/>
      <c r="G4215" s="10"/>
      <c r="H4215" s="15"/>
      <c r="I4215" s="15"/>
      <c r="J4215" s="15"/>
      <c r="K4215" s="15"/>
      <c r="L4215" s="15"/>
      <c r="M4215" s="15"/>
      <c r="N4215" s="15"/>
      <c r="O4215" s="15"/>
      <c r="P4215" s="15"/>
      <c r="Q4215" s="71"/>
      <c r="R4215" s="84"/>
      <c r="S4215" s="10"/>
      <c r="T4215" s="10"/>
      <c r="U4215" s="10"/>
      <c r="V4215" s="10"/>
      <c r="W4215" s="138"/>
      <c r="Y4215"/>
      <c r="Z4215"/>
      <c r="AA4215"/>
      <c r="AB4215"/>
      <c r="AC4215"/>
      <c r="AD4215"/>
      <c r="AE4215"/>
      <c r="AF4215"/>
      <c r="AG4215"/>
      <c r="AH4215"/>
      <c r="AI4215"/>
      <c r="AJ4215"/>
      <c r="AK4215"/>
      <c r="AL4215"/>
      <c r="AM4215"/>
      <c r="AN4215"/>
      <c r="AO4215"/>
    </row>
    <row r="4216" spans="1:41" ht="15">
      <c r="A4216"/>
      <c r="B4216"/>
      <c r="C4216" s="137"/>
      <c r="D4216" s="30"/>
      <c r="E4216" s="30"/>
      <c r="F4216" s="10"/>
      <c r="G4216" s="10"/>
      <c r="H4216" s="15"/>
      <c r="I4216" s="15"/>
      <c r="J4216" s="15"/>
      <c r="K4216" s="15"/>
      <c r="L4216" s="15"/>
      <c r="M4216" s="15"/>
      <c r="N4216" s="15"/>
      <c r="O4216" s="15"/>
      <c r="P4216" s="15"/>
      <c r="Q4216" s="71"/>
      <c r="R4216" s="84"/>
      <c r="S4216" s="10"/>
      <c r="T4216" s="10"/>
      <c r="U4216" s="10"/>
      <c r="V4216" s="10"/>
      <c r="W4216" s="138"/>
      <c r="Y4216"/>
      <c r="Z4216"/>
      <c r="AA4216"/>
      <c r="AB4216"/>
      <c r="AC4216"/>
      <c r="AD4216"/>
      <c r="AE4216"/>
      <c r="AF4216"/>
      <c r="AG4216"/>
      <c r="AH4216"/>
      <c r="AI4216"/>
      <c r="AJ4216"/>
      <c r="AK4216"/>
      <c r="AL4216"/>
      <c r="AM4216"/>
      <c r="AN4216"/>
      <c r="AO4216"/>
    </row>
    <row r="4217" spans="1:41" ht="15">
      <c r="A4217"/>
      <c r="B4217"/>
      <c r="C4217" s="137"/>
      <c r="D4217" s="30"/>
      <c r="E4217" s="30"/>
      <c r="F4217" s="10"/>
      <c r="G4217" s="10"/>
      <c r="H4217" s="15"/>
      <c r="I4217" s="15"/>
      <c r="J4217" s="15"/>
      <c r="K4217" s="15"/>
      <c r="L4217" s="15"/>
      <c r="M4217" s="15"/>
      <c r="N4217" s="15"/>
      <c r="O4217" s="15"/>
      <c r="P4217" s="15"/>
      <c r="Q4217" s="71"/>
      <c r="R4217" s="84"/>
      <c r="S4217" s="10"/>
      <c r="T4217" s="10"/>
      <c r="U4217" s="10"/>
      <c r="V4217" s="10"/>
      <c r="W4217" s="138"/>
      <c r="Y4217"/>
      <c r="Z4217"/>
      <c r="AA4217"/>
      <c r="AB4217"/>
      <c r="AC4217"/>
      <c r="AD4217"/>
      <c r="AE4217"/>
      <c r="AF4217"/>
      <c r="AG4217"/>
      <c r="AH4217"/>
      <c r="AI4217"/>
      <c r="AJ4217"/>
      <c r="AK4217"/>
      <c r="AL4217"/>
      <c r="AM4217"/>
      <c r="AN4217"/>
      <c r="AO4217"/>
    </row>
    <row r="4218" spans="1:41" ht="15">
      <c r="A4218"/>
      <c r="B4218"/>
      <c r="C4218" s="137"/>
      <c r="D4218" s="30"/>
      <c r="E4218" s="30"/>
      <c r="F4218" s="10"/>
      <c r="G4218" s="10"/>
      <c r="H4218" s="15"/>
      <c r="I4218" s="15"/>
      <c r="J4218" s="15"/>
      <c r="K4218" s="15"/>
      <c r="L4218" s="15"/>
      <c r="M4218" s="15"/>
      <c r="N4218" s="15"/>
      <c r="O4218" s="15"/>
      <c r="P4218" s="15"/>
      <c r="Q4218" s="71"/>
      <c r="R4218" s="84"/>
      <c r="S4218" s="10"/>
      <c r="T4218" s="10"/>
      <c r="U4218" s="10"/>
      <c r="V4218" s="10"/>
      <c r="W4218" s="138"/>
      <c r="Y4218"/>
      <c r="Z4218"/>
      <c r="AA4218"/>
      <c r="AB4218"/>
      <c r="AC4218"/>
      <c r="AD4218"/>
      <c r="AE4218"/>
      <c r="AF4218"/>
      <c r="AG4218"/>
      <c r="AH4218"/>
      <c r="AI4218"/>
      <c r="AJ4218"/>
      <c r="AK4218"/>
      <c r="AL4218"/>
      <c r="AM4218"/>
      <c r="AN4218"/>
      <c r="AO4218"/>
    </row>
    <row r="4219" spans="1:41" ht="15">
      <c r="A4219"/>
      <c r="B4219"/>
      <c r="C4219" s="137"/>
      <c r="D4219" s="30"/>
      <c r="E4219" s="30"/>
      <c r="F4219" s="10"/>
      <c r="G4219" s="10"/>
      <c r="H4219" s="15"/>
      <c r="I4219" s="15"/>
      <c r="J4219" s="15"/>
      <c r="K4219" s="15"/>
      <c r="L4219" s="15"/>
      <c r="M4219" s="15"/>
      <c r="N4219" s="15"/>
      <c r="O4219" s="15"/>
      <c r="P4219" s="15"/>
      <c r="Q4219" s="71"/>
      <c r="R4219" s="84"/>
      <c r="S4219" s="10"/>
      <c r="T4219" s="10"/>
      <c r="U4219" s="10"/>
      <c r="V4219" s="10"/>
      <c r="W4219" s="138"/>
      <c r="Y4219"/>
      <c r="Z4219"/>
      <c r="AA4219"/>
      <c r="AB4219"/>
      <c r="AC4219"/>
      <c r="AD4219"/>
      <c r="AE4219"/>
      <c r="AF4219"/>
      <c r="AG4219"/>
      <c r="AH4219"/>
      <c r="AI4219"/>
      <c r="AJ4219"/>
      <c r="AK4219"/>
      <c r="AL4219"/>
      <c r="AM4219"/>
      <c r="AN4219"/>
      <c r="AO4219"/>
    </row>
    <row r="4220" spans="1:41" ht="15">
      <c r="A4220"/>
      <c r="B4220"/>
      <c r="C4220" s="137"/>
      <c r="D4220" s="30"/>
      <c r="E4220" s="30"/>
      <c r="F4220" s="10"/>
      <c r="G4220" s="10"/>
      <c r="H4220" s="15"/>
      <c r="I4220" s="15"/>
      <c r="J4220" s="15"/>
      <c r="K4220" s="15"/>
      <c r="L4220" s="15"/>
      <c r="M4220" s="15"/>
      <c r="N4220" s="15"/>
      <c r="O4220" s="15"/>
      <c r="P4220" s="15"/>
      <c r="Q4220" s="71"/>
      <c r="R4220" s="84"/>
      <c r="S4220" s="10"/>
      <c r="T4220" s="10"/>
      <c r="U4220" s="10"/>
      <c r="V4220" s="10"/>
      <c r="W4220" s="138"/>
      <c r="Y4220"/>
      <c r="Z4220"/>
      <c r="AA4220"/>
      <c r="AB4220"/>
      <c r="AC4220"/>
      <c r="AD4220"/>
      <c r="AE4220"/>
      <c r="AF4220"/>
      <c r="AG4220"/>
      <c r="AH4220"/>
      <c r="AI4220"/>
      <c r="AJ4220"/>
      <c r="AK4220"/>
      <c r="AL4220"/>
      <c r="AM4220"/>
      <c r="AN4220"/>
      <c r="AO4220"/>
    </row>
    <row r="4221" spans="1:41" ht="15">
      <c r="A4221"/>
      <c r="B4221"/>
      <c r="C4221" s="137"/>
      <c r="D4221" s="30"/>
      <c r="E4221" s="30"/>
      <c r="F4221" s="10"/>
      <c r="G4221" s="10"/>
      <c r="H4221" s="15"/>
      <c r="I4221" s="15"/>
      <c r="J4221" s="15"/>
      <c r="K4221" s="15"/>
      <c r="L4221" s="15"/>
      <c r="M4221" s="15"/>
      <c r="N4221" s="15"/>
      <c r="O4221" s="15"/>
      <c r="P4221" s="15"/>
      <c r="Q4221" s="71"/>
      <c r="R4221" s="84"/>
      <c r="S4221" s="10"/>
      <c r="T4221" s="10"/>
      <c r="U4221" s="10"/>
      <c r="V4221" s="10"/>
      <c r="W4221" s="138"/>
      <c r="Y4221"/>
      <c r="Z4221"/>
      <c r="AA4221"/>
      <c r="AB4221"/>
      <c r="AC4221"/>
      <c r="AD4221"/>
      <c r="AE4221"/>
      <c r="AF4221"/>
      <c r="AG4221"/>
      <c r="AH4221"/>
      <c r="AI4221"/>
      <c r="AJ4221"/>
      <c r="AK4221"/>
      <c r="AL4221"/>
      <c r="AM4221"/>
      <c r="AN4221"/>
      <c r="AO4221"/>
    </row>
    <row r="4222" spans="1:41" ht="15">
      <c r="A4222"/>
      <c r="B4222"/>
      <c r="C4222" s="137"/>
      <c r="D4222" s="30"/>
      <c r="E4222" s="30"/>
      <c r="F4222" s="10"/>
      <c r="G4222" s="10"/>
      <c r="H4222" s="15"/>
      <c r="I4222" s="15"/>
      <c r="J4222" s="15"/>
      <c r="K4222" s="15"/>
      <c r="L4222" s="15"/>
      <c r="M4222" s="15"/>
      <c r="N4222" s="15"/>
      <c r="O4222" s="15"/>
      <c r="P4222" s="15"/>
      <c r="Q4222" s="71"/>
      <c r="R4222" s="84"/>
      <c r="S4222" s="10"/>
      <c r="T4222" s="10"/>
      <c r="U4222" s="10"/>
      <c r="V4222" s="10"/>
      <c r="W4222" s="138"/>
      <c r="Y4222"/>
      <c r="Z4222"/>
      <c r="AA4222"/>
      <c r="AB4222"/>
      <c r="AC4222"/>
      <c r="AD4222"/>
      <c r="AE4222"/>
      <c r="AF4222"/>
      <c r="AG4222"/>
      <c r="AH4222"/>
      <c r="AI4222"/>
      <c r="AJ4222"/>
      <c r="AK4222"/>
      <c r="AL4222"/>
      <c r="AM4222"/>
      <c r="AN4222"/>
      <c r="AO4222"/>
    </row>
    <row r="4223" spans="1:41" ht="15">
      <c r="A4223"/>
      <c r="B4223"/>
      <c r="C4223" s="137"/>
      <c r="D4223" s="30"/>
      <c r="E4223" s="30"/>
      <c r="F4223" s="10"/>
      <c r="G4223" s="10"/>
      <c r="H4223" s="15"/>
      <c r="I4223" s="15"/>
      <c r="J4223" s="15"/>
      <c r="K4223" s="15"/>
      <c r="L4223" s="15"/>
      <c r="M4223" s="15"/>
      <c r="N4223" s="15"/>
      <c r="O4223" s="15"/>
      <c r="P4223" s="15"/>
      <c r="Q4223" s="71"/>
      <c r="R4223" s="84"/>
      <c r="S4223" s="10"/>
      <c r="T4223" s="10"/>
      <c r="U4223" s="10"/>
      <c r="V4223" s="10"/>
      <c r="W4223" s="138"/>
      <c r="Y4223"/>
      <c r="Z4223"/>
      <c r="AA4223"/>
      <c r="AB4223"/>
      <c r="AC4223"/>
      <c r="AD4223"/>
      <c r="AE4223"/>
      <c r="AF4223"/>
      <c r="AG4223"/>
      <c r="AH4223"/>
      <c r="AI4223"/>
      <c r="AJ4223"/>
      <c r="AK4223"/>
      <c r="AL4223"/>
      <c r="AM4223"/>
      <c r="AN4223"/>
      <c r="AO4223"/>
    </row>
    <row r="4224" spans="1:41" ht="15">
      <c r="A4224"/>
      <c r="B4224"/>
      <c r="C4224" s="137"/>
      <c r="D4224" s="30"/>
      <c r="E4224" s="30"/>
      <c r="F4224" s="10"/>
      <c r="G4224" s="10"/>
      <c r="H4224" s="15"/>
      <c r="I4224" s="15"/>
      <c r="J4224" s="15"/>
      <c r="K4224" s="15"/>
      <c r="L4224" s="15"/>
      <c r="M4224" s="15"/>
      <c r="N4224" s="15"/>
      <c r="O4224" s="15"/>
      <c r="P4224" s="15"/>
      <c r="Q4224" s="71"/>
      <c r="R4224" s="84"/>
      <c r="S4224" s="10"/>
      <c r="T4224" s="10"/>
      <c r="U4224" s="10"/>
      <c r="V4224" s="10"/>
      <c r="W4224" s="138"/>
      <c r="Y4224"/>
      <c r="Z4224"/>
      <c r="AA4224"/>
      <c r="AB4224"/>
      <c r="AC4224"/>
      <c r="AD4224"/>
      <c r="AE4224"/>
      <c r="AF4224"/>
      <c r="AG4224"/>
      <c r="AH4224"/>
      <c r="AI4224"/>
      <c r="AJ4224"/>
      <c r="AK4224"/>
      <c r="AL4224"/>
      <c r="AM4224"/>
      <c r="AN4224"/>
      <c r="AO4224"/>
    </row>
    <row r="4225" spans="1:41" ht="15">
      <c r="A4225"/>
      <c r="B4225"/>
      <c r="C4225" s="137"/>
      <c r="D4225" s="30"/>
      <c r="E4225" s="30"/>
      <c r="F4225" s="10"/>
      <c r="G4225" s="10"/>
      <c r="H4225" s="15"/>
      <c r="I4225" s="15"/>
      <c r="J4225" s="15"/>
      <c r="K4225" s="15"/>
      <c r="L4225" s="15"/>
      <c r="M4225" s="15"/>
      <c r="N4225" s="15"/>
      <c r="O4225" s="15"/>
      <c r="P4225" s="15"/>
      <c r="Q4225" s="71"/>
      <c r="R4225" s="84"/>
      <c r="S4225" s="10"/>
      <c r="T4225" s="10"/>
      <c r="U4225" s="10"/>
      <c r="V4225" s="10"/>
      <c r="W4225" s="138"/>
      <c r="Y4225"/>
      <c r="Z4225"/>
      <c r="AA4225"/>
      <c r="AB4225"/>
      <c r="AC4225"/>
      <c r="AD4225"/>
      <c r="AE4225"/>
      <c r="AF4225"/>
      <c r="AG4225"/>
      <c r="AH4225"/>
      <c r="AI4225"/>
      <c r="AJ4225"/>
      <c r="AK4225"/>
      <c r="AL4225"/>
      <c r="AM4225"/>
      <c r="AN4225"/>
      <c r="AO4225"/>
    </row>
    <row r="4226" spans="1:41" ht="15">
      <c r="A4226"/>
      <c r="B4226"/>
      <c r="C4226" s="137"/>
      <c r="D4226" s="30"/>
      <c r="E4226" s="30"/>
      <c r="F4226" s="10"/>
      <c r="G4226" s="10"/>
      <c r="H4226" s="15"/>
      <c r="I4226" s="15"/>
      <c r="J4226" s="15"/>
      <c r="K4226" s="15"/>
      <c r="L4226" s="15"/>
      <c r="M4226" s="15"/>
      <c r="N4226" s="15"/>
      <c r="O4226" s="15"/>
      <c r="P4226" s="15"/>
      <c r="Q4226" s="71"/>
      <c r="R4226" s="84"/>
      <c r="S4226" s="10"/>
      <c r="T4226" s="10"/>
      <c r="U4226" s="10"/>
      <c r="V4226" s="10"/>
      <c r="W4226" s="138"/>
      <c r="Y4226"/>
      <c r="Z4226"/>
      <c r="AA4226"/>
      <c r="AB4226"/>
      <c r="AC4226"/>
      <c r="AD4226"/>
      <c r="AE4226"/>
      <c r="AF4226"/>
      <c r="AG4226"/>
      <c r="AH4226"/>
      <c r="AI4226"/>
      <c r="AJ4226"/>
      <c r="AK4226"/>
      <c r="AL4226"/>
      <c r="AM4226"/>
      <c r="AN4226"/>
      <c r="AO4226"/>
    </row>
    <row r="4227" spans="1:41" ht="15">
      <c r="A4227"/>
      <c r="B4227"/>
      <c r="C4227" s="137"/>
      <c r="D4227" s="30"/>
      <c r="E4227" s="30"/>
      <c r="F4227" s="10"/>
      <c r="G4227" s="10"/>
      <c r="H4227" s="15"/>
      <c r="I4227" s="15"/>
      <c r="J4227" s="15"/>
      <c r="K4227" s="15"/>
      <c r="L4227" s="15"/>
      <c r="M4227" s="15"/>
      <c r="N4227" s="15"/>
      <c r="O4227" s="15"/>
      <c r="P4227" s="15"/>
      <c r="Q4227" s="71"/>
      <c r="R4227" s="84"/>
      <c r="S4227" s="10"/>
      <c r="T4227" s="10"/>
      <c r="U4227" s="10"/>
      <c r="V4227" s="10"/>
      <c r="W4227" s="138"/>
      <c r="Y4227"/>
      <c r="Z4227"/>
      <c r="AA4227"/>
      <c r="AB4227"/>
      <c r="AC4227"/>
      <c r="AD4227"/>
      <c r="AE4227"/>
      <c r="AF4227"/>
      <c r="AG4227"/>
      <c r="AH4227"/>
      <c r="AI4227"/>
      <c r="AJ4227"/>
      <c r="AK4227"/>
      <c r="AL4227"/>
      <c r="AM4227"/>
      <c r="AN4227"/>
      <c r="AO4227"/>
    </row>
    <row r="4228" spans="1:41" ht="15">
      <c r="A4228"/>
      <c r="B4228"/>
      <c r="C4228" s="137"/>
      <c r="D4228" s="30"/>
      <c r="E4228" s="30"/>
      <c r="F4228" s="10"/>
      <c r="G4228" s="10"/>
      <c r="H4228" s="15"/>
      <c r="I4228" s="15"/>
      <c r="J4228" s="15"/>
      <c r="K4228" s="15"/>
      <c r="L4228" s="15"/>
      <c r="M4228" s="15"/>
      <c r="N4228" s="15"/>
      <c r="O4228" s="15"/>
      <c r="P4228" s="15"/>
      <c r="Q4228" s="71"/>
      <c r="R4228" s="84"/>
      <c r="S4228" s="10"/>
      <c r="T4228" s="10"/>
      <c r="U4228" s="10"/>
      <c r="V4228" s="10"/>
      <c r="W4228" s="138"/>
      <c r="Y4228"/>
      <c r="Z4228"/>
      <c r="AA4228"/>
      <c r="AB4228"/>
      <c r="AC4228"/>
      <c r="AD4228"/>
      <c r="AE4228"/>
      <c r="AF4228"/>
      <c r="AG4228"/>
      <c r="AH4228"/>
      <c r="AI4228"/>
      <c r="AJ4228"/>
      <c r="AK4228"/>
      <c r="AL4228"/>
      <c r="AM4228"/>
      <c r="AN4228"/>
      <c r="AO4228"/>
    </row>
    <row r="4229" spans="1:41" ht="15">
      <c r="A4229"/>
      <c r="B4229"/>
      <c r="C4229" s="137"/>
      <c r="D4229" s="30"/>
      <c r="E4229" s="30"/>
      <c r="F4229" s="10"/>
      <c r="G4229" s="10"/>
      <c r="H4229" s="15"/>
      <c r="I4229" s="15"/>
      <c r="J4229" s="15"/>
      <c r="K4229" s="15"/>
      <c r="L4229" s="15"/>
      <c r="M4229" s="15"/>
      <c r="N4229" s="15"/>
      <c r="O4229" s="15"/>
      <c r="P4229" s="15"/>
      <c r="Q4229" s="71"/>
      <c r="R4229" s="84"/>
      <c r="S4229" s="10"/>
      <c r="T4229" s="10"/>
      <c r="U4229" s="10"/>
      <c r="V4229" s="10"/>
      <c r="W4229" s="138"/>
      <c r="Y4229"/>
      <c r="Z4229"/>
      <c r="AA4229"/>
      <c r="AB4229"/>
      <c r="AC4229"/>
      <c r="AD4229"/>
      <c r="AE4229"/>
      <c r="AF4229"/>
      <c r="AG4229"/>
      <c r="AH4229"/>
      <c r="AI4229"/>
      <c r="AJ4229"/>
      <c r="AK4229"/>
      <c r="AL4229"/>
      <c r="AM4229"/>
      <c r="AN4229"/>
      <c r="AO4229"/>
    </row>
    <row r="4230" spans="1:41" ht="15">
      <c r="A4230"/>
      <c r="B4230"/>
      <c r="C4230" s="137"/>
      <c r="D4230" s="30"/>
      <c r="E4230" s="30"/>
      <c r="F4230" s="10"/>
      <c r="G4230" s="10"/>
      <c r="H4230" s="15"/>
      <c r="I4230" s="15"/>
      <c r="J4230" s="15"/>
      <c r="K4230" s="15"/>
      <c r="L4230" s="15"/>
      <c r="M4230" s="15"/>
      <c r="N4230" s="15"/>
      <c r="O4230" s="15"/>
      <c r="P4230" s="15"/>
      <c r="Q4230" s="71"/>
      <c r="R4230" s="84"/>
      <c r="S4230" s="10"/>
      <c r="T4230" s="10"/>
      <c r="U4230" s="10"/>
      <c r="V4230" s="10"/>
      <c r="W4230" s="138"/>
      <c r="Y4230"/>
      <c r="Z4230"/>
      <c r="AA4230"/>
      <c r="AB4230"/>
      <c r="AC4230"/>
      <c r="AD4230"/>
      <c r="AE4230"/>
      <c r="AF4230"/>
      <c r="AG4230"/>
      <c r="AH4230"/>
      <c r="AI4230"/>
      <c r="AJ4230"/>
      <c r="AK4230"/>
      <c r="AL4230"/>
      <c r="AM4230"/>
      <c r="AN4230"/>
      <c r="AO4230"/>
    </row>
    <row r="4231" spans="1:41" ht="15">
      <c r="A4231"/>
      <c r="B4231"/>
      <c r="C4231" s="137"/>
      <c r="D4231" s="30"/>
      <c r="E4231" s="30"/>
      <c r="F4231" s="10"/>
      <c r="G4231" s="10"/>
      <c r="H4231" s="15"/>
      <c r="I4231" s="15"/>
      <c r="J4231" s="15"/>
      <c r="K4231" s="15"/>
      <c r="L4231" s="15"/>
      <c r="M4231" s="15"/>
      <c r="N4231" s="15"/>
      <c r="O4231" s="15"/>
      <c r="P4231" s="15"/>
      <c r="Q4231" s="71"/>
      <c r="R4231" s="84"/>
      <c r="S4231" s="10"/>
      <c r="T4231" s="10"/>
      <c r="U4231" s="10"/>
      <c r="V4231" s="10"/>
      <c r="W4231" s="138"/>
      <c r="Y4231"/>
      <c r="Z4231"/>
      <c r="AA4231"/>
      <c r="AB4231"/>
      <c r="AC4231"/>
      <c r="AD4231"/>
      <c r="AE4231"/>
      <c r="AF4231"/>
      <c r="AG4231"/>
      <c r="AH4231"/>
      <c r="AI4231"/>
      <c r="AJ4231"/>
      <c r="AK4231"/>
      <c r="AL4231"/>
      <c r="AM4231"/>
      <c r="AN4231"/>
      <c r="AO4231"/>
    </row>
    <row r="4232" spans="1:41" ht="15">
      <c r="A4232"/>
      <c r="B4232"/>
      <c r="C4232" s="137"/>
      <c r="D4232" s="30"/>
      <c r="E4232" s="30"/>
      <c r="F4232" s="10"/>
      <c r="G4232" s="10"/>
      <c r="H4232" s="15"/>
      <c r="I4232" s="15"/>
      <c r="J4232" s="15"/>
      <c r="K4232" s="15"/>
      <c r="L4232" s="15"/>
      <c r="M4232" s="15"/>
      <c r="N4232" s="15"/>
      <c r="O4232" s="15"/>
      <c r="P4232" s="15"/>
      <c r="Q4232" s="71"/>
      <c r="R4232" s="84"/>
      <c r="S4232" s="10"/>
      <c r="T4232" s="10"/>
      <c r="U4232" s="10"/>
      <c r="V4232" s="10"/>
      <c r="W4232" s="138"/>
      <c r="Y4232"/>
      <c r="Z4232"/>
      <c r="AA4232"/>
      <c r="AB4232"/>
      <c r="AC4232"/>
      <c r="AD4232"/>
      <c r="AE4232"/>
      <c r="AF4232"/>
      <c r="AG4232"/>
      <c r="AH4232"/>
      <c r="AI4232"/>
      <c r="AJ4232"/>
      <c r="AK4232"/>
      <c r="AL4232"/>
      <c r="AM4232"/>
      <c r="AN4232"/>
      <c r="AO4232"/>
    </row>
    <row r="4233" spans="1:41" ht="15">
      <c r="A4233"/>
      <c r="B4233"/>
      <c r="C4233" s="137"/>
      <c r="D4233" s="30"/>
      <c r="E4233" s="30"/>
      <c r="F4233" s="10"/>
      <c r="G4233" s="10"/>
      <c r="H4233" s="15"/>
      <c r="I4233" s="15"/>
      <c r="J4233" s="15"/>
      <c r="K4233" s="15"/>
      <c r="L4233" s="15"/>
      <c r="M4233" s="15"/>
      <c r="N4233" s="15"/>
      <c r="O4233" s="15"/>
      <c r="P4233" s="15"/>
      <c r="Q4233" s="71"/>
      <c r="R4233" s="84"/>
      <c r="S4233" s="10"/>
      <c r="T4233" s="10"/>
      <c r="U4233" s="10"/>
      <c r="V4233" s="10"/>
      <c r="W4233" s="138"/>
      <c r="Y4233"/>
      <c r="Z4233"/>
      <c r="AA4233"/>
      <c r="AB4233"/>
      <c r="AC4233"/>
      <c r="AD4233"/>
      <c r="AE4233"/>
      <c r="AF4233"/>
      <c r="AG4233"/>
      <c r="AH4233"/>
      <c r="AI4233"/>
      <c r="AJ4233"/>
      <c r="AK4233"/>
      <c r="AL4233"/>
      <c r="AM4233"/>
      <c r="AN4233"/>
      <c r="AO4233"/>
    </row>
    <row r="4234" spans="1:41" ht="15">
      <c r="A4234"/>
      <c r="B4234"/>
      <c r="C4234" s="137"/>
      <c r="D4234" s="30"/>
      <c r="E4234" s="30"/>
      <c r="F4234" s="10"/>
      <c r="G4234" s="10"/>
      <c r="H4234" s="15"/>
      <c r="I4234" s="15"/>
      <c r="J4234" s="15"/>
      <c r="K4234" s="15"/>
      <c r="L4234" s="15"/>
      <c r="M4234" s="15"/>
      <c r="N4234" s="15"/>
      <c r="O4234" s="15"/>
      <c r="P4234" s="15"/>
      <c r="Q4234" s="71"/>
      <c r="R4234" s="84"/>
      <c r="S4234" s="10"/>
      <c r="T4234" s="10"/>
      <c r="U4234" s="10"/>
      <c r="V4234" s="10"/>
      <c r="W4234" s="138"/>
      <c r="Y4234"/>
      <c r="Z4234"/>
      <c r="AA4234"/>
      <c r="AB4234"/>
      <c r="AC4234"/>
      <c r="AD4234"/>
      <c r="AE4234"/>
      <c r="AF4234"/>
      <c r="AG4234"/>
      <c r="AH4234"/>
      <c r="AI4234"/>
      <c r="AJ4234"/>
      <c r="AK4234"/>
      <c r="AL4234"/>
      <c r="AM4234"/>
      <c r="AN4234"/>
      <c r="AO4234"/>
    </row>
    <row r="4235" spans="1:41" ht="15">
      <c r="A4235"/>
      <c r="B4235"/>
      <c r="C4235" s="137"/>
      <c r="D4235" s="30"/>
      <c r="E4235" s="30"/>
      <c r="F4235" s="10"/>
      <c r="G4235" s="10"/>
      <c r="H4235" s="15"/>
      <c r="I4235" s="15"/>
      <c r="J4235" s="15"/>
      <c r="K4235" s="15"/>
      <c r="L4235" s="15"/>
      <c r="M4235" s="15"/>
      <c r="N4235" s="15"/>
      <c r="O4235" s="15"/>
      <c r="P4235" s="15"/>
      <c r="Q4235" s="71"/>
      <c r="R4235" s="84"/>
      <c r="S4235" s="10"/>
      <c r="T4235" s="10"/>
      <c r="U4235" s="10"/>
      <c r="V4235" s="10"/>
      <c r="W4235" s="138"/>
      <c r="Y4235"/>
      <c r="Z4235"/>
      <c r="AA4235"/>
      <c r="AB4235"/>
      <c r="AC4235"/>
      <c r="AD4235"/>
      <c r="AE4235"/>
      <c r="AF4235"/>
      <c r="AG4235"/>
      <c r="AH4235"/>
      <c r="AI4235"/>
      <c r="AJ4235"/>
      <c r="AK4235"/>
      <c r="AL4235"/>
      <c r="AM4235"/>
      <c r="AN4235"/>
      <c r="AO4235"/>
    </row>
    <row r="4236" spans="1:41" ht="15">
      <c r="A4236"/>
      <c r="B4236"/>
      <c r="C4236" s="137"/>
      <c r="D4236" s="30"/>
      <c r="E4236" s="30"/>
      <c r="F4236" s="10"/>
      <c r="G4236" s="10"/>
      <c r="H4236" s="15"/>
      <c r="I4236" s="15"/>
      <c r="J4236" s="15"/>
      <c r="K4236" s="15"/>
      <c r="L4236" s="15"/>
      <c r="M4236" s="15"/>
      <c r="N4236" s="15"/>
      <c r="O4236" s="15"/>
      <c r="P4236" s="15"/>
      <c r="Q4236" s="71"/>
      <c r="R4236" s="84"/>
      <c r="S4236" s="10"/>
      <c r="T4236" s="10"/>
      <c r="U4236" s="10"/>
      <c r="V4236" s="10"/>
      <c r="W4236" s="138"/>
      <c r="Y4236"/>
      <c r="Z4236"/>
      <c r="AA4236"/>
      <c r="AB4236"/>
      <c r="AC4236"/>
      <c r="AD4236"/>
      <c r="AE4236"/>
      <c r="AF4236"/>
      <c r="AG4236"/>
      <c r="AH4236"/>
      <c r="AI4236"/>
      <c r="AJ4236"/>
      <c r="AK4236"/>
      <c r="AL4236"/>
      <c r="AM4236"/>
      <c r="AN4236"/>
      <c r="AO4236"/>
    </row>
    <row r="4237" spans="1:41" ht="15">
      <c r="A4237"/>
      <c r="B4237"/>
      <c r="C4237" s="137"/>
      <c r="D4237" s="30"/>
      <c r="E4237" s="30"/>
      <c r="F4237" s="10"/>
      <c r="G4237" s="10"/>
      <c r="H4237" s="15"/>
      <c r="I4237" s="15"/>
      <c r="J4237" s="15"/>
      <c r="K4237" s="15"/>
      <c r="L4237" s="15"/>
      <c r="M4237" s="15"/>
      <c r="N4237" s="15"/>
      <c r="O4237" s="15"/>
      <c r="P4237" s="15"/>
      <c r="Q4237" s="71"/>
      <c r="R4237" s="84"/>
      <c r="S4237" s="10"/>
      <c r="T4237" s="10"/>
      <c r="U4237" s="10"/>
      <c r="V4237" s="10"/>
      <c r="W4237" s="138"/>
      <c r="Y4237"/>
      <c r="Z4237"/>
      <c r="AA4237"/>
      <c r="AB4237"/>
      <c r="AC4237"/>
      <c r="AD4237"/>
      <c r="AE4237"/>
      <c r="AF4237"/>
      <c r="AG4237"/>
      <c r="AH4237"/>
      <c r="AI4237"/>
      <c r="AJ4237"/>
      <c r="AK4237"/>
      <c r="AL4237"/>
      <c r="AM4237"/>
      <c r="AN4237"/>
      <c r="AO4237"/>
    </row>
    <row r="4238" spans="1:41" ht="15">
      <c r="A4238"/>
      <c r="B4238"/>
      <c r="C4238" s="137"/>
      <c r="D4238" s="30"/>
      <c r="E4238" s="30"/>
      <c r="F4238" s="10"/>
      <c r="G4238" s="10"/>
      <c r="H4238" s="15"/>
      <c r="I4238" s="15"/>
      <c r="J4238" s="15"/>
      <c r="K4238" s="15"/>
      <c r="L4238" s="15"/>
      <c r="M4238" s="15"/>
      <c r="N4238" s="15"/>
      <c r="O4238" s="15"/>
      <c r="P4238" s="15"/>
      <c r="Q4238" s="71"/>
      <c r="R4238" s="84"/>
      <c r="S4238" s="10"/>
      <c r="T4238" s="10"/>
      <c r="U4238" s="10"/>
      <c r="V4238" s="10"/>
      <c r="W4238" s="138"/>
      <c r="Y4238"/>
      <c r="Z4238"/>
      <c r="AA4238"/>
      <c r="AB4238"/>
      <c r="AC4238"/>
      <c r="AD4238"/>
      <c r="AE4238"/>
      <c r="AF4238"/>
      <c r="AG4238"/>
      <c r="AH4238"/>
      <c r="AI4238"/>
      <c r="AJ4238"/>
      <c r="AK4238"/>
      <c r="AL4238"/>
      <c r="AM4238"/>
      <c r="AN4238"/>
      <c r="AO4238"/>
    </row>
    <row r="4239" spans="1:41" ht="15">
      <c r="A4239"/>
      <c r="B4239"/>
      <c r="C4239" s="137"/>
      <c r="D4239" s="30"/>
      <c r="E4239" s="30"/>
      <c r="F4239" s="10"/>
      <c r="G4239" s="10"/>
      <c r="H4239" s="15"/>
      <c r="I4239" s="15"/>
      <c r="J4239" s="15"/>
      <c r="K4239" s="15"/>
      <c r="L4239" s="15"/>
      <c r="M4239" s="15"/>
      <c r="N4239" s="15"/>
      <c r="O4239" s="15"/>
      <c r="P4239" s="15"/>
      <c r="Q4239" s="71"/>
      <c r="R4239" s="84"/>
      <c r="S4239" s="10"/>
      <c r="T4239" s="10"/>
      <c r="U4239" s="10"/>
      <c r="V4239" s="10"/>
      <c r="W4239" s="138"/>
      <c r="Y4239"/>
      <c r="Z4239"/>
      <c r="AA4239"/>
      <c r="AB4239"/>
      <c r="AC4239"/>
      <c r="AD4239"/>
      <c r="AE4239"/>
      <c r="AF4239"/>
      <c r="AG4239"/>
      <c r="AH4239"/>
      <c r="AI4239"/>
      <c r="AJ4239"/>
      <c r="AK4239"/>
      <c r="AL4239"/>
      <c r="AM4239"/>
      <c r="AN4239"/>
      <c r="AO4239"/>
    </row>
    <row r="4240" spans="1:41" ht="15">
      <c r="A4240"/>
      <c r="B4240"/>
      <c r="C4240" s="137"/>
      <c r="D4240" s="30"/>
      <c r="E4240" s="30"/>
      <c r="F4240" s="10"/>
      <c r="G4240" s="10"/>
      <c r="H4240" s="15"/>
      <c r="I4240" s="15"/>
      <c r="J4240" s="15"/>
      <c r="K4240" s="15"/>
      <c r="L4240" s="15"/>
      <c r="M4240" s="15"/>
      <c r="N4240" s="15"/>
      <c r="O4240" s="15"/>
      <c r="P4240" s="15"/>
      <c r="Q4240" s="71"/>
      <c r="R4240" s="84"/>
      <c r="S4240" s="10"/>
      <c r="T4240" s="10"/>
      <c r="U4240" s="10"/>
      <c r="V4240" s="10"/>
      <c r="W4240" s="138"/>
      <c r="Y4240"/>
      <c r="Z4240"/>
      <c r="AA4240"/>
      <c r="AB4240"/>
      <c r="AC4240"/>
      <c r="AD4240"/>
      <c r="AE4240"/>
      <c r="AF4240"/>
      <c r="AG4240"/>
      <c r="AH4240"/>
      <c r="AI4240"/>
      <c r="AJ4240"/>
      <c r="AK4240"/>
      <c r="AL4240"/>
      <c r="AM4240"/>
      <c r="AN4240"/>
      <c r="AO4240"/>
    </row>
    <row r="4241" spans="1:41" ht="15">
      <c r="A4241"/>
      <c r="B4241"/>
      <c r="C4241" s="137"/>
      <c r="D4241" s="30"/>
      <c r="E4241" s="30"/>
      <c r="F4241" s="10"/>
      <c r="G4241" s="10"/>
      <c r="H4241" s="15"/>
      <c r="I4241" s="15"/>
      <c r="J4241" s="15"/>
      <c r="K4241" s="15"/>
      <c r="L4241" s="15"/>
      <c r="M4241" s="15"/>
      <c r="N4241" s="15"/>
      <c r="O4241" s="15"/>
      <c r="P4241" s="15"/>
      <c r="Q4241" s="71"/>
      <c r="R4241" s="84"/>
      <c r="S4241" s="10"/>
      <c r="T4241" s="10"/>
      <c r="U4241" s="10"/>
      <c r="V4241" s="10"/>
      <c r="W4241" s="138"/>
      <c r="Y4241"/>
      <c r="Z4241"/>
      <c r="AA4241"/>
      <c r="AB4241"/>
      <c r="AC4241"/>
      <c r="AD4241"/>
      <c r="AE4241"/>
      <c r="AF4241"/>
      <c r="AG4241"/>
      <c r="AH4241"/>
      <c r="AI4241"/>
      <c r="AJ4241"/>
      <c r="AK4241"/>
      <c r="AL4241"/>
      <c r="AM4241"/>
      <c r="AN4241"/>
      <c r="AO4241"/>
    </row>
    <row r="4242" spans="1:41" ht="15">
      <c r="A4242"/>
      <c r="B4242"/>
      <c r="C4242" s="137"/>
      <c r="D4242" s="30"/>
      <c r="E4242" s="30"/>
      <c r="F4242" s="10"/>
      <c r="G4242" s="10"/>
      <c r="H4242" s="15"/>
      <c r="I4242" s="15"/>
      <c r="J4242" s="15"/>
      <c r="K4242" s="15"/>
      <c r="L4242" s="15"/>
      <c r="M4242" s="15"/>
      <c r="N4242" s="15"/>
      <c r="O4242" s="15"/>
      <c r="P4242" s="15"/>
      <c r="Q4242" s="71"/>
      <c r="R4242" s="84"/>
      <c r="S4242" s="10"/>
      <c r="T4242" s="10"/>
      <c r="U4242" s="10"/>
      <c r="V4242" s="10"/>
      <c r="W4242" s="138"/>
      <c r="Y4242"/>
      <c r="Z4242"/>
      <c r="AA4242"/>
      <c r="AB4242"/>
      <c r="AC4242"/>
      <c r="AD4242"/>
      <c r="AE4242"/>
      <c r="AF4242"/>
      <c r="AG4242"/>
      <c r="AH4242"/>
      <c r="AI4242"/>
      <c r="AJ4242"/>
      <c r="AK4242"/>
      <c r="AL4242"/>
      <c r="AM4242"/>
      <c r="AN4242"/>
      <c r="AO4242"/>
    </row>
    <row r="4243" spans="1:41" ht="15">
      <c r="A4243"/>
      <c r="B4243"/>
      <c r="C4243" s="137"/>
      <c r="D4243" s="30"/>
      <c r="E4243" s="30"/>
      <c r="F4243" s="10"/>
      <c r="G4243" s="10"/>
      <c r="H4243" s="15"/>
      <c r="I4243" s="15"/>
      <c r="J4243" s="15"/>
      <c r="K4243" s="15"/>
      <c r="L4243" s="15"/>
      <c r="M4243" s="15"/>
      <c r="N4243" s="15"/>
      <c r="O4243" s="15"/>
      <c r="P4243" s="15"/>
      <c r="Q4243" s="71"/>
      <c r="R4243" s="84"/>
      <c r="S4243" s="10"/>
      <c r="T4243" s="10"/>
      <c r="U4243" s="10"/>
      <c r="V4243" s="10"/>
      <c r="W4243" s="138"/>
      <c r="Y4243"/>
      <c r="Z4243"/>
      <c r="AA4243"/>
      <c r="AB4243"/>
      <c r="AC4243"/>
      <c r="AD4243"/>
      <c r="AE4243"/>
      <c r="AF4243"/>
      <c r="AG4243"/>
      <c r="AH4243"/>
      <c r="AI4243"/>
      <c r="AJ4243"/>
      <c r="AK4243"/>
      <c r="AL4243"/>
      <c r="AM4243"/>
      <c r="AN4243"/>
      <c r="AO4243"/>
    </row>
    <row r="4244" spans="1:41" ht="15">
      <c r="A4244"/>
      <c r="B4244"/>
      <c r="C4244" s="137"/>
      <c r="D4244" s="30"/>
      <c r="E4244" s="30"/>
      <c r="F4244" s="10"/>
      <c r="G4244" s="10"/>
      <c r="H4244" s="15"/>
      <c r="I4244" s="15"/>
      <c r="J4244" s="15"/>
      <c r="K4244" s="15"/>
      <c r="L4244" s="15"/>
      <c r="M4244" s="15"/>
      <c r="N4244" s="15"/>
      <c r="O4244" s="15"/>
      <c r="P4244" s="15"/>
      <c r="Q4244" s="71"/>
      <c r="R4244" s="84"/>
      <c r="S4244" s="10"/>
      <c r="T4244" s="10"/>
      <c r="U4244" s="10"/>
      <c r="V4244" s="10"/>
      <c r="W4244" s="138"/>
      <c r="Y4244"/>
      <c r="Z4244"/>
      <c r="AA4244"/>
      <c r="AB4244"/>
      <c r="AC4244"/>
      <c r="AD4244"/>
      <c r="AE4244"/>
      <c r="AF4244"/>
      <c r="AG4244"/>
      <c r="AH4244"/>
      <c r="AI4244"/>
      <c r="AJ4244"/>
      <c r="AK4244"/>
      <c r="AL4244"/>
      <c r="AM4244"/>
      <c r="AN4244"/>
      <c r="AO4244"/>
    </row>
    <row r="4245" spans="1:41" ht="15">
      <c r="A4245"/>
      <c r="B4245"/>
      <c r="C4245" s="137"/>
      <c r="D4245" s="30"/>
      <c r="E4245" s="30"/>
      <c r="F4245" s="10"/>
      <c r="G4245" s="10"/>
      <c r="H4245" s="15"/>
      <c r="I4245" s="15"/>
      <c r="J4245" s="15"/>
      <c r="K4245" s="15"/>
      <c r="L4245" s="15"/>
      <c r="M4245" s="15"/>
      <c r="N4245" s="15"/>
      <c r="O4245" s="15"/>
      <c r="P4245" s="15"/>
      <c r="Q4245" s="71"/>
      <c r="R4245" s="84"/>
      <c r="S4245" s="10"/>
      <c r="T4245" s="10"/>
      <c r="U4245" s="10"/>
      <c r="V4245" s="10"/>
      <c r="W4245" s="138"/>
      <c r="Y4245"/>
      <c r="Z4245"/>
      <c r="AA4245"/>
      <c r="AB4245"/>
      <c r="AC4245"/>
      <c r="AD4245"/>
      <c r="AE4245"/>
      <c r="AF4245"/>
      <c r="AG4245"/>
      <c r="AH4245"/>
      <c r="AI4245"/>
      <c r="AJ4245"/>
      <c r="AK4245"/>
      <c r="AL4245"/>
      <c r="AM4245"/>
      <c r="AN4245"/>
      <c r="AO4245"/>
    </row>
    <row r="4246" spans="1:41" ht="15">
      <c r="A4246"/>
      <c r="B4246"/>
      <c r="C4246" s="137"/>
      <c r="D4246" s="30"/>
      <c r="E4246" s="30"/>
      <c r="F4246" s="10"/>
      <c r="G4246" s="10"/>
      <c r="H4246" s="15"/>
      <c r="I4246" s="15"/>
      <c r="J4246" s="15"/>
      <c r="K4246" s="15"/>
      <c r="L4246" s="15"/>
      <c r="M4246" s="15"/>
      <c r="N4246" s="15"/>
      <c r="O4246" s="15"/>
      <c r="P4246" s="15"/>
      <c r="Q4246" s="71"/>
      <c r="R4246" s="84"/>
      <c r="S4246" s="10"/>
      <c r="T4246" s="10"/>
      <c r="U4246" s="10"/>
      <c r="V4246" s="10"/>
      <c r="W4246" s="138"/>
      <c r="Y4246"/>
      <c r="Z4246"/>
      <c r="AA4246"/>
      <c r="AB4246"/>
      <c r="AC4246"/>
      <c r="AD4246"/>
      <c r="AE4246"/>
      <c r="AF4246"/>
      <c r="AG4246"/>
      <c r="AH4246"/>
      <c r="AI4246"/>
      <c r="AJ4246"/>
      <c r="AK4246"/>
      <c r="AL4246"/>
      <c r="AM4246"/>
      <c r="AN4246"/>
      <c r="AO4246"/>
    </row>
    <row r="4247" spans="1:41" ht="15">
      <c r="A4247"/>
      <c r="B4247"/>
      <c r="C4247" s="137"/>
      <c r="D4247" s="30"/>
      <c r="E4247" s="30"/>
      <c r="F4247" s="10"/>
      <c r="G4247" s="10"/>
      <c r="H4247" s="15"/>
      <c r="I4247" s="15"/>
      <c r="J4247" s="15"/>
      <c r="K4247" s="15"/>
      <c r="L4247" s="15"/>
      <c r="M4247" s="15"/>
      <c r="N4247" s="15"/>
      <c r="O4247" s="15"/>
      <c r="P4247" s="15"/>
      <c r="Q4247" s="71"/>
      <c r="R4247" s="84"/>
      <c r="S4247" s="10"/>
      <c r="T4247" s="10"/>
      <c r="U4247" s="10"/>
      <c r="V4247" s="10"/>
      <c r="W4247" s="138"/>
      <c r="Y4247"/>
      <c r="Z4247"/>
      <c r="AA4247"/>
      <c r="AB4247"/>
      <c r="AC4247"/>
      <c r="AD4247"/>
      <c r="AE4247"/>
      <c r="AF4247"/>
      <c r="AG4247"/>
      <c r="AH4247"/>
      <c r="AI4247"/>
      <c r="AJ4247"/>
      <c r="AK4247"/>
      <c r="AL4247"/>
      <c r="AM4247"/>
      <c r="AN4247"/>
      <c r="AO4247"/>
    </row>
    <row r="4248" spans="1:41" ht="15">
      <c r="A4248"/>
      <c r="B4248"/>
      <c r="C4248" s="137"/>
      <c r="D4248" s="30"/>
      <c r="E4248" s="30"/>
      <c r="F4248" s="10"/>
      <c r="G4248" s="10"/>
      <c r="H4248" s="15"/>
      <c r="I4248" s="15"/>
      <c r="J4248" s="15"/>
      <c r="K4248" s="15"/>
      <c r="L4248" s="15"/>
      <c r="M4248" s="15"/>
      <c r="N4248" s="15"/>
      <c r="O4248" s="15"/>
      <c r="P4248" s="15"/>
      <c r="Q4248" s="71"/>
      <c r="R4248" s="84"/>
      <c r="S4248" s="10"/>
      <c r="T4248" s="10"/>
      <c r="U4248" s="10"/>
      <c r="V4248" s="10"/>
      <c r="W4248" s="138"/>
      <c r="Y4248"/>
      <c r="Z4248"/>
      <c r="AA4248"/>
      <c r="AB4248"/>
      <c r="AC4248"/>
      <c r="AD4248"/>
      <c r="AE4248"/>
      <c r="AF4248"/>
      <c r="AG4248"/>
      <c r="AH4248"/>
      <c r="AI4248"/>
      <c r="AJ4248"/>
      <c r="AK4248"/>
      <c r="AL4248"/>
      <c r="AM4248"/>
      <c r="AN4248"/>
      <c r="AO4248"/>
    </row>
    <row r="4249" spans="1:41" ht="15">
      <c r="A4249"/>
      <c r="B4249"/>
      <c r="C4249" s="137"/>
      <c r="D4249" s="30"/>
      <c r="E4249" s="30"/>
      <c r="F4249" s="10"/>
      <c r="G4249" s="10"/>
      <c r="H4249" s="15"/>
      <c r="I4249" s="15"/>
      <c r="J4249" s="15"/>
      <c r="K4249" s="15"/>
      <c r="L4249" s="15"/>
      <c r="M4249" s="15"/>
      <c r="N4249" s="15"/>
      <c r="O4249" s="15"/>
      <c r="P4249" s="15"/>
      <c r="Q4249" s="71"/>
      <c r="R4249" s="84"/>
      <c r="S4249" s="10"/>
      <c r="T4249" s="10"/>
      <c r="U4249" s="10"/>
      <c r="V4249" s="10"/>
      <c r="W4249" s="138"/>
      <c r="Y4249"/>
      <c r="Z4249"/>
      <c r="AA4249"/>
      <c r="AB4249"/>
      <c r="AC4249"/>
      <c r="AD4249"/>
      <c r="AE4249"/>
      <c r="AF4249"/>
      <c r="AG4249"/>
      <c r="AH4249"/>
      <c r="AI4249"/>
      <c r="AJ4249"/>
      <c r="AK4249"/>
      <c r="AL4249"/>
      <c r="AM4249"/>
      <c r="AN4249"/>
      <c r="AO4249"/>
    </row>
    <row r="4250" spans="1:41" ht="15">
      <c r="A4250"/>
      <c r="B4250"/>
      <c r="C4250" s="137"/>
      <c r="D4250" s="30"/>
      <c r="E4250" s="30"/>
      <c r="F4250" s="10"/>
      <c r="G4250" s="10"/>
      <c r="H4250" s="15"/>
      <c r="I4250" s="15"/>
      <c r="J4250" s="15"/>
      <c r="K4250" s="15"/>
      <c r="L4250" s="15"/>
      <c r="M4250" s="15"/>
      <c r="N4250" s="15"/>
      <c r="O4250" s="15"/>
      <c r="P4250" s="15"/>
      <c r="Q4250" s="71"/>
      <c r="R4250" s="84"/>
      <c r="S4250" s="10"/>
      <c r="T4250" s="10"/>
      <c r="U4250" s="10"/>
      <c r="V4250" s="10"/>
      <c r="W4250" s="138"/>
      <c r="Y4250"/>
      <c r="Z4250"/>
      <c r="AA4250"/>
      <c r="AB4250"/>
      <c r="AC4250"/>
      <c r="AD4250"/>
      <c r="AE4250"/>
      <c r="AF4250"/>
      <c r="AG4250"/>
      <c r="AH4250"/>
      <c r="AI4250"/>
      <c r="AJ4250"/>
      <c r="AK4250"/>
      <c r="AL4250"/>
      <c r="AM4250"/>
      <c r="AN4250"/>
      <c r="AO4250"/>
    </row>
    <row r="4251" spans="1:41" ht="15">
      <c r="A4251"/>
      <c r="B4251"/>
      <c r="C4251" s="137"/>
      <c r="D4251" s="30"/>
      <c r="E4251" s="30"/>
      <c r="F4251" s="10"/>
      <c r="G4251" s="10"/>
      <c r="H4251" s="15"/>
      <c r="I4251" s="15"/>
      <c r="J4251" s="15"/>
      <c r="K4251" s="15"/>
      <c r="L4251" s="15"/>
      <c r="M4251" s="15"/>
      <c r="N4251" s="15"/>
      <c r="O4251" s="15"/>
      <c r="P4251" s="15"/>
      <c r="Q4251" s="71"/>
      <c r="R4251" s="84"/>
      <c r="S4251" s="10"/>
      <c r="T4251" s="10"/>
      <c r="U4251" s="10"/>
      <c r="V4251" s="10"/>
      <c r="W4251" s="138"/>
      <c r="Y4251"/>
      <c r="Z4251"/>
      <c r="AA4251"/>
      <c r="AB4251"/>
      <c r="AC4251"/>
      <c r="AD4251"/>
      <c r="AE4251"/>
      <c r="AF4251"/>
      <c r="AG4251"/>
      <c r="AH4251"/>
      <c r="AI4251"/>
      <c r="AJ4251"/>
      <c r="AK4251"/>
      <c r="AL4251"/>
      <c r="AM4251"/>
      <c r="AN4251"/>
      <c r="AO4251"/>
    </row>
    <row r="4252" spans="1:41" ht="15">
      <c r="A4252"/>
      <c r="B4252"/>
      <c r="C4252" s="137"/>
      <c r="D4252" s="30"/>
      <c r="E4252" s="30"/>
      <c r="F4252" s="10"/>
      <c r="G4252" s="10"/>
      <c r="H4252" s="15"/>
      <c r="I4252" s="15"/>
      <c r="J4252" s="15"/>
      <c r="K4252" s="15"/>
      <c r="L4252" s="15"/>
      <c r="M4252" s="15"/>
      <c r="N4252" s="15"/>
      <c r="O4252" s="15"/>
      <c r="P4252" s="15"/>
      <c r="Q4252" s="71"/>
      <c r="R4252" s="84"/>
      <c r="S4252" s="10"/>
      <c r="T4252" s="10"/>
      <c r="U4252" s="10"/>
      <c r="V4252" s="10"/>
      <c r="W4252" s="138"/>
      <c r="Y4252"/>
      <c r="Z4252"/>
      <c r="AA4252"/>
      <c r="AB4252"/>
      <c r="AC4252"/>
      <c r="AD4252"/>
      <c r="AE4252"/>
      <c r="AF4252"/>
      <c r="AG4252"/>
      <c r="AH4252"/>
      <c r="AI4252"/>
      <c r="AJ4252"/>
      <c r="AK4252"/>
      <c r="AL4252"/>
      <c r="AM4252"/>
      <c r="AN4252"/>
      <c r="AO4252"/>
    </row>
    <row r="4253" spans="1:41" ht="15">
      <c r="A4253"/>
      <c r="B4253"/>
      <c r="C4253" s="137"/>
      <c r="D4253" s="30"/>
      <c r="E4253" s="30"/>
      <c r="F4253" s="10"/>
      <c r="G4253" s="10"/>
      <c r="H4253" s="15"/>
      <c r="I4253" s="15"/>
      <c r="J4253" s="15"/>
      <c r="K4253" s="15"/>
      <c r="L4253" s="15"/>
      <c r="M4253" s="15"/>
      <c r="N4253" s="15"/>
      <c r="O4253" s="15"/>
      <c r="P4253" s="15"/>
      <c r="Q4253" s="71"/>
      <c r="R4253" s="84"/>
      <c r="S4253" s="10"/>
      <c r="T4253" s="10"/>
      <c r="U4253" s="10"/>
      <c r="V4253" s="10"/>
      <c r="W4253" s="138"/>
      <c r="Y4253"/>
      <c r="Z4253"/>
      <c r="AA4253"/>
      <c r="AB4253"/>
      <c r="AC4253"/>
      <c r="AD4253"/>
      <c r="AE4253"/>
      <c r="AF4253"/>
      <c r="AG4253"/>
      <c r="AH4253"/>
      <c r="AI4253"/>
      <c r="AJ4253"/>
      <c r="AK4253"/>
      <c r="AL4253"/>
      <c r="AM4253"/>
      <c r="AN4253"/>
      <c r="AO4253"/>
    </row>
    <row r="4254" spans="1:41" ht="15">
      <c r="A4254"/>
      <c r="B4254"/>
      <c r="C4254" s="137"/>
      <c r="D4254" s="30"/>
      <c r="E4254" s="30"/>
      <c r="F4254" s="10"/>
      <c r="G4254" s="10"/>
      <c r="H4254" s="15"/>
      <c r="I4254" s="15"/>
      <c r="J4254" s="15"/>
      <c r="K4254" s="15"/>
      <c r="L4254" s="15"/>
      <c r="M4254" s="15"/>
      <c r="N4254" s="15"/>
      <c r="O4254" s="15"/>
      <c r="P4254" s="15"/>
      <c r="Q4254" s="71"/>
      <c r="R4254" s="84"/>
      <c r="S4254" s="10"/>
      <c r="T4254" s="10"/>
      <c r="U4254" s="10"/>
      <c r="V4254" s="10"/>
      <c r="W4254" s="138"/>
      <c r="Y4254"/>
      <c r="Z4254"/>
      <c r="AA4254"/>
      <c r="AB4254"/>
      <c r="AC4254"/>
      <c r="AD4254"/>
      <c r="AE4254"/>
      <c r="AF4254"/>
      <c r="AG4254"/>
      <c r="AH4254"/>
      <c r="AI4254"/>
      <c r="AJ4254"/>
      <c r="AK4254"/>
      <c r="AL4254"/>
      <c r="AM4254"/>
      <c r="AN4254"/>
      <c r="AO4254"/>
    </row>
    <row r="4255" spans="1:41" ht="15">
      <c r="A4255"/>
      <c r="B4255"/>
      <c r="C4255" s="137"/>
      <c r="D4255" s="30"/>
      <c r="E4255" s="30"/>
      <c r="F4255" s="10"/>
      <c r="G4255" s="10"/>
      <c r="H4255" s="15"/>
      <c r="I4255" s="15"/>
      <c r="J4255" s="15"/>
      <c r="K4255" s="15"/>
      <c r="L4255" s="15"/>
      <c r="M4255" s="15"/>
      <c r="N4255" s="15"/>
      <c r="O4255" s="15"/>
      <c r="P4255" s="15"/>
      <c r="Q4255" s="71"/>
      <c r="R4255" s="84"/>
      <c r="S4255" s="10"/>
      <c r="T4255" s="10"/>
      <c r="U4255" s="10"/>
      <c r="V4255" s="10"/>
      <c r="W4255" s="138"/>
      <c r="Y4255"/>
      <c r="Z4255"/>
      <c r="AA4255"/>
      <c r="AB4255"/>
      <c r="AC4255"/>
      <c r="AD4255"/>
      <c r="AE4255"/>
      <c r="AF4255"/>
      <c r="AG4255"/>
      <c r="AH4255"/>
      <c r="AI4255"/>
      <c r="AJ4255"/>
      <c r="AK4255"/>
      <c r="AL4255"/>
      <c r="AM4255"/>
      <c r="AN4255"/>
      <c r="AO4255"/>
    </row>
    <row r="4256" spans="1:41" ht="15">
      <c r="A4256"/>
      <c r="B4256"/>
      <c r="C4256" s="137"/>
      <c r="D4256" s="30"/>
      <c r="E4256" s="30"/>
      <c r="F4256" s="10"/>
      <c r="G4256" s="10"/>
      <c r="H4256" s="15"/>
      <c r="I4256" s="15"/>
      <c r="J4256" s="15"/>
      <c r="K4256" s="15"/>
      <c r="L4256" s="15"/>
      <c r="M4256" s="15"/>
      <c r="N4256" s="15"/>
      <c r="O4256" s="15"/>
      <c r="P4256" s="15"/>
      <c r="Q4256" s="71"/>
      <c r="R4256" s="84"/>
      <c r="S4256" s="10"/>
      <c r="T4256" s="10"/>
      <c r="U4256" s="10"/>
      <c r="V4256" s="10"/>
      <c r="W4256" s="138"/>
      <c r="Y4256"/>
      <c r="Z4256"/>
      <c r="AA4256"/>
      <c r="AB4256"/>
      <c r="AC4256"/>
      <c r="AD4256"/>
      <c r="AE4256"/>
      <c r="AF4256"/>
      <c r="AG4256"/>
      <c r="AH4256"/>
      <c r="AI4256"/>
      <c r="AJ4256"/>
      <c r="AK4256"/>
      <c r="AL4256"/>
      <c r="AM4256"/>
      <c r="AN4256"/>
      <c r="AO4256"/>
    </row>
    <row r="4257" spans="1:41" ht="15">
      <c r="A4257"/>
      <c r="B4257"/>
      <c r="C4257" s="137"/>
      <c r="D4257" s="30"/>
      <c r="E4257" s="30"/>
      <c r="F4257" s="10"/>
      <c r="G4257" s="10"/>
      <c r="H4257" s="15"/>
      <c r="I4257" s="15"/>
      <c r="J4257" s="15"/>
      <c r="K4257" s="15"/>
      <c r="L4257" s="15"/>
      <c r="M4257" s="15"/>
      <c r="N4257" s="15"/>
      <c r="O4257" s="15"/>
      <c r="P4257" s="15"/>
      <c r="Q4257" s="71"/>
      <c r="R4257" s="84"/>
      <c r="S4257" s="10"/>
      <c r="T4257" s="10"/>
      <c r="U4257" s="10"/>
      <c r="V4257" s="10"/>
      <c r="W4257" s="138"/>
      <c r="Y4257"/>
      <c r="Z4257"/>
      <c r="AA4257"/>
      <c r="AB4257"/>
      <c r="AC4257"/>
      <c r="AD4257"/>
      <c r="AE4257"/>
      <c r="AF4257"/>
      <c r="AG4257"/>
      <c r="AH4257"/>
      <c r="AI4257"/>
      <c r="AJ4257"/>
      <c r="AK4257"/>
      <c r="AL4257"/>
      <c r="AM4257"/>
      <c r="AN4257"/>
      <c r="AO4257"/>
    </row>
    <row r="4258" spans="1:41" ht="15">
      <c r="A4258"/>
      <c r="B4258"/>
      <c r="C4258" s="137"/>
      <c r="D4258" s="30"/>
      <c r="E4258" s="30"/>
      <c r="F4258" s="10"/>
      <c r="G4258" s="10"/>
      <c r="H4258" s="15"/>
      <c r="I4258" s="15"/>
      <c r="J4258" s="15"/>
      <c r="K4258" s="15"/>
      <c r="L4258" s="15"/>
      <c r="M4258" s="15"/>
      <c r="N4258" s="15"/>
      <c r="O4258" s="15"/>
      <c r="P4258" s="15"/>
      <c r="Q4258" s="71"/>
      <c r="R4258" s="84"/>
      <c r="S4258" s="10"/>
      <c r="T4258" s="10"/>
      <c r="U4258" s="10"/>
      <c r="V4258" s="10"/>
      <c r="W4258" s="138"/>
      <c r="Y4258"/>
      <c r="Z4258"/>
      <c r="AA4258"/>
      <c r="AB4258"/>
      <c r="AC4258"/>
      <c r="AD4258"/>
      <c r="AE4258"/>
      <c r="AF4258"/>
      <c r="AG4258"/>
      <c r="AH4258"/>
      <c r="AI4258"/>
      <c r="AJ4258"/>
      <c r="AK4258"/>
      <c r="AL4258"/>
      <c r="AM4258"/>
      <c r="AN4258"/>
      <c r="AO4258"/>
    </row>
    <row r="4259" spans="1:41" ht="15">
      <c r="A4259"/>
      <c r="B4259"/>
      <c r="C4259" s="137"/>
      <c r="D4259" s="30"/>
      <c r="E4259" s="30"/>
      <c r="F4259" s="10"/>
      <c r="G4259" s="10"/>
      <c r="H4259" s="15"/>
      <c r="I4259" s="15"/>
      <c r="J4259" s="15"/>
      <c r="K4259" s="15"/>
      <c r="L4259" s="15"/>
      <c r="M4259" s="15"/>
      <c r="N4259" s="15"/>
      <c r="O4259" s="15"/>
      <c r="P4259" s="15"/>
      <c r="Q4259" s="71"/>
      <c r="R4259" s="84"/>
      <c r="S4259" s="10"/>
      <c r="T4259" s="10"/>
      <c r="U4259" s="10"/>
      <c r="V4259" s="10"/>
      <c r="W4259" s="138"/>
      <c r="Y4259"/>
      <c r="Z4259"/>
      <c r="AA4259"/>
      <c r="AB4259"/>
      <c r="AC4259"/>
      <c r="AD4259"/>
      <c r="AE4259"/>
      <c r="AF4259"/>
      <c r="AG4259"/>
      <c r="AH4259"/>
      <c r="AI4259"/>
      <c r="AJ4259"/>
      <c r="AK4259"/>
      <c r="AL4259"/>
      <c r="AM4259"/>
      <c r="AN4259"/>
      <c r="AO4259"/>
    </row>
    <row r="4260" spans="1:41" ht="15">
      <c r="A4260"/>
      <c r="B4260"/>
      <c r="C4260" s="137"/>
      <c r="D4260" s="30"/>
      <c r="E4260" s="30"/>
      <c r="F4260" s="10"/>
      <c r="G4260" s="10"/>
      <c r="H4260" s="15"/>
      <c r="I4260" s="15"/>
      <c r="J4260" s="15"/>
      <c r="K4260" s="15"/>
      <c r="L4260" s="15"/>
      <c r="M4260" s="15"/>
      <c r="N4260" s="15"/>
      <c r="O4260" s="15"/>
      <c r="P4260" s="15"/>
      <c r="Q4260" s="71"/>
      <c r="R4260" s="84"/>
      <c r="S4260" s="10"/>
      <c r="T4260" s="10"/>
      <c r="U4260" s="10"/>
      <c r="V4260" s="10"/>
      <c r="W4260" s="138"/>
      <c r="Y4260"/>
      <c r="Z4260"/>
      <c r="AA4260"/>
      <c r="AB4260"/>
      <c r="AC4260"/>
      <c r="AD4260"/>
      <c r="AE4260"/>
      <c r="AF4260"/>
      <c r="AG4260"/>
      <c r="AH4260"/>
      <c r="AI4260"/>
      <c r="AJ4260"/>
      <c r="AK4260"/>
      <c r="AL4260"/>
      <c r="AM4260"/>
      <c r="AN4260"/>
      <c r="AO4260"/>
    </row>
    <row r="4261" spans="1:41" ht="15">
      <c r="A4261"/>
      <c r="B4261"/>
      <c r="C4261" s="137"/>
      <c r="D4261" s="30"/>
      <c r="E4261" s="30"/>
      <c r="F4261" s="10"/>
      <c r="G4261" s="10"/>
      <c r="H4261" s="15"/>
      <c r="I4261" s="15"/>
      <c r="J4261" s="15"/>
      <c r="K4261" s="15"/>
      <c r="L4261" s="15"/>
      <c r="M4261" s="15"/>
      <c r="N4261" s="15"/>
      <c r="O4261" s="15"/>
      <c r="P4261" s="15"/>
      <c r="Q4261" s="71"/>
      <c r="R4261" s="84"/>
      <c r="S4261" s="10"/>
      <c r="T4261" s="10"/>
      <c r="U4261" s="10"/>
      <c r="V4261" s="10"/>
      <c r="W4261" s="138"/>
      <c r="Y4261"/>
      <c r="Z4261"/>
      <c r="AA4261"/>
      <c r="AB4261"/>
      <c r="AC4261"/>
      <c r="AD4261"/>
      <c r="AE4261"/>
      <c r="AF4261"/>
      <c r="AG4261"/>
      <c r="AH4261"/>
      <c r="AI4261"/>
      <c r="AJ4261"/>
      <c r="AK4261"/>
      <c r="AL4261"/>
      <c r="AM4261"/>
      <c r="AN4261"/>
      <c r="AO4261"/>
    </row>
    <row r="4262" spans="1:41" ht="15">
      <c r="A4262"/>
      <c r="B4262"/>
      <c r="C4262" s="137"/>
      <c r="D4262" s="30"/>
      <c r="E4262" s="30"/>
      <c r="F4262" s="10"/>
      <c r="G4262" s="10"/>
      <c r="H4262" s="15"/>
      <c r="I4262" s="15"/>
      <c r="J4262" s="15"/>
      <c r="K4262" s="15"/>
      <c r="L4262" s="15"/>
      <c r="M4262" s="15"/>
      <c r="N4262" s="15"/>
      <c r="O4262" s="15"/>
      <c r="P4262" s="15"/>
      <c r="Q4262" s="71"/>
      <c r="R4262" s="84"/>
      <c r="S4262" s="10"/>
      <c r="T4262" s="10"/>
      <c r="U4262" s="10"/>
      <c r="V4262" s="10"/>
      <c r="W4262" s="138"/>
      <c r="Y4262"/>
      <c r="Z4262"/>
      <c r="AA4262"/>
      <c r="AB4262"/>
      <c r="AC4262"/>
      <c r="AD4262"/>
      <c r="AE4262"/>
      <c r="AF4262"/>
      <c r="AG4262"/>
      <c r="AH4262"/>
      <c r="AI4262"/>
      <c r="AJ4262"/>
      <c r="AK4262"/>
      <c r="AL4262"/>
      <c r="AM4262"/>
      <c r="AN4262"/>
      <c r="AO4262"/>
    </row>
    <row r="4263" spans="1:41" ht="15">
      <c r="A4263"/>
      <c r="B4263"/>
      <c r="C4263" s="137"/>
      <c r="D4263" s="30"/>
      <c r="E4263" s="30"/>
      <c r="F4263" s="10"/>
      <c r="G4263" s="10"/>
      <c r="H4263" s="15"/>
      <c r="I4263" s="15"/>
      <c r="J4263" s="15"/>
      <c r="K4263" s="15"/>
      <c r="L4263" s="15"/>
      <c r="M4263" s="15"/>
      <c r="N4263" s="15"/>
      <c r="O4263" s="15"/>
      <c r="P4263" s="15"/>
      <c r="Q4263" s="71"/>
      <c r="R4263" s="84"/>
      <c r="S4263" s="10"/>
      <c r="T4263" s="10"/>
      <c r="U4263" s="10"/>
      <c r="V4263" s="10"/>
      <c r="W4263" s="138"/>
      <c r="Y4263"/>
      <c r="Z4263"/>
      <c r="AA4263"/>
      <c r="AB4263"/>
      <c r="AC4263"/>
      <c r="AD4263"/>
      <c r="AE4263"/>
      <c r="AF4263"/>
      <c r="AG4263"/>
      <c r="AH4263"/>
      <c r="AI4263"/>
      <c r="AJ4263"/>
      <c r="AK4263"/>
      <c r="AL4263"/>
      <c r="AM4263"/>
      <c r="AN4263"/>
      <c r="AO4263"/>
    </row>
    <row r="4264" spans="1:41" ht="15">
      <c r="A4264"/>
      <c r="B4264"/>
      <c r="C4264" s="137"/>
      <c r="D4264" s="30"/>
      <c r="E4264" s="30"/>
      <c r="F4264" s="10"/>
      <c r="G4264" s="10"/>
      <c r="H4264" s="15"/>
      <c r="I4264" s="15"/>
      <c r="J4264" s="15"/>
      <c r="K4264" s="15"/>
      <c r="L4264" s="15"/>
      <c r="M4264" s="15"/>
      <c r="N4264" s="15"/>
      <c r="O4264" s="15"/>
      <c r="P4264" s="15"/>
      <c r="Q4264" s="71"/>
      <c r="R4264" s="84"/>
      <c r="S4264" s="10"/>
      <c r="T4264" s="10"/>
      <c r="U4264" s="10"/>
      <c r="V4264" s="10"/>
      <c r="W4264" s="138"/>
      <c r="Y4264"/>
      <c r="Z4264"/>
      <c r="AA4264"/>
      <c r="AB4264"/>
      <c r="AC4264"/>
      <c r="AD4264"/>
      <c r="AE4264"/>
      <c r="AF4264"/>
      <c r="AG4264"/>
      <c r="AH4264"/>
      <c r="AI4264"/>
      <c r="AJ4264"/>
      <c r="AK4264"/>
      <c r="AL4264"/>
      <c r="AM4264"/>
      <c r="AN4264"/>
      <c r="AO4264"/>
    </row>
    <row r="4265" spans="1:41" ht="15">
      <c r="A4265"/>
      <c r="B4265"/>
      <c r="C4265" s="137"/>
      <c r="D4265" s="30"/>
      <c r="E4265" s="30"/>
      <c r="F4265" s="10"/>
      <c r="G4265" s="10"/>
      <c r="H4265" s="15"/>
      <c r="I4265" s="15"/>
      <c r="J4265" s="15"/>
      <c r="K4265" s="15"/>
      <c r="L4265" s="15"/>
      <c r="M4265" s="15"/>
      <c r="N4265" s="15"/>
      <c r="O4265" s="15"/>
      <c r="P4265" s="15"/>
      <c r="Q4265" s="71"/>
      <c r="R4265" s="84"/>
      <c r="S4265" s="10"/>
      <c r="T4265" s="10"/>
      <c r="U4265" s="10"/>
      <c r="V4265" s="10"/>
      <c r="W4265" s="138"/>
      <c r="Y4265"/>
      <c r="Z4265"/>
      <c r="AA4265"/>
      <c r="AB4265"/>
      <c r="AC4265"/>
      <c r="AD4265"/>
      <c r="AE4265"/>
      <c r="AF4265"/>
      <c r="AG4265"/>
      <c r="AH4265"/>
      <c r="AI4265"/>
      <c r="AJ4265"/>
      <c r="AK4265"/>
      <c r="AL4265"/>
      <c r="AM4265"/>
      <c r="AN4265"/>
      <c r="AO4265"/>
    </row>
    <row r="4266" spans="1:41" ht="15">
      <c r="A4266"/>
      <c r="B4266"/>
      <c r="C4266" s="137"/>
      <c r="D4266" s="30"/>
      <c r="E4266" s="30"/>
      <c r="F4266" s="10"/>
      <c r="G4266" s="10"/>
      <c r="H4266" s="15"/>
      <c r="I4266" s="15"/>
      <c r="J4266" s="15"/>
      <c r="K4266" s="15"/>
      <c r="L4266" s="15"/>
      <c r="M4266" s="15"/>
      <c r="N4266" s="15"/>
      <c r="O4266" s="15"/>
      <c r="P4266" s="15"/>
      <c r="Q4266" s="71"/>
      <c r="R4266" s="84"/>
      <c r="S4266" s="10"/>
      <c r="T4266" s="10"/>
      <c r="U4266" s="10"/>
      <c r="V4266" s="10"/>
      <c r="W4266" s="138"/>
      <c r="Y4266"/>
      <c r="Z4266"/>
      <c r="AA4266"/>
      <c r="AB4266"/>
      <c r="AC4266"/>
      <c r="AD4266"/>
      <c r="AE4266"/>
      <c r="AF4266"/>
      <c r="AG4266"/>
      <c r="AH4266"/>
      <c r="AI4266"/>
      <c r="AJ4266"/>
      <c r="AK4266"/>
      <c r="AL4266"/>
      <c r="AM4266"/>
      <c r="AN4266"/>
      <c r="AO4266"/>
    </row>
    <row r="4267" spans="1:41" ht="15">
      <c r="A4267"/>
      <c r="B4267"/>
      <c r="C4267" s="137"/>
      <c r="D4267" s="30"/>
      <c r="E4267" s="30"/>
      <c r="F4267" s="10"/>
      <c r="G4267" s="10"/>
      <c r="H4267" s="15"/>
      <c r="I4267" s="15"/>
      <c r="J4267" s="15"/>
      <c r="K4267" s="15"/>
      <c r="L4267" s="15"/>
      <c r="M4267" s="15"/>
      <c r="N4267" s="15"/>
      <c r="O4267" s="15"/>
      <c r="P4267" s="15"/>
      <c r="Q4267" s="71"/>
      <c r="R4267" s="84"/>
      <c r="S4267" s="10"/>
      <c r="T4267" s="10"/>
      <c r="U4267" s="10"/>
      <c r="V4267" s="10"/>
      <c r="W4267" s="138"/>
      <c r="Y4267"/>
      <c r="Z4267"/>
      <c r="AA4267"/>
      <c r="AB4267"/>
      <c r="AC4267"/>
      <c r="AD4267"/>
      <c r="AE4267"/>
      <c r="AF4267"/>
      <c r="AG4267"/>
      <c r="AH4267"/>
      <c r="AI4267"/>
      <c r="AJ4267"/>
      <c r="AK4267"/>
      <c r="AL4267"/>
      <c r="AM4267"/>
      <c r="AN4267"/>
      <c r="AO4267"/>
    </row>
    <row r="4268" spans="1:41" ht="15">
      <c r="A4268"/>
      <c r="B4268"/>
      <c r="C4268" s="137"/>
      <c r="D4268" s="30"/>
      <c r="E4268" s="30"/>
      <c r="F4268" s="10"/>
      <c r="G4268" s="10"/>
      <c r="H4268" s="15"/>
      <c r="I4268" s="15"/>
      <c r="J4268" s="15"/>
      <c r="K4268" s="15"/>
      <c r="L4268" s="15"/>
      <c r="M4268" s="15"/>
      <c r="N4268" s="15"/>
      <c r="O4268" s="15"/>
      <c r="P4268" s="15"/>
      <c r="Q4268" s="71"/>
      <c r="R4268" s="84"/>
      <c r="S4268" s="10"/>
      <c r="T4268" s="10"/>
      <c r="U4268" s="10"/>
      <c r="V4268" s="10"/>
      <c r="W4268" s="138"/>
      <c r="Y4268"/>
      <c r="Z4268"/>
      <c r="AA4268"/>
      <c r="AB4268"/>
      <c r="AC4268"/>
      <c r="AD4268"/>
      <c r="AE4268"/>
      <c r="AF4268"/>
      <c r="AG4268"/>
      <c r="AH4268"/>
      <c r="AI4268"/>
      <c r="AJ4268"/>
      <c r="AK4268"/>
      <c r="AL4268"/>
      <c r="AM4268"/>
      <c r="AN4268"/>
      <c r="AO4268"/>
    </row>
    <row r="4269" spans="1:41" ht="15">
      <c r="A4269"/>
      <c r="B4269"/>
      <c r="C4269" s="137"/>
      <c r="D4269" s="30"/>
      <c r="E4269" s="30"/>
      <c r="F4269" s="10"/>
      <c r="G4269" s="10"/>
      <c r="H4269" s="15"/>
      <c r="I4269" s="15"/>
      <c r="J4269" s="15"/>
      <c r="K4269" s="15"/>
      <c r="L4269" s="15"/>
      <c r="M4269" s="15"/>
      <c r="N4269" s="15"/>
      <c r="O4269" s="15"/>
      <c r="P4269" s="15"/>
      <c r="Q4269" s="71"/>
      <c r="R4269" s="84"/>
      <c r="S4269" s="10"/>
      <c r="T4269" s="10"/>
      <c r="U4269" s="10"/>
      <c r="V4269" s="10"/>
      <c r="W4269" s="138"/>
      <c r="Y4269"/>
      <c r="Z4269"/>
      <c r="AA4269"/>
      <c r="AB4269"/>
      <c r="AC4269"/>
      <c r="AD4269"/>
      <c r="AE4269"/>
      <c r="AF4269"/>
      <c r="AG4269"/>
      <c r="AH4269"/>
      <c r="AI4269"/>
      <c r="AJ4269"/>
      <c r="AK4269"/>
      <c r="AL4269"/>
      <c r="AM4269"/>
      <c r="AN4269"/>
      <c r="AO4269"/>
    </row>
    <row r="4270" spans="1:41" ht="15">
      <c r="A4270"/>
      <c r="B4270"/>
      <c r="C4270" s="137"/>
      <c r="D4270" s="30"/>
      <c r="E4270" s="30"/>
      <c r="F4270" s="10"/>
      <c r="G4270" s="10"/>
      <c r="H4270" s="15"/>
      <c r="I4270" s="15"/>
      <c r="J4270" s="15"/>
      <c r="K4270" s="15"/>
      <c r="L4270" s="15"/>
      <c r="M4270" s="15"/>
      <c r="N4270" s="15"/>
      <c r="O4270" s="15"/>
      <c r="P4270" s="15"/>
      <c r="Q4270" s="71"/>
      <c r="R4270" s="84"/>
      <c r="S4270" s="10"/>
      <c r="T4270" s="10"/>
      <c r="U4270" s="10"/>
      <c r="V4270" s="10"/>
      <c r="W4270" s="138"/>
      <c r="Y4270"/>
      <c r="Z4270"/>
      <c r="AA4270"/>
      <c r="AB4270"/>
      <c r="AC4270"/>
      <c r="AD4270"/>
      <c r="AE4270"/>
      <c r="AF4270"/>
      <c r="AG4270"/>
      <c r="AH4270"/>
      <c r="AI4270"/>
      <c r="AJ4270"/>
      <c r="AK4270"/>
      <c r="AL4270"/>
      <c r="AM4270"/>
      <c r="AN4270"/>
      <c r="AO4270"/>
    </row>
    <row r="4271" spans="1:41" ht="15">
      <c r="A4271"/>
      <c r="B4271"/>
      <c r="C4271" s="137"/>
      <c r="D4271" s="30"/>
      <c r="E4271" s="30"/>
      <c r="F4271" s="10"/>
      <c r="G4271" s="10"/>
      <c r="H4271" s="15"/>
      <c r="I4271" s="15"/>
      <c r="J4271" s="15"/>
      <c r="K4271" s="15"/>
      <c r="L4271" s="15"/>
      <c r="M4271" s="15"/>
      <c r="N4271" s="15"/>
      <c r="O4271" s="15"/>
      <c r="P4271" s="15"/>
      <c r="Q4271" s="71"/>
      <c r="R4271" s="84"/>
      <c r="S4271" s="10"/>
      <c r="T4271" s="10"/>
      <c r="U4271" s="10"/>
      <c r="V4271" s="10"/>
      <c r="W4271" s="138"/>
      <c r="Y4271"/>
      <c r="Z4271"/>
      <c r="AA4271"/>
      <c r="AB4271"/>
      <c r="AC4271"/>
      <c r="AD4271"/>
      <c r="AE4271"/>
      <c r="AF4271"/>
      <c r="AG4271"/>
      <c r="AH4271"/>
      <c r="AI4271"/>
      <c r="AJ4271"/>
      <c r="AK4271"/>
      <c r="AL4271"/>
      <c r="AM4271"/>
      <c r="AN4271"/>
      <c r="AO4271"/>
    </row>
    <row r="4272" spans="1:41" ht="15">
      <c r="A4272"/>
      <c r="B4272"/>
      <c r="C4272" s="137"/>
      <c r="D4272" s="30"/>
      <c r="E4272" s="30"/>
      <c r="F4272" s="10"/>
      <c r="G4272" s="10"/>
      <c r="H4272" s="15"/>
      <c r="I4272" s="15"/>
      <c r="J4272" s="15"/>
      <c r="K4272" s="15"/>
      <c r="L4272" s="15"/>
      <c r="M4272" s="15"/>
      <c r="N4272" s="15"/>
      <c r="O4272" s="15"/>
      <c r="P4272" s="15"/>
      <c r="Q4272" s="71"/>
      <c r="R4272" s="84"/>
      <c r="S4272" s="10"/>
      <c r="T4272" s="10"/>
      <c r="U4272" s="10"/>
      <c r="V4272" s="10"/>
      <c r="W4272" s="138"/>
      <c r="Y4272"/>
      <c r="Z4272"/>
      <c r="AA4272"/>
      <c r="AB4272"/>
      <c r="AC4272"/>
      <c r="AD4272"/>
      <c r="AE4272"/>
      <c r="AF4272"/>
      <c r="AG4272"/>
      <c r="AH4272"/>
      <c r="AI4272"/>
      <c r="AJ4272"/>
      <c r="AK4272"/>
      <c r="AL4272"/>
      <c r="AM4272"/>
      <c r="AN4272"/>
      <c r="AO4272"/>
    </row>
    <row r="4273" spans="1:41" ht="15">
      <c r="A4273"/>
      <c r="B4273"/>
      <c r="C4273" s="137"/>
      <c r="D4273" s="30"/>
      <c r="E4273" s="30"/>
      <c r="F4273" s="10"/>
      <c r="G4273" s="10"/>
      <c r="H4273" s="15"/>
      <c r="I4273" s="15"/>
      <c r="J4273" s="15"/>
      <c r="K4273" s="15"/>
      <c r="L4273" s="15"/>
      <c r="M4273" s="15"/>
      <c r="N4273" s="15"/>
      <c r="O4273" s="15"/>
      <c r="P4273" s="15"/>
      <c r="Q4273" s="71"/>
      <c r="R4273" s="84"/>
      <c r="S4273" s="10"/>
      <c r="T4273" s="10"/>
      <c r="U4273" s="10"/>
      <c r="V4273" s="10"/>
      <c r="W4273" s="138"/>
      <c r="Y4273"/>
      <c r="Z4273"/>
      <c r="AA4273"/>
      <c r="AB4273"/>
      <c r="AC4273"/>
      <c r="AD4273"/>
      <c r="AE4273"/>
      <c r="AF4273"/>
      <c r="AG4273"/>
      <c r="AH4273"/>
      <c r="AI4273"/>
      <c r="AJ4273"/>
      <c r="AK4273"/>
      <c r="AL4273"/>
      <c r="AM4273"/>
      <c r="AN4273"/>
      <c r="AO4273"/>
    </row>
    <row r="4274" spans="1:41" ht="15">
      <c r="A4274"/>
      <c r="B4274"/>
      <c r="C4274" s="137"/>
      <c r="D4274" s="30"/>
      <c r="E4274" s="30"/>
      <c r="F4274" s="10"/>
      <c r="G4274" s="10"/>
      <c r="H4274" s="15"/>
      <c r="I4274" s="15"/>
      <c r="J4274" s="15"/>
      <c r="K4274" s="15"/>
      <c r="L4274" s="15"/>
      <c r="M4274" s="15"/>
      <c r="N4274" s="15"/>
      <c r="O4274" s="15"/>
      <c r="P4274" s="15"/>
      <c r="Q4274" s="71"/>
      <c r="R4274" s="84"/>
      <c r="S4274" s="10"/>
      <c r="T4274" s="10"/>
      <c r="U4274" s="10"/>
      <c r="V4274" s="10"/>
      <c r="W4274" s="138"/>
      <c r="Y4274"/>
      <c r="Z4274"/>
      <c r="AA4274"/>
      <c r="AB4274"/>
      <c r="AC4274"/>
      <c r="AD4274"/>
      <c r="AE4274"/>
      <c r="AF4274"/>
      <c r="AG4274"/>
      <c r="AH4274"/>
      <c r="AI4274"/>
      <c r="AJ4274"/>
      <c r="AK4274"/>
      <c r="AL4274"/>
      <c r="AM4274"/>
      <c r="AN4274"/>
      <c r="AO4274"/>
    </row>
    <row r="4275" spans="1:41" ht="15">
      <c r="A4275"/>
      <c r="B4275"/>
      <c r="C4275" s="137"/>
      <c r="D4275" s="30"/>
      <c r="E4275" s="30"/>
      <c r="F4275" s="10"/>
      <c r="G4275" s="10"/>
      <c r="H4275" s="15"/>
      <c r="I4275" s="15"/>
      <c r="J4275" s="15"/>
      <c r="K4275" s="15"/>
      <c r="L4275" s="15"/>
      <c r="M4275" s="15"/>
      <c r="N4275" s="15"/>
      <c r="O4275" s="15"/>
      <c r="P4275" s="15"/>
      <c r="Q4275" s="71"/>
      <c r="R4275" s="84"/>
      <c r="S4275" s="10"/>
      <c r="T4275" s="10"/>
      <c r="U4275" s="10"/>
      <c r="V4275" s="10"/>
      <c r="W4275" s="138"/>
      <c r="Y4275"/>
      <c r="Z4275"/>
      <c r="AA4275"/>
      <c r="AB4275"/>
      <c r="AC4275"/>
      <c r="AD4275"/>
      <c r="AE4275"/>
      <c r="AF4275"/>
      <c r="AG4275"/>
      <c r="AH4275"/>
      <c r="AI4275"/>
      <c r="AJ4275"/>
      <c r="AK4275"/>
      <c r="AL4275"/>
      <c r="AM4275"/>
      <c r="AN4275"/>
      <c r="AO4275"/>
    </row>
    <row r="4276" spans="1:41" ht="15">
      <c r="A4276"/>
      <c r="B4276"/>
      <c r="C4276" s="137"/>
      <c r="D4276" s="30"/>
      <c r="E4276" s="30"/>
      <c r="F4276" s="10"/>
      <c r="G4276" s="10"/>
      <c r="H4276" s="15"/>
      <c r="I4276" s="15"/>
      <c r="J4276" s="15"/>
      <c r="K4276" s="15"/>
      <c r="L4276" s="15"/>
      <c r="M4276" s="15"/>
      <c r="N4276" s="15"/>
      <c r="O4276" s="15"/>
      <c r="P4276" s="15"/>
      <c r="Q4276" s="71"/>
      <c r="R4276" s="84"/>
      <c r="S4276" s="10"/>
      <c r="T4276" s="10"/>
      <c r="U4276" s="10"/>
      <c r="V4276" s="10"/>
      <c r="W4276" s="138"/>
      <c r="Y4276"/>
      <c r="Z4276"/>
      <c r="AA4276"/>
      <c r="AB4276"/>
      <c r="AC4276"/>
      <c r="AD4276"/>
      <c r="AE4276"/>
      <c r="AF4276"/>
      <c r="AG4276"/>
      <c r="AH4276"/>
      <c r="AI4276"/>
      <c r="AJ4276"/>
      <c r="AK4276"/>
      <c r="AL4276"/>
      <c r="AM4276"/>
      <c r="AN4276"/>
      <c r="AO4276"/>
    </row>
    <row r="4277" spans="1:41" ht="15">
      <c r="A4277"/>
      <c r="B4277"/>
      <c r="C4277" s="137"/>
      <c r="D4277" s="30"/>
      <c r="E4277" s="30"/>
      <c r="F4277" s="10"/>
      <c r="G4277" s="10"/>
      <c r="H4277" s="15"/>
      <c r="I4277" s="15"/>
      <c r="J4277" s="15"/>
      <c r="K4277" s="15"/>
      <c r="L4277" s="15"/>
      <c r="M4277" s="15"/>
      <c r="N4277" s="15"/>
      <c r="O4277" s="15"/>
      <c r="P4277" s="15"/>
      <c r="Q4277" s="71"/>
      <c r="R4277" s="84"/>
      <c r="S4277" s="10"/>
      <c r="T4277" s="10"/>
      <c r="U4277" s="10"/>
      <c r="V4277" s="10"/>
      <c r="W4277" s="138"/>
      <c r="Y4277"/>
      <c r="Z4277"/>
      <c r="AA4277"/>
      <c r="AB4277"/>
      <c r="AC4277"/>
      <c r="AD4277"/>
      <c r="AE4277"/>
      <c r="AF4277"/>
      <c r="AG4277"/>
      <c r="AH4277"/>
      <c r="AI4277"/>
      <c r="AJ4277"/>
      <c r="AK4277"/>
      <c r="AL4277"/>
      <c r="AM4277"/>
      <c r="AN4277"/>
      <c r="AO4277"/>
    </row>
    <row r="4278" spans="1:41" ht="15">
      <c r="A4278"/>
      <c r="B4278"/>
      <c r="C4278" s="137"/>
      <c r="D4278" s="30"/>
      <c r="E4278" s="30"/>
      <c r="F4278" s="10"/>
      <c r="G4278" s="10"/>
      <c r="H4278" s="15"/>
      <c r="I4278" s="15"/>
      <c r="J4278" s="15"/>
      <c r="K4278" s="15"/>
      <c r="L4278" s="15"/>
      <c r="M4278" s="15"/>
      <c r="N4278" s="15"/>
      <c r="O4278" s="15"/>
      <c r="P4278" s="15"/>
      <c r="Q4278" s="71"/>
      <c r="R4278" s="84"/>
      <c r="S4278" s="10"/>
      <c r="T4278" s="10"/>
      <c r="U4278" s="10"/>
      <c r="V4278" s="10"/>
      <c r="W4278" s="138"/>
      <c r="Y4278"/>
      <c r="Z4278"/>
      <c r="AA4278"/>
      <c r="AB4278"/>
      <c r="AC4278"/>
      <c r="AD4278"/>
      <c r="AE4278"/>
      <c r="AF4278"/>
      <c r="AG4278"/>
      <c r="AH4278"/>
      <c r="AI4278"/>
      <c r="AJ4278"/>
      <c r="AK4278"/>
      <c r="AL4278"/>
      <c r="AM4278"/>
      <c r="AN4278"/>
      <c r="AO4278"/>
    </row>
    <row r="4279" spans="1:41" ht="15">
      <c r="A4279"/>
      <c r="B4279"/>
      <c r="C4279" s="137"/>
      <c r="D4279" s="30"/>
      <c r="E4279" s="30"/>
      <c r="F4279" s="10"/>
      <c r="G4279" s="10"/>
      <c r="H4279" s="15"/>
      <c r="I4279" s="15"/>
      <c r="J4279" s="15"/>
      <c r="K4279" s="15"/>
      <c r="L4279" s="15"/>
      <c r="M4279" s="15"/>
      <c r="N4279" s="15"/>
      <c r="O4279" s="15"/>
      <c r="P4279" s="15"/>
      <c r="Q4279" s="71"/>
      <c r="R4279" s="84"/>
      <c r="S4279" s="10"/>
      <c r="T4279" s="10"/>
      <c r="U4279" s="10"/>
      <c r="V4279" s="10"/>
      <c r="W4279" s="138"/>
      <c r="Y4279"/>
      <c r="Z4279"/>
      <c r="AA4279"/>
      <c r="AB4279"/>
      <c r="AC4279"/>
      <c r="AD4279"/>
      <c r="AE4279"/>
      <c r="AF4279"/>
      <c r="AG4279"/>
      <c r="AH4279"/>
      <c r="AI4279"/>
      <c r="AJ4279"/>
      <c r="AK4279"/>
      <c r="AL4279"/>
      <c r="AM4279"/>
      <c r="AN4279"/>
      <c r="AO4279"/>
    </row>
    <row r="4280" spans="1:41" ht="15">
      <c r="A4280"/>
      <c r="B4280"/>
      <c r="C4280" s="137"/>
      <c r="D4280" s="30"/>
      <c r="E4280" s="30"/>
      <c r="F4280" s="10"/>
      <c r="G4280" s="10"/>
      <c r="H4280" s="15"/>
      <c r="I4280" s="15"/>
      <c r="J4280" s="15"/>
      <c r="K4280" s="15"/>
      <c r="L4280" s="15"/>
      <c r="M4280" s="15"/>
      <c r="N4280" s="15"/>
      <c r="O4280" s="15"/>
      <c r="P4280" s="15"/>
      <c r="Q4280" s="71"/>
      <c r="R4280" s="84"/>
      <c r="S4280" s="10"/>
      <c r="T4280" s="10"/>
      <c r="U4280" s="10"/>
      <c r="V4280" s="10"/>
      <c r="W4280" s="138"/>
      <c r="Y4280"/>
      <c r="Z4280"/>
      <c r="AA4280"/>
      <c r="AB4280"/>
      <c r="AC4280"/>
      <c r="AD4280"/>
      <c r="AE4280"/>
      <c r="AF4280"/>
      <c r="AG4280"/>
      <c r="AH4280"/>
      <c r="AI4280"/>
      <c r="AJ4280"/>
      <c r="AK4280"/>
      <c r="AL4280"/>
      <c r="AM4280"/>
      <c r="AN4280"/>
      <c r="AO4280"/>
    </row>
    <row r="4281" spans="1:41" ht="15">
      <c r="A4281"/>
      <c r="B4281"/>
      <c r="C4281" s="137"/>
      <c r="D4281" s="30"/>
      <c r="E4281" s="30"/>
      <c r="F4281" s="10"/>
      <c r="G4281" s="10"/>
      <c r="H4281" s="15"/>
      <c r="I4281" s="15"/>
      <c r="J4281" s="15"/>
      <c r="K4281" s="15"/>
      <c r="L4281" s="15"/>
      <c r="M4281" s="15"/>
      <c r="N4281" s="15"/>
      <c r="O4281" s="15"/>
      <c r="P4281" s="15"/>
      <c r="Q4281" s="71"/>
      <c r="R4281" s="84"/>
      <c r="S4281" s="10"/>
      <c r="T4281" s="10"/>
      <c r="U4281" s="10"/>
      <c r="V4281" s="10"/>
      <c r="W4281" s="138"/>
      <c r="Y4281"/>
      <c r="Z4281"/>
      <c r="AA4281"/>
      <c r="AB4281"/>
      <c r="AC4281"/>
      <c r="AD4281"/>
      <c r="AE4281"/>
      <c r="AF4281"/>
      <c r="AG4281"/>
      <c r="AH4281"/>
      <c r="AI4281"/>
      <c r="AJ4281"/>
      <c r="AK4281"/>
      <c r="AL4281"/>
      <c r="AM4281"/>
      <c r="AN4281"/>
      <c r="AO4281"/>
    </row>
    <row r="4282" spans="1:41" ht="15">
      <c r="A4282"/>
      <c r="B4282"/>
      <c r="C4282" s="137"/>
      <c r="D4282" s="30"/>
      <c r="E4282" s="30"/>
      <c r="F4282" s="10"/>
      <c r="G4282" s="10"/>
      <c r="H4282" s="15"/>
      <c r="I4282" s="15"/>
      <c r="J4282" s="15"/>
      <c r="K4282" s="15"/>
      <c r="L4282" s="15"/>
      <c r="M4282" s="15"/>
      <c r="N4282" s="15"/>
      <c r="O4282" s="15"/>
      <c r="P4282" s="15"/>
      <c r="Q4282" s="71"/>
      <c r="R4282" s="84"/>
      <c r="S4282" s="10"/>
      <c r="T4282" s="10"/>
      <c r="U4282" s="10"/>
      <c r="V4282" s="10"/>
      <c r="W4282" s="138"/>
      <c r="Y4282"/>
      <c r="Z4282"/>
      <c r="AA4282"/>
      <c r="AB4282"/>
      <c r="AC4282"/>
      <c r="AD4282"/>
      <c r="AE4282"/>
      <c r="AF4282"/>
      <c r="AG4282"/>
      <c r="AH4282"/>
      <c r="AI4282"/>
      <c r="AJ4282"/>
      <c r="AK4282"/>
      <c r="AL4282"/>
      <c r="AM4282"/>
      <c r="AN4282"/>
      <c r="AO4282"/>
    </row>
    <row r="4283" spans="1:41" ht="15">
      <c r="A4283"/>
      <c r="B4283"/>
      <c r="C4283" s="137"/>
      <c r="D4283" s="30"/>
      <c r="E4283" s="30"/>
      <c r="F4283" s="10"/>
      <c r="G4283" s="10"/>
      <c r="H4283" s="15"/>
      <c r="I4283" s="15"/>
      <c r="J4283" s="15"/>
      <c r="K4283" s="15"/>
      <c r="L4283" s="15"/>
      <c r="M4283" s="15"/>
      <c r="N4283" s="15"/>
      <c r="O4283" s="15"/>
      <c r="P4283" s="15"/>
      <c r="Q4283" s="71"/>
      <c r="R4283" s="84"/>
      <c r="S4283" s="10"/>
      <c r="T4283" s="10"/>
      <c r="U4283" s="10"/>
      <c r="V4283" s="10"/>
      <c r="W4283" s="138"/>
      <c r="Y4283"/>
      <c r="Z4283"/>
      <c r="AA4283"/>
      <c r="AB4283"/>
      <c r="AC4283"/>
      <c r="AD4283"/>
      <c r="AE4283"/>
      <c r="AF4283"/>
      <c r="AG4283"/>
      <c r="AH4283"/>
      <c r="AI4283"/>
      <c r="AJ4283"/>
      <c r="AK4283"/>
      <c r="AL4283"/>
      <c r="AM4283"/>
      <c r="AN4283"/>
      <c r="AO4283"/>
    </row>
    <row r="4284" spans="1:41" ht="15">
      <c r="A4284"/>
      <c r="B4284"/>
      <c r="C4284" s="137"/>
      <c r="D4284" s="30"/>
      <c r="E4284" s="30"/>
      <c r="F4284" s="10"/>
      <c r="G4284" s="10"/>
      <c r="H4284" s="15"/>
      <c r="I4284" s="15"/>
      <c r="J4284" s="15"/>
      <c r="K4284" s="15"/>
      <c r="L4284" s="15"/>
      <c r="M4284" s="15"/>
      <c r="N4284" s="15"/>
      <c r="O4284" s="15"/>
      <c r="P4284" s="15"/>
      <c r="Q4284" s="71"/>
      <c r="R4284" s="84"/>
      <c r="S4284" s="10"/>
      <c r="T4284" s="10"/>
      <c r="U4284" s="10"/>
      <c r="V4284" s="10"/>
      <c r="W4284" s="138"/>
      <c r="Y4284"/>
      <c r="Z4284"/>
      <c r="AA4284"/>
      <c r="AB4284"/>
      <c r="AC4284"/>
      <c r="AD4284"/>
      <c r="AE4284"/>
      <c r="AF4284"/>
      <c r="AG4284"/>
      <c r="AH4284"/>
      <c r="AI4284"/>
      <c r="AJ4284"/>
      <c r="AK4284"/>
      <c r="AL4284"/>
      <c r="AM4284"/>
      <c r="AN4284"/>
      <c r="AO4284"/>
    </row>
    <row r="4285" spans="1:41" ht="15">
      <c r="A4285"/>
      <c r="B4285"/>
      <c r="C4285" s="137"/>
      <c r="D4285" s="30"/>
      <c r="E4285" s="30"/>
      <c r="F4285" s="10"/>
      <c r="G4285" s="10"/>
      <c r="H4285" s="15"/>
      <c r="I4285" s="15"/>
      <c r="J4285" s="15"/>
      <c r="K4285" s="15"/>
      <c r="L4285" s="15"/>
      <c r="M4285" s="15"/>
      <c r="N4285" s="15"/>
      <c r="O4285" s="15"/>
      <c r="P4285" s="15"/>
      <c r="Q4285" s="71"/>
      <c r="R4285" s="84"/>
      <c r="S4285" s="10"/>
      <c r="T4285" s="10"/>
      <c r="U4285" s="10"/>
      <c r="V4285" s="10"/>
      <c r="W4285" s="138"/>
      <c r="Y4285"/>
      <c r="Z4285"/>
      <c r="AA4285"/>
      <c r="AB4285"/>
      <c r="AC4285"/>
      <c r="AD4285"/>
      <c r="AE4285"/>
      <c r="AF4285"/>
      <c r="AG4285"/>
      <c r="AH4285"/>
      <c r="AI4285"/>
      <c r="AJ4285"/>
      <c r="AK4285"/>
      <c r="AL4285"/>
      <c r="AM4285"/>
      <c r="AN4285"/>
      <c r="AO4285"/>
    </row>
    <row r="4286" spans="1:41" ht="15">
      <c r="A4286"/>
      <c r="B4286"/>
      <c r="C4286" s="137"/>
      <c r="D4286" s="30"/>
      <c r="E4286" s="30"/>
      <c r="F4286" s="10"/>
      <c r="G4286" s="10"/>
      <c r="H4286" s="15"/>
      <c r="I4286" s="15"/>
      <c r="J4286" s="15"/>
      <c r="K4286" s="15"/>
      <c r="L4286" s="15"/>
      <c r="M4286" s="15"/>
      <c r="N4286" s="15"/>
      <c r="O4286" s="15"/>
      <c r="P4286" s="15"/>
      <c r="Q4286" s="71"/>
      <c r="R4286" s="84"/>
      <c r="S4286" s="10"/>
      <c r="T4286" s="10"/>
      <c r="U4286" s="10"/>
      <c r="V4286" s="10"/>
      <c r="W4286" s="138"/>
      <c r="Y4286"/>
      <c r="Z4286"/>
      <c r="AA4286"/>
      <c r="AB4286"/>
      <c r="AC4286"/>
      <c r="AD4286"/>
      <c r="AE4286"/>
      <c r="AF4286"/>
      <c r="AG4286"/>
      <c r="AH4286"/>
      <c r="AI4286"/>
      <c r="AJ4286"/>
      <c r="AK4286"/>
      <c r="AL4286"/>
      <c r="AM4286"/>
      <c r="AN4286"/>
      <c r="AO4286"/>
    </row>
    <row r="4287" spans="1:41" ht="15">
      <c r="A4287"/>
      <c r="B4287"/>
      <c r="C4287" s="137"/>
      <c r="D4287" s="30"/>
      <c r="E4287" s="30"/>
      <c r="F4287" s="10"/>
      <c r="G4287" s="10"/>
      <c r="H4287" s="15"/>
      <c r="I4287" s="15"/>
      <c r="J4287" s="15"/>
      <c r="K4287" s="15"/>
      <c r="L4287" s="15"/>
      <c r="M4287" s="15"/>
      <c r="N4287" s="15"/>
      <c r="O4287" s="15"/>
      <c r="P4287" s="15"/>
      <c r="Q4287" s="71"/>
      <c r="R4287" s="84"/>
      <c r="S4287" s="10"/>
      <c r="T4287" s="10"/>
      <c r="U4287" s="10"/>
      <c r="V4287" s="10"/>
      <c r="W4287" s="138"/>
      <c r="Y4287"/>
      <c r="Z4287"/>
      <c r="AA4287"/>
      <c r="AB4287"/>
      <c r="AC4287"/>
      <c r="AD4287"/>
      <c r="AE4287"/>
      <c r="AF4287"/>
      <c r="AG4287"/>
      <c r="AH4287"/>
      <c r="AI4287"/>
      <c r="AJ4287"/>
      <c r="AK4287"/>
      <c r="AL4287"/>
      <c r="AM4287"/>
      <c r="AN4287"/>
      <c r="AO4287"/>
    </row>
    <row r="4288" spans="1:41" ht="15">
      <c r="A4288"/>
      <c r="B4288"/>
      <c r="C4288" s="137"/>
      <c r="D4288" s="30"/>
      <c r="E4288" s="30"/>
      <c r="F4288" s="10"/>
      <c r="G4288" s="10"/>
      <c r="H4288" s="15"/>
      <c r="I4288" s="15"/>
      <c r="J4288" s="15"/>
      <c r="K4288" s="15"/>
      <c r="L4288" s="15"/>
      <c r="M4288" s="15"/>
      <c r="N4288" s="15"/>
      <c r="O4288" s="15"/>
      <c r="P4288" s="15"/>
      <c r="Q4288" s="71"/>
      <c r="R4288" s="84"/>
      <c r="S4288" s="10"/>
      <c r="T4288" s="10"/>
      <c r="U4288" s="10"/>
      <c r="V4288" s="10"/>
      <c r="W4288" s="138"/>
      <c r="Y4288"/>
      <c r="Z4288"/>
      <c r="AA4288"/>
      <c r="AB4288"/>
      <c r="AC4288"/>
      <c r="AD4288"/>
      <c r="AE4288"/>
      <c r="AF4288"/>
      <c r="AG4288"/>
      <c r="AH4288"/>
      <c r="AI4288"/>
      <c r="AJ4288"/>
      <c r="AK4288"/>
      <c r="AL4288"/>
      <c r="AM4288"/>
      <c r="AN4288"/>
      <c r="AO4288"/>
    </row>
    <row r="4289" spans="1:41" ht="15">
      <c r="A4289"/>
      <c r="B4289"/>
      <c r="C4289" s="137"/>
      <c r="D4289" s="30"/>
      <c r="E4289" s="30"/>
      <c r="F4289" s="10"/>
      <c r="G4289" s="10"/>
      <c r="H4289" s="15"/>
      <c r="I4289" s="15"/>
      <c r="J4289" s="15"/>
      <c r="K4289" s="15"/>
      <c r="L4289" s="15"/>
      <c r="M4289" s="15"/>
      <c r="N4289" s="15"/>
      <c r="O4289" s="15"/>
      <c r="P4289" s="15"/>
      <c r="Q4289" s="71"/>
      <c r="R4289" s="84"/>
      <c r="S4289" s="10"/>
      <c r="T4289" s="10"/>
      <c r="U4289" s="10"/>
      <c r="V4289" s="10"/>
      <c r="W4289" s="138"/>
      <c r="Y4289"/>
      <c r="Z4289"/>
      <c r="AA4289"/>
      <c r="AB4289"/>
      <c r="AC4289"/>
      <c r="AD4289"/>
      <c r="AE4289"/>
      <c r="AF4289"/>
      <c r="AG4289"/>
      <c r="AH4289"/>
      <c r="AI4289"/>
      <c r="AJ4289"/>
      <c r="AK4289"/>
      <c r="AL4289"/>
      <c r="AM4289"/>
      <c r="AN4289"/>
      <c r="AO4289"/>
    </row>
    <row r="4290" spans="1:41" ht="15">
      <c r="A4290"/>
      <c r="B4290"/>
      <c r="C4290" s="137"/>
      <c r="D4290" s="30"/>
      <c r="E4290" s="30"/>
      <c r="F4290" s="10"/>
      <c r="G4290" s="10"/>
      <c r="H4290" s="15"/>
      <c r="I4290" s="15"/>
      <c r="J4290" s="15"/>
      <c r="K4290" s="15"/>
      <c r="L4290" s="15"/>
      <c r="M4290" s="15"/>
      <c r="N4290" s="15"/>
      <c r="O4290" s="15"/>
      <c r="P4290" s="15"/>
      <c r="Q4290" s="71"/>
      <c r="R4290" s="84"/>
      <c r="S4290" s="10"/>
      <c r="T4290" s="10"/>
      <c r="U4290" s="10"/>
      <c r="V4290" s="10"/>
      <c r="W4290" s="138"/>
      <c r="Y4290"/>
      <c r="Z4290"/>
      <c r="AA4290"/>
      <c r="AB4290"/>
      <c r="AC4290"/>
      <c r="AD4290"/>
      <c r="AE4290"/>
      <c r="AF4290"/>
      <c r="AG4290"/>
      <c r="AH4290"/>
      <c r="AI4290"/>
      <c r="AJ4290"/>
      <c r="AK4290"/>
      <c r="AL4290"/>
      <c r="AM4290"/>
      <c r="AN4290"/>
      <c r="AO4290"/>
    </row>
    <row r="4291" spans="1:41" ht="15">
      <c r="A4291"/>
      <c r="B4291"/>
      <c r="C4291" s="137"/>
      <c r="D4291" s="30"/>
      <c r="E4291" s="30"/>
      <c r="F4291" s="10"/>
      <c r="G4291" s="10"/>
      <c r="H4291" s="15"/>
      <c r="I4291" s="15"/>
      <c r="J4291" s="15"/>
      <c r="K4291" s="15"/>
      <c r="L4291" s="15"/>
      <c r="M4291" s="15"/>
      <c r="N4291" s="15"/>
      <c r="O4291" s="15"/>
      <c r="P4291" s="15"/>
      <c r="Q4291" s="71"/>
      <c r="R4291" s="84"/>
      <c r="S4291" s="10"/>
      <c r="T4291" s="10"/>
      <c r="U4291" s="10"/>
      <c r="V4291" s="10"/>
      <c r="W4291" s="138"/>
      <c r="Y4291"/>
      <c r="Z4291"/>
      <c r="AA4291"/>
      <c r="AB4291"/>
      <c r="AC4291"/>
      <c r="AD4291"/>
      <c r="AE4291"/>
      <c r="AF4291"/>
      <c r="AG4291"/>
      <c r="AH4291"/>
      <c r="AI4291"/>
      <c r="AJ4291"/>
      <c r="AK4291"/>
      <c r="AL4291"/>
      <c r="AM4291"/>
      <c r="AN4291"/>
      <c r="AO4291"/>
    </row>
    <row r="4292" spans="1:41" ht="15">
      <c r="A4292"/>
      <c r="B4292"/>
      <c r="C4292" s="137"/>
      <c r="D4292" s="30"/>
      <c r="E4292" s="30"/>
      <c r="F4292" s="10"/>
      <c r="G4292" s="10"/>
      <c r="H4292" s="15"/>
      <c r="I4292" s="15"/>
      <c r="J4292" s="15"/>
      <c r="K4292" s="15"/>
      <c r="L4292" s="15"/>
      <c r="M4292" s="15"/>
      <c r="N4292" s="15"/>
      <c r="O4292" s="15"/>
      <c r="P4292" s="15"/>
      <c r="Q4292" s="71"/>
      <c r="R4292" s="84"/>
      <c r="S4292" s="10"/>
      <c r="T4292" s="10"/>
      <c r="U4292" s="10"/>
      <c r="V4292" s="10"/>
      <c r="W4292" s="138"/>
      <c r="Y4292"/>
      <c r="Z4292"/>
      <c r="AA4292"/>
      <c r="AB4292"/>
      <c r="AC4292"/>
      <c r="AD4292"/>
      <c r="AE4292"/>
      <c r="AF4292"/>
      <c r="AG4292"/>
      <c r="AH4292"/>
      <c r="AI4292"/>
      <c r="AJ4292"/>
      <c r="AK4292"/>
      <c r="AL4292"/>
      <c r="AM4292"/>
      <c r="AN4292"/>
      <c r="AO4292"/>
    </row>
    <row r="4293" spans="1:41" ht="15">
      <c r="A4293"/>
      <c r="B4293"/>
      <c r="C4293" s="137"/>
      <c r="D4293" s="30"/>
      <c r="E4293" s="30"/>
      <c r="F4293" s="10"/>
      <c r="G4293" s="10"/>
      <c r="H4293" s="15"/>
      <c r="I4293" s="15"/>
      <c r="J4293" s="15"/>
      <c r="K4293" s="15"/>
      <c r="L4293" s="15"/>
      <c r="M4293" s="15"/>
      <c r="N4293" s="15"/>
      <c r="O4293" s="15"/>
      <c r="P4293" s="15"/>
      <c r="Q4293" s="71"/>
      <c r="R4293" s="84"/>
      <c r="S4293" s="10"/>
      <c r="T4293" s="10"/>
      <c r="U4293" s="10"/>
      <c r="V4293" s="10"/>
      <c r="W4293" s="138"/>
      <c r="Y4293"/>
      <c r="Z4293"/>
      <c r="AA4293"/>
      <c r="AB4293"/>
      <c r="AC4293"/>
      <c r="AD4293"/>
      <c r="AE4293"/>
      <c r="AF4293"/>
      <c r="AG4293"/>
      <c r="AH4293"/>
      <c r="AI4293"/>
      <c r="AJ4293"/>
      <c r="AK4293"/>
      <c r="AL4293"/>
      <c r="AM4293"/>
      <c r="AN4293"/>
      <c r="AO4293"/>
    </row>
    <row r="4294" spans="1:41" ht="15">
      <c r="A4294"/>
      <c r="B4294"/>
      <c r="C4294" s="137"/>
      <c r="D4294" s="30"/>
      <c r="E4294" s="30"/>
      <c r="F4294" s="10"/>
      <c r="G4294" s="10"/>
      <c r="H4294" s="15"/>
      <c r="I4294" s="15"/>
      <c r="J4294" s="15"/>
      <c r="K4294" s="15"/>
      <c r="L4294" s="15"/>
      <c r="M4294" s="15"/>
      <c r="N4294" s="15"/>
      <c r="O4294" s="15"/>
      <c r="P4294" s="15"/>
      <c r="Q4294" s="71"/>
      <c r="R4294" s="84"/>
      <c r="S4294" s="10"/>
      <c r="T4294" s="10"/>
      <c r="U4294" s="10"/>
      <c r="V4294" s="10"/>
      <c r="W4294" s="138"/>
      <c r="Y4294"/>
      <c r="Z4294"/>
      <c r="AA4294"/>
      <c r="AB4294"/>
      <c r="AC4294"/>
      <c r="AD4294"/>
      <c r="AE4294"/>
      <c r="AF4294"/>
      <c r="AG4294"/>
      <c r="AH4294"/>
      <c r="AI4294"/>
      <c r="AJ4294"/>
      <c r="AK4294"/>
      <c r="AL4294"/>
      <c r="AM4294"/>
      <c r="AN4294"/>
      <c r="AO4294"/>
    </row>
    <row r="4295" spans="1:41" ht="15">
      <c r="A4295"/>
      <c r="B4295"/>
      <c r="C4295" s="137"/>
      <c r="D4295" s="30"/>
      <c r="E4295" s="30"/>
      <c r="F4295" s="10"/>
      <c r="G4295" s="10"/>
      <c r="H4295" s="15"/>
      <c r="I4295" s="15"/>
      <c r="J4295" s="15"/>
      <c r="K4295" s="15"/>
      <c r="L4295" s="15"/>
      <c r="M4295" s="15"/>
      <c r="N4295" s="15"/>
      <c r="O4295" s="15"/>
      <c r="P4295" s="15"/>
      <c r="Q4295" s="71"/>
      <c r="R4295" s="84"/>
      <c r="S4295" s="10"/>
      <c r="T4295" s="10"/>
      <c r="U4295" s="10"/>
      <c r="V4295" s="10"/>
      <c r="W4295" s="138"/>
      <c r="Y4295"/>
      <c r="Z4295"/>
      <c r="AA4295"/>
      <c r="AB4295"/>
      <c r="AC4295"/>
      <c r="AD4295"/>
      <c r="AE4295"/>
      <c r="AF4295"/>
      <c r="AG4295"/>
      <c r="AH4295"/>
      <c r="AI4295"/>
      <c r="AJ4295"/>
      <c r="AK4295"/>
      <c r="AL4295"/>
      <c r="AM4295"/>
      <c r="AN4295"/>
      <c r="AO4295"/>
    </row>
    <row r="4296" spans="1:41" ht="15">
      <c r="A4296"/>
      <c r="B4296"/>
      <c r="C4296" s="137"/>
      <c r="D4296" s="30"/>
      <c r="E4296" s="30"/>
      <c r="F4296" s="10"/>
      <c r="G4296" s="10"/>
      <c r="H4296" s="15"/>
      <c r="I4296" s="15"/>
      <c r="J4296" s="15"/>
      <c r="K4296" s="15"/>
      <c r="L4296" s="15"/>
      <c r="M4296" s="15"/>
      <c r="N4296" s="15"/>
      <c r="O4296" s="15"/>
      <c r="P4296" s="15"/>
      <c r="Q4296" s="71"/>
      <c r="R4296" s="84"/>
      <c r="S4296" s="10"/>
      <c r="T4296" s="10"/>
      <c r="U4296" s="10"/>
      <c r="V4296" s="10"/>
      <c r="W4296" s="138"/>
      <c r="Y4296"/>
      <c r="Z4296"/>
      <c r="AA4296"/>
      <c r="AB4296"/>
      <c r="AC4296"/>
      <c r="AD4296"/>
      <c r="AE4296"/>
      <c r="AF4296"/>
      <c r="AG4296"/>
      <c r="AH4296"/>
      <c r="AI4296"/>
      <c r="AJ4296"/>
      <c r="AK4296"/>
      <c r="AL4296"/>
      <c r="AM4296"/>
      <c r="AN4296"/>
      <c r="AO4296"/>
    </row>
    <row r="4297" spans="1:41" ht="15">
      <c r="A4297"/>
      <c r="B4297"/>
      <c r="C4297" s="137"/>
      <c r="D4297" s="30"/>
      <c r="E4297" s="30"/>
      <c r="F4297" s="10"/>
      <c r="G4297" s="10"/>
      <c r="H4297" s="15"/>
      <c r="I4297" s="15"/>
      <c r="J4297" s="15"/>
      <c r="K4297" s="15"/>
      <c r="L4297" s="15"/>
      <c r="M4297" s="15"/>
      <c r="N4297" s="15"/>
      <c r="O4297" s="15"/>
      <c r="P4297" s="15"/>
      <c r="Q4297" s="71"/>
      <c r="R4297" s="84"/>
      <c r="S4297" s="10"/>
      <c r="T4297" s="10"/>
      <c r="U4297" s="10"/>
      <c r="V4297" s="10"/>
      <c r="W4297" s="138"/>
      <c r="Y4297"/>
      <c r="Z4297"/>
      <c r="AA4297"/>
      <c r="AB4297"/>
      <c r="AC4297"/>
      <c r="AD4297"/>
      <c r="AE4297"/>
      <c r="AF4297"/>
      <c r="AG4297"/>
      <c r="AH4297"/>
      <c r="AI4297"/>
      <c r="AJ4297"/>
      <c r="AK4297"/>
      <c r="AL4297"/>
      <c r="AM4297"/>
      <c r="AN4297"/>
      <c r="AO4297"/>
    </row>
    <row r="4298" spans="1:41" ht="15">
      <c r="A4298"/>
      <c r="B4298"/>
      <c r="C4298" s="137"/>
      <c r="D4298" s="30"/>
      <c r="E4298" s="30"/>
      <c r="F4298" s="10"/>
      <c r="G4298" s="10"/>
      <c r="H4298" s="15"/>
      <c r="I4298" s="15"/>
      <c r="J4298" s="15"/>
      <c r="K4298" s="15"/>
      <c r="L4298" s="15"/>
      <c r="M4298" s="15"/>
      <c r="N4298" s="15"/>
      <c r="O4298" s="15"/>
      <c r="P4298" s="15"/>
      <c r="Q4298" s="71"/>
      <c r="R4298" s="84"/>
      <c r="S4298" s="10"/>
      <c r="T4298" s="10"/>
      <c r="U4298" s="10"/>
      <c r="V4298" s="10"/>
      <c r="W4298" s="138"/>
      <c r="Y4298"/>
      <c r="Z4298"/>
      <c r="AA4298"/>
      <c r="AB4298"/>
      <c r="AC4298"/>
      <c r="AD4298"/>
      <c r="AE4298"/>
      <c r="AF4298"/>
      <c r="AG4298"/>
      <c r="AH4298"/>
      <c r="AI4298"/>
      <c r="AJ4298"/>
      <c r="AK4298"/>
      <c r="AL4298"/>
      <c r="AM4298"/>
      <c r="AN4298"/>
      <c r="AO4298"/>
    </row>
    <row r="4299" spans="1:41" ht="15">
      <c r="A4299"/>
      <c r="B4299"/>
      <c r="C4299" s="137"/>
      <c r="D4299" s="30"/>
      <c r="E4299" s="30"/>
      <c r="F4299" s="10"/>
      <c r="G4299" s="10"/>
      <c r="H4299" s="15"/>
      <c r="I4299" s="15"/>
      <c r="J4299" s="15"/>
      <c r="K4299" s="15"/>
      <c r="L4299" s="15"/>
      <c r="M4299" s="15"/>
      <c r="N4299" s="15"/>
      <c r="O4299" s="15"/>
      <c r="P4299" s="15"/>
      <c r="Q4299" s="71"/>
      <c r="R4299" s="84"/>
      <c r="S4299" s="10"/>
      <c r="T4299" s="10"/>
      <c r="U4299" s="10"/>
      <c r="V4299" s="10"/>
      <c r="W4299" s="138"/>
      <c r="Y4299"/>
      <c r="Z4299"/>
      <c r="AA4299"/>
      <c r="AB4299"/>
      <c r="AC4299"/>
      <c r="AD4299"/>
      <c r="AE4299"/>
      <c r="AF4299"/>
      <c r="AG4299"/>
      <c r="AH4299"/>
      <c r="AI4299"/>
      <c r="AJ4299"/>
      <c r="AK4299"/>
      <c r="AL4299"/>
      <c r="AM4299"/>
      <c r="AN4299"/>
      <c r="AO4299"/>
    </row>
    <row r="4300" spans="1:41" ht="15">
      <c r="A4300"/>
      <c r="B4300"/>
      <c r="C4300" s="137"/>
      <c r="D4300" s="30"/>
      <c r="E4300" s="30"/>
      <c r="F4300" s="10"/>
      <c r="G4300" s="10"/>
      <c r="H4300" s="15"/>
      <c r="I4300" s="15"/>
      <c r="J4300" s="15"/>
      <c r="K4300" s="15"/>
      <c r="L4300" s="15"/>
      <c r="M4300" s="15"/>
      <c r="N4300" s="15"/>
      <c r="O4300" s="15"/>
      <c r="P4300" s="15"/>
      <c r="Q4300" s="71"/>
      <c r="R4300" s="84"/>
      <c r="S4300" s="10"/>
      <c r="T4300" s="10"/>
      <c r="U4300" s="10"/>
      <c r="V4300" s="10"/>
      <c r="W4300" s="138"/>
      <c r="Y4300"/>
      <c r="Z4300"/>
      <c r="AA4300"/>
      <c r="AB4300"/>
      <c r="AC4300"/>
      <c r="AD4300"/>
      <c r="AE4300"/>
      <c r="AF4300"/>
      <c r="AG4300"/>
      <c r="AH4300"/>
      <c r="AI4300"/>
      <c r="AJ4300"/>
      <c r="AK4300"/>
      <c r="AL4300"/>
      <c r="AM4300"/>
      <c r="AN4300"/>
      <c r="AO4300"/>
    </row>
    <row r="4301" spans="1:41" ht="15">
      <c r="A4301"/>
      <c r="B4301"/>
      <c r="C4301" s="137"/>
      <c r="D4301" s="30"/>
      <c r="E4301" s="30"/>
      <c r="F4301" s="10"/>
      <c r="G4301" s="10"/>
      <c r="H4301" s="15"/>
      <c r="I4301" s="15"/>
      <c r="J4301" s="15"/>
      <c r="K4301" s="15"/>
      <c r="L4301" s="15"/>
      <c r="M4301" s="15"/>
      <c r="N4301" s="15"/>
      <c r="O4301" s="15"/>
      <c r="P4301" s="15"/>
      <c r="Q4301" s="71"/>
      <c r="R4301" s="84"/>
      <c r="S4301" s="10"/>
      <c r="T4301" s="10"/>
      <c r="U4301" s="10"/>
      <c r="V4301" s="10"/>
      <c r="W4301" s="138"/>
      <c r="Y4301"/>
      <c r="Z4301"/>
      <c r="AA4301"/>
      <c r="AB4301"/>
      <c r="AC4301"/>
      <c r="AD4301"/>
      <c r="AE4301"/>
      <c r="AF4301"/>
      <c r="AG4301"/>
      <c r="AH4301"/>
      <c r="AI4301"/>
      <c r="AJ4301"/>
      <c r="AK4301"/>
      <c r="AL4301"/>
      <c r="AM4301"/>
      <c r="AN4301"/>
      <c r="AO4301"/>
    </row>
    <row r="4302" spans="1:41" ht="15">
      <c r="A4302"/>
      <c r="B4302"/>
      <c r="C4302" s="137"/>
      <c r="D4302" s="30"/>
      <c r="E4302" s="30"/>
      <c r="F4302" s="10"/>
      <c r="G4302" s="10"/>
      <c r="H4302" s="15"/>
      <c r="I4302" s="15"/>
      <c r="J4302" s="15"/>
      <c r="K4302" s="15"/>
      <c r="L4302" s="15"/>
      <c r="M4302" s="15"/>
      <c r="N4302" s="15"/>
      <c r="O4302" s="15"/>
      <c r="P4302" s="15"/>
      <c r="Q4302" s="71"/>
      <c r="R4302" s="84"/>
      <c r="S4302" s="10"/>
      <c r="T4302" s="10"/>
      <c r="U4302" s="10"/>
      <c r="V4302" s="10"/>
      <c r="W4302" s="138"/>
      <c r="Y4302"/>
      <c r="Z4302"/>
      <c r="AA4302"/>
      <c r="AB4302"/>
      <c r="AC4302"/>
      <c r="AD4302"/>
      <c r="AE4302"/>
      <c r="AF4302"/>
      <c r="AG4302"/>
      <c r="AH4302"/>
      <c r="AI4302"/>
      <c r="AJ4302"/>
      <c r="AK4302"/>
      <c r="AL4302"/>
      <c r="AM4302"/>
      <c r="AN4302"/>
      <c r="AO4302"/>
    </row>
    <row r="4303" spans="1:41" ht="15">
      <c r="A4303"/>
      <c r="B4303"/>
      <c r="C4303" s="137"/>
      <c r="D4303" s="30"/>
      <c r="E4303" s="30"/>
      <c r="F4303" s="10"/>
      <c r="G4303" s="10"/>
      <c r="H4303" s="15"/>
      <c r="I4303" s="15"/>
      <c r="J4303" s="15"/>
      <c r="K4303" s="15"/>
      <c r="L4303" s="15"/>
      <c r="M4303" s="15"/>
      <c r="N4303" s="15"/>
      <c r="O4303" s="15"/>
      <c r="P4303" s="15"/>
      <c r="Q4303" s="71"/>
      <c r="R4303" s="84"/>
      <c r="S4303" s="10"/>
      <c r="T4303" s="10"/>
      <c r="U4303" s="10"/>
      <c r="V4303" s="10"/>
      <c r="W4303" s="138"/>
      <c r="Y4303"/>
      <c r="Z4303"/>
      <c r="AA4303"/>
      <c r="AB4303"/>
      <c r="AC4303"/>
      <c r="AD4303"/>
      <c r="AE4303"/>
      <c r="AF4303"/>
      <c r="AG4303"/>
      <c r="AH4303"/>
      <c r="AI4303"/>
      <c r="AJ4303"/>
      <c r="AK4303"/>
      <c r="AL4303"/>
      <c r="AM4303"/>
      <c r="AN4303"/>
      <c r="AO4303"/>
    </row>
    <row r="4304" spans="1:41" ht="15">
      <c r="A4304"/>
      <c r="B4304"/>
      <c r="C4304" s="137"/>
      <c r="D4304" s="30"/>
      <c r="E4304" s="30"/>
      <c r="F4304" s="10"/>
      <c r="G4304" s="10"/>
      <c r="H4304" s="15"/>
      <c r="I4304" s="15"/>
      <c r="J4304" s="15"/>
      <c r="K4304" s="15"/>
      <c r="L4304" s="15"/>
      <c r="M4304" s="15"/>
      <c r="N4304" s="15"/>
      <c r="O4304" s="15"/>
      <c r="P4304" s="15"/>
      <c r="Q4304" s="71"/>
      <c r="R4304" s="84"/>
      <c r="S4304" s="10"/>
      <c r="T4304" s="10"/>
      <c r="U4304" s="10"/>
      <c r="V4304" s="10"/>
      <c r="W4304" s="138"/>
      <c r="Y4304"/>
      <c r="Z4304"/>
      <c r="AA4304"/>
      <c r="AB4304"/>
      <c r="AC4304"/>
      <c r="AD4304"/>
      <c r="AE4304"/>
      <c r="AF4304"/>
      <c r="AG4304"/>
      <c r="AH4304"/>
      <c r="AI4304"/>
      <c r="AJ4304"/>
      <c r="AK4304"/>
      <c r="AL4304"/>
      <c r="AM4304"/>
      <c r="AN4304"/>
      <c r="AO4304"/>
    </row>
    <row r="4305" spans="1:41" ht="15">
      <c r="A4305"/>
      <c r="B4305"/>
      <c r="C4305" s="137"/>
      <c r="D4305" s="30"/>
      <c r="E4305" s="30"/>
      <c r="F4305" s="10"/>
      <c r="G4305" s="10"/>
      <c r="H4305" s="15"/>
      <c r="I4305" s="15"/>
      <c r="J4305" s="15"/>
      <c r="K4305" s="15"/>
      <c r="L4305" s="15"/>
      <c r="M4305" s="15"/>
      <c r="N4305" s="15"/>
      <c r="O4305" s="15"/>
      <c r="P4305" s="15"/>
      <c r="Q4305" s="71"/>
      <c r="R4305" s="84"/>
      <c r="S4305" s="10"/>
      <c r="T4305" s="10"/>
      <c r="U4305" s="10"/>
      <c r="V4305" s="10"/>
      <c r="W4305" s="138"/>
      <c r="Y4305"/>
      <c r="Z4305"/>
      <c r="AA4305"/>
      <c r="AB4305"/>
      <c r="AC4305"/>
      <c r="AD4305"/>
      <c r="AE4305"/>
      <c r="AF4305"/>
      <c r="AG4305"/>
      <c r="AH4305"/>
      <c r="AI4305"/>
      <c r="AJ4305"/>
      <c r="AK4305"/>
      <c r="AL4305"/>
      <c r="AM4305"/>
      <c r="AN4305"/>
      <c r="AO4305"/>
    </row>
    <row r="4306" spans="1:41" ht="15">
      <c r="A4306"/>
      <c r="B4306"/>
      <c r="C4306" s="137"/>
      <c r="D4306" s="30"/>
      <c r="E4306" s="30"/>
      <c r="F4306" s="10"/>
      <c r="G4306" s="10"/>
      <c r="H4306" s="15"/>
      <c r="I4306" s="15"/>
      <c r="J4306" s="15"/>
      <c r="K4306" s="15"/>
      <c r="L4306" s="15"/>
      <c r="M4306" s="15"/>
      <c r="N4306" s="15"/>
      <c r="O4306" s="15"/>
      <c r="P4306" s="15"/>
      <c r="Q4306" s="71"/>
      <c r="R4306" s="84"/>
      <c r="S4306" s="10"/>
      <c r="T4306" s="10"/>
      <c r="U4306" s="10"/>
      <c r="V4306" s="10"/>
      <c r="W4306" s="138"/>
      <c r="Y4306"/>
      <c r="Z4306"/>
      <c r="AA4306"/>
      <c r="AB4306"/>
      <c r="AC4306"/>
      <c r="AD4306"/>
      <c r="AE4306"/>
      <c r="AF4306"/>
      <c r="AG4306"/>
      <c r="AH4306"/>
      <c r="AI4306"/>
      <c r="AJ4306"/>
      <c r="AK4306"/>
      <c r="AL4306"/>
      <c r="AM4306"/>
      <c r="AN4306"/>
      <c r="AO4306"/>
    </row>
    <row r="4307" spans="1:41" ht="15">
      <c r="A4307"/>
      <c r="B4307"/>
      <c r="C4307" s="137"/>
      <c r="D4307" s="30"/>
      <c r="E4307" s="30"/>
      <c r="F4307" s="10"/>
      <c r="G4307" s="10"/>
      <c r="H4307" s="15"/>
      <c r="I4307" s="15"/>
      <c r="J4307" s="15"/>
      <c r="K4307" s="15"/>
      <c r="L4307" s="15"/>
      <c r="M4307" s="15"/>
      <c r="N4307" s="15"/>
      <c r="O4307" s="15"/>
      <c r="P4307" s="15"/>
      <c r="Q4307" s="71"/>
      <c r="R4307" s="84"/>
      <c r="S4307" s="10"/>
      <c r="T4307" s="10"/>
      <c r="U4307" s="10"/>
      <c r="V4307" s="10"/>
      <c r="W4307" s="138"/>
      <c r="Y4307"/>
      <c r="Z4307"/>
      <c r="AA4307"/>
      <c r="AB4307"/>
      <c r="AC4307"/>
      <c r="AD4307"/>
      <c r="AE4307"/>
      <c r="AF4307"/>
      <c r="AG4307"/>
      <c r="AH4307"/>
      <c r="AI4307"/>
      <c r="AJ4307"/>
      <c r="AK4307"/>
      <c r="AL4307"/>
      <c r="AM4307"/>
      <c r="AN4307"/>
      <c r="AO4307"/>
    </row>
    <row r="4308" spans="1:41" ht="15">
      <c r="A4308"/>
      <c r="B4308"/>
      <c r="C4308" s="137"/>
      <c r="D4308" s="30"/>
      <c r="E4308" s="30"/>
      <c r="F4308" s="10"/>
      <c r="G4308" s="10"/>
      <c r="H4308" s="15"/>
      <c r="I4308" s="15"/>
      <c r="J4308" s="15"/>
      <c r="K4308" s="15"/>
      <c r="L4308" s="15"/>
      <c r="M4308" s="15"/>
      <c r="N4308" s="15"/>
      <c r="O4308" s="15"/>
      <c r="P4308" s="15"/>
      <c r="Q4308" s="71"/>
      <c r="R4308" s="84"/>
      <c r="S4308" s="10"/>
      <c r="T4308" s="10"/>
      <c r="U4308" s="10"/>
      <c r="V4308" s="10"/>
      <c r="W4308" s="138"/>
      <c r="Y4308"/>
      <c r="Z4308"/>
      <c r="AA4308"/>
      <c r="AB4308"/>
      <c r="AC4308"/>
      <c r="AD4308"/>
      <c r="AE4308"/>
      <c r="AF4308"/>
      <c r="AG4308"/>
      <c r="AH4308"/>
      <c r="AI4308"/>
      <c r="AJ4308"/>
      <c r="AK4308"/>
      <c r="AL4308"/>
      <c r="AM4308"/>
      <c r="AN4308"/>
      <c r="AO4308"/>
    </row>
    <row r="4309" spans="1:41" ht="15">
      <c r="A4309"/>
      <c r="B4309"/>
      <c r="C4309" s="137"/>
      <c r="D4309" s="30"/>
      <c r="E4309" s="30"/>
      <c r="F4309" s="10"/>
      <c r="G4309" s="10"/>
      <c r="H4309" s="15"/>
      <c r="I4309" s="15"/>
      <c r="J4309" s="15"/>
      <c r="K4309" s="15"/>
      <c r="L4309" s="15"/>
      <c r="M4309" s="15"/>
      <c r="N4309" s="15"/>
      <c r="O4309" s="15"/>
      <c r="P4309" s="15"/>
      <c r="Q4309" s="71"/>
      <c r="R4309" s="84"/>
      <c r="S4309" s="10"/>
      <c r="T4309" s="10"/>
      <c r="U4309" s="10"/>
      <c r="V4309" s="10"/>
      <c r="W4309" s="138"/>
      <c r="Y4309"/>
      <c r="Z4309"/>
      <c r="AA4309"/>
      <c r="AB4309"/>
      <c r="AC4309"/>
      <c r="AD4309"/>
      <c r="AE4309"/>
      <c r="AF4309"/>
      <c r="AG4309"/>
      <c r="AH4309"/>
      <c r="AI4309"/>
      <c r="AJ4309"/>
      <c r="AK4309"/>
      <c r="AL4309"/>
      <c r="AM4309"/>
      <c r="AN4309"/>
      <c r="AO4309"/>
    </row>
    <row r="4310" spans="1:41" ht="15">
      <c r="A4310"/>
      <c r="B4310"/>
      <c r="C4310" s="137"/>
      <c r="D4310" s="30"/>
      <c r="E4310" s="30"/>
      <c r="F4310" s="10"/>
      <c r="G4310" s="10"/>
      <c r="H4310" s="15"/>
      <c r="I4310" s="15"/>
      <c r="J4310" s="15"/>
      <c r="K4310" s="15"/>
      <c r="L4310" s="15"/>
      <c r="M4310" s="15"/>
      <c r="N4310" s="15"/>
      <c r="O4310" s="15"/>
      <c r="P4310" s="15"/>
      <c r="Q4310" s="71"/>
      <c r="R4310" s="84"/>
      <c r="S4310" s="10"/>
      <c r="T4310" s="10"/>
      <c r="U4310" s="10"/>
      <c r="V4310" s="10"/>
      <c r="W4310" s="138"/>
      <c r="Y4310"/>
      <c r="Z4310"/>
      <c r="AA4310"/>
      <c r="AB4310"/>
      <c r="AC4310"/>
      <c r="AD4310"/>
      <c r="AE4310"/>
      <c r="AF4310"/>
      <c r="AG4310"/>
      <c r="AH4310"/>
      <c r="AI4310"/>
      <c r="AJ4310"/>
      <c r="AK4310"/>
      <c r="AL4310"/>
      <c r="AM4310"/>
      <c r="AN4310"/>
      <c r="AO4310"/>
    </row>
    <row r="4311" spans="1:41" ht="15">
      <c r="A4311"/>
      <c r="B4311"/>
      <c r="C4311" s="137"/>
      <c r="D4311" s="30"/>
      <c r="E4311" s="30"/>
      <c r="F4311" s="10"/>
      <c r="G4311" s="10"/>
      <c r="H4311" s="15"/>
      <c r="I4311" s="15"/>
      <c r="J4311" s="15"/>
      <c r="K4311" s="15"/>
      <c r="L4311" s="15"/>
      <c r="M4311" s="15"/>
      <c r="N4311" s="15"/>
      <c r="O4311" s="15"/>
      <c r="P4311" s="15"/>
      <c r="Q4311" s="71"/>
      <c r="R4311" s="84"/>
      <c r="S4311" s="10"/>
      <c r="T4311" s="10"/>
      <c r="U4311" s="10"/>
      <c r="V4311" s="10"/>
      <c r="W4311" s="138"/>
      <c r="Y4311"/>
      <c r="Z4311"/>
      <c r="AA4311"/>
      <c r="AB4311"/>
      <c r="AC4311"/>
      <c r="AD4311"/>
      <c r="AE4311"/>
      <c r="AF4311"/>
      <c r="AG4311"/>
      <c r="AH4311"/>
      <c r="AI4311"/>
      <c r="AJ4311"/>
      <c r="AK4311"/>
      <c r="AL4311"/>
      <c r="AM4311"/>
      <c r="AN4311"/>
      <c r="AO4311"/>
    </row>
    <row r="4312" spans="1:41" ht="15">
      <c r="A4312"/>
      <c r="B4312"/>
      <c r="C4312" s="137"/>
      <c r="D4312" s="30"/>
      <c r="E4312" s="30"/>
      <c r="F4312" s="10"/>
      <c r="G4312" s="10"/>
      <c r="H4312" s="15"/>
      <c r="I4312" s="15"/>
      <c r="J4312" s="15"/>
      <c r="K4312" s="15"/>
      <c r="L4312" s="15"/>
      <c r="M4312" s="15"/>
      <c r="N4312" s="15"/>
      <c r="O4312" s="15"/>
      <c r="P4312" s="15"/>
      <c r="Q4312" s="71"/>
      <c r="R4312" s="84"/>
      <c r="S4312" s="10"/>
      <c r="T4312" s="10"/>
      <c r="U4312" s="10"/>
      <c r="V4312" s="10"/>
      <c r="W4312" s="138"/>
      <c r="Y4312"/>
      <c r="Z4312"/>
      <c r="AA4312"/>
      <c r="AB4312"/>
      <c r="AC4312"/>
      <c r="AD4312"/>
      <c r="AE4312"/>
      <c r="AF4312"/>
      <c r="AG4312"/>
      <c r="AH4312"/>
      <c r="AI4312"/>
      <c r="AJ4312"/>
      <c r="AK4312"/>
      <c r="AL4312"/>
      <c r="AM4312"/>
      <c r="AN4312"/>
      <c r="AO4312"/>
    </row>
    <row r="4313" spans="1:41" ht="15">
      <c r="A4313"/>
      <c r="B4313"/>
      <c r="C4313" s="137"/>
      <c r="D4313" s="30"/>
      <c r="E4313" s="30"/>
      <c r="F4313" s="10"/>
      <c r="G4313" s="10"/>
      <c r="H4313" s="15"/>
      <c r="I4313" s="15"/>
      <c r="J4313" s="15"/>
      <c r="K4313" s="15"/>
      <c r="L4313" s="15"/>
      <c r="M4313" s="15"/>
      <c r="N4313" s="15"/>
      <c r="O4313" s="15"/>
      <c r="P4313" s="15"/>
      <c r="Q4313" s="71"/>
      <c r="R4313" s="84"/>
      <c r="S4313" s="10"/>
      <c r="T4313" s="10"/>
      <c r="U4313" s="10"/>
      <c r="V4313" s="10"/>
      <c r="W4313" s="138"/>
      <c r="Y4313"/>
      <c r="Z4313"/>
      <c r="AA4313"/>
      <c r="AB4313"/>
      <c r="AC4313"/>
      <c r="AD4313"/>
      <c r="AE4313"/>
      <c r="AF4313"/>
      <c r="AG4313"/>
      <c r="AH4313"/>
      <c r="AI4313"/>
      <c r="AJ4313"/>
      <c r="AK4313"/>
      <c r="AL4313"/>
      <c r="AM4313"/>
      <c r="AN4313"/>
      <c r="AO4313"/>
    </row>
    <row r="4314" spans="1:41" ht="15">
      <c r="A4314"/>
      <c r="B4314"/>
      <c r="C4314" s="137"/>
      <c r="D4314" s="30"/>
      <c r="E4314" s="30"/>
      <c r="F4314" s="10"/>
      <c r="G4314" s="10"/>
      <c r="H4314" s="15"/>
      <c r="I4314" s="15"/>
      <c r="J4314" s="15"/>
      <c r="K4314" s="15"/>
      <c r="L4314" s="15"/>
      <c r="M4314" s="15"/>
      <c r="N4314" s="15"/>
      <c r="O4314" s="15"/>
      <c r="P4314" s="15"/>
      <c r="Q4314" s="71"/>
      <c r="R4314" s="84"/>
      <c r="S4314" s="10"/>
      <c r="T4314" s="10"/>
      <c r="U4314" s="10"/>
      <c r="V4314" s="10"/>
      <c r="W4314" s="138"/>
      <c r="Y4314"/>
      <c r="Z4314"/>
      <c r="AA4314"/>
      <c r="AB4314"/>
      <c r="AC4314"/>
      <c r="AD4314"/>
      <c r="AE4314"/>
      <c r="AF4314"/>
      <c r="AG4314"/>
      <c r="AH4314"/>
      <c r="AI4314"/>
      <c r="AJ4314"/>
      <c r="AK4314"/>
      <c r="AL4314"/>
      <c r="AM4314"/>
      <c r="AN4314"/>
      <c r="AO4314"/>
    </row>
    <row r="4315" spans="1:41" ht="15">
      <c r="A4315"/>
      <c r="B4315"/>
      <c r="C4315" s="137"/>
      <c r="D4315" s="30"/>
      <c r="E4315" s="30"/>
      <c r="F4315" s="10"/>
      <c r="G4315" s="10"/>
      <c r="H4315" s="15"/>
      <c r="I4315" s="15"/>
      <c r="J4315" s="15"/>
      <c r="K4315" s="15"/>
      <c r="L4315" s="15"/>
      <c r="M4315" s="15"/>
      <c r="N4315" s="15"/>
      <c r="O4315" s="15"/>
      <c r="P4315" s="15"/>
      <c r="Q4315" s="71"/>
      <c r="R4315" s="84"/>
      <c r="S4315" s="10"/>
      <c r="T4315" s="10"/>
      <c r="U4315" s="10"/>
      <c r="V4315" s="10"/>
      <c r="W4315" s="138"/>
      <c r="Y4315"/>
      <c r="Z4315"/>
      <c r="AA4315"/>
      <c r="AB4315"/>
      <c r="AC4315"/>
      <c r="AD4315"/>
      <c r="AE4315"/>
      <c r="AF4315"/>
      <c r="AG4315"/>
      <c r="AH4315"/>
      <c r="AI4315"/>
      <c r="AJ4315"/>
      <c r="AK4315"/>
      <c r="AL4315"/>
      <c r="AM4315"/>
      <c r="AN4315"/>
      <c r="AO4315"/>
    </row>
    <row r="4316" spans="1:41" ht="15">
      <c r="A4316"/>
      <c r="B4316"/>
      <c r="C4316" s="137"/>
      <c r="D4316" s="30"/>
      <c r="E4316" s="30"/>
      <c r="F4316" s="10"/>
      <c r="G4316" s="10"/>
      <c r="H4316" s="15"/>
      <c r="I4316" s="15"/>
      <c r="J4316" s="15"/>
      <c r="K4316" s="15"/>
      <c r="L4316" s="15"/>
      <c r="M4316" s="15"/>
      <c r="N4316" s="15"/>
      <c r="O4316" s="15"/>
      <c r="P4316" s="15"/>
      <c r="Q4316" s="71"/>
      <c r="R4316" s="84"/>
      <c r="S4316" s="10"/>
      <c r="T4316" s="10"/>
      <c r="U4316" s="10"/>
      <c r="V4316" s="10"/>
      <c r="W4316" s="138"/>
      <c r="Y4316"/>
      <c r="Z4316"/>
      <c r="AA4316"/>
      <c r="AB4316"/>
      <c r="AC4316"/>
      <c r="AD4316"/>
      <c r="AE4316"/>
      <c r="AF4316"/>
      <c r="AG4316"/>
      <c r="AH4316"/>
      <c r="AI4316"/>
      <c r="AJ4316"/>
      <c r="AK4316"/>
      <c r="AL4316"/>
      <c r="AM4316"/>
      <c r="AN4316"/>
      <c r="AO4316"/>
    </row>
    <row r="4317" spans="1:41" ht="15">
      <c r="A4317"/>
      <c r="B4317"/>
      <c r="C4317" s="137"/>
      <c r="D4317" s="30"/>
      <c r="E4317" s="30"/>
      <c r="F4317" s="10"/>
      <c r="G4317" s="10"/>
      <c r="H4317" s="15"/>
      <c r="I4317" s="15"/>
      <c r="J4317" s="15"/>
      <c r="K4317" s="15"/>
      <c r="L4317" s="15"/>
      <c r="M4317" s="15"/>
      <c r="N4317" s="15"/>
      <c r="O4317" s="15"/>
      <c r="P4317" s="15"/>
      <c r="Q4317" s="71"/>
      <c r="R4317" s="84"/>
      <c r="S4317" s="10"/>
      <c r="T4317" s="10"/>
      <c r="U4317" s="10"/>
      <c r="V4317" s="10"/>
      <c r="W4317" s="138"/>
      <c r="Y4317"/>
      <c r="Z4317"/>
      <c r="AA4317"/>
      <c r="AB4317"/>
      <c r="AC4317"/>
      <c r="AD4317"/>
      <c r="AE4317"/>
      <c r="AF4317"/>
      <c r="AG4317"/>
      <c r="AH4317"/>
      <c r="AI4317"/>
      <c r="AJ4317"/>
      <c r="AK4317"/>
      <c r="AL4317"/>
      <c r="AM4317"/>
      <c r="AN4317"/>
      <c r="AO4317"/>
    </row>
    <row r="4318" spans="1:41" ht="15">
      <c r="A4318"/>
      <c r="B4318"/>
      <c r="C4318" s="137"/>
      <c r="D4318" s="30"/>
      <c r="E4318" s="30"/>
      <c r="F4318" s="10"/>
      <c r="G4318" s="10"/>
      <c r="H4318" s="15"/>
      <c r="I4318" s="15"/>
      <c r="J4318" s="15"/>
      <c r="K4318" s="15"/>
      <c r="L4318" s="15"/>
      <c r="M4318" s="15"/>
      <c r="N4318" s="15"/>
      <c r="O4318" s="15"/>
      <c r="P4318" s="15"/>
      <c r="Q4318" s="71"/>
      <c r="R4318" s="84"/>
      <c r="S4318" s="10"/>
      <c r="T4318" s="10"/>
      <c r="U4318" s="10"/>
      <c r="V4318" s="10"/>
      <c r="W4318" s="138"/>
      <c r="Y4318"/>
      <c r="Z4318"/>
      <c r="AA4318"/>
      <c r="AB4318"/>
      <c r="AC4318"/>
      <c r="AD4318"/>
      <c r="AE4318"/>
      <c r="AF4318"/>
      <c r="AG4318"/>
      <c r="AH4318"/>
      <c r="AI4318"/>
      <c r="AJ4318"/>
      <c r="AK4318"/>
      <c r="AL4318"/>
      <c r="AM4318"/>
      <c r="AN4318"/>
      <c r="AO4318"/>
    </row>
    <row r="4319" spans="1:41" ht="15">
      <c r="A4319"/>
      <c r="B4319"/>
      <c r="C4319" s="137"/>
      <c r="D4319" s="30"/>
      <c r="E4319" s="30"/>
      <c r="F4319" s="10"/>
      <c r="G4319" s="10"/>
      <c r="H4319" s="15"/>
      <c r="I4319" s="15"/>
      <c r="J4319" s="15"/>
      <c r="K4319" s="15"/>
      <c r="L4319" s="15"/>
      <c r="M4319" s="15"/>
      <c r="N4319" s="15"/>
      <c r="O4319" s="15"/>
      <c r="P4319" s="15"/>
      <c r="Q4319" s="71"/>
      <c r="R4319" s="84"/>
      <c r="S4319" s="10"/>
      <c r="T4319" s="10"/>
      <c r="U4319" s="10"/>
      <c r="V4319" s="10"/>
      <c r="W4319" s="138"/>
      <c r="Y4319"/>
      <c r="Z4319"/>
      <c r="AA4319"/>
      <c r="AB4319"/>
      <c r="AC4319"/>
      <c r="AD4319"/>
      <c r="AE4319"/>
      <c r="AF4319"/>
      <c r="AG4319"/>
      <c r="AH4319"/>
      <c r="AI4319"/>
      <c r="AJ4319"/>
      <c r="AK4319"/>
      <c r="AL4319"/>
      <c r="AM4319"/>
      <c r="AN4319"/>
      <c r="AO4319"/>
    </row>
    <row r="4320" spans="1:41" ht="15">
      <c r="A4320"/>
      <c r="B4320"/>
      <c r="C4320" s="137"/>
      <c r="D4320" s="30"/>
      <c r="E4320" s="30"/>
      <c r="F4320" s="10"/>
      <c r="G4320" s="10"/>
      <c r="H4320" s="15"/>
      <c r="I4320" s="15"/>
      <c r="J4320" s="15"/>
      <c r="K4320" s="15"/>
      <c r="L4320" s="15"/>
      <c r="M4320" s="15"/>
      <c r="N4320" s="15"/>
      <c r="O4320" s="15"/>
      <c r="P4320" s="15"/>
      <c r="Q4320" s="71"/>
      <c r="R4320" s="84"/>
      <c r="S4320" s="10"/>
      <c r="T4320" s="10"/>
      <c r="U4320" s="10"/>
      <c r="V4320" s="10"/>
      <c r="W4320" s="138"/>
      <c r="Y4320"/>
      <c r="Z4320"/>
      <c r="AA4320"/>
      <c r="AB4320"/>
      <c r="AC4320"/>
      <c r="AD4320"/>
      <c r="AE4320"/>
      <c r="AF4320"/>
      <c r="AG4320"/>
      <c r="AH4320"/>
      <c r="AI4320"/>
      <c r="AJ4320"/>
      <c r="AK4320"/>
      <c r="AL4320"/>
      <c r="AM4320"/>
      <c r="AN4320"/>
      <c r="AO4320"/>
    </row>
    <row r="4321" spans="1:41" ht="15">
      <c r="A4321"/>
      <c r="B4321"/>
      <c r="C4321" s="137"/>
      <c r="D4321" s="30"/>
      <c r="E4321" s="30"/>
      <c r="F4321" s="10"/>
      <c r="G4321" s="10"/>
      <c r="H4321" s="15"/>
      <c r="I4321" s="15"/>
      <c r="J4321" s="15"/>
      <c r="K4321" s="15"/>
      <c r="L4321" s="15"/>
      <c r="M4321" s="15"/>
      <c r="N4321" s="15"/>
      <c r="O4321" s="15"/>
      <c r="P4321" s="15"/>
      <c r="Q4321" s="71"/>
      <c r="R4321" s="84"/>
      <c r="S4321" s="10"/>
      <c r="T4321" s="10"/>
      <c r="U4321" s="10"/>
      <c r="V4321" s="10"/>
      <c r="W4321" s="138"/>
      <c r="Y4321"/>
      <c r="Z4321"/>
      <c r="AA4321"/>
      <c r="AB4321"/>
      <c r="AC4321"/>
      <c r="AD4321"/>
      <c r="AE4321"/>
      <c r="AF4321"/>
      <c r="AG4321"/>
      <c r="AH4321"/>
      <c r="AI4321"/>
      <c r="AJ4321"/>
      <c r="AK4321"/>
      <c r="AL4321"/>
      <c r="AM4321"/>
      <c r="AN4321"/>
      <c r="AO4321"/>
    </row>
    <row r="4322" spans="1:41" ht="15">
      <c r="A4322"/>
      <c r="B4322"/>
      <c r="C4322" s="137"/>
      <c r="D4322" s="30"/>
      <c r="E4322" s="30"/>
      <c r="F4322" s="10"/>
      <c r="G4322" s="10"/>
      <c r="H4322" s="15"/>
      <c r="I4322" s="15"/>
      <c r="J4322" s="15"/>
      <c r="K4322" s="15"/>
      <c r="L4322" s="15"/>
      <c r="M4322" s="15"/>
      <c r="N4322" s="15"/>
      <c r="O4322" s="15"/>
      <c r="P4322" s="15"/>
      <c r="Q4322" s="71"/>
      <c r="R4322" s="84"/>
      <c r="S4322" s="10"/>
      <c r="T4322" s="10"/>
      <c r="U4322" s="10"/>
      <c r="V4322" s="10"/>
      <c r="W4322" s="138"/>
      <c r="Y4322"/>
      <c r="Z4322"/>
      <c r="AA4322"/>
      <c r="AB4322"/>
      <c r="AC4322"/>
      <c r="AD4322"/>
      <c r="AE4322"/>
      <c r="AF4322"/>
      <c r="AG4322"/>
      <c r="AH4322"/>
      <c r="AI4322"/>
      <c r="AJ4322"/>
      <c r="AK4322"/>
      <c r="AL4322"/>
      <c r="AM4322"/>
      <c r="AN4322"/>
      <c r="AO4322"/>
    </row>
    <row r="4323" spans="1:41" ht="15">
      <c r="A4323"/>
      <c r="B4323"/>
      <c r="C4323" s="137"/>
      <c r="D4323" s="30"/>
      <c r="E4323" s="30"/>
      <c r="F4323" s="10"/>
      <c r="G4323" s="10"/>
      <c r="H4323" s="15"/>
      <c r="I4323" s="15"/>
      <c r="J4323" s="15"/>
      <c r="K4323" s="15"/>
      <c r="L4323" s="15"/>
      <c r="M4323" s="15"/>
      <c r="N4323" s="15"/>
      <c r="O4323" s="15"/>
      <c r="P4323" s="15"/>
      <c r="Q4323" s="71"/>
      <c r="R4323" s="84"/>
      <c r="S4323" s="10"/>
      <c r="T4323" s="10"/>
      <c r="U4323" s="10"/>
      <c r="V4323" s="10"/>
      <c r="W4323" s="138"/>
      <c r="Y4323"/>
      <c r="Z4323"/>
      <c r="AA4323"/>
      <c r="AB4323"/>
      <c r="AC4323"/>
      <c r="AD4323"/>
      <c r="AE4323"/>
      <c r="AF4323"/>
      <c r="AG4323"/>
      <c r="AH4323"/>
      <c r="AI4323"/>
      <c r="AJ4323"/>
      <c r="AK4323"/>
      <c r="AL4323"/>
      <c r="AM4323"/>
      <c r="AN4323"/>
      <c r="AO4323"/>
    </row>
    <row r="4324" spans="1:41" ht="15">
      <c r="A4324"/>
      <c r="B4324"/>
      <c r="C4324" s="137"/>
      <c r="D4324" s="30"/>
      <c r="E4324" s="30"/>
      <c r="F4324" s="10"/>
      <c r="G4324" s="10"/>
      <c r="H4324" s="15"/>
      <c r="I4324" s="15"/>
      <c r="J4324" s="15"/>
      <c r="K4324" s="15"/>
      <c r="L4324" s="15"/>
      <c r="M4324" s="15"/>
      <c r="N4324" s="15"/>
      <c r="O4324" s="15"/>
      <c r="P4324" s="15"/>
      <c r="Q4324" s="71"/>
      <c r="R4324" s="84"/>
      <c r="S4324" s="10"/>
      <c r="T4324" s="10"/>
      <c r="U4324" s="10"/>
      <c r="V4324" s="10"/>
      <c r="W4324" s="138"/>
      <c r="Y4324"/>
      <c r="Z4324"/>
      <c r="AA4324"/>
      <c r="AB4324"/>
      <c r="AC4324"/>
      <c r="AD4324"/>
      <c r="AE4324"/>
      <c r="AF4324"/>
      <c r="AG4324"/>
      <c r="AH4324"/>
      <c r="AI4324"/>
      <c r="AJ4324"/>
      <c r="AK4324"/>
      <c r="AL4324"/>
      <c r="AM4324"/>
      <c r="AN4324"/>
      <c r="AO4324"/>
    </row>
    <row r="4325" spans="1:41" ht="15">
      <c r="A4325"/>
      <c r="B4325"/>
      <c r="C4325" s="137"/>
      <c r="D4325" s="30"/>
      <c r="E4325" s="30"/>
      <c r="F4325" s="10"/>
      <c r="G4325" s="10"/>
      <c r="H4325" s="15"/>
      <c r="I4325" s="15"/>
      <c r="J4325" s="15"/>
      <c r="K4325" s="15"/>
      <c r="L4325" s="15"/>
      <c r="M4325" s="15"/>
      <c r="N4325" s="15"/>
      <c r="O4325" s="15"/>
      <c r="P4325" s="15"/>
      <c r="Q4325" s="71"/>
      <c r="R4325" s="84"/>
      <c r="S4325" s="10"/>
      <c r="T4325" s="10"/>
      <c r="U4325" s="10"/>
      <c r="V4325" s="10"/>
      <c r="W4325" s="138"/>
      <c r="Y4325"/>
      <c r="Z4325"/>
      <c r="AA4325"/>
      <c r="AB4325"/>
      <c r="AC4325"/>
      <c r="AD4325"/>
      <c r="AE4325"/>
      <c r="AF4325"/>
      <c r="AG4325"/>
      <c r="AH4325"/>
      <c r="AI4325"/>
      <c r="AJ4325"/>
      <c r="AK4325"/>
      <c r="AL4325"/>
      <c r="AM4325"/>
      <c r="AN4325"/>
      <c r="AO4325"/>
    </row>
    <row r="4326" spans="1:41" ht="15">
      <c r="A4326"/>
      <c r="B4326"/>
      <c r="C4326" s="137"/>
      <c r="D4326" s="30"/>
      <c r="E4326" s="30"/>
      <c r="F4326" s="10"/>
      <c r="G4326" s="10"/>
      <c r="H4326" s="15"/>
      <c r="I4326" s="15"/>
      <c r="J4326" s="15"/>
      <c r="K4326" s="15"/>
      <c r="L4326" s="15"/>
      <c r="M4326" s="15"/>
      <c r="N4326" s="15"/>
      <c r="O4326" s="15"/>
      <c r="P4326" s="15"/>
      <c r="Q4326" s="71"/>
      <c r="R4326" s="84"/>
      <c r="S4326" s="10"/>
      <c r="T4326" s="10"/>
      <c r="U4326" s="10"/>
      <c r="V4326" s="10"/>
      <c r="W4326" s="138"/>
      <c r="Y4326"/>
      <c r="Z4326"/>
      <c r="AA4326"/>
      <c r="AB4326"/>
      <c r="AC4326"/>
      <c r="AD4326"/>
      <c r="AE4326"/>
      <c r="AF4326"/>
      <c r="AG4326"/>
      <c r="AH4326"/>
      <c r="AI4326"/>
      <c r="AJ4326"/>
      <c r="AK4326"/>
      <c r="AL4326"/>
      <c r="AM4326"/>
      <c r="AN4326"/>
      <c r="AO4326"/>
    </row>
    <row r="4327" spans="1:41" ht="15">
      <c r="A4327"/>
      <c r="B4327"/>
      <c r="C4327" s="137"/>
      <c r="D4327" s="30"/>
      <c r="E4327" s="30"/>
      <c r="F4327" s="10"/>
      <c r="G4327" s="10"/>
      <c r="H4327" s="15"/>
      <c r="I4327" s="15"/>
      <c r="J4327" s="15"/>
      <c r="K4327" s="15"/>
      <c r="L4327" s="15"/>
      <c r="M4327" s="15"/>
      <c r="N4327" s="15"/>
      <c r="O4327" s="15"/>
      <c r="P4327" s="15"/>
      <c r="Q4327" s="71"/>
      <c r="R4327" s="84"/>
      <c r="S4327" s="10"/>
      <c r="T4327" s="10"/>
      <c r="U4327" s="10"/>
      <c r="V4327" s="10"/>
      <c r="W4327" s="138"/>
      <c r="Y4327"/>
      <c r="Z4327"/>
      <c r="AA4327"/>
      <c r="AB4327"/>
      <c r="AC4327"/>
      <c r="AD4327"/>
      <c r="AE4327"/>
      <c r="AF4327"/>
      <c r="AG4327"/>
      <c r="AH4327"/>
      <c r="AI4327"/>
      <c r="AJ4327"/>
      <c r="AK4327"/>
      <c r="AL4327"/>
      <c r="AM4327"/>
      <c r="AN4327"/>
      <c r="AO4327"/>
    </row>
    <row r="4328" spans="1:41" ht="15">
      <c r="A4328"/>
      <c r="B4328"/>
      <c r="C4328" s="137"/>
      <c r="D4328" s="30"/>
      <c r="E4328" s="30"/>
      <c r="F4328" s="10"/>
      <c r="G4328" s="10"/>
      <c r="H4328" s="15"/>
      <c r="I4328" s="15"/>
      <c r="J4328" s="15"/>
      <c r="K4328" s="15"/>
      <c r="L4328" s="15"/>
      <c r="M4328" s="15"/>
      <c r="N4328" s="15"/>
      <c r="O4328" s="15"/>
      <c r="P4328" s="15"/>
      <c r="Q4328" s="71"/>
      <c r="R4328" s="84"/>
      <c r="S4328" s="10"/>
      <c r="T4328" s="10"/>
      <c r="U4328" s="10"/>
      <c r="V4328" s="10"/>
      <c r="W4328" s="138"/>
      <c r="Y4328"/>
      <c r="Z4328"/>
      <c r="AA4328"/>
      <c r="AB4328"/>
      <c r="AC4328"/>
      <c r="AD4328"/>
      <c r="AE4328"/>
      <c r="AF4328"/>
      <c r="AG4328"/>
      <c r="AH4328"/>
      <c r="AI4328"/>
      <c r="AJ4328"/>
      <c r="AK4328"/>
      <c r="AL4328"/>
      <c r="AM4328"/>
      <c r="AN4328"/>
      <c r="AO4328"/>
    </row>
    <row r="4329" spans="1:41" ht="15">
      <c r="A4329"/>
      <c r="B4329"/>
      <c r="C4329" s="137"/>
      <c r="D4329" s="30"/>
      <c r="E4329" s="30"/>
      <c r="F4329" s="10"/>
      <c r="G4329" s="10"/>
      <c r="H4329" s="15"/>
      <c r="I4329" s="15"/>
      <c r="J4329" s="15"/>
      <c r="K4329" s="15"/>
      <c r="L4329" s="15"/>
      <c r="M4329" s="15"/>
      <c r="N4329" s="15"/>
      <c r="O4329" s="15"/>
      <c r="P4329" s="15"/>
      <c r="Q4329" s="71"/>
      <c r="R4329" s="84"/>
      <c r="S4329" s="10"/>
      <c r="T4329" s="10"/>
      <c r="U4329" s="10"/>
      <c r="V4329" s="10"/>
      <c r="W4329" s="138"/>
      <c r="Y4329"/>
      <c r="Z4329"/>
      <c r="AA4329"/>
      <c r="AB4329"/>
      <c r="AC4329"/>
      <c r="AD4329"/>
      <c r="AE4329"/>
      <c r="AF4329"/>
      <c r="AG4329"/>
      <c r="AH4329"/>
      <c r="AI4329"/>
      <c r="AJ4329"/>
      <c r="AK4329"/>
      <c r="AL4329"/>
      <c r="AM4329"/>
      <c r="AN4329"/>
      <c r="AO4329"/>
    </row>
    <row r="4330" spans="1:41" ht="15">
      <c r="A4330"/>
      <c r="B4330"/>
      <c r="C4330" s="137"/>
      <c r="D4330" s="30"/>
      <c r="E4330" s="30"/>
      <c r="F4330" s="10"/>
      <c r="G4330" s="10"/>
      <c r="H4330" s="15"/>
      <c r="I4330" s="15"/>
      <c r="J4330" s="15"/>
      <c r="K4330" s="15"/>
      <c r="L4330" s="15"/>
      <c r="M4330" s="15"/>
      <c r="N4330" s="15"/>
      <c r="O4330" s="15"/>
      <c r="P4330" s="15"/>
      <c r="Q4330" s="71"/>
      <c r="R4330" s="84"/>
      <c r="S4330" s="10"/>
      <c r="T4330" s="10"/>
      <c r="U4330" s="10"/>
      <c r="V4330" s="10"/>
      <c r="W4330" s="138"/>
      <c r="Y4330"/>
      <c r="Z4330"/>
      <c r="AA4330"/>
      <c r="AB4330"/>
      <c r="AC4330"/>
      <c r="AD4330"/>
      <c r="AE4330"/>
      <c r="AF4330"/>
      <c r="AG4330"/>
      <c r="AH4330"/>
      <c r="AI4330"/>
      <c r="AJ4330"/>
      <c r="AK4330"/>
      <c r="AL4330"/>
      <c r="AM4330"/>
      <c r="AN4330"/>
      <c r="AO4330"/>
    </row>
    <row r="4331" spans="1:41" ht="15">
      <c r="A4331"/>
      <c r="B4331"/>
      <c r="C4331" s="137"/>
      <c r="D4331" s="30"/>
      <c r="E4331" s="30"/>
      <c r="F4331" s="10"/>
      <c r="G4331" s="10"/>
      <c r="H4331" s="15"/>
      <c r="I4331" s="15"/>
      <c r="J4331" s="15"/>
      <c r="K4331" s="15"/>
      <c r="L4331" s="15"/>
      <c r="M4331" s="15"/>
      <c r="N4331" s="15"/>
      <c r="O4331" s="15"/>
      <c r="P4331" s="15"/>
      <c r="Q4331" s="71"/>
      <c r="R4331" s="84"/>
      <c r="S4331" s="10"/>
      <c r="T4331" s="10"/>
      <c r="U4331" s="10"/>
      <c r="V4331" s="10"/>
      <c r="W4331" s="138"/>
      <c r="Y4331"/>
      <c r="Z4331"/>
      <c r="AA4331"/>
      <c r="AB4331"/>
      <c r="AC4331"/>
      <c r="AD4331"/>
      <c r="AE4331"/>
      <c r="AF4331"/>
      <c r="AG4331"/>
      <c r="AH4331"/>
      <c r="AI4331"/>
      <c r="AJ4331"/>
      <c r="AK4331"/>
      <c r="AL4331"/>
      <c r="AM4331"/>
      <c r="AN4331"/>
      <c r="AO4331"/>
    </row>
    <row r="4332" spans="1:41" ht="15">
      <c r="A4332"/>
      <c r="B4332"/>
      <c r="C4332" s="137"/>
      <c r="D4332" s="30"/>
      <c r="E4332" s="30"/>
      <c r="F4332" s="10"/>
      <c r="G4332" s="10"/>
      <c r="H4332" s="15"/>
      <c r="I4332" s="15"/>
      <c r="J4332" s="15"/>
      <c r="K4332" s="15"/>
      <c r="L4332" s="15"/>
      <c r="M4332" s="15"/>
      <c r="N4332" s="15"/>
      <c r="O4332" s="15"/>
      <c r="P4332" s="15"/>
      <c r="Q4332" s="71"/>
      <c r="R4332" s="84"/>
      <c r="S4332" s="10"/>
      <c r="T4332" s="10"/>
      <c r="U4332" s="10"/>
      <c r="V4332" s="10"/>
      <c r="W4332" s="138"/>
      <c r="Y4332"/>
      <c r="Z4332"/>
      <c r="AA4332"/>
      <c r="AB4332"/>
      <c r="AC4332"/>
      <c r="AD4332"/>
      <c r="AE4332"/>
      <c r="AF4332"/>
      <c r="AG4332"/>
      <c r="AH4332"/>
      <c r="AI4332"/>
      <c r="AJ4332"/>
      <c r="AK4332"/>
      <c r="AL4332"/>
      <c r="AM4332"/>
      <c r="AN4332"/>
      <c r="AO4332"/>
    </row>
    <row r="4333" spans="1:41" ht="15">
      <c r="A4333"/>
      <c r="B4333"/>
      <c r="C4333" s="137"/>
      <c r="D4333" s="30"/>
      <c r="E4333" s="30"/>
      <c r="F4333" s="10"/>
      <c r="G4333" s="10"/>
      <c r="H4333" s="15"/>
      <c r="I4333" s="15"/>
      <c r="J4333" s="15"/>
      <c r="K4333" s="15"/>
      <c r="L4333" s="15"/>
      <c r="M4333" s="15"/>
      <c r="N4333" s="15"/>
      <c r="O4333" s="15"/>
      <c r="P4333" s="15"/>
      <c r="Q4333" s="71"/>
      <c r="R4333" s="84"/>
      <c r="S4333" s="10"/>
      <c r="T4333" s="10"/>
      <c r="U4333" s="10"/>
      <c r="V4333" s="10"/>
      <c r="W4333" s="138"/>
      <c r="Y4333"/>
      <c r="Z4333"/>
      <c r="AA4333"/>
      <c r="AB4333"/>
      <c r="AC4333"/>
      <c r="AD4333"/>
      <c r="AE4333"/>
      <c r="AF4333"/>
      <c r="AG4333"/>
      <c r="AH4333"/>
      <c r="AI4333"/>
      <c r="AJ4333"/>
      <c r="AK4333"/>
      <c r="AL4333"/>
      <c r="AM4333"/>
      <c r="AN4333"/>
      <c r="AO4333"/>
    </row>
    <row r="4334" spans="1:41" ht="15">
      <c r="A4334"/>
      <c r="B4334"/>
      <c r="C4334" s="137"/>
      <c r="D4334" s="30"/>
      <c r="E4334" s="30"/>
      <c r="F4334" s="10"/>
      <c r="G4334" s="10"/>
      <c r="H4334" s="15"/>
      <c r="I4334" s="15"/>
      <c r="J4334" s="15"/>
      <c r="K4334" s="15"/>
      <c r="L4334" s="15"/>
      <c r="M4334" s="15"/>
      <c r="N4334" s="15"/>
      <c r="O4334" s="15"/>
      <c r="P4334" s="15"/>
      <c r="Q4334" s="71"/>
      <c r="R4334" s="84"/>
      <c r="S4334" s="10"/>
      <c r="T4334" s="10"/>
      <c r="U4334" s="10"/>
      <c r="V4334" s="10"/>
      <c r="W4334" s="138"/>
      <c r="Y4334"/>
      <c r="Z4334"/>
      <c r="AA4334"/>
      <c r="AB4334"/>
      <c r="AC4334"/>
      <c r="AD4334"/>
      <c r="AE4334"/>
      <c r="AF4334"/>
      <c r="AG4334"/>
      <c r="AH4334"/>
      <c r="AI4334"/>
      <c r="AJ4334"/>
      <c r="AK4334"/>
      <c r="AL4334"/>
      <c r="AM4334"/>
      <c r="AN4334"/>
      <c r="AO4334"/>
    </row>
    <row r="4335" spans="1:41" ht="15">
      <c r="A4335"/>
      <c r="B4335"/>
      <c r="C4335" s="137"/>
      <c r="D4335" s="30"/>
      <c r="E4335" s="30"/>
      <c r="F4335" s="10"/>
      <c r="G4335" s="10"/>
      <c r="H4335" s="15"/>
      <c r="I4335" s="15"/>
      <c r="J4335" s="15"/>
      <c r="K4335" s="15"/>
      <c r="L4335" s="15"/>
      <c r="M4335" s="15"/>
      <c r="N4335" s="15"/>
      <c r="O4335" s="15"/>
      <c r="P4335" s="15"/>
      <c r="Q4335" s="71"/>
      <c r="R4335" s="84"/>
      <c r="S4335" s="10"/>
      <c r="T4335" s="10"/>
      <c r="U4335" s="10"/>
      <c r="V4335" s="10"/>
      <c r="W4335" s="138"/>
      <c r="Y4335"/>
      <c r="Z4335"/>
      <c r="AA4335"/>
      <c r="AB4335"/>
      <c r="AC4335"/>
      <c r="AD4335"/>
      <c r="AE4335"/>
      <c r="AF4335"/>
      <c r="AG4335"/>
      <c r="AH4335"/>
      <c r="AI4335"/>
      <c r="AJ4335"/>
      <c r="AK4335"/>
      <c r="AL4335"/>
      <c r="AM4335"/>
      <c r="AN4335"/>
      <c r="AO4335"/>
    </row>
    <row r="4336" spans="1:41" ht="15">
      <c r="A4336"/>
      <c r="B4336"/>
      <c r="C4336" s="137"/>
      <c r="D4336" s="30"/>
      <c r="E4336" s="30"/>
      <c r="F4336" s="10"/>
      <c r="G4336" s="10"/>
      <c r="H4336" s="15"/>
      <c r="I4336" s="15"/>
      <c r="J4336" s="15"/>
      <c r="K4336" s="15"/>
      <c r="L4336" s="15"/>
      <c r="M4336" s="15"/>
      <c r="N4336" s="15"/>
      <c r="O4336" s="15"/>
      <c r="P4336" s="15"/>
      <c r="Q4336" s="71"/>
      <c r="R4336" s="84"/>
      <c r="S4336" s="10"/>
      <c r="T4336" s="10"/>
      <c r="U4336" s="10"/>
      <c r="V4336" s="10"/>
      <c r="W4336" s="138"/>
      <c r="Y4336"/>
      <c r="Z4336"/>
      <c r="AA4336"/>
      <c r="AB4336"/>
      <c r="AC4336"/>
      <c r="AD4336"/>
      <c r="AE4336"/>
      <c r="AF4336"/>
      <c r="AG4336"/>
      <c r="AH4336"/>
      <c r="AI4336"/>
      <c r="AJ4336"/>
      <c r="AK4336"/>
      <c r="AL4336"/>
      <c r="AM4336"/>
      <c r="AN4336"/>
      <c r="AO4336"/>
    </row>
    <row r="4337" spans="1:41" ht="15">
      <c r="A4337"/>
      <c r="B4337"/>
      <c r="C4337" s="137"/>
      <c r="D4337" s="30"/>
      <c r="E4337" s="30"/>
      <c r="F4337" s="10"/>
      <c r="G4337" s="10"/>
      <c r="H4337" s="15"/>
      <c r="I4337" s="15"/>
      <c r="J4337" s="15"/>
      <c r="K4337" s="15"/>
      <c r="L4337" s="15"/>
      <c r="M4337" s="15"/>
      <c r="N4337" s="15"/>
      <c r="O4337" s="15"/>
      <c r="P4337" s="15"/>
      <c r="Q4337" s="71"/>
      <c r="R4337" s="84"/>
      <c r="S4337" s="10"/>
      <c r="T4337" s="10"/>
      <c r="U4337" s="10"/>
      <c r="V4337" s="10"/>
      <c r="W4337" s="138"/>
      <c r="Y4337"/>
      <c r="Z4337"/>
      <c r="AA4337"/>
      <c r="AB4337"/>
      <c r="AC4337"/>
      <c r="AD4337"/>
      <c r="AE4337"/>
      <c r="AF4337"/>
      <c r="AG4337"/>
      <c r="AH4337"/>
      <c r="AI4337"/>
      <c r="AJ4337"/>
      <c r="AK4337"/>
      <c r="AL4337"/>
      <c r="AM4337"/>
      <c r="AN4337"/>
      <c r="AO4337"/>
    </row>
    <row r="4338" spans="1:41" ht="15">
      <c r="A4338"/>
      <c r="B4338"/>
      <c r="C4338" s="137"/>
      <c r="D4338" s="30"/>
      <c r="E4338" s="30"/>
      <c r="F4338" s="10"/>
      <c r="G4338" s="10"/>
      <c r="H4338" s="15"/>
      <c r="I4338" s="15"/>
      <c r="J4338" s="15"/>
      <c r="K4338" s="15"/>
      <c r="L4338" s="15"/>
      <c r="M4338" s="15"/>
      <c r="N4338" s="15"/>
      <c r="O4338" s="15"/>
      <c r="P4338" s="15"/>
      <c r="Q4338" s="71"/>
      <c r="R4338" s="84"/>
      <c r="S4338" s="10"/>
      <c r="T4338" s="10"/>
      <c r="U4338" s="10"/>
      <c r="V4338" s="10"/>
      <c r="W4338" s="138"/>
      <c r="Y4338"/>
      <c r="Z4338"/>
      <c r="AA4338"/>
      <c r="AB4338"/>
      <c r="AC4338"/>
      <c r="AD4338"/>
      <c r="AE4338"/>
      <c r="AF4338"/>
      <c r="AG4338"/>
      <c r="AH4338"/>
      <c r="AI4338"/>
      <c r="AJ4338"/>
      <c r="AK4338"/>
      <c r="AL4338"/>
      <c r="AM4338"/>
      <c r="AN4338"/>
      <c r="AO4338"/>
    </row>
    <row r="4339" spans="1:41" ht="15">
      <c r="A4339"/>
      <c r="B4339"/>
      <c r="C4339" s="137"/>
      <c r="D4339" s="30"/>
      <c r="E4339" s="30"/>
      <c r="F4339" s="10"/>
      <c r="G4339" s="10"/>
      <c r="H4339" s="15"/>
      <c r="I4339" s="15"/>
      <c r="J4339" s="15"/>
      <c r="K4339" s="15"/>
      <c r="L4339" s="15"/>
      <c r="M4339" s="15"/>
      <c r="N4339" s="15"/>
      <c r="O4339" s="15"/>
      <c r="P4339" s="15"/>
      <c r="Q4339" s="71"/>
      <c r="R4339" s="84"/>
      <c r="S4339" s="10"/>
      <c r="T4339" s="10"/>
      <c r="U4339" s="10"/>
      <c r="V4339" s="10"/>
      <c r="W4339" s="138"/>
      <c r="Y4339"/>
      <c r="Z4339"/>
      <c r="AA4339"/>
      <c r="AB4339"/>
      <c r="AC4339"/>
      <c r="AD4339"/>
      <c r="AE4339"/>
      <c r="AF4339"/>
      <c r="AG4339"/>
      <c r="AH4339"/>
      <c r="AI4339"/>
      <c r="AJ4339"/>
      <c r="AK4339"/>
      <c r="AL4339"/>
      <c r="AM4339"/>
      <c r="AN4339"/>
      <c r="AO4339"/>
    </row>
    <row r="4340" spans="1:41" ht="15">
      <c r="A4340"/>
      <c r="B4340"/>
      <c r="C4340" s="137"/>
      <c r="D4340" s="30"/>
      <c r="E4340" s="30"/>
      <c r="F4340" s="10"/>
      <c r="G4340" s="10"/>
      <c r="H4340" s="15"/>
      <c r="I4340" s="15"/>
      <c r="J4340" s="15"/>
      <c r="K4340" s="15"/>
      <c r="L4340" s="15"/>
      <c r="M4340" s="15"/>
      <c r="N4340" s="15"/>
      <c r="O4340" s="15"/>
      <c r="P4340" s="15"/>
      <c r="Q4340" s="71"/>
      <c r="R4340" s="84"/>
      <c r="S4340" s="10"/>
      <c r="T4340" s="10"/>
      <c r="U4340" s="10"/>
      <c r="V4340" s="10"/>
      <c r="W4340" s="138"/>
      <c r="Y4340"/>
      <c r="Z4340"/>
      <c r="AA4340"/>
      <c r="AB4340"/>
      <c r="AC4340"/>
      <c r="AD4340"/>
      <c r="AE4340"/>
      <c r="AF4340"/>
      <c r="AG4340"/>
      <c r="AH4340"/>
      <c r="AI4340"/>
      <c r="AJ4340"/>
      <c r="AK4340"/>
      <c r="AL4340"/>
      <c r="AM4340"/>
      <c r="AN4340"/>
      <c r="AO4340"/>
    </row>
    <row r="4341" spans="1:41" ht="15">
      <c r="A4341"/>
      <c r="B4341"/>
      <c r="C4341" s="137"/>
      <c r="D4341" s="30"/>
      <c r="E4341" s="30"/>
      <c r="F4341" s="10"/>
      <c r="G4341" s="10"/>
      <c r="H4341" s="15"/>
      <c r="I4341" s="15"/>
      <c r="J4341" s="15"/>
      <c r="K4341" s="15"/>
      <c r="L4341" s="15"/>
      <c r="M4341" s="15"/>
      <c r="N4341" s="15"/>
      <c r="O4341" s="15"/>
      <c r="P4341" s="15"/>
      <c r="Q4341" s="71"/>
      <c r="R4341" s="84"/>
      <c r="S4341" s="10"/>
      <c r="T4341" s="10"/>
      <c r="U4341" s="10"/>
      <c r="V4341" s="10"/>
      <c r="W4341" s="138"/>
      <c r="Y4341"/>
      <c r="Z4341"/>
      <c r="AA4341"/>
      <c r="AB4341"/>
      <c r="AC4341"/>
      <c r="AD4341"/>
      <c r="AE4341"/>
      <c r="AF4341"/>
      <c r="AG4341"/>
      <c r="AH4341"/>
      <c r="AI4341"/>
      <c r="AJ4341"/>
      <c r="AK4341"/>
      <c r="AL4341"/>
      <c r="AM4341"/>
      <c r="AN4341"/>
      <c r="AO4341"/>
    </row>
    <row r="4342" spans="1:41" ht="15">
      <c r="A4342"/>
      <c r="B4342"/>
      <c r="C4342" s="137"/>
      <c r="D4342" s="30"/>
      <c r="E4342" s="30"/>
      <c r="F4342" s="10"/>
      <c r="G4342" s="10"/>
      <c r="H4342" s="15"/>
      <c r="I4342" s="15"/>
      <c r="J4342" s="15"/>
      <c r="K4342" s="15"/>
      <c r="L4342" s="15"/>
      <c r="M4342" s="15"/>
      <c r="N4342" s="15"/>
      <c r="O4342" s="15"/>
      <c r="P4342" s="15"/>
      <c r="Q4342" s="71"/>
      <c r="R4342" s="84"/>
      <c r="S4342" s="10"/>
      <c r="T4342" s="10"/>
      <c r="U4342" s="10"/>
      <c r="V4342" s="10"/>
      <c r="W4342" s="138"/>
      <c r="Y4342"/>
      <c r="Z4342"/>
      <c r="AA4342"/>
      <c r="AB4342"/>
      <c r="AC4342"/>
      <c r="AD4342"/>
      <c r="AE4342"/>
      <c r="AF4342"/>
      <c r="AG4342"/>
      <c r="AH4342"/>
      <c r="AI4342"/>
      <c r="AJ4342"/>
      <c r="AK4342"/>
      <c r="AL4342"/>
      <c r="AM4342"/>
      <c r="AN4342"/>
      <c r="AO4342"/>
    </row>
    <row r="4343" spans="1:41" ht="15">
      <c r="A4343"/>
      <c r="B4343"/>
      <c r="C4343" s="137"/>
      <c r="D4343" s="30"/>
      <c r="E4343" s="30"/>
      <c r="F4343" s="10"/>
      <c r="G4343" s="10"/>
      <c r="H4343" s="15"/>
      <c r="I4343" s="15"/>
      <c r="J4343" s="15"/>
      <c r="K4343" s="15"/>
      <c r="L4343" s="15"/>
      <c r="M4343" s="15"/>
      <c r="N4343" s="15"/>
      <c r="O4343" s="15"/>
      <c r="P4343" s="15"/>
      <c r="Q4343" s="71"/>
      <c r="R4343" s="84"/>
      <c r="S4343" s="10"/>
      <c r="T4343" s="10"/>
      <c r="U4343" s="10"/>
      <c r="V4343" s="10"/>
      <c r="W4343" s="138"/>
      <c r="Y4343"/>
      <c r="Z4343"/>
      <c r="AA4343"/>
      <c r="AB4343"/>
      <c r="AC4343"/>
      <c r="AD4343"/>
      <c r="AE4343"/>
      <c r="AF4343"/>
      <c r="AG4343"/>
      <c r="AH4343"/>
      <c r="AI4343"/>
      <c r="AJ4343"/>
      <c r="AK4343"/>
      <c r="AL4343"/>
      <c r="AM4343"/>
      <c r="AN4343"/>
      <c r="AO4343"/>
    </row>
    <row r="4344" spans="1:41" ht="15">
      <c r="A4344"/>
      <c r="B4344"/>
      <c r="C4344" s="137"/>
      <c r="D4344" s="30"/>
      <c r="E4344" s="30"/>
      <c r="F4344" s="10"/>
      <c r="G4344" s="10"/>
      <c r="H4344" s="15"/>
      <c r="I4344" s="15"/>
      <c r="J4344" s="15"/>
      <c r="K4344" s="15"/>
      <c r="L4344" s="15"/>
      <c r="M4344" s="15"/>
      <c r="N4344" s="15"/>
      <c r="O4344" s="15"/>
      <c r="P4344" s="15"/>
      <c r="Q4344" s="71"/>
      <c r="R4344" s="84"/>
      <c r="S4344" s="10"/>
      <c r="T4344" s="10"/>
      <c r="U4344" s="10"/>
      <c r="V4344" s="10"/>
      <c r="W4344" s="138"/>
      <c r="Y4344"/>
      <c r="Z4344"/>
      <c r="AA4344"/>
      <c r="AB4344"/>
      <c r="AC4344"/>
      <c r="AD4344"/>
      <c r="AE4344"/>
      <c r="AF4344"/>
      <c r="AG4344"/>
      <c r="AH4344"/>
      <c r="AI4344"/>
      <c r="AJ4344"/>
      <c r="AK4344"/>
      <c r="AL4344"/>
      <c r="AM4344"/>
      <c r="AN4344"/>
      <c r="AO4344"/>
    </row>
    <row r="4345" spans="1:41" ht="15">
      <c r="A4345"/>
      <c r="B4345"/>
      <c r="C4345" s="137"/>
      <c r="D4345" s="30"/>
      <c r="E4345" s="30"/>
      <c r="F4345" s="10"/>
      <c r="G4345" s="10"/>
      <c r="H4345" s="15"/>
      <c r="I4345" s="15"/>
      <c r="J4345" s="15"/>
      <c r="K4345" s="15"/>
      <c r="L4345" s="15"/>
      <c r="M4345" s="15"/>
      <c r="N4345" s="15"/>
      <c r="O4345" s="15"/>
      <c r="P4345" s="15"/>
      <c r="Q4345" s="71"/>
      <c r="R4345" s="84"/>
      <c r="S4345" s="10"/>
      <c r="T4345" s="10"/>
      <c r="U4345" s="10"/>
      <c r="V4345" s="10"/>
      <c r="W4345" s="138"/>
      <c r="Y4345"/>
      <c r="Z4345"/>
      <c r="AA4345"/>
      <c r="AB4345"/>
      <c r="AC4345"/>
      <c r="AD4345"/>
      <c r="AE4345"/>
      <c r="AF4345"/>
      <c r="AG4345"/>
      <c r="AH4345"/>
      <c r="AI4345"/>
      <c r="AJ4345"/>
      <c r="AK4345"/>
      <c r="AL4345"/>
      <c r="AM4345"/>
      <c r="AN4345"/>
      <c r="AO4345"/>
    </row>
    <row r="4346" spans="1:41" ht="15">
      <c r="A4346"/>
      <c r="B4346"/>
      <c r="C4346" s="137"/>
      <c r="D4346" s="30"/>
      <c r="E4346" s="30"/>
      <c r="F4346" s="10"/>
      <c r="G4346" s="10"/>
      <c r="H4346" s="15"/>
      <c r="I4346" s="15"/>
      <c r="J4346" s="15"/>
      <c r="K4346" s="15"/>
      <c r="L4346" s="15"/>
      <c r="M4346" s="15"/>
      <c r="N4346" s="15"/>
      <c r="O4346" s="15"/>
      <c r="P4346" s="15"/>
      <c r="Q4346" s="71"/>
      <c r="R4346" s="84"/>
      <c r="S4346" s="10"/>
      <c r="T4346" s="10"/>
      <c r="U4346" s="10"/>
      <c r="V4346" s="10"/>
      <c r="W4346" s="138"/>
      <c r="Y4346"/>
      <c r="Z4346"/>
      <c r="AA4346"/>
      <c r="AB4346"/>
      <c r="AC4346"/>
      <c r="AD4346"/>
      <c r="AE4346"/>
      <c r="AF4346"/>
      <c r="AG4346"/>
      <c r="AH4346"/>
      <c r="AI4346"/>
      <c r="AJ4346"/>
      <c r="AK4346"/>
      <c r="AL4346"/>
      <c r="AM4346"/>
      <c r="AN4346"/>
      <c r="AO4346"/>
    </row>
    <row r="4347" spans="1:41" ht="15">
      <c r="A4347"/>
      <c r="B4347"/>
      <c r="C4347" s="137"/>
      <c r="D4347" s="30"/>
      <c r="E4347" s="30"/>
      <c r="F4347" s="10"/>
      <c r="G4347" s="10"/>
      <c r="H4347" s="15"/>
      <c r="I4347" s="15"/>
      <c r="J4347" s="15"/>
      <c r="K4347" s="15"/>
      <c r="L4347" s="15"/>
      <c r="M4347" s="15"/>
      <c r="N4347" s="15"/>
      <c r="O4347" s="15"/>
      <c r="P4347" s="15"/>
      <c r="Q4347" s="71"/>
      <c r="R4347" s="84"/>
      <c r="S4347" s="10"/>
      <c r="T4347" s="10"/>
      <c r="U4347" s="10"/>
      <c r="V4347" s="10"/>
      <c r="W4347" s="138"/>
      <c r="Y4347"/>
      <c r="Z4347"/>
      <c r="AA4347"/>
      <c r="AB4347"/>
      <c r="AC4347"/>
      <c r="AD4347"/>
      <c r="AE4347"/>
      <c r="AF4347"/>
      <c r="AG4347"/>
      <c r="AH4347"/>
      <c r="AI4347"/>
      <c r="AJ4347"/>
      <c r="AK4347"/>
      <c r="AL4347"/>
      <c r="AM4347"/>
      <c r="AN4347"/>
      <c r="AO4347"/>
    </row>
    <row r="4348" spans="1:41" ht="15">
      <c r="A4348"/>
      <c r="B4348"/>
      <c r="C4348" s="137"/>
      <c r="D4348" s="30"/>
      <c r="E4348" s="30"/>
      <c r="F4348" s="10"/>
      <c r="G4348" s="10"/>
      <c r="H4348" s="15"/>
      <c r="I4348" s="15"/>
      <c r="J4348" s="15"/>
      <c r="K4348" s="15"/>
      <c r="L4348" s="15"/>
      <c r="M4348" s="15"/>
      <c r="N4348" s="15"/>
      <c r="O4348" s="15"/>
      <c r="P4348" s="15"/>
      <c r="Q4348" s="71"/>
      <c r="R4348" s="84"/>
      <c r="S4348" s="10"/>
      <c r="T4348" s="10"/>
      <c r="U4348" s="10"/>
      <c r="V4348" s="10"/>
      <c r="W4348" s="138"/>
      <c r="Y4348"/>
      <c r="Z4348"/>
      <c r="AA4348"/>
      <c r="AB4348"/>
      <c r="AC4348"/>
      <c r="AD4348"/>
      <c r="AE4348"/>
      <c r="AF4348"/>
      <c r="AG4348"/>
      <c r="AH4348"/>
      <c r="AI4348"/>
      <c r="AJ4348"/>
      <c r="AK4348"/>
      <c r="AL4348"/>
      <c r="AM4348"/>
      <c r="AN4348"/>
      <c r="AO4348"/>
    </row>
    <row r="4349" spans="1:41" ht="15">
      <c r="A4349"/>
      <c r="B4349"/>
      <c r="C4349" s="137"/>
      <c r="D4349" s="30"/>
      <c r="E4349" s="30"/>
      <c r="F4349" s="10"/>
      <c r="G4349" s="10"/>
      <c r="H4349" s="15"/>
      <c r="I4349" s="15"/>
      <c r="J4349" s="15"/>
      <c r="K4349" s="15"/>
      <c r="L4349" s="15"/>
      <c r="M4349" s="15"/>
      <c r="N4349" s="15"/>
      <c r="O4349" s="15"/>
      <c r="P4349" s="15"/>
      <c r="Q4349" s="71"/>
      <c r="R4349" s="84"/>
      <c r="S4349" s="10"/>
      <c r="T4349" s="10"/>
      <c r="U4349" s="10"/>
      <c r="V4349" s="10"/>
      <c r="W4349" s="138"/>
      <c r="Y4349"/>
      <c r="Z4349"/>
      <c r="AA4349"/>
      <c r="AB4349"/>
      <c r="AC4349"/>
      <c r="AD4349"/>
      <c r="AE4349"/>
      <c r="AF4349"/>
      <c r="AG4349"/>
      <c r="AH4349"/>
      <c r="AI4349"/>
      <c r="AJ4349"/>
      <c r="AK4349"/>
      <c r="AL4349"/>
      <c r="AM4349"/>
      <c r="AN4349"/>
      <c r="AO4349"/>
    </row>
    <row r="4350" spans="1:41" ht="15">
      <c r="A4350"/>
      <c r="B4350"/>
      <c r="C4350" s="137"/>
      <c r="D4350" s="30"/>
      <c r="E4350" s="30"/>
      <c r="F4350" s="10"/>
      <c r="G4350" s="10"/>
      <c r="H4350" s="15"/>
      <c r="I4350" s="15"/>
      <c r="J4350" s="15"/>
      <c r="K4350" s="15"/>
      <c r="L4350" s="15"/>
      <c r="M4350" s="15"/>
      <c r="N4350" s="15"/>
      <c r="O4350" s="15"/>
      <c r="P4350" s="15"/>
      <c r="Q4350" s="71"/>
      <c r="R4350" s="84"/>
      <c r="S4350" s="10"/>
      <c r="T4350" s="10"/>
      <c r="U4350" s="10"/>
      <c r="V4350" s="10"/>
      <c r="W4350" s="138"/>
      <c r="Y4350"/>
      <c r="Z4350"/>
      <c r="AA4350"/>
      <c r="AB4350"/>
      <c r="AC4350"/>
      <c r="AD4350"/>
      <c r="AE4350"/>
      <c r="AF4350"/>
      <c r="AG4350"/>
      <c r="AH4350"/>
      <c r="AI4350"/>
      <c r="AJ4350"/>
      <c r="AK4350"/>
      <c r="AL4350"/>
      <c r="AM4350"/>
      <c r="AN4350"/>
      <c r="AO4350"/>
    </row>
    <row r="4351" spans="1:41" ht="15">
      <c r="A4351"/>
      <c r="B4351"/>
      <c r="C4351" s="137"/>
      <c r="D4351" s="30"/>
      <c r="E4351" s="30"/>
      <c r="F4351" s="10"/>
      <c r="G4351" s="10"/>
      <c r="H4351" s="15"/>
      <c r="I4351" s="15"/>
      <c r="J4351" s="15"/>
      <c r="K4351" s="15"/>
      <c r="L4351" s="15"/>
      <c r="M4351" s="15"/>
      <c r="N4351" s="15"/>
      <c r="O4351" s="15"/>
      <c r="P4351" s="15"/>
      <c r="Q4351" s="71"/>
      <c r="R4351" s="84"/>
      <c r="S4351" s="10"/>
      <c r="T4351" s="10"/>
      <c r="U4351" s="10"/>
      <c r="V4351" s="10"/>
      <c r="W4351" s="138"/>
      <c r="Y4351"/>
      <c r="Z4351"/>
      <c r="AA4351"/>
      <c r="AB4351"/>
      <c r="AC4351"/>
      <c r="AD4351"/>
      <c r="AE4351"/>
      <c r="AF4351"/>
      <c r="AG4351"/>
      <c r="AH4351"/>
      <c r="AI4351"/>
      <c r="AJ4351"/>
      <c r="AK4351"/>
      <c r="AL4351"/>
      <c r="AM4351"/>
      <c r="AN4351"/>
      <c r="AO4351"/>
    </row>
    <row r="4352" spans="1:41" ht="15">
      <c r="A4352"/>
      <c r="B4352"/>
      <c r="C4352" s="137"/>
      <c r="D4352" s="30"/>
      <c r="E4352" s="30"/>
      <c r="F4352" s="10"/>
      <c r="G4352" s="10"/>
      <c r="H4352" s="15"/>
      <c r="I4352" s="15"/>
      <c r="J4352" s="15"/>
      <c r="K4352" s="15"/>
      <c r="L4352" s="15"/>
      <c r="M4352" s="15"/>
      <c r="N4352" s="15"/>
      <c r="O4352" s="15"/>
      <c r="P4352" s="15"/>
      <c r="Q4352" s="71"/>
      <c r="R4352" s="84"/>
      <c r="S4352" s="10"/>
      <c r="T4352" s="10"/>
      <c r="U4352" s="10"/>
      <c r="V4352" s="10"/>
      <c r="W4352" s="138"/>
      <c r="Y4352"/>
      <c r="Z4352"/>
      <c r="AA4352"/>
      <c r="AB4352"/>
      <c r="AC4352"/>
      <c r="AD4352"/>
      <c r="AE4352"/>
      <c r="AF4352"/>
      <c r="AG4352"/>
      <c r="AH4352"/>
      <c r="AI4352"/>
      <c r="AJ4352"/>
      <c r="AK4352"/>
      <c r="AL4352"/>
      <c r="AM4352"/>
      <c r="AN4352"/>
      <c r="AO4352"/>
    </row>
    <row r="4353" spans="1:41" ht="15">
      <c r="A4353"/>
      <c r="B4353"/>
      <c r="C4353" s="137"/>
      <c r="D4353" s="30"/>
      <c r="E4353" s="30"/>
      <c r="F4353" s="10"/>
      <c r="G4353" s="10"/>
      <c r="H4353" s="15"/>
      <c r="I4353" s="15"/>
      <c r="J4353" s="15"/>
      <c r="K4353" s="15"/>
      <c r="L4353" s="15"/>
      <c r="M4353" s="15"/>
      <c r="N4353" s="15"/>
      <c r="O4353" s="15"/>
      <c r="P4353" s="15"/>
      <c r="Q4353" s="71"/>
      <c r="R4353" s="84"/>
      <c r="S4353" s="10"/>
      <c r="T4353" s="10"/>
      <c r="U4353" s="10"/>
      <c r="V4353" s="10"/>
      <c r="W4353" s="138"/>
      <c r="Y4353"/>
      <c r="Z4353"/>
      <c r="AA4353"/>
      <c r="AB4353"/>
      <c r="AC4353"/>
      <c r="AD4353"/>
      <c r="AE4353"/>
      <c r="AF4353"/>
      <c r="AG4353"/>
      <c r="AH4353"/>
      <c r="AI4353"/>
      <c r="AJ4353"/>
      <c r="AK4353"/>
      <c r="AL4353"/>
      <c r="AM4353"/>
      <c r="AN4353"/>
      <c r="AO4353"/>
    </row>
    <row r="4354" spans="1:41" ht="15">
      <c r="A4354"/>
      <c r="B4354"/>
      <c r="C4354" s="137"/>
      <c r="D4354" s="30"/>
      <c r="E4354" s="30"/>
      <c r="F4354" s="10"/>
      <c r="G4354" s="10"/>
      <c r="H4354" s="15"/>
      <c r="I4354" s="15"/>
      <c r="J4354" s="15"/>
      <c r="K4354" s="15"/>
      <c r="L4354" s="15"/>
      <c r="M4354" s="15"/>
      <c r="N4354" s="15"/>
      <c r="O4354" s="15"/>
      <c r="P4354" s="15"/>
      <c r="Q4354" s="71"/>
      <c r="R4354" s="84"/>
      <c r="S4354" s="10"/>
      <c r="T4354" s="10"/>
      <c r="U4354" s="10"/>
      <c r="V4354" s="10"/>
      <c r="W4354" s="138"/>
      <c r="Y4354"/>
      <c r="Z4354"/>
      <c r="AA4354"/>
      <c r="AB4354"/>
      <c r="AC4354"/>
      <c r="AD4354"/>
      <c r="AE4354"/>
      <c r="AF4354"/>
      <c r="AG4354"/>
      <c r="AH4354"/>
      <c r="AI4354"/>
      <c r="AJ4354"/>
      <c r="AK4354"/>
      <c r="AL4354"/>
      <c r="AM4354"/>
      <c r="AN4354"/>
      <c r="AO4354"/>
    </row>
    <row r="4355" spans="1:41" ht="15">
      <c r="A4355"/>
      <c r="B4355"/>
      <c r="C4355" s="137"/>
      <c r="D4355" s="30"/>
      <c r="E4355" s="30"/>
      <c r="F4355" s="10"/>
      <c r="G4355" s="10"/>
      <c r="H4355" s="15"/>
      <c r="I4355" s="15"/>
      <c r="J4355" s="15"/>
      <c r="K4355" s="15"/>
      <c r="L4355" s="15"/>
      <c r="M4355" s="15"/>
      <c r="N4355" s="15"/>
      <c r="O4355" s="15"/>
      <c r="P4355" s="15"/>
      <c r="Q4355" s="71"/>
      <c r="R4355" s="84"/>
      <c r="S4355" s="10"/>
      <c r="T4355" s="10"/>
      <c r="U4355" s="10"/>
      <c r="V4355" s="10"/>
      <c r="W4355" s="138"/>
      <c r="Y4355"/>
      <c r="Z4355"/>
      <c r="AA4355"/>
      <c r="AB4355"/>
      <c r="AC4355"/>
      <c r="AD4355"/>
      <c r="AE4355"/>
      <c r="AF4355"/>
      <c r="AG4355"/>
      <c r="AH4355"/>
      <c r="AI4355"/>
      <c r="AJ4355"/>
      <c r="AK4355"/>
      <c r="AL4355"/>
      <c r="AM4355"/>
      <c r="AN4355"/>
      <c r="AO4355"/>
    </row>
    <row r="4356" spans="1:41" ht="15">
      <c r="A4356"/>
      <c r="B4356"/>
      <c r="C4356" s="137"/>
      <c r="D4356" s="30"/>
      <c r="E4356" s="30"/>
      <c r="F4356" s="10"/>
      <c r="G4356" s="10"/>
      <c r="H4356" s="15"/>
      <c r="I4356" s="15"/>
      <c r="J4356" s="15"/>
      <c r="K4356" s="15"/>
      <c r="L4356" s="15"/>
      <c r="M4356" s="15"/>
      <c r="N4356" s="15"/>
      <c r="O4356" s="15"/>
      <c r="P4356" s="15"/>
      <c r="Q4356" s="71"/>
      <c r="R4356" s="84"/>
      <c r="S4356" s="10"/>
      <c r="T4356" s="10"/>
      <c r="U4356" s="10"/>
      <c r="V4356" s="10"/>
      <c r="W4356" s="138"/>
      <c r="Y4356"/>
      <c r="Z4356"/>
      <c r="AA4356"/>
      <c r="AB4356"/>
      <c r="AC4356"/>
      <c r="AD4356"/>
      <c r="AE4356"/>
      <c r="AF4356"/>
      <c r="AG4356"/>
      <c r="AH4356"/>
      <c r="AI4356"/>
      <c r="AJ4356"/>
      <c r="AK4356"/>
      <c r="AL4356"/>
      <c r="AM4356"/>
      <c r="AN4356"/>
      <c r="AO4356"/>
    </row>
    <row r="4357" spans="1:41" ht="15">
      <c r="A4357"/>
      <c r="B4357"/>
      <c r="C4357" s="137"/>
      <c r="D4357" s="30"/>
      <c r="E4357" s="30"/>
      <c r="F4357" s="10"/>
      <c r="G4357" s="10"/>
      <c r="H4357" s="15"/>
      <c r="I4357" s="15"/>
      <c r="J4357" s="15"/>
      <c r="K4357" s="15"/>
      <c r="L4357" s="15"/>
      <c r="M4357" s="15"/>
      <c r="N4357" s="15"/>
      <c r="O4357" s="15"/>
      <c r="P4357" s="15"/>
      <c r="Q4357" s="71"/>
      <c r="R4357" s="84"/>
      <c r="S4357" s="10"/>
      <c r="T4357" s="10"/>
      <c r="U4357" s="10"/>
      <c r="V4357" s="10"/>
      <c r="W4357" s="138"/>
      <c r="Y4357"/>
      <c r="Z4357"/>
      <c r="AA4357"/>
      <c r="AB4357"/>
      <c r="AC4357"/>
      <c r="AD4357"/>
      <c r="AE4357"/>
      <c r="AF4357"/>
      <c r="AG4357"/>
      <c r="AH4357"/>
      <c r="AI4357"/>
      <c r="AJ4357"/>
      <c r="AK4357"/>
      <c r="AL4357"/>
      <c r="AM4357"/>
      <c r="AN4357"/>
      <c r="AO4357"/>
    </row>
    <row r="4358" spans="1:41" ht="15">
      <c r="A4358"/>
      <c r="B4358"/>
      <c r="C4358" s="137"/>
      <c r="D4358" s="30"/>
      <c r="E4358" s="30"/>
      <c r="F4358" s="10"/>
      <c r="G4358" s="10"/>
      <c r="H4358" s="15"/>
      <c r="I4358" s="15"/>
      <c r="J4358" s="15"/>
      <c r="K4358" s="15"/>
      <c r="L4358" s="15"/>
      <c r="M4358" s="15"/>
      <c r="N4358" s="15"/>
      <c r="O4358" s="15"/>
      <c r="P4358" s="15"/>
      <c r="Q4358" s="71"/>
      <c r="R4358" s="84"/>
      <c r="S4358" s="10"/>
      <c r="T4358" s="10"/>
      <c r="U4358" s="10"/>
      <c r="V4358" s="10"/>
      <c r="W4358" s="138"/>
      <c r="Y4358"/>
      <c r="Z4358"/>
      <c r="AA4358"/>
      <c r="AB4358"/>
      <c r="AC4358"/>
      <c r="AD4358"/>
      <c r="AE4358"/>
      <c r="AF4358"/>
      <c r="AG4358"/>
      <c r="AH4358"/>
      <c r="AI4358"/>
      <c r="AJ4358"/>
      <c r="AK4358"/>
      <c r="AL4358"/>
      <c r="AM4358"/>
      <c r="AN4358"/>
      <c r="AO4358"/>
    </row>
    <row r="4359" spans="1:41" ht="15">
      <c r="A4359"/>
      <c r="B4359"/>
      <c r="C4359" s="137"/>
      <c r="D4359" s="30"/>
      <c r="E4359" s="30"/>
      <c r="F4359" s="10"/>
      <c r="G4359" s="10"/>
      <c r="H4359" s="15"/>
      <c r="I4359" s="15"/>
      <c r="J4359" s="15"/>
      <c r="K4359" s="15"/>
      <c r="L4359" s="15"/>
      <c r="M4359" s="15"/>
      <c r="N4359" s="15"/>
      <c r="O4359" s="15"/>
      <c r="P4359" s="15"/>
      <c r="Q4359" s="71"/>
      <c r="R4359" s="84"/>
      <c r="S4359" s="10"/>
      <c r="T4359" s="10"/>
      <c r="U4359" s="10"/>
      <c r="V4359" s="10"/>
      <c r="W4359" s="138"/>
      <c r="Y4359"/>
      <c r="Z4359"/>
      <c r="AA4359"/>
      <c r="AB4359"/>
      <c r="AC4359"/>
      <c r="AD4359"/>
      <c r="AE4359"/>
      <c r="AF4359"/>
      <c r="AG4359"/>
      <c r="AH4359"/>
      <c r="AI4359"/>
      <c r="AJ4359"/>
      <c r="AK4359"/>
      <c r="AL4359"/>
      <c r="AM4359"/>
      <c r="AN4359"/>
      <c r="AO4359"/>
    </row>
    <row r="4360" spans="1:41" ht="15">
      <c r="A4360"/>
      <c r="B4360"/>
      <c r="C4360" s="137"/>
      <c r="D4360" s="30"/>
      <c r="E4360" s="30"/>
      <c r="F4360" s="10"/>
      <c r="G4360" s="10"/>
      <c r="H4360" s="15"/>
      <c r="I4360" s="15"/>
      <c r="J4360" s="15"/>
      <c r="K4360" s="15"/>
      <c r="L4360" s="15"/>
      <c r="M4360" s="15"/>
      <c r="N4360" s="15"/>
      <c r="O4360" s="15"/>
      <c r="P4360" s="15"/>
      <c r="Q4360" s="71"/>
      <c r="R4360" s="84"/>
      <c r="S4360" s="10"/>
      <c r="T4360" s="10"/>
      <c r="U4360" s="10"/>
      <c r="V4360" s="10"/>
      <c r="W4360" s="138"/>
      <c r="Y4360"/>
      <c r="Z4360"/>
      <c r="AA4360"/>
      <c r="AB4360"/>
      <c r="AC4360"/>
      <c r="AD4360"/>
      <c r="AE4360"/>
      <c r="AF4360"/>
      <c r="AG4360"/>
      <c r="AH4360"/>
      <c r="AI4360"/>
      <c r="AJ4360"/>
      <c r="AK4360"/>
      <c r="AL4360"/>
      <c r="AM4360"/>
      <c r="AN4360"/>
      <c r="AO4360"/>
    </row>
    <row r="4361" spans="1:41" ht="15">
      <c r="A4361"/>
      <c r="B4361"/>
      <c r="C4361" s="137"/>
      <c r="D4361" s="30"/>
      <c r="E4361" s="30"/>
      <c r="F4361" s="10"/>
      <c r="G4361" s="10"/>
      <c r="H4361" s="15"/>
      <c r="I4361" s="15"/>
      <c r="J4361" s="15"/>
      <c r="K4361" s="15"/>
      <c r="L4361" s="15"/>
      <c r="M4361" s="15"/>
      <c r="N4361" s="15"/>
      <c r="O4361" s="15"/>
      <c r="P4361" s="15"/>
      <c r="Q4361" s="71"/>
      <c r="R4361" s="84"/>
      <c r="S4361" s="10"/>
      <c r="T4361" s="10"/>
      <c r="U4361" s="10"/>
      <c r="V4361" s="10"/>
      <c r="W4361" s="138"/>
      <c r="Y4361"/>
      <c r="Z4361"/>
      <c r="AA4361"/>
      <c r="AB4361"/>
      <c r="AC4361"/>
      <c r="AD4361"/>
      <c r="AE4361"/>
      <c r="AF4361"/>
      <c r="AG4361"/>
      <c r="AH4361"/>
      <c r="AI4361"/>
      <c r="AJ4361"/>
      <c r="AK4361"/>
      <c r="AL4361"/>
      <c r="AM4361"/>
      <c r="AN4361"/>
      <c r="AO4361"/>
    </row>
    <row r="4362" spans="1:41" ht="15">
      <c r="A4362"/>
      <c r="B4362"/>
      <c r="C4362" s="137"/>
      <c r="D4362" s="30"/>
      <c r="E4362" s="30"/>
      <c r="F4362" s="10"/>
      <c r="G4362" s="10"/>
      <c r="H4362" s="15"/>
      <c r="I4362" s="15"/>
      <c r="J4362" s="15"/>
      <c r="K4362" s="15"/>
      <c r="L4362" s="15"/>
      <c r="M4362" s="15"/>
      <c r="N4362" s="15"/>
      <c r="O4362" s="15"/>
      <c r="P4362" s="15"/>
      <c r="Q4362" s="71"/>
      <c r="R4362" s="84"/>
      <c r="S4362" s="10"/>
      <c r="T4362" s="10"/>
      <c r="U4362" s="10"/>
      <c r="V4362" s="10"/>
      <c r="W4362" s="138"/>
      <c r="Y4362"/>
      <c r="Z4362"/>
      <c r="AA4362"/>
      <c r="AB4362"/>
      <c r="AC4362"/>
      <c r="AD4362"/>
      <c r="AE4362"/>
      <c r="AF4362"/>
      <c r="AG4362"/>
      <c r="AH4362"/>
      <c r="AI4362"/>
      <c r="AJ4362"/>
      <c r="AK4362"/>
      <c r="AL4362"/>
      <c r="AM4362"/>
      <c r="AN4362"/>
      <c r="AO4362"/>
    </row>
    <row r="4363" spans="1:41" ht="15">
      <c r="A4363"/>
      <c r="B4363"/>
      <c r="C4363" s="137"/>
      <c r="D4363" s="30"/>
      <c r="E4363" s="30"/>
      <c r="F4363" s="10"/>
      <c r="G4363" s="10"/>
      <c r="H4363" s="15"/>
      <c r="I4363" s="15"/>
      <c r="J4363" s="15"/>
      <c r="K4363" s="15"/>
      <c r="L4363" s="15"/>
      <c r="M4363" s="15"/>
      <c r="N4363" s="15"/>
      <c r="O4363" s="15"/>
      <c r="P4363" s="15"/>
      <c r="Q4363" s="71"/>
      <c r="R4363" s="84"/>
      <c r="S4363" s="10"/>
      <c r="T4363" s="10"/>
      <c r="U4363" s="10"/>
      <c r="V4363" s="10"/>
      <c r="W4363" s="138"/>
      <c r="Y4363"/>
      <c r="Z4363"/>
      <c r="AA4363"/>
      <c r="AB4363"/>
      <c r="AC4363"/>
      <c r="AD4363"/>
      <c r="AE4363"/>
      <c r="AF4363"/>
      <c r="AG4363"/>
      <c r="AH4363"/>
      <c r="AI4363"/>
      <c r="AJ4363"/>
      <c r="AK4363"/>
      <c r="AL4363"/>
      <c r="AM4363"/>
      <c r="AN4363"/>
      <c r="AO4363"/>
    </row>
    <row r="4364" spans="1:41" ht="15">
      <c r="A4364"/>
      <c r="B4364"/>
      <c r="C4364" s="137"/>
      <c r="D4364" s="30"/>
      <c r="E4364" s="30"/>
      <c r="F4364" s="10"/>
      <c r="G4364" s="10"/>
      <c r="H4364" s="15"/>
      <c r="I4364" s="15"/>
      <c r="J4364" s="15"/>
      <c r="K4364" s="15"/>
      <c r="L4364" s="15"/>
      <c r="M4364" s="15"/>
      <c r="N4364" s="15"/>
      <c r="O4364" s="15"/>
      <c r="P4364" s="15"/>
      <c r="Q4364" s="71"/>
      <c r="R4364" s="84"/>
      <c r="S4364" s="10"/>
      <c r="T4364" s="10"/>
      <c r="U4364" s="10"/>
      <c r="V4364" s="10"/>
      <c r="W4364" s="138"/>
      <c r="Y4364"/>
      <c r="Z4364"/>
      <c r="AA4364"/>
      <c r="AB4364"/>
      <c r="AC4364"/>
      <c r="AD4364"/>
      <c r="AE4364"/>
      <c r="AF4364"/>
      <c r="AG4364"/>
      <c r="AH4364"/>
      <c r="AI4364"/>
      <c r="AJ4364"/>
      <c r="AK4364"/>
      <c r="AL4364"/>
      <c r="AM4364"/>
      <c r="AN4364"/>
      <c r="AO4364"/>
    </row>
    <row r="4365" spans="1:41" ht="15">
      <c r="A4365"/>
      <c r="B4365"/>
      <c r="C4365" s="137"/>
      <c r="D4365" s="30"/>
      <c r="E4365" s="30"/>
      <c r="F4365" s="10"/>
      <c r="G4365" s="10"/>
      <c r="H4365" s="15"/>
      <c r="I4365" s="15"/>
      <c r="J4365" s="15"/>
      <c r="K4365" s="15"/>
      <c r="L4365" s="15"/>
      <c r="M4365" s="15"/>
      <c r="N4365" s="15"/>
      <c r="O4365" s="15"/>
      <c r="P4365" s="15"/>
      <c r="Q4365" s="71"/>
      <c r="R4365" s="84"/>
      <c r="S4365" s="10"/>
      <c r="T4365" s="10"/>
      <c r="U4365" s="10"/>
      <c r="V4365" s="10"/>
      <c r="W4365" s="138"/>
      <c r="Y4365"/>
      <c r="Z4365"/>
      <c r="AA4365"/>
      <c r="AB4365"/>
      <c r="AC4365"/>
      <c r="AD4365"/>
      <c r="AE4365"/>
      <c r="AF4365"/>
      <c r="AG4365"/>
      <c r="AH4365"/>
      <c r="AI4365"/>
      <c r="AJ4365"/>
      <c r="AK4365"/>
      <c r="AL4365"/>
      <c r="AM4365"/>
      <c r="AN4365"/>
      <c r="AO4365"/>
    </row>
    <row r="4366" spans="1:41" ht="15">
      <c r="A4366"/>
      <c r="B4366"/>
      <c r="C4366" s="137"/>
      <c r="D4366" s="30"/>
      <c r="E4366" s="30"/>
      <c r="F4366" s="10"/>
      <c r="G4366" s="10"/>
      <c r="H4366" s="15"/>
      <c r="I4366" s="15"/>
      <c r="J4366" s="15"/>
      <c r="K4366" s="15"/>
      <c r="L4366" s="15"/>
      <c r="M4366" s="15"/>
      <c r="N4366" s="15"/>
      <c r="O4366" s="15"/>
      <c r="P4366" s="15"/>
      <c r="Q4366" s="71"/>
      <c r="R4366" s="84"/>
      <c r="S4366" s="10"/>
      <c r="T4366" s="10"/>
      <c r="U4366" s="10"/>
      <c r="V4366" s="10"/>
      <c r="W4366" s="138"/>
      <c r="Y4366"/>
      <c r="Z4366"/>
      <c r="AA4366"/>
      <c r="AB4366"/>
      <c r="AC4366"/>
      <c r="AD4366"/>
      <c r="AE4366"/>
      <c r="AF4366"/>
      <c r="AG4366"/>
      <c r="AH4366"/>
      <c r="AI4366"/>
      <c r="AJ4366"/>
      <c r="AK4366"/>
      <c r="AL4366"/>
      <c r="AM4366"/>
      <c r="AN4366"/>
      <c r="AO4366"/>
    </row>
    <row r="4367" spans="1:41" ht="15">
      <c r="A4367"/>
      <c r="B4367"/>
      <c r="C4367" s="137"/>
      <c r="D4367" s="30"/>
      <c r="E4367" s="30"/>
      <c r="F4367" s="10"/>
      <c r="G4367" s="10"/>
      <c r="H4367" s="15"/>
      <c r="I4367" s="15"/>
      <c r="J4367" s="15"/>
      <c r="K4367" s="15"/>
      <c r="L4367" s="15"/>
      <c r="M4367" s="15"/>
      <c r="N4367" s="15"/>
      <c r="O4367" s="15"/>
      <c r="P4367" s="15"/>
      <c r="Q4367" s="71"/>
      <c r="R4367" s="84"/>
      <c r="S4367" s="10"/>
      <c r="T4367" s="10"/>
      <c r="U4367" s="10"/>
      <c r="V4367" s="10"/>
      <c r="W4367" s="138"/>
      <c r="Y4367"/>
      <c r="Z4367"/>
      <c r="AA4367"/>
      <c r="AB4367"/>
      <c r="AC4367"/>
      <c r="AD4367"/>
      <c r="AE4367"/>
      <c r="AF4367"/>
      <c r="AG4367"/>
      <c r="AH4367"/>
      <c r="AI4367"/>
      <c r="AJ4367"/>
      <c r="AK4367"/>
      <c r="AL4367"/>
      <c r="AM4367"/>
      <c r="AN4367"/>
      <c r="AO4367"/>
    </row>
    <row r="4368" spans="1:41" ht="15">
      <c r="A4368"/>
      <c r="B4368"/>
      <c r="C4368" s="137"/>
      <c r="D4368" s="30"/>
      <c r="E4368" s="30"/>
      <c r="F4368" s="10"/>
      <c r="G4368" s="10"/>
      <c r="H4368" s="15"/>
      <c r="I4368" s="15"/>
      <c r="J4368" s="15"/>
      <c r="K4368" s="15"/>
      <c r="L4368" s="15"/>
      <c r="M4368" s="15"/>
      <c r="N4368" s="15"/>
      <c r="O4368" s="15"/>
      <c r="P4368" s="15"/>
      <c r="Q4368" s="71"/>
      <c r="R4368" s="84"/>
      <c r="S4368" s="10"/>
      <c r="T4368" s="10"/>
      <c r="U4368" s="10"/>
      <c r="V4368" s="10"/>
      <c r="W4368" s="138"/>
      <c r="Y4368"/>
      <c r="Z4368"/>
      <c r="AA4368"/>
      <c r="AB4368"/>
      <c r="AC4368"/>
      <c r="AD4368"/>
      <c r="AE4368"/>
      <c r="AF4368"/>
      <c r="AG4368"/>
      <c r="AH4368"/>
      <c r="AI4368"/>
      <c r="AJ4368"/>
      <c r="AK4368"/>
      <c r="AL4368"/>
      <c r="AM4368"/>
      <c r="AN4368"/>
      <c r="AO4368"/>
    </row>
    <row r="4369" spans="1:41" ht="15">
      <c r="A4369"/>
      <c r="B4369"/>
      <c r="C4369" s="137"/>
      <c r="D4369" s="30"/>
      <c r="E4369" s="30"/>
      <c r="F4369" s="10"/>
      <c r="G4369" s="10"/>
      <c r="H4369" s="15"/>
      <c r="I4369" s="15"/>
      <c r="J4369" s="15"/>
      <c r="K4369" s="15"/>
      <c r="L4369" s="15"/>
      <c r="M4369" s="15"/>
      <c r="N4369" s="15"/>
      <c r="O4369" s="15"/>
      <c r="P4369" s="15"/>
      <c r="Q4369" s="71"/>
      <c r="R4369" s="84"/>
      <c r="S4369" s="10"/>
      <c r="T4369" s="10"/>
      <c r="U4369" s="10"/>
      <c r="V4369" s="10"/>
      <c r="W4369" s="138"/>
      <c r="Y4369"/>
      <c r="Z4369"/>
      <c r="AA4369"/>
      <c r="AB4369"/>
      <c r="AC4369"/>
      <c r="AD4369"/>
      <c r="AE4369"/>
      <c r="AF4369"/>
      <c r="AG4369"/>
      <c r="AH4369"/>
      <c r="AI4369"/>
      <c r="AJ4369"/>
      <c r="AK4369"/>
      <c r="AL4369"/>
      <c r="AM4369"/>
      <c r="AN4369"/>
      <c r="AO4369"/>
    </row>
    <row r="4370" spans="1:41" ht="15">
      <c r="A4370"/>
      <c r="B4370"/>
      <c r="C4370" s="137"/>
      <c r="D4370" s="30"/>
      <c r="E4370" s="30"/>
      <c r="F4370" s="10"/>
      <c r="G4370" s="10"/>
      <c r="H4370" s="15"/>
      <c r="I4370" s="15"/>
      <c r="J4370" s="15"/>
      <c r="K4370" s="15"/>
      <c r="L4370" s="15"/>
      <c r="M4370" s="15"/>
      <c r="N4370" s="15"/>
      <c r="O4370" s="15"/>
      <c r="P4370" s="15"/>
      <c r="Q4370" s="71"/>
      <c r="R4370" s="84"/>
      <c r="S4370" s="10"/>
      <c r="T4370" s="10"/>
      <c r="U4370" s="10"/>
      <c r="V4370" s="10"/>
      <c r="W4370" s="138"/>
      <c r="Y4370"/>
      <c r="Z4370"/>
      <c r="AA4370"/>
      <c r="AB4370"/>
      <c r="AC4370"/>
      <c r="AD4370"/>
      <c r="AE4370"/>
      <c r="AF4370"/>
      <c r="AG4370"/>
      <c r="AH4370"/>
      <c r="AI4370"/>
      <c r="AJ4370"/>
      <c r="AK4370"/>
      <c r="AL4370"/>
      <c r="AM4370"/>
      <c r="AN4370"/>
      <c r="AO4370"/>
    </row>
    <row r="4371" spans="1:41" ht="15">
      <c r="A4371"/>
      <c r="B4371"/>
      <c r="C4371" s="137"/>
      <c r="D4371" s="30"/>
      <c r="E4371" s="30"/>
      <c r="F4371" s="10"/>
      <c r="G4371" s="10"/>
      <c r="H4371" s="15"/>
      <c r="I4371" s="15"/>
      <c r="J4371" s="15"/>
      <c r="K4371" s="15"/>
      <c r="L4371" s="15"/>
      <c r="M4371" s="15"/>
      <c r="N4371" s="15"/>
      <c r="O4371" s="15"/>
      <c r="P4371" s="15"/>
      <c r="Q4371" s="71"/>
      <c r="R4371" s="84"/>
      <c r="S4371" s="10"/>
      <c r="T4371" s="10"/>
      <c r="U4371" s="10"/>
      <c r="V4371" s="10"/>
      <c r="W4371" s="138"/>
      <c r="Y4371"/>
      <c r="Z4371"/>
      <c r="AA4371"/>
      <c r="AB4371"/>
      <c r="AC4371"/>
      <c r="AD4371"/>
      <c r="AE4371"/>
      <c r="AF4371"/>
      <c r="AG4371"/>
      <c r="AH4371"/>
      <c r="AI4371"/>
      <c r="AJ4371"/>
      <c r="AK4371"/>
      <c r="AL4371"/>
      <c r="AM4371"/>
      <c r="AN4371"/>
      <c r="AO4371"/>
    </row>
    <row r="4372" spans="1:41" ht="15">
      <c r="A4372"/>
      <c r="B4372"/>
      <c r="C4372" s="137"/>
      <c r="D4372" s="30"/>
      <c r="E4372" s="30"/>
      <c r="F4372" s="10"/>
      <c r="G4372" s="10"/>
      <c r="H4372" s="15"/>
      <c r="I4372" s="15"/>
      <c r="J4372" s="15"/>
      <c r="K4372" s="15"/>
      <c r="L4372" s="15"/>
      <c r="M4372" s="15"/>
      <c r="N4372" s="15"/>
      <c r="O4372" s="15"/>
      <c r="P4372" s="15"/>
      <c r="Q4372" s="71"/>
      <c r="R4372" s="84"/>
      <c r="S4372" s="10"/>
      <c r="T4372" s="10"/>
      <c r="U4372" s="10"/>
      <c r="V4372" s="10"/>
      <c r="W4372" s="138"/>
      <c r="Y4372"/>
      <c r="Z4372"/>
      <c r="AA4372"/>
      <c r="AB4372"/>
      <c r="AC4372"/>
      <c r="AD4372"/>
      <c r="AE4372"/>
      <c r="AF4372"/>
      <c r="AG4372"/>
      <c r="AH4372"/>
      <c r="AI4372"/>
      <c r="AJ4372"/>
      <c r="AK4372"/>
      <c r="AL4372"/>
      <c r="AM4372"/>
      <c r="AN4372"/>
      <c r="AO4372"/>
    </row>
    <row r="4373" spans="1:41" ht="15">
      <c r="A4373"/>
      <c r="B4373"/>
      <c r="C4373" s="137"/>
      <c r="D4373" s="30"/>
      <c r="E4373" s="30"/>
      <c r="F4373" s="10"/>
      <c r="G4373" s="10"/>
      <c r="H4373" s="15"/>
      <c r="I4373" s="15"/>
      <c r="J4373" s="15"/>
      <c r="K4373" s="15"/>
      <c r="L4373" s="15"/>
      <c r="M4373" s="15"/>
      <c r="N4373" s="15"/>
      <c r="O4373" s="15"/>
      <c r="P4373" s="15"/>
      <c r="Q4373" s="71"/>
      <c r="R4373" s="84"/>
      <c r="S4373" s="10"/>
      <c r="T4373" s="10"/>
      <c r="U4373" s="10"/>
      <c r="V4373" s="10"/>
      <c r="W4373" s="138"/>
      <c r="Y4373"/>
      <c r="Z4373"/>
      <c r="AA4373"/>
      <c r="AB4373"/>
      <c r="AC4373"/>
      <c r="AD4373"/>
      <c r="AE4373"/>
      <c r="AF4373"/>
      <c r="AG4373"/>
      <c r="AH4373"/>
      <c r="AI4373"/>
      <c r="AJ4373"/>
      <c r="AK4373"/>
      <c r="AL4373"/>
      <c r="AM4373"/>
      <c r="AN4373"/>
      <c r="AO4373"/>
    </row>
    <row r="4374" spans="1:41" ht="15">
      <c r="A4374"/>
      <c r="B4374"/>
      <c r="C4374" s="137"/>
      <c r="D4374" s="30"/>
      <c r="E4374" s="30"/>
      <c r="F4374" s="10"/>
      <c r="G4374" s="10"/>
      <c r="H4374" s="15"/>
      <c r="I4374" s="15"/>
      <c r="J4374" s="15"/>
      <c r="K4374" s="15"/>
      <c r="L4374" s="15"/>
      <c r="M4374" s="15"/>
      <c r="N4374" s="15"/>
      <c r="O4374" s="15"/>
      <c r="P4374" s="15"/>
      <c r="Q4374" s="71"/>
      <c r="R4374" s="84"/>
      <c r="S4374" s="10"/>
      <c r="T4374" s="10"/>
      <c r="U4374" s="10"/>
      <c r="V4374" s="10"/>
      <c r="W4374" s="138"/>
      <c r="Y4374"/>
      <c r="Z4374"/>
      <c r="AA4374"/>
      <c r="AB4374"/>
      <c r="AC4374"/>
      <c r="AD4374"/>
      <c r="AE4374"/>
      <c r="AF4374"/>
      <c r="AG4374"/>
      <c r="AH4374"/>
      <c r="AI4374"/>
      <c r="AJ4374"/>
      <c r="AK4374"/>
      <c r="AL4374"/>
      <c r="AM4374"/>
      <c r="AN4374"/>
      <c r="AO4374"/>
    </row>
    <row r="4375" spans="1:41" ht="15">
      <c r="A4375"/>
      <c r="B4375"/>
      <c r="C4375" s="137"/>
      <c r="D4375" s="30"/>
      <c r="E4375" s="30"/>
      <c r="F4375" s="10"/>
      <c r="G4375" s="10"/>
      <c r="H4375" s="15"/>
      <c r="I4375" s="15"/>
      <c r="J4375" s="15"/>
      <c r="K4375" s="15"/>
      <c r="L4375" s="15"/>
      <c r="M4375" s="15"/>
      <c r="N4375" s="15"/>
      <c r="O4375" s="15"/>
      <c r="P4375" s="15"/>
      <c r="Q4375" s="71"/>
      <c r="R4375" s="84"/>
      <c r="S4375" s="10"/>
      <c r="T4375" s="10"/>
      <c r="U4375" s="10"/>
      <c r="V4375" s="10"/>
      <c r="W4375" s="138"/>
      <c r="Y4375"/>
      <c r="Z4375"/>
      <c r="AA4375"/>
      <c r="AB4375"/>
      <c r="AC4375"/>
      <c r="AD4375"/>
      <c r="AE4375"/>
      <c r="AF4375"/>
      <c r="AG4375"/>
      <c r="AH4375"/>
      <c r="AI4375"/>
      <c r="AJ4375"/>
      <c r="AK4375"/>
      <c r="AL4375"/>
      <c r="AM4375"/>
      <c r="AN4375"/>
      <c r="AO4375"/>
    </row>
    <row r="4376" spans="1:41" ht="15">
      <c r="A4376"/>
      <c r="B4376"/>
      <c r="C4376" s="137"/>
      <c r="D4376" s="30"/>
      <c r="E4376" s="30"/>
      <c r="F4376" s="10"/>
      <c r="G4376" s="10"/>
      <c r="H4376" s="15"/>
      <c r="I4376" s="15"/>
      <c r="J4376" s="15"/>
      <c r="K4376" s="15"/>
      <c r="L4376" s="15"/>
      <c r="M4376" s="15"/>
      <c r="N4376" s="15"/>
      <c r="O4376" s="15"/>
      <c r="P4376" s="15"/>
      <c r="Q4376" s="71"/>
      <c r="R4376" s="84"/>
      <c r="S4376" s="10"/>
      <c r="T4376" s="10"/>
      <c r="U4376" s="10"/>
      <c r="V4376" s="10"/>
      <c r="W4376" s="138"/>
      <c r="Y4376"/>
      <c r="Z4376"/>
      <c r="AA4376"/>
      <c r="AB4376"/>
      <c r="AC4376"/>
      <c r="AD4376"/>
      <c r="AE4376"/>
      <c r="AF4376"/>
      <c r="AG4376"/>
      <c r="AH4376"/>
      <c r="AI4376"/>
      <c r="AJ4376"/>
      <c r="AK4376"/>
      <c r="AL4376"/>
      <c r="AM4376"/>
      <c r="AN4376"/>
      <c r="AO4376"/>
    </row>
    <row r="4377" spans="1:41" ht="15">
      <c r="A4377"/>
      <c r="B4377"/>
      <c r="C4377" s="137"/>
      <c r="D4377" s="30"/>
      <c r="E4377" s="30"/>
      <c r="F4377" s="10"/>
      <c r="G4377" s="10"/>
      <c r="H4377" s="15"/>
      <c r="I4377" s="15"/>
      <c r="J4377" s="15"/>
      <c r="K4377" s="15"/>
      <c r="L4377" s="15"/>
      <c r="M4377" s="15"/>
      <c r="N4377" s="15"/>
      <c r="O4377" s="15"/>
      <c r="P4377" s="15"/>
      <c r="Q4377" s="71"/>
      <c r="R4377" s="84"/>
      <c r="S4377" s="10"/>
      <c r="T4377" s="10"/>
      <c r="U4377" s="10"/>
      <c r="V4377" s="10"/>
      <c r="W4377" s="138"/>
      <c r="Y4377"/>
      <c r="Z4377"/>
      <c r="AA4377"/>
      <c r="AB4377"/>
      <c r="AC4377"/>
      <c r="AD4377"/>
      <c r="AE4377"/>
      <c r="AF4377"/>
      <c r="AG4377"/>
      <c r="AH4377"/>
      <c r="AI4377"/>
      <c r="AJ4377"/>
      <c r="AK4377"/>
      <c r="AL4377"/>
      <c r="AM4377"/>
      <c r="AN4377"/>
      <c r="AO4377"/>
    </row>
    <row r="4378" spans="1:41" ht="15">
      <c r="A4378"/>
      <c r="B4378"/>
      <c r="C4378" s="137"/>
      <c r="D4378" s="30"/>
      <c r="E4378" s="30"/>
      <c r="F4378" s="10"/>
      <c r="G4378" s="10"/>
      <c r="H4378" s="15"/>
      <c r="I4378" s="15"/>
      <c r="J4378" s="15"/>
      <c r="K4378" s="15"/>
      <c r="L4378" s="15"/>
      <c r="M4378" s="15"/>
      <c r="N4378" s="15"/>
      <c r="O4378" s="15"/>
      <c r="P4378" s="15"/>
      <c r="Q4378" s="71"/>
      <c r="R4378" s="84"/>
      <c r="S4378" s="10"/>
      <c r="T4378" s="10"/>
      <c r="U4378" s="10"/>
      <c r="V4378" s="10"/>
      <c r="W4378" s="138"/>
      <c r="Y4378"/>
      <c r="Z4378"/>
      <c r="AA4378"/>
      <c r="AB4378"/>
      <c r="AC4378"/>
      <c r="AD4378"/>
      <c r="AE4378"/>
      <c r="AF4378"/>
      <c r="AG4378"/>
      <c r="AH4378"/>
      <c r="AI4378"/>
      <c r="AJ4378"/>
      <c r="AK4378"/>
      <c r="AL4378"/>
      <c r="AM4378"/>
      <c r="AN4378"/>
      <c r="AO4378"/>
    </row>
    <row r="4379" spans="1:41" ht="15">
      <c r="A4379"/>
      <c r="B4379"/>
      <c r="C4379" s="137"/>
      <c r="D4379" s="30"/>
      <c r="E4379" s="30"/>
      <c r="F4379" s="10"/>
      <c r="G4379" s="10"/>
      <c r="H4379" s="15"/>
      <c r="I4379" s="15"/>
      <c r="J4379" s="15"/>
      <c r="K4379" s="15"/>
      <c r="L4379" s="15"/>
      <c r="M4379" s="15"/>
      <c r="N4379" s="15"/>
      <c r="O4379" s="15"/>
      <c r="P4379" s="15"/>
      <c r="Q4379" s="71"/>
      <c r="R4379" s="84"/>
      <c r="S4379" s="10"/>
      <c r="T4379" s="10"/>
      <c r="U4379" s="10"/>
      <c r="V4379" s="10"/>
      <c r="W4379" s="138"/>
      <c r="Y4379"/>
      <c r="Z4379"/>
      <c r="AA4379"/>
      <c r="AB4379"/>
      <c r="AC4379"/>
      <c r="AD4379"/>
      <c r="AE4379"/>
      <c r="AF4379"/>
      <c r="AG4379"/>
      <c r="AH4379"/>
      <c r="AI4379"/>
      <c r="AJ4379"/>
      <c r="AK4379"/>
      <c r="AL4379"/>
      <c r="AM4379"/>
      <c r="AN4379"/>
      <c r="AO4379"/>
    </row>
    <row r="4380" spans="1:41" ht="15">
      <c r="A4380"/>
      <c r="B4380"/>
      <c r="C4380" s="137"/>
      <c r="D4380" s="30"/>
      <c r="E4380" s="30"/>
      <c r="F4380" s="10"/>
      <c r="G4380" s="10"/>
      <c r="H4380" s="15"/>
      <c r="I4380" s="15"/>
      <c r="J4380" s="15"/>
      <c r="K4380" s="15"/>
      <c r="L4380" s="15"/>
      <c r="M4380" s="15"/>
      <c r="N4380" s="15"/>
      <c r="O4380" s="15"/>
      <c r="P4380" s="15"/>
      <c r="Q4380" s="71"/>
      <c r="R4380" s="84"/>
      <c r="S4380" s="10"/>
      <c r="T4380" s="10"/>
      <c r="U4380" s="10"/>
      <c r="V4380" s="10"/>
      <c r="W4380" s="138"/>
      <c r="Y4380"/>
      <c r="Z4380"/>
      <c r="AA4380"/>
      <c r="AB4380"/>
      <c r="AC4380"/>
      <c r="AD4380"/>
      <c r="AE4380"/>
      <c r="AF4380"/>
      <c r="AG4380"/>
      <c r="AH4380"/>
      <c r="AI4380"/>
      <c r="AJ4380"/>
      <c r="AK4380"/>
      <c r="AL4380"/>
      <c r="AM4380"/>
      <c r="AN4380"/>
      <c r="AO4380"/>
    </row>
    <row r="4381" spans="1:41" ht="15">
      <c r="A4381"/>
      <c r="B4381"/>
      <c r="C4381" s="137"/>
      <c r="D4381" s="30"/>
      <c r="E4381" s="30"/>
      <c r="F4381" s="10"/>
      <c r="G4381" s="10"/>
      <c r="H4381" s="15"/>
      <c r="I4381" s="15"/>
      <c r="J4381" s="15"/>
      <c r="K4381" s="15"/>
      <c r="L4381" s="15"/>
      <c r="M4381" s="15"/>
      <c r="N4381" s="15"/>
      <c r="O4381" s="15"/>
      <c r="P4381" s="15"/>
      <c r="Q4381" s="71"/>
      <c r="R4381" s="84"/>
      <c r="S4381" s="10"/>
      <c r="T4381" s="10"/>
      <c r="U4381" s="10"/>
      <c r="V4381" s="10"/>
      <c r="W4381" s="138"/>
      <c r="Y4381"/>
      <c r="Z4381"/>
      <c r="AA4381"/>
      <c r="AB4381"/>
      <c r="AC4381"/>
      <c r="AD4381"/>
      <c r="AE4381"/>
      <c r="AF4381"/>
      <c r="AG4381"/>
      <c r="AH4381"/>
      <c r="AI4381"/>
      <c r="AJ4381"/>
      <c r="AK4381"/>
      <c r="AL4381"/>
      <c r="AM4381"/>
      <c r="AN4381"/>
      <c r="AO4381"/>
    </row>
    <row r="4382" spans="1:41" ht="15">
      <c r="A4382"/>
      <c r="B4382"/>
      <c r="C4382" s="137"/>
      <c r="D4382" s="30"/>
      <c r="E4382" s="30"/>
      <c r="F4382" s="10"/>
      <c r="G4382" s="10"/>
      <c r="H4382" s="15"/>
      <c r="I4382" s="15"/>
      <c r="J4382" s="15"/>
      <c r="K4382" s="15"/>
      <c r="L4382" s="15"/>
      <c r="M4382" s="15"/>
      <c r="N4382" s="15"/>
      <c r="O4382" s="15"/>
      <c r="P4382" s="15"/>
      <c r="Q4382" s="71"/>
      <c r="R4382" s="84"/>
      <c r="S4382" s="10"/>
      <c r="T4382" s="10"/>
      <c r="U4382" s="10"/>
      <c r="V4382" s="10"/>
      <c r="W4382" s="138"/>
      <c r="Y4382"/>
      <c r="Z4382"/>
      <c r="AA4382"/>
      <c r="AB4382"/>
      <c r="AC4382"/>
      <c r="AD4382"/>
      <c r="AE4382"/>
      <c r="AF4382"/>
      <c r="AG4382"/>
      <c r="AH4382"/>
      <c r="AI4382"/>
      <c r="AJ4382"/>
      <c r="AK4382"/>
      <c r="AL4382"/>
      <c r="AM4382"/>
      <c r="AN4382"/>
      <c r="AO4382"/>
    </row>
    <row r="4383" spans="1:41" ht="15">
      <c r="A4383"/>
      <c r="B4383"/>
      <c r="C4383" s="137"/>
      <c r="D4383" s="30"/>
      <c r="E4383" s="30"/>
      <c r="F4383" s="10"/>
      <c r="G4383" s="10"/>
      <c r="H4383" s="15"/>
      <c r="I4383" s="15"/>
      <c r="J4383" s="15"/>
      <c r="K4383" s="15"/>
      <c r="L4383" s="15"/>
      <c r="M4383" s="15"/>
      <c r="N4383" s="15"/>
      <c r="O4383" s="15"/>
      <c r="P4383" s="15"/>
      <c r="Q4383" s="71"/>
      <c r="R4383" s="84"/>
      <c r="S4383" s="10"/>
      <c r="T4383" s="10"/>
      <c r="U4383" s="10"/>
      <c r="V4383" s="10"/>
      <c r="W4383" s="138"/>
      <c r="Y4383"/>
      <c r="Z4383"/>
      <c r="AA4383"/>
      <c r="AB4383"/>
      <c r="AC4383"/>
      <c r="AD4383"/>
      <c r="AE4383"/>
      <c r="AF4383"/>
      <c r="AG4383"/>
      <c r="AH4383"/>
      <c r="AI4383"/>
      <c r="AJ4383"/>
      <c r="AK4383"/>
      <c r="AL4383"/>
      <c r="AM4383"/>
      <c r="AN4383"/>
      <c r="AO4383"/>
    </row>
    <row r="4384" spans="1:41" ht="15">
      <c r="A4384"/>
      <c r="B4384"/>
      <c r="C4384" s="137"/>
      <c r="D4384" s="30"/>
      <c r="E4384" s="30"/>
      <c r="F4384" s="10"/>
      <c r="G4384" s="10"/>
      <c r="H4384" s="15"/>
      <c r="I4384" s="15"/>
      <c r="J4384" s="15"/>
      <c r="K4384" s="15"/>
      <c r="L4384" s="15"/>
      <c r="M4384" s="15"/>
      <c r="N4384" s="15"/>
      <c r="O4384" s="15"/>
      <c r="P4384" s="15"/>
      <c r="Q4384" s="71"/>
      <c r="R4384" s="84"/>
      <c r="S4384" s="10"/>
      <c r="T4384" s="10"/>
      <c r="U4384" s="10"/>
      <c r="V4384" s="10"/>
      <c r="W4384" s="138"/>
      <c r="Y4384"/>
      <c r="Z4384"/>
      <c r="AA4384"/>
      <c r="AB4384"/>
      <c r="AC4384"/>
      <c r="AD4384"/>
      <c r="AE4384"/>
      <c r="AF4384"/>
      <c r="AG4384"/>
      <c r="AH4384"/>
      <c r="AI4384"/>
      <c r="AJ4384"/>
      <c r="AK4384"/>
      <c r="AL4384"/>
      <c r="AM4384"/>
      <c r="AN4384"/>
      <c r="AO4384"/>
    </row>
    <row r="4385" spans="1:41" ht="15">
      <c r="A4385"/>
      <c r="B4385"/>
      <c r="C4385" s="137"/>
      <c r="D4385" s="30"/>
      <c r="E4385" s="30"/>
      <c r="F4385" s="10"/>
      <c r="G4385" s="10"/>
      <c r="H4385" s="15"/>
      <c r="I4385" s="15"/>
      <c r="J4385" s="15"/>
      <c r="K4385" s="15"/>
      <c r="L4385" s="15"/>
      <c r="M4385" s="15"/>
      <c r="N4385" s="15"/>
      <c r="O4385" s="15"/>
      <c r="P4385" s="15"/>
      <c r="Q4385" s="71"/>
      <c r="R4385" s="84"/>
      <c r="S4385" s="10"/>
      <c r="T4385" s="10"/>
      <c r="U4385" s="10"/>
      <c r="V4385" s="10"/>
      <c r="W4385" s="138"/>
      <c r="Y4385"/>
      <c r="Z4385"/>
      <c r="AA4385"/>
      <c r="AB4385"/>
      <c r="AC4385"/>
      <c r="AD4385"/>
      <c r="AE4385"/>
      <c r="AF4385"/>
      <c r="AG4385"/>
      <c r="AH4385"/>
      <c r="AI4385"/>
      <c r="AJ4385"/>
      <c r="AK4385"/>
      <c r="AL4385"/>
      <c r="AM4385"/>
      <c r="AN4385"/>
      <c r="AO4385"/>
    </row>
    <row r="4386" spans="1:41" ht="15">
      <c r="A4386"/>
      <c r="B4386"/>
      <c r="C4386" s="137"/>
      <c r="D4386" s="30"/>
      <c r="E4386" s="30"/>
      <c r="F4386" s="10"/>
      <c r="G4386" s="10"/>
      <c r="H4386" s="15"/>
      <c r="I4386" s="15"/>
      <c r="J4386" s="15"/>
      <c r="K4386" s="15"/>
      <c r="L4386" s="15"/>
      <c r="M4386" s="15"/>
      <c r="N4386" s="15"/>
      <c r="O4386" s="15"/>
      <c r="P4386" s="15"/>
      <c r="Q4386" s="71"/>
      <c r="R4386" s="84"/>
      <c r="S4386" s="10"/>
      <c r="T4386" s="10"/>
      <c r="U4386" s="10"/>
      <c r="V4386" s="10"/>
      <c r="W4386" s="138"/>
      <c r="Y4386"/>
      <c r="Z4386"/>
      <c r="AA4386"/>
      <c r="AB4386"/>
      <c r="AC4386"/>
      <c r="AD4386"/>
      <c r="AE4386"/>
      <c r="AF4386"/>
      <c r="AG4386"/>
      <c r="AH4386"/>
      <c r="AI4386"/>
      <c r="AJ4386"/>
      <c r="AK4386"/>
      <c r="AL4386"/>
      <c r="AM4386"/>
      <c r="AN4386"/>
      <c r="AO4386"/>
    </row>
    <row r="4387" spans="1:41" ht="15">
      <c r="A4387"/>
      <c r="B4387"/>
      <c r="C4387" s="137"/>
      <c r="D4387" s="30"/>
      <c r="E4387" s="30"/>
      <c r="F4387" s="10"/>
      <c r="G4387" s="10"/>
      <c r="H4387" s="15"/>
      <c r="I4387" s="15"/>
      <c r="J4387" s="15"/>
      <c r="K4387" s="15"/>
      <c r="L4387" s="15"/>
      <c r="M4387" s="15"/>
      <c r="N4387" s="15"/>
      <c r="O4387" s="15"/>
      <c r="P4387" s="15"/>
      <c r="Q4387" s="71"/>
      <c r="R4387" s="84"/>
      <c r="S4387" s="10"/>
      <c r="T4387" s="10"/>
      <c r="U4387" s="10"/>
      <c r="V4387" s="10"/>
      <c r="W4387" s="138"/>
      <c r="Y4387"/>
      <c r="Z4387"/>
      <c r="AA4387"/>
      <c r="AB4387"/>
      <c r="AC4387"/>
      <c r="AD4387"/>
      <c r="AE4387"/>
      <c r="AF4387"/>
      <c r="AG4387"/>
      <c r="AH4387"/>
      <c r="AI4387"/>
      <c r="AJ4387"/>
      <c r="AK4387"/>
      <c r="AL4387"/>
      <c r="AM4387"/>
      <c r="AN4387"/>
      <c r="AO4387"/>
    </row>
    <row r="4388" spans="1:41" ht="15">
      <c r="A4388"/>
      <c r="B4388"/>
      <c r="C4388" s="137"/>
      <c r="D4388" s="30"/>
      <c r="E4388" s="30"/>
      <c r="F4388" s="10"/>
      <c r="G4388" s="10"/>
      <c r="H4388" s="15"/>
      <c r="I4388" s="15"/>
      <c r="J4388" s="15"/>
      <c r="K4388" s="15"/>
      <c r="L4388" s="15"/>
      <c r="M4388" s="15"/>
      <c r="N4388" s="15"/>
      <c r="O4388" s="15"/>
      <c r="P4388" s="15"/>
      <c r="Q4388" s="71"/>
      <c r="R4388" s="84"/>
      <c r="S4388" s="10"/>
      <c r="T4388" s="10"/>
      <c r="U4388" s="10"/>
      <c r="V4388" s="10"/>
      <c r="W4388" s="138"/>
      <c r="Y4388"/>
      <c r="Z4388"/>
      <c r="AA4388"/>
      <c r="AB4388"/>
      <c r="AC4388"/>
      <c r="AD4388"/>
      <c r="AE4388"/>
      <c r="AF4388"/>
      <c r="AG4388"/>
      <c r="AH4388"/>
      <c r="AI4388"/>
      <c r="AJ4388"/>
      <c r="AK4388"/>
      <c r="AL4388"/>
      <c r="AM4388"/>
      <c r="AN4388"/>
      <c r="AO4388"/>
    </row>
    <row r="4389" spans="1:41" ht="15">
      <c r="A4389"/>
      <c r="B4389"/>
      <c r="C4389" s="137"/>
      <c r="D4389" s="30"/>
      <c r="E4389" s="30"/>
      <c r="F4389" s="10"/>
      <c r="G4389" s="10"/>
      <c r="H4389" s="15"/>
      <c r="I4389" s="15"/>
      <c r="J4389" s="15"/>
      <c r="K4389" s="15"/>
      <c r="L4389" s="15"/>
      <c r="M4389" s="15"/>
      <c r="N4389" s="15"/>
      <c r="O4389" s="15"/>
      <c r="P4389" s="15"/>
      <c r="Q4389" s="71"/>
      <c r="R4389" s="84"/>
      <c r="S4389" s="10"/>
      <c r="T4389" s="10"/>
      <c r="U4389" s="10"/>
      <c r="V4389" s="10"/>
      <c r="W4389" s="138"/>
      <c r="Y4389"/>
      <c r="Z4389"/>
      <c r="AA4389"/>
      <c r="AB4389"/>
      <c r="AC4389"/>
      <c r="AD4389"/>
      <c r="AE4389"/>
      <c r="AF4389"/>
      <c r="AG4389"/>
      <c r="AH4389"/>
      <c r="AI4389"/>
      <c r="AJ4389"/>
      <c r="AK4389"/>
      <c r="AL4389"/>
      <c r="AM4389"/>
      <c r="AN4389"/>
      <c r="AO4389"/>
    </row>
    <row r="4390" spans="1:41" ht="15">
      <c r="A4390"/>
      <c r="B4390"/>
      <c r="C4390" s="137"/>
      <c r="D4390" s="30"/>
      <c r="E4390" s="30"/>
      <c r="F4390" s="10"/>
      <c r="G4390" s="10"/>
      <c r="H4390" s="15"/>
      <c r="I4390" s="15"/>
      <c r="J4390" s="15"/>
      <c r="K4390" s="15"/>
      <c r="L4390" s="15"/>
      <c r="M4390" s="15"/>
      <c r="N4390" s="15"/>
      <c r="O4390" s="15"/>
      <c r="P4390" s="15"/>
      <c r="Q4390" s="71"/>
      <c r="R4390" s="84"/>
      <c r="S4390" s="10"/>
      <c r="T4390" s="10"/>
      <c r="U4390" s="10"/>
      <c r="V4390" s="10"/>
      <c r="W4390" s="138"/>
      <c r="Y4390"/>
      <c r="Z4390"/>
      <c r="AA4390"/>
      <c r="AB4390"/>
      <c r="AC4390"/>
      <c r="AD4390"/>
      <c r="AE4390"/>
      <c r="AF4390"/>
      <c r="AG4390"/>
      <c r="AH4390"/>
      <c r="AI4390"/>
      <c r="AJ4390"/>
      <c r="AK4390"/>
      <c r="AL4390"/>
      <c r="AM4390"/>
      <c r="AN4390"/>
      <c r="AO4390"/>
    </row>
    <row r="4391" spans="1:41" ht="15">
      <c r="A4391"/>
      <c r="B4391"/>
      <c r="C4391" s="137"/>
      <c r="D4391" s="30"/>
      <c r="E4391" s="30"/>
      <c r="F4391" s="10"/>
      <c r="G4391" s="10"/>
      <c r="H4391" s="15"/>
      <c r="I4391" s="15"/>
      <c r="J4391" s="15"/>
      <c r="K4391" s="15"/>
      <c r="L4391" s="15"/>
      <c r="M4391" s="15"/>
      <c r="N4391" s="15"/>
      <c r="O4391" s="15"/>
      <c r="P4391" s="15"/>
      <c r="Q4391" s="71"/>
      <c r="R4391" s="84"/>
      <c r="S4391" s="10"/>
      <c r="T4391" s="10"/>
      <c r="U4391" s="10"/>
      <c r="V4391" s="10"/>
      <c r="W4391" s="138"/>
      <c r="Y4391"/>
      <c r="Z4391"/>
      <c r="AA4391"/>
      <c r="AB4391"/>
      <c r="AC4391"/>
      <c r="AD4391"/>
      <c r="AE4391"/>
      <c r="AF4391"/>
      <c r="AG4391"/>
      <c r="AH4391"/>
      <c r="AI4391"/>
      <c r="AJ4391"/>
      <c r="AK4391"/>
      <c r="AL4391"/>
      <c r="AM4391"/>
      <c r="AN4391"/>
      <c r="AO4391"/>
    </row>
    <row r="4392" spans="1:41" ht="15">
      <c r="A4392"/>
      <c r="B4392"/>
      <c r="C4392" s="137"/>
      <c r="D4392" s="30"/>
      <c r="E4392" s="30"/>
      <c r="F4392" s="10"/>
      <c r="G4392" s="10"/>
      <c r="H4392" s="15"/>
      <c r="I4392" s="15"/>
      <c r="J4392" s="15"/>
      <c r="K4392" s="15"/>
      <c r="L4392" s="15"/>
      <c r="M4392" s="15"/>
      <c r="N4392" s="15"/>
      <c r="O4392" s="15"/>
      <c r="P4392" s="15"/>
      <c r="Q4392" s="71"/>
      <c r="R4392" s="84"/>
      <c r="S4392" s="10"/>
      <c r="T4392" s="10"/>
      <c r="U4392" s="10"/>
      <c r="V4392" s="10"/>
      <c r="W4392" s="138"/>
      <c r="Y4392"/>
      <c r="Z4392"/>
      <c r="AA4392"/>
      <c r="AB4392"/>
      <c r="AC4392"/>
      <c r="AD4392"/>
      <c r="AE4392"/>
      <c r="AF4392"/>
      <c r="AG4392"/>
      <c r="AH4392"/>
      <c r="AI4392"/>
      <c r="AJ4392"/>
      <c r="AK4392"/>
      <c r="AL4392"/>
      <c r="AM4392"/>
      <c r="AN4392"/>
      <c r="AO4392"/>
    </row>
    <row r="4393" spans="1:41" ht="15">
      <c r="A4393"/>
      <c r="B4393"/>
      <c r="C4393" s="137"/>
      <c r="D4393" s="30"/>
      <c r="E4393" s="30"/>
      <c r="F4393" s="10"/>
      <c r="G4393" s="10"/>
      <c r="H4393" s="15"/>
      <c r="I4393" s="15"/>
      <c r="J4393" s="15"/>
      <c r="K4393" s="15"/>
      <c r="L4393" s="15"/>
      <c r="M4393" s="15"/>
      <c r="N4393" s="15"/>
      <c r="O4393" s="15"/>
      <c r="P4393" s="15"/>
      <c r="Q4393" s="71"/>
      <c r="R4393" s="84"/>
      <c r="S4393" s="10"/>
      <c r="T4393" s="10"/>
      <c r="U4393" s="10"/>
      <c r="V4393" s="10"/>
      <c r="W4393" s="138"/>
      <c r="Y4393"/>
      <c r="Z4393"/>
      <c r="AA4393"/>
      <c r="AB4393"/>
      <c r="AC4393"/>
      <c r="AD4393"/>
      <c r="AE4393"/>
      <c r="AF4393"/>
      <c r="AG4393"/>
      <c r="AH4393"/>
      <c r="AI4393"/>
      <c r="AJ4393"/>
      <c r="AK4393"/>
      <c r="AL4393"/>
      <c r="AM4393"/>
      <c r="AN4393"/>
      <c r="AO4393"/>
    </row>
    <row r="4394" spans="1:41" ht="15">
      <c r="A4394"/>
      <c r="B4394"/>
      <c r="C4394" s="137"/>
      <c r="D4394" s="30"/>
      <c r="E4394" s="30"/>
      <c r="F4394" s="10"/>
      <c r="G4394" s="10"/>
      <c r="H4394" s="15"/>
      <c r="I4394" s="15"/>
      <c r="J4394" s="15"/>
      <c r="K4394" s="15"/>
      <c r="L4394" s="15"/>
      <c r="M4394" s="15"/>
      <c r="N4394" s="15"/>
      <c r="O4394" s="15"/>
      <c r="P4394" s="15"/>
      <c r="Q4394" s="71"/>
      <c r="R4394" s="84"/>
      <c r="S4394" s="10"/>
      <c r="T4394" s="10"/>
      <c r="U4394" s="10"/>
      <c r="V4394" s="10"/>
      <c r="W4394" s="138"/>
      <c r="Y4394"/>
      <c r="Z4394"/>
      <c r="AA4394"/>
      <c r="AB4394"/>
      <c r="AC4394"/>
      <c r="AD4394"/>
      <c r="AE4394"/>
      <c r="AF4394"/>
      <c r="AG4394"/>
      <c r="AH4394"/>
      <c r="AI4394"/>
      <c r="AJ4394"/>
      <c r="AK4394"/>
      <c r="AL4394"/>
      <c r="AM4394"/>
      <c r="AN4394"/>
      <c r="AO4394"/>
    </row>
    <row r="4395" spans="1:41" ht="15">
      <c r="A4395"/>
      <c r="B4395"/>
      <c r="C4395" s="137"/>
      <c r="D4395" s="30"/>
      <c r="E4395" s="30"/>
      <c r="F4395" s="10"/>
      <c r="G4395" s="10"/>
      <c r="H4395" s="15"/>
      <c r="I4395" s="15"/>
      <c r="J4395" s="15"/>
      <c r="K4395" s="15"/>
      <c r="L4395" s="15"/>
      <c r="M4395" s="15"/>
      <c r="N4395" s="15"/>
      <c r="O4395" s="15"/>
      <c r="P4395" s="15"/>
      <c r="Q4395" s="71"/>
      <c r="R4395" s="84"/>
      <c r="S4395" s="10"/>
      <c r="T4395" s="10"/>
      <c r="U4395" s="10"/>
      <c r="V4395" s="10"/>
      <c r="W4395" s="138"/>
      <c r="Y4395"/>
      <c r="Z4395"/>
      <c r="AA4395"/>
      <c r="AB4395"/>
      <c r="AC4395"/>
      <c r="AD4395"/>
      <c r="AE4395"/>
      <c r="AF4395"/>
      <c r="AG4395"/>
      <c r="AH4395"/>
      <c r="AI4395"/>
      <c r="AJ4395"/>
      <c r="AK4395"/>
      <c r="AL4395"/>
      <c r="AM4395"/>
      <c r="AN4395"/>
      <c r="AO4395"/>
    </row>
    <row r="4396" spans="1:41" ht="15">
      <c r="A4396"/>
      <c r="B4396"/>
      <c r="C4396" s="137"/>
      <c r="D4396" s="30"/>
      <c r="E4396" s="30"/>
      <c r="F4396" s="10"/>
      <c r="G4396" s="10"/>
      <c r="H4396" s="15"/>
      <c r="I4396" s="15"/>
      <c r="J4396" s="15"/>
      <c r="K4396" s="15"/>
      <c r="L4396" s="15"/>
      <c r="M4396" s="15"/>
      <c r="N4396" s="15"/>
      <c r="O4396" s="15"/>
      <c r="P4396" s="15"/>
      <c r="Q4396" s="71"/>
      <c r="R4396" s="84"/>
      <c r="S4396" s="10"/>
      <c r="T4396" s="10"/>
      <c r="U4396" s="10"/>
      <c r="V4396" s="10"/>
      <c r="W4396" s="138"/>
      <c r="Y4396"/>
      <c r="Z4396"/>
      <c r="AA4396"/>
      <c r="AB4396"/>
      <c r="AC4396"/>
      <c r="AD4396"/>
      <c r="AE4396"/>
      <c r="AF4396"/>
      <c r="AG4396"/>
      <c r="AH4396"/>
      <c r="AI4396"/>
      <c r="AJ4396"/>
      <c r="AK4396"/>
      <c r="AL4396"/>
      <c r="AM4396"/>
      <c r="AN4396"/>
      <c r="AO4396"/>
    </row>
    <row r="4397" spans="1:41" ht="15">
      <c r="A4397"/>
      <c r="B4397"/>
      <c r="C4397" s="137"/>
      <c r="D4397" s="30"/>
      <c r="E4397" s="30"/>
      <c r="F4397" s="10"/>
      <c r="G4397" s="10"/>
      <c r="H4397" s="15"/>
      <c r="I4397" s="15"/>
      <c r="J4397" s="15"/>
      <c r="K4397" s="15"/>
      <c r="L4397" s="15"/>
      <c r="M4397" s="15"/>
      <c r="N4397" s="15"/>
      <c r="O4397" s="15"/>
      <c r="P4397" s="15"/>
      <c r="Q4397" s="71"/>
      <c r="R4397" s="84"/>
      <c r="S4397" s="10"/>
      <c r="T4397" s="10"/>
      <c r="U4397" s="10"/>
      <c r="V4397" s="10"/>
      <c r="W4397" s="138"/>
      <c r="Y4397"/>
      <c r="Z4397"/>
      <c r="AA4397"/>
      <c r="AB4397"/>
      <c r="AC4397"/>
      <c r="AD4397"/>
      <c r="AE4397"/>
      <c r="AF4397"/>
      <c r="AG4397"/>
      <c r="AH4397"/>
      <c r="AI4397"/>
      <c r="AJ4397"/>
      <c r="AK4397"/>
      <c r="AL4397"/>
      <c r="AM4397"/>
      <c r="AN4397"/>
      <c r="AO4397"/>
    </row>
    <row r="4398" spans="1:41" ht="15">
      <c r="A4398"/>
      <c r="B4398"/>
      <c r="C4398" s="137"/>
      <c r="D4398" s="30"/>
      <c r="E4398" s="30"/>
      <c r="F4398" s="10"/>
      <c r="G4398" s="10"/>
      <c r="H4398" s="15"/>
      <c r="I4398" s="15"/>
      <c r="J4398" s="15"/>
      <c r="K4398" s="15"/>
      <c r="L4398" s="15"/>
      <c r="M4398" s="15"/>
      <c r="N4398" s="15"/>
      <c r="O4398" s="15"/>
      <c r="P4398" s="15"/>
      <c r="Q4398" s="71"/>
      <c r="R4398" s="84"/>
      <c r="S4398" s="10"/>
      <c r="T4398" s="10"/>
      <c r="U4398" s="10"/>
      <c r="V4398" s="10"/>
      <c r="W4398" s="138"/>
      <c r="Y4398"/>
      <c r="Z4398"/>
      <c r="AA4398"/>
      <c r="AB4398"/>
      <c r="AC4398"/>
      <c r="AD4398"/>
      <c r="AE4398"/>
      <c r="AF4398"/>
      <c r="AG4398"/>
      <c r="AH4398"/>
      <c r="AI4398"/>
      <c r="AJ4398"/>
      <c r="AK4398"/>
      <c r="AL4398"/>
      <c r="AM4398"/>
      <c r="AN4398"/>
      <c r="AO4398"/>
    </row>
    <row r="4399" spans="1:41" ht="15">
      <c r="A4399"/>
      <c r="B4399"/>
      <c r="C4399" s="137"/>
      <c r="D4399" s="30"/>
      <c r="E4399" s="30"/>
      <c r="F4399" s="10"/>
      <c r="G4399" s="10"/>
      <c r="H4399" s="15"/>
      <c r="I4399" s="15"/>
      <c r="J4399" s="15"/>
      <c r="K4399" s="15"/>
      <c r="L4399" s="15"/>
      <c r="M4399" s="15"/>
      <c r="N4399" s="15"/>
      <c r="O4399" s="15"/>
      <c r="P4399" s="15"/>
      <c r="Q4399" s="71"/>
      <c r="R4399" s="84"/>
      <c r="S4399" s="10"/>
      <c r="T4399" s="10"/>
      <c r="U4399" s="10"/>
      <c r="V4399" s="10"/>
      <c r="W4399" s="138"/>
      <c r="Y4399"/>
      <c r="Z4399"/>
      <c r="AA4399"/>
      <c r="AB4399"/>
      <c r="AC4399"/>
      <c r="AD4399"/>
      <c r="AE4399"/>
      <c r="AF4399"/>
      <c r="AG4399"/>
      <c r="AH4399"/>
      <c r="AI4399"/>
      <c r="AJ4399"/>
      <c r="AK4399"/>
      <c r="AL4399"/>
      <c r="AM4399"/>
      <c r="AN4399"/>
      <c r="AO4399"/>
    </row>
    <row r="4400" spans="1:41" ht="15">
      <c r="A4400"/>
      <c r="B4400"/>
      <c r="C4400" s="137"/>
      <c r="D4400" s="30"/>
      <c r="E4400" s="30"/>
      <c r="F4400" s="10"/>
      <c r="G4400" s="10"/>
      <c r="H4400" s="15"/>
      <c r="I4400" s="15"/>
      <c r="J4400" s="15"/>
      <c r="K4400" s="15"/>
      <c r="L4400" s="15"/>
      <c r="M4400" s="15"/>
      <c r="N4400" s="15"/>
      <c r="O4400" s="15"/>
      <c r="P4400" s="15"/>
      <c r="Q4400" s="71"/>
      <c r="R4400" s="84"/>
      <c r="S4400" s="10"/>
      <c r="T4400" s="10"/>
      <c r="U4400" s="10"/>
      <c r="V4400" s="10"/>
      <c r="W4400" s="138"/>
      <c r="Y4400"/>
      <c r="Z4400"/>
      <c r="AA4400"/>
      <c r="AB4400"/>
      <c r="AC4400"/>
      <c r="AD4400"/>
      <c r="AE4400"/>
      <c r="AF4400"/>
      <c r="AG4400"/>
      <c r="AH4400"/>
      <c r="AI4400"/>
      <c r="AJ4400"/>
      <c r="AK4400"/>
      <c r="AL4400"/>
      <c r="AM4400"/>
      <c r="AN4400"/>
      <c r="AO4400"/>
    </row>
    <row r="4401" spans="1:41" ht="15">
      <c r="A4401"/>
      <c r="B4401"/>
      <c r="C4401" s="137"/>
      <c r="D4401" s="30"/>
      <c r="E4401" s="30"/>
      <c r="F4401" s="10"/>
      <c r="G4401" s="10"/>
      <c r="H4401" s="15"/>
      <c r="I4401" s="15"/>
      <c r="J4401" s="15"/>
      <c r="K4401" s="15"/>
      <c r="L4401" s="15"/>
      <c r="M4401" s="15"/>
      <c r="N4401" s="15"/>
      <c r="O4401" s="15"/>
      <c r="P4401" s="15"/>
      <c r="Q4401" s="71"/>
      <c r="R4401" s="84"/>
      <c r="S4401" s="10"/>
      <c r="T4401" s="10"/>
      <c r="U4401" s="10"/>
      <c r="V4401" s="10"/>
      <c r="W4401" s="138"/>
      <c r="Y4401"/>
      <c r="Z4401"/>
      <c r="AA4401"/>
      <c r="AB4401"/>
      <c r="AC4401"/>
      <c r="AD4401"/>
      <c r="AE4401"/>
      <c r="AF4401"/>
      <c r="AG4401"/>
      <c r="AH4401"/>
      <c r="AI4401"/>
      <c r="AJ4401"/>
      <c r="AK4401"/>
      <c r="AL4401"/>
      <c r="AM4401"/>
      <c r="AN4401"/>
      <c r="AO4401"/>
    </row>
    <row r="4402" spans="1:41" ht="15">
      <c r="A4402"/>
      <c r="B4402"/>
      <c r="C4402" s="137"/>
      <c r="D4402" s="30"/>
      <c r="E4402" s="30"/>
      <c r="F4402" s="10"/>
      <c r="G4402" s="10"/>
      <c r="H4402" s="15"/>
      <c r="I4402" s="15"/>
      <c r="J4402" s="15"/>
      <c r="K4402" s="15"/>
      <c r="L4402" s="15"/>
      <c r="M4402" s="15"/>
      <c r="N4402" s="15"/>
      <c r="O4402" s="15"/>
      <c r="P4402" s="15"/>
      <c r="Q4402" s="71"/>
      <c r="R4402" s="84"/>
      <c r="S4402" s="10"/>
      <c r="T4402" s="10"/>
      <c r="U4402" s="10"/>
      <c r="V4402" s="10"/>
      <c r="W4402" s="138"/>
      <c r="Y4402"/>
      <c r="Z4402"/>
      <c r="AA4402"/>
      <c r="AB4402"/>
      <c r="AC4402"/>
      <c r="AD4402"/>
      <c r="AE4402"/>
      <c r="AF4402"/>
      <c r="AG4402"/>
      <c r="AH4402"/>
      <c r="AI4402"/>
      <c r="AJ4402"/>
      <c r="AK4402"/>
      <c r="AL4402"/>
      <c r="AM4402"/>
      <c r="AN4402"/>
      <c r="AO4402"/>
    </row>
    <row r="4403" spans="1:41" ht="15">
      <c r="A4403"/>
      <c r="B4403"/>
      <c r="C4403" s="137"/>
      <c r="D4403" s="30"/>
      <c r="E4403" s="30"/>
      <c r="F4403" s="10"/>
      <c r="G4403" s="10"/>
      <c r="H4403" s="15"/>
      <c r="I4403" s="15"/>
      <c r="J4403" s="15"/>
      <c r="K4403" s="15"/>
      <c r="L4403" s="15"/>
      <c r="M4403" s="15"/>
      <c r="N4403" s="15"/>
      <c r="O4403" s="15"/>
      <c r="P4403" s="15"/>
      <c r="Q4403" s="71"/>
      <c r="R4403" s="84"/>
      <c r="S4403" s="10"/>
      <c r="T4403" s="10"/>
      <c r="U4403" s="10"/>
      <c r="V4403" s="10"/>
      <c r="W4403" s="138"/>
      <c r="Y4403"/>
      <c r="Z4403"/>
      <c r="AA4403"/>
      <c r="AB4403"/>
      <c r="AC4403"/>
      <c r="AD4403"/>
      <c r="AE4403"/>
      <c r="AF4403"/>
      <c r="AG4403"/>
      <c r="AH4403"/>
      <c r="AI4403"/>
      <c r="AJ4403"/>
      <c r="AK4403"/>
      <c r="AL4403"/>
      <c r="AM4403"/>
      <c r="AN4403"/>
      <c r="AO4403"/>
    </row>
    <row r="4404" spans="1:41" ht="15">
      <c r="A4404"/>
      <c r="B4404"/>
      <c r="C4404" s="137"/>
      <c r="D4404" s="30"/>
      <c r="E4404" s="30"/>
      <c r="F4404" s="10"/>
      <c r="G4404" s="10"/>
      <c r="H4404" s="15"/>
      <c r="I4404" s="15"/>
      <c r="J4404" s="15"/>
      <c r="K4404" s="15"/>
      <c r="L4404" s="15"/>
      <c r="M4404" s="15"/>
      <c r="N4404" s="15"/>
      <c r="O4404" s="15"/>
      <c r="P4404" s="15"/>
      <c r="Q4404" s="71"/>
      <c r="R4404" s="84"/>
      <c r="S4404" s="10"/>
      <c r="T4404" s="10"/>
      <c r="U4404" s="10"/>
      <c r="V4404" s="10"/>
      <c r="W4404" s="138"/>
      <c r="Y4404"/>
      <c r="Z4404"/>
      <c r="AA4404"/>
      <c r="AB4404"/>
      <c r="AC4404"/>
      <c r="AD4404"/>
      <c r="AE4404"/>
      <c r="AF4404"/>
      <c r="AG4404"/>
      <c r="AH4404"/>
      <c r="AI4404"/>
      <c r="AJ4404"/>
      <c r="AK4404"/>
      <c r="AL4404"/>
      <c r="AM4404"/>
      <c r="AN4404"/>
      <c r="AO4404"/>
    </row>
    <row r="4405" spans="1:41" ht="15">
      <c r="A4405"/>
      <c r="B4405"/>
      <c r="C4405" s="137"/>
      <c r="D4405" s="30"/>
      <c r="E4405" s="30"/>
      <c r="F4405" s="10"/>
      <c r="G4405" s="10"/>
      <c r="H4405" s="15"/>
      <c r="I4405" s="15"/>
      <c r="J4405" s="15"/>
      <c r="K4405" s="15"/>
      <c r="L4405" s="15"/>
      <c r="M4405" s="15"/>
      <c r="N4405" s="15"/>
      <c r="O4405" s="15"/>
      <c r="P4405" s="15"/>
      <c r="Q4405" s="71"/>
      <c r="R4405" s="84"/>
      <c r="S4405" s="10"/>
      <c r="T4405" s="10"/>
      <c r="U4405" s="10"/>
      <c r="V4405" s="10"/>
      <c r="W4405" s="138"/>
      <c r="Y4405"/>
      <c r="Z4405"/>
      <c r="AA4405"/>
      <c r="AB4405"/>
      <c r="AC4405"/>
      <c r="AD4405"/>
      <c r="AE4405"/>
      <c r="AF4405"/>
      <c r="AG4405"/>
      <c r="AH4405"/>
      <c r="AI4405"/>
      <c r="AJ4405"/>
      <c r="AK4405"/>
      <c r="AL4405"/>
      <c r="AM4405"/>
      <c r="AN4405"/>
      <c r="AO4405"/>
    </row>
    <row r="4406" spans="1:41" ht="15">
      <c r="A4406"/>
      <c r="B4406"/>
      <c r="C4406" s="137"/>
      <c r="D4406" s="30"/>
      <c r="E4406" s="30"/>
      <c r="F4406" s="10"/>
      <c r="G4406" s="10"/>
      <c r="H4406" s="15"/>
      <c r="I4406" s="15"/>
      <c r="J4406" s="15"/>
      <c r="K4406" s="15"/>
      <c r="L4406" s="15"/>
      <c r="M4406" s="15"/>
      <c r="N4406" s="15"/>
      <c r="O4406" s="15"/>
      <c r="P4406" s="15"/>
      <c r="Q4406" s="71"/>
      <c r="R4406" s="84"/>
      <c r="S4406" s="10"/>
      <c r="T4406" s="10"/>
      <c r="U4406" s="10"/>
      <c r="V4406" s="10"/>
      <c r="W4406" s="138"/>
      <c r="Y4406"/>
      <c r="Z4406"/>
      <c r="AA4406"/>
      <c r="AB4406"/>
      <c r="AC4406"/>
      <c r="AD4406"/>
      <c r="AE4406"/>
      <c r="AF4406"/>
      <c r="AG4406"/>
      <c r="AH4406"/>
      <c r="AI4406"/>
      <c r="AJ4406"/>
      <c r="AK4406"/>
      <c r="AL4406"/>
      <c r="AM4406"/>
      <c r="AN4406"/>
      <c r="AO4406"/>
    </row>
    <row r="4407" spans="1:41" ht="15">
      <c r="A4407"/>
      <c r="B4407"/>
      <c r="C4407" s="137"/>
      <c r="D4407" s="30"/>
      <c r="E4407" s="30"/>
      <c r="F4407" s="10"/>
      <c r="G4407" s="10"/>
      <c r="H4407" s="15"/>
      <c r="I4407" s="15"/>
      <c r="J4407" s="15"/>
      <c r="K4407" s="15"/>
      <c r="L4407" s="15"/>
      <c r="M4407" s="15"/>
      <c r="N4407" s="15"/>
      <c r="O4407" s="15"/>
      <c r="P4407" s="15"/>
      <c r="Q4407" s="71"/>
      <c r="R4407" s="84"/>
      <c r="S4407" s="10"/>
      <c r="T4407" s="10"/>
      <c r="U4407" s="10"/>
      <c r="V4407" s="10"/>
      <c r="W4407" s="138"/>
      <c r="Y4407"/>
      <c r="Z4407"/>
      <c r="AA4407"/>
      <c r="AB4407"/>
      <c r="AC4407"/>
      <c r="AD4407"/>
      <c r="AE4407"/>
      <c r="AF4407"/>
      <c r="AG4407"/>
      <c r="AH4407"/>
      <c r="AI4407"/>
      <c r="AJ4407"/>
      <c r="AK4407"/>
      <c r="AL4407"/>
      <c r="AM4407"/>
      <c r="AN4407"/>
      <c r="AO4407"/>
    </row>
    <row r="4408" spans="1:41" ht="15">
      <c r="A4408"/>
      <c r="B4408"/>
      <c r="C4408" s="137"/>
      <c r="D4408" s="30"/>
      <c r="E4408" s="30"/>
      <c r="F4408" s="10"/>
      <c r="G4408" s="10"/>
      <c r="H4408" s="15"/>
      <c r="I4408" s="15"/>
      <c r="J4408" s="15"/>
      <c r="K4408" s="15"/>
      <c r="L4408" s="15"/>
      <c r="M4408" s="15"/>
      <c r="N4408" s="15"/>
      <c r="O4408" s="15"/>
      <c r="P4408" s="15"/>
      <c r="Q4408" s="71"/>
      <c r="R4408" s="84"/>
      <c r="S4408" s="10"/>
      <c r="T4408" s="10"/>
      <c r="U4408" s="10"/>
      <c r="V4408" s="10"/>
      <c r="W4408" s="138"/>
      <c r="Y4408"/>
      <c r="Z4408"/>
      <c r="AA4408"/>
      <c r="AB4408"/>
      <c r="AC4408"/>
      <c r="AD4408"/>
      <c r="AE4408"/>
      <c r="AF4408"/>
      <c r="AG4408"/>
      <c r="AH4408"/>
      <c r="AI4408"/>
      <c r="AJ4408"/>
      <c r="AK4408"/>
      <c r="AL4408"/>
      <c r="AM4408"/>
      <c r="AN4408"/>
      <c r="AO4408"/>
    </row>
    <row r="4409" spans="1:41" ht="15">
      <c r="A4409"/>
      <c r="B4409"/>
      <c r="C4409" s="137"/>
      <c r="D4409" s="30"/>
      <c r="E4409" s="30"/>
      <c r="F4409" s="10"/>
      <c r="G4409" s="10"/>
      <c r="H4409" s="15"/>
      <c r="I4409" s="15"/>
      <c r="J4409" s="15"/>
      <c r="K4409" s="15"/>
      <c r="L4409" s="15"/>
      <c r="M4409" s="15"/>
      <c r="N4409" s="15"/>
      <c r="O4409" s="15"/>
      <c r="P4409" s="15"/>
      <c r="Q4409" s="71"/>
      <c r="R4409" s="84"/>
      <c r="S4409" s="10"/>
      <c r="T4409" s="10"/>
      <c r="U4409" s="10"/>
      <c r="V4409" s="10"/>
      <c r="W4409" s="138"/>
      <c r="Y4409"/>
      <c r="Z4409"/>
      <c r="AA4409"/>
      <c r="AB4409"/>
      <c r="AC4409"/>
      <c r="AD4409"/>
      <c r="AE4409"/>
      <c r="AF4409"/>
      <c r="AG4409"/>
      <c r="AH4409"/>
      <c r="AI4409"/>
      <c r="AJ4409"/>
      <c r="AK4409"/>
      <c r="AL4409"/>
      <c r="AM4409"/>
      <c r="AN4409"/>
      <c r="AO4409"/>
    </row>
    <row r="4410" spans="1:41" ht="15">
      <c r="A4410"/>
      <c r="B4410"/>
      <c r="C4410" s="137"/>
      <c r="D4410" s="30"/>
      <c r="E4410" s="30"/>
      <c r="F4410" s="10"/>
      <c r="G4410" s="10"/>
      <c r="H4410" s="15"/>
      <c r="I4410" s="15"/>
      <c r="J4410" s="15"/>
      <c r="K4410" s="15"/>
      <c r="L4410" s="15"/>
      <c r="M4410" s="15"/>
      <c r="N4410" s="15"/>
      <c r="O4410" s="15"/>
      <c r="P4410" s="15"/>
      <c r="Q4410" s="71"/>
      <c r="R4410" s="84"/>
      <c r="S4410" s="10"/>
      <c r="T4410" s="10"/>
      <c r="U4410" s="10"/>
      <c r="V4410" s="10"/>
      <c r="W4410" s="138"/>
      <c r="Y4410"/>
      <c r="Z4410"/>
      <c r="AA4410"/>
      <c r="AB4410"/>
      <c r="AC4410"/>
      <c r="AD4410"/>
      <c r="AE4410"/>
      <c r="AF4410"/>
      <c r="AG4410"/>
      <c r="AH4410"/>
      <c r="AI4410"/>
      <c r="AJ4410"/>
      <c r="AK4410"/>
      <c r="AL4410"/>
      <c r="AM4410"/>
      <c r="AN4410"/>
      <c r="AO4410"/>
    </row>
    <row r="4411" spans="1:41" ht="15">
      <c r="A4411"/>
      <c r="B4411"/>
      <c r="C4411" s="137"/>
      <c r="D4411" s="30"/>
      <c r="E4411" s="30"/>
      <c r="F4411" s="10"/>
      <c r="G4411" s="10"/>
      <c r="H4411" s="15"/>
      <c r="I4411" s="15"/>
      <c r="J4411" s="15"/>
      <c r="K4411" s="15"/>
      <c r="L4411" s="15"/>
      <c r="M4411" s="15"/>
      <c r="N4411" s="15"/>
      <c r="O4411" s="15"/>
      <c r="P4411" s="15"/>
      <c r="Q4411" s="71"/>
      <c r="R4411" s="84"/>
      <c r="S4411" s="10"/>
      <c r="T4411" s="10"/>
      <c r="U4411" s="10"/>
      <c r="V4411" s="10"/>
      <c r="W4411" s="138"/>
      <c r="Y4411"/>
      <c r="Z4411"/>
      <c r="AA4411"/>
      <c r="AB4411"/>
      <c r="AC4411"/>
      <c r="AD4411"/>
      <c r="AE4411"/>
      <c r="AF4411"/>
      <c r="AG4411"/>
      <c r="AH4411"/>
      <c r="AI4411"/>
      <c r="AJ4411"/>
      <c r="AK4411"/>
      <c r="AL4411"/>
      <c r="AM4411"/>
      <c r="AN4411"/>
      <c r="AO4411"/>
    </row>
    <row r="4412" spans="1:41" ht="15">
      <c r="A4412"/>
      <c r="B4412"/>
      <c r="C4412" s="137"/>
      <c r="D4412" s="30"/>
      <c r="E4412" s="30"/>
      <c r="F4412" s="10"/>
      <c r="G4412" s="10"/>
      <c r="H4412" s="15"/>
      <c r="I4412" s="15"/>
      <c r="J4412" s="15"/>
      <c r="K4412" s="15"/>
      <c r="L4412" s="15"/>
      <c r="M4412" s="15"/>
      <c r="N4412" s="15"/>
      <c r="O4412" s="15"/>
      <c r="P4412" s="15"/>
      <c r="Q4412" s="71"/>
      <c r="R4412" s="84"/>
      <c r="S4412" s="10"/>
      <c r="T4412" s="10"/>
      <c r="U4412" s="10"/>
      <c r="V4412" s="10"/>
      <c r="W4412" s="138"/>
      <c r="Y4412"/>
      <c r="Z4412"/>
      <c r="AA4412"/>
      <c r="AB4412"/>
      <c r="AC4412"/>
      <c r="AD4412"/>
      <c r="AE4412"/>
      <c r="AF4412"/>
      <c r="AG4412"/>
      <c r="AH4412"/>
      <c r="AI4412"/>
      <c r="AJ4412"/>
      <c r="AK4412"/>
      <c r="AL4412"/>
      <c r="AM4412"/>
      <c r="AN4412"/>
      <c r="AO4412"/>
    </row>
    <row r="4413" spans="1:41" ht="15">
      <c r="A4413"/>
      <c r="B4413"/>
      <c r="C4413" s="137"/>
      <c r="D4413" s="30"/>
      <c r="E4413" s="30"/>
      <c r="F4413" s="10"/>
      <c r="G4413" s="10"/>
      <c r="H4413" s="15"/>
      <c r="I4413" s="15"/>
      <c r="J4413" s="15"/>
      <c r="K4413" s="15"/>
      <c r="L4413" s="15"/>
      <c r="M4413" s="15"/>
      <c r="N4413" s="15"/>
      <c r="O4413" s="15"/>
      <c r="P4413" s="15"/>
      <c r="Q4413" s="71"/>
      <c r="R4413" s="84"/>
      <c r="S4413" s="10"/>
      <c r="T4413" s="10"/>
      <c r="U4413" s="10"/>
      <c r="V4413" s="10"/>
      <c r="W4413" s="138"/>
      <c r="Y4413"/>
      <c r="Z4413"/>
      <c r="AA4413"/>
      <c r="AB4413"/>
      <c r="AC4413"/>
      <c r="AD4413"/>
      <c r="AE4413"/>
      <c r="AF4413"/>
      <c r="AG4413"/>
      <c r="AH4413"/>
      <c r="AI4413"/>
      <c r="AJ4413"/>
      <c r="AK4413"/>
      <c r="AL4413"/>
      <c r="AM4413"/>
      <c r="AN4413"/>
      <c r="AO4413"/>
    </row>
    <row r="4414" spans="1:41" ht="15">
      <c r="A4414"/>
      <c r="B4414"/>
      <c r="C4414" s="137"/>
      <c r="D4414" s="30"/>
      <c r="E4414" s="30"/>
      <c r="F4414" s="10"/>
      <c r="G4414" s="10"/>
      <c r="H4414" s="15"/>
      <c r="I4414" s="15"/>
      <c r="J4414" s="15"/>
      <c r="K4414" s="15"/>
      <c r="L4414" s="15"/>
      <c r="M4414" s="15"/>
      <c r="N4414" s="15"/>
      <c r="O4414" s="15"/>
      <c r="P4414" s="15"/>
      <c r="Q4414" s="71"/>
      <c r="R4414" s="84"/>
      <c r="S4414" s="10"/>
      <c r="T4414" s="10"/>
      <c r="U4414" s="10"/>
      <c r="V4414" s="10"/>
      <c r="W4414" s="138"/>
      <c r="Y4414"/>
      <c r="Z4414"/>
      <c r="AA4414"/>
      <c r="AB4414"/>
      <c r="AC4414"/>
      <c r="AD4414"/>
      <c r="AE4414"/>
      <c r="AF4414"/>
      <c r="AG4414"/>
      <c r="AH4414"/>
      <c r="AI4414"/>
      <c r="AJ4414"/>
      <c r="AK4414"/>
      <c r="AL4414"/>
      <c r="AM4414"/>
      <c r="AN4414"/>
      <c r="AO4414"/>
    </row>
    <row r="4415" spans="1:41" ht="15">
      <c r="A4415"/>
      <c r="B4415"/>
      <c r="C4415" s="137"/>
      <c r="D4415" s="30"/>
      <c r="E4415" s="30"/>
      <c r="F4415" s="10"/>
      <c r="G4415" s="10"/>
      <c r="H4415" s="15"/>
      <c r="I4415" s="15"/>
      <c r="J4415" s="15"/>
      <c r="K4415" s="15"/>
      <c r="L4415" s="15"/>
      <c r="M4415" s="15"/>
      <c r="N4415" s="15"/>
      <c r="O4415" s="15"/>
      <c r="P4415" s="15"/>
      <c r="Q4415" s="71"/>
      <c r="R4415" s="84"/>
      <c r="S4415" s="10"/>
      <c r="T4415" s="10"/>
      <c r="U4415" s="10"/>
      <c r="V4415" s="10"/>
      <c r="W4415" s="138"/>
      <c r="Y4415"/>
      <c r="Z4415"/>
      <c r="AA4415"/>
      <c r="AB4415"/>
      <c r="AC4415"/>
      <c r="AD4415"/>
      <c r="AE4415"/>
      <c r="AF4415"/>
      <c r="AG4415"/>
      <c r="AH4415"/>
      <c r="AI4415"/>
      <c r="AJ4415"/>
      <c r="AK4415"/>
      <c r="AL4415"/>
      <c r="AM4415"/>
      <c r="AN4415"/>
      <c r="AO4415"/>
    </row>
    <row r="4416" spans="1:41" ht="15">
      <c r="A4416"/>
      <c r="B4416"/>
      <c r="C4416" s="137"/>
      <c r="D4416" s="30"/>
      <c r="E4416" s="30"/>
      <c r="F4416" s="10"/>
      <c r="G4416" s="10"/>
      <c r="H4416" s="15"/>
      <c r="I4416" s="15"/>
      <c r="J4416" s="15"/>
      <c r="K4416" s="15"/>
      <c r="L4416" s="15"/>
      <c r="M4416" s="15"/>
      <c r="N4416" s="15"/>
      <c r="O4416" s="15"/>
      <c r="P4416" s="15"/>
      <c r="Q4416" s="71"/>
      <c r="R4416" s="84"/>
      <c r="S4416" s="10"/>
      <c r="T4416" s="10"/>
      <c r="U4416" s="10"/>
      <c r="V4416" s="10"/>
      <c r="W4416" s="138"/>
      <c r="Y4416"/>
      <c r="Z4416"/>
      <c r="AA4416"/>
      <c r="AB4416"/>
      <c r="AC4416"/>
      <c r="AD4416"/>
      <c r="AE4416"/>
      <c r="AF4416"/>
      <c r="AG4416"/>
      <c r="AH4416"/>
      <c r="AI4416"/>
      <c r="AJ4416"/>
      <c r="AK4416"/>
      <c r="AL4416"/>
      <c r="AM4416"/>
      <c r="AN4416"/>
      <c r="AO4416"/>
    </row>
    <row r="4417" spans="1:41" ht="15">
      <c r="A4417"/>
      <c r="B4417"/>
      <c r="C4417" s="137"/>
      <c r="D4417" s="30"/>
      <c r="E4417" s="30"/>
      <c r="F4417" s="10"/>
      <c r="G4417" s="10"/>
      <c r="H4417" s="15"/>
      <c r="I4417" s="15"/>
      <c r="J4417" s="15"/>
      <c r="K4417" s="15"/>
      <c r="L4417" s="15"/>
      <c r="M4417" s="15"/>
      <c r="N4417" s="15"/>
      <c r="O4417" s="15"/>
      <c r="P4417" s="15"/>
      <c r="Q4417" s="71"/>
      <c r="R4417" s="84"/>
      <c r="S4417" s="10"/>
      <c r="T4417" s="10"/>
      <c r="U4417" s="10"/>
      <c r="V4417" s="10"/>
      <c r="W4417" s="138"/>
      <c r="Y4417"/>
      <c r="Z4417"/>
      <c r="AA4417"/>
      <c r="AB4417"/>
      <c r="AC4417"/>
      <c r="AD4417"/>
      <c r="AE4417"/>
      <c r="AF4417"/>
      <c r="AG4417"/>
      <c r="AH4417"/>
      <c r="AI4417"/>
      <c r="AJ4417"/>
      <c r="AK4417"/>
      <c r="AL4417"/>
      <c r="AM4417"/>
      <c r="AN4417"/>
      <c r="AO4417"/>
    </row>
    <row r="4418" spans="1:41" ht="15">
      <c r="A4418"/>
      <c r="B4418"/>
      <c r="C4418" s="137"/>
      <c r="D4418" s="30"/>
      <c r="E4418" s="30"/>
      <c r="F4418" s="10"/>
      <c r="G4418" s="10"/>
      <c r="H4418" s="15"/>
      <c r="I4418" s="15"/>
      <c r="J4418" s="15"/>
      <c r="K4418" s="15"/>
      <c r="L4418" s="15"/>
      <c r="M4418" s="15"/>
      <c r="N4418" s="15"/>
      <c r="O4418" s="15"/>
      <c r="P4418" s="15"/>
      <c r="Q4418" s="71"/>
      <c r="R4418" s="84"/>
      <c r="S4418" s="10"/>
      <c r="T4418" s="10"/>
      <c r="U4418" s="10"/>
      <c r="V4418" s="10"/>
      <c r="W4418" s="138"/>
      <c r="Y4418"/>
      <c r="Z4418"/>
      <c r="AA4418"/>
      <c r="AB4418"/>
      <c r="AC4418"/>
      <c r="AD4418"/>
      <c r="AE4418"/>
      <c r="AF4418"/>
      <c r="AG4418"/>
      <c r="AH4418"/>
      <c r="AI4418"/>
      <c r="AJ4418"/>
      <c r="AK4418"/>
      <c r="AL4418"/>
      <c r="AM4418"/>
      <c r="AN4418"/>
      <c r="AO4418"/>
    </row>
    <row r="4419" spans="1:41" ht="15">
      <c r="A4419"/>
      <c r="B4419"/>
      <c r="C4419" s="137"/>
      <c r="D4419" s="30"/>
      <c r="E4419" s="30"/>
      <c r="F4419" s="10"/>
      <c r="G4419" s="10"/>
      <c r="H4419" s="15"/>
      <c r="I4419" s="15"/>
      <c r="J4419" s="15"/>
      <c r="K4419" s="15"/>
      <c r="L4419" s="15"/>
      <c r="M4419" s="15"/>
      <c r="N4419" s="15"/>
      <c r="O4419" s="15"/>
      <c r="P4419" s="15"/>
      <c r="Q4419" s="71"/>
      <c r="R4419" s="84"/>
      <c r="S4419" s="10"/>
      <c r="T4419" s="10"/>
      <c r="U4419" s="10"/>
      <c r="V4419" s="10"/>
      <c r="W4419" s="138"/>
      <c r="Y4419"/>
      <c r="Z4419"/>
      <c r="AA4419"/>
      <c r="AB4419"/>
      <c r="AC4419"/>
      <c r="AD4419"/>
      <c r="AE4419"/>
      <c r="AF4419"/>
      <c r="AG4419"/>
      <c r="AH4419"/>
      <c r="AI4419"/>
      <c r="AJ4419"/>
      <c r="AK4419"/>
      <c r="AL4419"/>
      <c r="AM4419"/>
      <c r="AN4419"/>
      <c r="AO4419"/>
    </row>
    <row r="4420" spans="1:41" ht="15">
      <c r="A4420"/>
      <c r="B4420"/>
      <c r="C4420" s="137"/>
      <c r="D4420" s="30"/>
      <c r="E4420" s="30"/>
      <c r="F4420" s="10"/>
      <c r="G4420" s="10"/>
      <c r="H4420" s="15"/>
      <c r="I4420" s="15"/>
      <c r="J4420" s="15"/>
      <c r="K4420" s="15"/>
      <c r="L4420" s="15"/>
      <c r="M4420" s="15"/>
      <c r="N4420" s="15"/>
      <c r="O4420" s="15"/>
      <c r="P4420" s="15"/>
      <c r="Q4420" s="71"/>
      <c r="R4420" s="84"/>
      <c r="S4420" s="10"/>
      <c r="T4420" s="10"/>
      <c r="U4420" s="10"/>
      <c r="V4420" s="10"/>
      <c r="W4420" s="138"/>
      <c r="Y4420"/>
      <c r="Z4420"/>
      <c r="AA4420"/>
      <c r="AB4420"/>
      <c r="AC4420"/>
      <c r="AD4420"/>
      <c r="AE4420"/>
      <c r="AF4420"/>
      <c r="AG4420"/>
      <c r="AH4420"/>
      <c r="AI4420"/>
      <c r="AJ4420"/>
      <c r="AK4420"/>
      <c r="AL4420"/>
      <c r="AM4420"/>
      <c r="AN4420"/>
      <c r="AO4420"/>
    </row>
    <row r="4421" spans="1:41" ht="15">
      <c r="A4421"/>
      <c r="B4421"/>
      <c r="C4421" s="137"/>
      <c r="D4421" s="30"/>
      <c r="E4421" s="30"/>
      <c r="F4421" s="10"/>
      <c r="G4421" s="10"/>
      <c r="H4421" s="15"/>
      <c r="I4421" s="15"/>
      <c r="J4421" s="15"/>
      <c r="K4421" s="15"/>
      <c r="L4421" s="15"/>
      <c r="M4421" s="15"/>
      <c r="N4421" s="15"/>
      <c r="O4421" s="15"/>
      <c r="P4421" s="15"/>
      <c r="Q4421" s="71"/>
      <c r="R4421" s="84"/>
      <c r="S4421" s="10"/>
      <c r="T4421" s="10"/>
      <c r="U4421" s="10"/>
      <c r="V4421" s="10"/>
      <c r="W4421" s="138"/>
      <c r="Y4421"/>
      <c r="Z4421"/>
      <c r="AA4421"/>
      <c r="AB4421"/>
      <c r="AC4421"/>
      <c r="AD4421"/>
      <c r="AE4421"/>
      <c r="AF4421"/>
      <c r="AG4421"/>
      <c r="AH4421"/>
      <c r="AI4421"/>
      <c r="AJ4421"/>
      <c r="AK4421"/>
      <c r="AL4421"/>
      <c r="AM4421"/>
      <c r="AN4421"/>
      <c r="AO4421"/>
    </row>
    <row r="4422" spans="1:41" ht="15">
      <c r="A4422"/>
      <c r="B4422"/>
      <c r="C4422" s="137"/>
      <c r="D4422" s="30"/>
      <c r="E4422" s="30"/>
      <c r="F4422" s="10"/>
      <c r="G4422" s="10"/>
      <c r="H4422" s="15"/>
      <c r="I4422" s="15"/>
      <c r="J4422" s="15"/>
      <c r="K4422" s="15"/>
      <c r="L4422" s="15"/>
      <c r="M4422" s="15"/>
      <c r="N4422" s="15"/>
      <c r="O4422" s="15"/>
      <c r="P4422" s="15"/>
      <c r="Q4422" s="71"/>
      <c r="R4422" s="84"/>
      <c r="S4422" s="10"/>
      <c r="T4422" s="10"/>
      <c r="U4422" s="10"/>
      <c r="V4422" s="10"/>
      <c r="W4422" s="138"/>
      <c r="Y4422"/>
      <c r="Z4422"/>
      <c r="AA4422"/>
      <c r="AB4422"/>
      <c r="AC4422"/>
      <c r="AD4422"/>
      <c r="AE4422"/>
      <c r="AF4422"/>
      <c r="AG4422"/>
      <c r="AH4422"/>
      <c r="AI4422"/>
      <c r="AJ4422"/>
      <c r="AK4422"/>
      <c r="AL4422"/>
      <c r="AM4422"/>
      <c r="AN4422"/>
      <c r="AO4422"/>
    </row>
    <row r="4423" spans="1:41" ht="15">
      <c r="A4423"/>
      <c r="B4423"/>
      <c r="C4423" s="137"/>
      <c r="D4423" s="30"/>
      <c r="E4423" s="30"/>
      <c r="F4423" s="10"/>
      <c r="G4423" s="10"/>
      <c r="H4423" s="15"/>
      <c r="I4423" s="15"/>
      <c r="J4423" s="15"/>
      <c r="K4423" s="15"/>
      <c r="L4423" s="15"/>
      <c r="M4423" s="15"/>
      <c r="N4423" s="15"/>
      <c r="O4423" s="15"/>
      <c r="P4423" s="15"/>
      <c r="Q4423" s="71"/>
      <c r="R4423" s="84"/>
      <c r="S4423" s="10"/>
      <c r="T4423" s="10"/>
      <c r="U4423" s="10"/>
      <c r="V4423" s="10"/>
      <c r="W4423" s="138"/>
      <c r="Y4423"/>
      <c r="Z4423"/>
      <c r="AA4423"/>
      <c r="AB4423"/>
      <c r="AC4423"/>
      <c r="AD4423"/>
      <c r="AE4423"/>
      <c r="AF4423"/>
      <c r="AG4423"/>
      <c r="AH4423"/>
      <c r="AI4423"/>
      <c r="AJ4423"/>
      <c r="AK4423"/>
      <c r="AL4423"/>
      <c r="AM4423"/>
      <c r="AN4423"/>
      <c r="AO4423"/>
    </row>
    <row r="4424" spans="1:41" ht="15">
      <c r="A4424"/>
      <c r="B4424"/>
      <c r="C4424" s="137"/>
      <c r="D4424" s="30"/>
      <c r="E4424" s="30"/>
      <c r="F4424" s="10"/>
      <c r="G4424" s="10"/>
      <c r="H4424" s="15"/>
      <c r="I4424" s="15"/>
      <c r="J4424" s="15"/>
      <c r="K4424" s="15"/>
      <c r="L4424" s="15"/>
      <c r="M4424" s="15"/>
      <c r="N4424" s="15"/>
      <c r="O4424" s="15"/>
      <c r="P4424" s="15"/>
      <c r="Q4424" s="71"/>
      <c r="R4424" s="84"/>
      <c r="S4424" s="10"/>
      <c r="T4424" s="10"/>
      <c r="U4424" s="10"/>
      <c r="V4424" s="10"/>
      <c r="W4424" s="138"/>
      <c r="Y4424"/>
      <c r="Z4424"/>
      <c r="AA4424"/>
      <c r="AB4424"/>
      <c r="AC4424"/>
      <c r="AD4424"/>
      <c r="AE4424"/>
      <c r="AF4424"/>
      <c r="AG4424"/>
      <c r="AH4424"/>
      <c r="AI4424"/>
      <c r="AJ4424"/>
      <c r="AK4424"/>
      <c r="AL4424"/>
      <c r="AM4424"/>
      <c r="AN4424"/>
      <c r="AO4424"/>
    </row>
    <row r="4425" spans="1:41" ht="15">
      <c r="A4425"/>
      <c r="B4425"/>
      <c r="C4425" s="137"/>
      <c r="D4425" s="30"/>
      <c r="E4425" s="30"/>
      <c r="F4425" s="10"/>
      <c r="G4425" s="10"/>
      <c r="H4425" s="15"/>
      <c r="I4425" s="15"/>
      <c r="J4425" s="15"/>
      <c r="K4425" s="15"/>
      <c r="L4425" s="15"/>
      <c r="M4425" s="15"/>
      <c r="N4425" s="15"/>
      <c r="O4425" s="15"/>
      <c r="P4425" s="15"/>
      <c r="Q4425" s="71"/>
      <c r="R4425" s="84"/>
      <c r="S4425" s="10"/>
      <c r="T4425" s="10"/>
      <c r="U4425" s="10"/>
      <c r="V4425" s="10"/>
      <c r="W4425" s="138"/>
      <c r="Y4425"/>
      <c r="Z4425"/>
      <c r="AA4425"/>
      <c r="AB4425"/>
      <c r="AC4425"/>
      <c r="AD4425"/>
      <c r="AE4425"/>
      <c r="AF4425"/>
      <c r="AG4425"/>
      <c r="AH4425"/>
      <c r="AI4425"/>
      <c r="AJ4425"/>
      <c r="AK4425"/>
      <c r="AL4425"/>
      <c r="AM4425"/>
      <c r="AN4425"/>
      <c r="AO4425"/>
    </row>
    <row r="4426" spans="1:41" ht="15">
      <c r="A4426"/>
      <c r="B4426"/>
      <c r="C4426" s="137"/>
      <c r="D4426" s="30"/>
      <c r="E4426" s="30"/>
      <c r="F4426" s="10"/>
      <c r="G4426" s="10"/>
      <c r="H4426" s="15"/>
      <c r="I4426" s="15"/>
      <c r="J4426" s="15"/>
      <c r="K4426" s="15"/>
      <c r="L4426" s="15"/>
      <c r="M4426" s="15"/>
      <c r="N4426" s="15"/>
      <c r="O4426" s="15"/>
      <c r="P4426" s="15"/>
      <c r="Q4426" s="71"/>
      <c r="R4426" s="84"/>
      <c r="S4426" s="10"/>
      <c r="T4426" s="10"/>
      <c r="U4426" s="10"/>
      <c r="V4426" s="10"/>
      <c r="W4426" s="138"/>
      <c r="Y4426"/>
      <c r="Z4426"/>
      <c r="AA4426"/>
      <c r="AB4426"/>
      <c r="AC4426"/>
      <c r="AD4426"/>
      <c r="AE4426"/>
      <c r="AF4426"/>
      <c r="AG4426"/>
      <c r="AH4426"/>
      <c r="AI4426"/>
      <c r="AJ4426"/>
      <c r="AK4426"/>
      <c r="AL4426"/>
      <c r="AM4426"/>
      <c r="AN4426"/>
      <c r="AO4426"/>
    </row>
    <row r="4427" spans="1:41" ht="15">
      <c r="A4427"/>
      <c r="B4427"/>
      <c r="C4427" s="137"/>
      <c r="D4427" s="30"/>
      <c r="E4427" s="30"/>
      <c r="F4427" s="10"/>
      <c r="G4427" s="10"/>
      <c r="H4427" s="15"/>
      <c r="I4427" s="15"/>
      <c r="J4427" s="15"/>
      <c r="K4427" s="15"/>
      <c r="L4427" s="15"/>
      <c r="M4427" s="15"/>
      <c r="N4427" s="15"/>
      <c r="O4427" s="15"/>
      <c r="P4427" s="15"/>
      <c r="Q4427" s="71"/>
      <c r="R4427" s="84"/>
      <c r="S4427" s="10"/>
      <c r="T4427" s="10"/>
      <c r="U4427" s="10"/>
      <c r="V4427" s="10"/>
      <c r="W4427" s="138"/>
      <c r="Y4427"/>
      <c r="Z4427"/>
      <c r="AA4427"/>
      <c r="AB4427"/>
      <c r="AC4427"/>
      <c r="AD4427"/>
      <c r="AE4427"/>
      <c r="AF4427"/>
      <c r="AG4427"/>
      <c r="AH4427"/>
      <c r="AI4427"/>
      <c r="AJ4427"/>
      <c r="AK4427"/>
      <c r="AL4427"/>
      <c r="AM4427"/>
      <c r="AN4427"/>
      <c r="AO4427"/>
    </row>
    <row r="4428" spans="1:41" ht="15">
      <c r="A4428"/>
      <c r="B4428"/>
      <c r="C4428" s="137"/>
      <c r="D4428" s="30"/>
      <c r="E4428" s="30"/>
      <c r="F4428" s="10"/>
      <c r="G4428" s="10"/>
      <c r="H4428" s="15"/>
      <c r="I4428" s="15"/>
      <c r="J4428" s="15"/>
      <c r="K4428" s="15"/>
      <c r="L4428" s="15"/>
      <c r="M4428" s="15"/>
      <c r="N4428" s="15"/>
      <c r="O4428" s="15"/>
      <c r="P4428" s="15"/>
      <c r="Q4428" s="71"/>
      <c r="R4428" s="84"/>
      <c r="S4428" s="10"/>
      <c r="T4428" s="10"/>
      <c r="U4428" s="10"/>
      <c r="V4428" s="10"/>
      <c r="W4428" s="138"/>
      <c r="Y4428"/>
      <c r="Z4428"/>
      <c r="AA4428"/>
      <c r="AB4428"/>
      <c r="AC4428"/>
      <c r="AD4428"/>
      <c r="AE4428"/>
      <c r="AF4428"/>
      <c r="AG4428"/>
      <c r="AH4428"/>
      <c r="AI4428"/>
      <c r="AJ4428"/>
      <c r="AK4428"/>
      <c r="AL4428"/>
      <c r="AM4428"/>
      <c r="AN4428"/>
      <c r="AO4428"/>
    </row>
    <row r="4429" spans="1:41" ht="15">
      <c r="A4429"/>
      <c r="B4429"/>
      <c r="C4429" s="137"/>
      <c r="D4429" s="30"/>
      <c r="E4429" s="30"/>
      <c r="F4429" s="10"/>
      <c r="G4429" s="10"/>
      <c r="H4429" s="15"/>
      <c r="I4429" s="15"/>
      <c r="J4429" s="15"/>
      <c r="K4429" s="15"/>
      <c r="L4429" s="15"/>
      <c r="M4429" s="15"/>
      <c r="N4429" s="15"/>
      <c r="O4429" s="15"/>
      <c r="P4429" s="15"/>
      <c r="Q4429" s="71"/>
      <c r="R4429" s="84"/>
      <c r="S4429" s="10"/>
      <c r="T4429" s="10"/>
      <c r="U4429" s="10"/>
      <c r="V4429" s="10"/>
      <c r="W4429" s="138"/>
      <c r="Y4429"/>
      <c r="Z4429"/>
      <c r="AA4429"/>
      <c r="AB4429"/>
      <c r="AC4429"/>
      <c r="AD4429"/>
      <c r="AE4429"/>
      <c r="AF4429"/>
      <c r="AG4429"/>
      <c r="AH4429"/>
      <c r="AI4429"/>
      <c r="AJ4429"/>
      <c r="AK4429"/>
      <c r="AL4429"/>
      <c r="AM4429"/>
      <c r="AN4429"/>
      <c r="AO4429"/>
    </row>
    <row r="4430" spans="1:41" ht="15">
      <c r="A4430"/>
      <c r="B4430"/>
      <c r="C4430" s="137"/>
      <c r="D4430" s="30"/>
      <c r="E4430" s="30"/>
      <c r="F4430" s="10"/>
      <c r="G4430" s="10"/>
      <c r="H4430" s="15"/>
      <c r="I4430" s="15"/>
      <c r="J4430" s="15"/>
      <c r="K4430" s="15"/>
      <c r="L4430" s="15"/>
      <c r="M4430" s="15"/>
      <c r="N4430" s="15"/>
      <c r="O4430" s="15"/>
      <c r="P4430" s="15"/>
      <c r="Q4430" s="71"/>
      <c r="R4430" s="84"/>
      <c r="S4430" s="10"/>
      <c r="T4430" s="10"/>
      <c r="U4430" s="10"/>
      <c r="V4430" s="10"/>
      <c r="W4430" s="138"/>
      <c r="Y4430"/>
      <c r="Z4430"/>
      <c r="AA4430"/>
      <c r="AB4430"/>
      <c r="AC4430"/>
      <c r="AD4430"/>
      <c r="AE4430"/>
      <c r="AF4430"/>
      <c r="AG4430"/>
      <c r="AH4430"/>
      <c r="AI4430"/>
      <c r="AJ4430"/>
      <c r="AK4430"/>
      <c r="AL4430"/>
      <c r="AM4430"/>
      <c r="AN4430"/>
      <c r="AO4430"/>
    </row>
    <row r="4431" spans="1:41" ht="15">
      <c r="A4431"/>
      <c r="B4431"/>
      <c r="C4431" s="137"/>
      <c r="D4431" s="30"/>
      <c r="E4431" s="30"/>
      <c r="F4431" s="10"/>
      <c r="G4431" s="10"/>
      <c r="H4431" s="15"/>
      <c r="I4431" s="15"/>
      <c r="J4431" s="15"/>
      <c r="K4431" s="15"/>
      <c r="L4431" s="15"/>
      <c r="M4431" s="15"/>
      <c r="N4431" s="15"/>
      <c r="O4431" s="15"/>
      <c r="P4431" s="15"/>
      <c r="Q4431" s="71"/>
      <c r="R4431" s="84"/>
      <c r="S4431" s="10"/>
      <c r="T4431" s="10"/>
      <c r="U4431" s="10"/>
      <c r="V4431" s="10"/>
      <c r="W4431" s="138"/>
      <c r="Y4431"/>
      <c r="Z4431"/>
      <c r="AA4431"/>
      <c r="AB4431"/>
      <c r="AC4431"/>
      <c r="AD4431"/>
      <c r="AE4431"/>
      <c r="AF4431"/>
      <c r="AG4431"/>
      <c r="AH4431"/>
      <c r="AI4431"/>
      <c r="AJ4431"/>
      <c r="AK4431"/>
      <c r="AL4431"/>
      <c r="AM4431"/>
      <c r="AN4431"/>
      <c r="AO4431"/>
    </row>
    <row r="4432" spans="1:41" ht="15">
      <c r="A4432"/>
      <c r="B4432"/>
      <c r="C4432" s="137"/>
      <c r="D4432" s="30"/>
      <c r="E4432" s="30"/>
      <c r="F4432" s="10"/>
      <c r="G4432" s="10"/>
      <c r="H4432" s="15"/>
      <c r="I4432" s="15"/>
      <c r="J4432" s="15"/>
      <c r="K4432" s="15"/>
      <c r="L4432" s="15"/>
      <c r="M4432" s="15"/>
      <c r="N4432" s="15"/>
      <c r="O4432" s="15"/>
      <c r="P4432" s="15"/>
      <c r="Q4432" s="71"/>
      <c r="R4432" s="84"/>
      <c r="S4432" s="10"/>
      <c r="T4432" s="10"/>
      <c r="U4432" s="10"/>
      <c r="V4432" s="10"/>
      <c r="W4432" s="138"/>
      <c r="Y4432"/>
      <c r="Z4432"/>
      <c r="AA4432"/>
      <c r="AB4432"/>
      <c r="AC4432"/>
      <c r="AD4432"/>
      <c r="AE4432"/>
      <c r="AF4432"/>
      <c r="AG4432"/>
      <c r="AH4432"/>
      <c r="AI4432"/>
      <c r="AJ4432"/>
      <c r="AK4432"/>
      <c r="AL4432"/>
      <c r="AM4432"/>
      <c r="AN4432"/>
      <c r="AO4432"/>
    </row>
    <row r="4433" spans="1:41" ht="15">
      <c r="A4433"/>
      <c r="B4433"/>
      <c r="C4433" s="137"/>
      <c r="D4433" s="30"/>
      <c r="E4433" s="30"/>
      <c r="F4433" s="10"/>
      <c r="G4433" s="10"/>
      <c r="H4433" s="15"/>
      <c r="I4433" s="15"/>
      <c r="J4433" s="15"/>
      <c r="K4433" s="15"/>
      <c r="L4433" s="15"/>
      <c r="M4433" s="15"/>
      <c r="N4433" s="15"/>
      <c r="O4433" s="15"/>
      <c r="P4433" s="15"/>
      <c r="Q4433" s="71"/>
      <c r="R4433" s="84"/>
      <c r="S4433" s="10"/>
      <c r="T4433" s="10"/>
      <c r="U4433" s="10"/>
      <c r="V4433" s="10"/>
      <c r="W4433" s="138"/>
      <c r="Y4433"/>
      <c r="Z4433"/>
      <c r="AA4433"/>
      <c r="AB4433"/>
      <c r="AC4433"/>
      <c r="AD4433"/>
      <c r="AE4433"/>
      <c r="AF4433"/>
      <c r="AG4433"/>
      <c r="AH4433"/>
      <c r="AI4433"/>
      <c r="AJ4433"/>
      <c r="AK4433"/>
      <c r="AL4433"/>
      <c r="AM4433"/>
      <c r="AN4433"/>
      <c r="AO4433"/>
    </row>
    <row r="4434" spans="1:41" ht="15">
      <c r="A4434"/>
      <c r="B4434"/>
      <c r="C4434" s="137"/>
      <c r="D4434" s="30"/>
      <c r="E4434" s="30"/>
      <c r="F4434" s="10"/>
      <c r="G4434" s="10"/>
      <c r="H4434" s="15"/>
      <c r="I4434" s="15"/>
      <c r="J4434" s="15"/>
      <c r="K4434" s="15"/>
      <c r="L4434" s="15"/>
      <c r="M4434" s="15"/>
      <c r="N4434" s="15"/>
      <c r="O4434" s="15"/>
      <c r="P4434" s="15"/>
      <c r="Q4434" s="71"/>
      <c r="R4434" s="84"/>
      <c r="S4434" s="10"/>
      <c r="T4434" s="10"/>
      <c r="U4434" s="10"/>
      <c r="V4434" s="10"/>
      <c r="W4434" s="138"/>
      <c r="Y4434"/>
      <c r="Z4434"/>
      <c r="AA4434"/>
      <c r="AB4434"/>
      <c r="AC4434"/>
      <c r="AD4434"/>
      <c r="AE4434"/>
      <c r="AF4434"/>
      <c r="AG4434"/>
      <c r="AH4434"/>
      <c r="AI4434"/>
      <c r="AJ4434"/>
      <c r="AK4434"/>
      <c r="AL4434"/>
      <c r="AM4434"/>
      <c r="AN4434"/>
      <c r="AO4434"/>
    </row>
    <row r="4435" spans="1:41" ht="15">
      <c r="A4435"/>
      <c r="B4435"/>
      <c r="C4435" s="137"/>
      <c r="D4435" s="30"/>
      <c r="E4435" s="30"/>
      <c r="F4435" s="10"/>
      <c r="G4435" s="10"/>
      <c r="H4435" s="15"/>
      <c r="I4435" s="15"/>
      <c r="J4435" s="15"/>
      <c r="K4435" s="15"/>
      <c r="L4435" s="15"/>
      <c r="M4435" s="15"/>
      <c r="N4435" s="15"/>
      <c r="O4435" s="15"/>
      <c r="P4435" s="15"/>
      <c r="Q4435" s="71"/>
      <c r="R4435" s="84"/>
      <c r="S4435" s="10"/>
      <c r="T4435" s="10"/>
      <c r="U4435" s="10"/>
      <c r="V4435" s="10"/>
      <c r="W4435" s="138"/>
      <c r="Y4435"/>
      <c r="Z4435"/>
      <c r="AA4435"/>
      <c r="AB4435"/>
      <c r="AC4435"/>
      <c r="AD4435"/>
      <c r="AE4435"/>
      <c r="AF4435"/>
      <c r="AG4435"/>
      <c r="AH4435"/>
      <c r="AI4435"/>
      <c r="AJ4435"/>
      <c r="AK4435"/>
      <c r="AL4435"/>
      <c r="AM4435"/>
      <c r="AN4435"/>
      <c r="AO4435"/>
    </row>
    <row r="4436" spans="1:41" ht="15">
      <c r="A4436"/>
      <c r="B4436"/>
      <c r="C4436" s="137"/>
      <c r="D4436" s="30"/>
      <c r="E4436" s="30"/>
      <c r="F4436" s="10"/>
      <c r="G4436" s="10"/>
      <c r="H4436" s="15"/>
      <c r="I4436" s="15"/>
      <c r="J4436" s="15"/>
      <c r="K4436" s="15"/>
      <c r="L4436" s="15"/>
      <c r="M4436" s="15"/>
      <c r="N4436" s="15"/>
      <c r="O4436" s="15"/>
      <c r="P4436" s="15"/>
      <c r="Q4436" s="71"/>
      <c r="R4436" s="84"/>
      <c r="S4436" s="10"/>
      <c r="T4436" s="10"/>
      <c r="U4436" s="10"/>
      <c r="V4436" s="10"/>
      <c r="W4436" s="138"/>
      <c r="Y4436"/>
      <c r="Z4436"/>
      <c r="AA4436"/>
      <c r="AB4436"/>
      <c r="AC4436"/>
      <c r="AD4436"/>
      <c r="AE4436"/>
      <c r="AF4436"/>
      <c r="AG4436"/>
      <c r="AH4436"/>
      <c r="AI4436"/>
      <c r="AJ4436"/>
      <c r="AK4436"/>
      <c r="AL4436"/>
      <c r="AM4436"/>
      <c r="AN4436"/>
      <c r="AO4436"/>
    </row>
    <row r="4437" spans="1:41" ht="15">
      <c r="A4437"/>
      <c r="B4437"/>
      <c r="C4437" s="137"/>
      <c r="D4437" s="30"/>
      <c r="E4437" s="30"/>
      <c r="F4437" s="10"/>
      <c r="G4437" s="10"/>
      <c r="H4437" s="15"/>
      <c r="I4437" s="15"/>
      <c r="J4437" s="15"/>
      <c r="K4437" s="15"/>
      <c r="L4437" s="15"/>
      <c r="M4437" s="15"/>
      <c r="N4437" s="15"/>
      <c r="O4437" s="15"/>
      <c r="P4437" s="15"/>
      <c r="Q4437" s="71"/>
      <c r="R4437" s="84"/>
      <c r="S4437" s="10"/>
      <c r="T4437" s="10"/>
      <c r="U4437" s="10"/>
      <c r="V4437" s="10"/>
      <c r="W4437" s="138"/>
      <c r="Y4437"/>
      <c r="Z4437"/>
      <c r="AA4437"/>
      <c r="AB4437"/>
      <c r="AC4437"/>
      <c r="AD4437"/>
      <c r="AE4437"/>
      <c r="AF4437"/>
      <c r="AG4437"/>
      <c r="AH4437"/>
      <c r="AI4437"/>
      <c r="AJ4437"/>
      <c r="AK4437"/>
      <c r="AL4437"/>
      <c r="AM4437"/>
      <c r="AN4437"/>
      <c r="AO4437"/>
    </row>
    <row r="4438" spans="1:41" ht="15">
      <c r="A4438"/>
      <c r="B4438"/>
      <c r="C4438" s="137"/>
      <c r="D4438" s="30"/>
      <c r="E4438" s="30"/>
      <c r="F4438" s="10"/>
      <c r="G4438" s="10"/>
      <c r="H4438" s="15"/>
      <c r="I4438" s="15"/>
      <c r="J4438" s="15"/>
      <c r="K4438" s="15"/>
      <c r="L4438" s="15"/>
      <c r="M4438" s="15"/>
      <c r="N4438" s="15"/>
      <c r="O4438" s="15"/>
      <c r="P4438" s="15"/>
      <c r="Q4438" s="71"/>
      <c r="R4438" s="84"/>
      <c r="S4438" s="10"/>
      <c r="T4438" s="10"/>
      <c r="U4438" s="10"/>
      <c r="V4438" s="10"/>
      <c r="W4438" s="138"/>
      <c r="Y4438"/>
      <c r="Z4438"/>
      <c r="AA4438"/>
      <c r="AB4438"/>
      <c r="AC4438"/>
      <c r="AD4438"/>
      <c r="AE4438"/>
      <c r="AF4438"/>
      <c r="AG4438"/>
      <c r="AH4438"/>
      <c r="AI4438"/>
      <c r="AJ4438"/>
      <c r="AK4438"/>
      <c r="AL4438"/>
      <c r="AM4438"/>
      <c r="AN4438"/>
      <c r="AO4438"/>
    </row>
    <row r="4439" spans="1:41" ht="15">
      <c r="A4439"/>
      <c r="B4439"/>
      <c r="C4439" s="137"/>
      <c r="D4439" s="30"/>
      <c r="E4439" s="30"/>
      <c r="F4439" s="10"/>
      <c r="G4439" s="10"/>
      <c r="H4439" s="15"/>
      <c r="I4439" s="15"/>
      <c r="J4439" s="15"/>
      <c r="K4439" s="15"/>
      <c r="L4439" s="15"/>
      <c r="M4439" s="15"/>
      <c r="N4439" s="15"/>
      <c r="O4439" s="15"/>
      <c r="P4439" s="15"/>
      <c r="Q4439" s="71"/>
      <c r="R4439" s="84"/>
      <c r="S4439" s="10"/>
      <c r="T4439" s="10"/>
      <c r="U4439" s="10"/>
      <c r="V4439" s="10"/>
      <c r="W4439" s="138"/>
      <c r="Y4439"/>
      <c r="Z4439"/>
      <c r="AA4439"/>
      <c r="AB4439"/>
      <c r="AC4439"/>
      <c r="AD4439"/>
      <c r="AE4439"/>
      <c r="AF4439"/>
      <c r="AG4439"/>
      <c r="AH4439"/>
      <c r="AI4439"/>
      <c r="AJ4439"/>
      <c r="AK4439"/>
      <c r="AL4439"/>
      <c r="AM4439"/>
      <c r="AN4439"/>
      <c r="AO4439"/>
    </row>
    <row r="4440" spans="1:41" ht="15">
      <c r="A4440"/>
      <c r="B4440"/>
      <c r="C4440" s="137"/>
      <c r="D4440" s="30"/>
      <c r="E4440" s="30"/>
      <c r="F4440" s="10"/>
      <c r="G4440" s="10"/>
      <c r="H4440" s="15"/>
      <c r="I4440" s="15"/>
      <c r="J4440" s="15"/>
      <c r="K4440" s="15"/>
      <c r="L4440" s="15"/>
      <c r="M4440" s="15"/>
      <c r="N4440" s="15"/>
      <c r="O4440" s="15"/>
      <c r="P4440" s="15"/>
      <c r="Q4440" s="71"/>
      <c r="R4440" s="84"/>
      <c r="S4440" s="10"/>
      <c r="T4440" s="10"/>
      <c r="U4440" s="10"/>
      <c r="V4440" s="10"/>
      <c r="W4440" s="138"/>
      <c r="Y4440"/>
      <c r="Z4440"/>
      <c r="AA4440"/>
      <c r="AB4440"/>
      <c r="AC4440"/>
      <c r="AD4440"/>
      <c r="AE4440"/>
      <c r="AF4440"/>
      <c r="AG4440"/>
      <c r="AH4440"/>
      <c r="AI4440"/>
      <c r="AJ4440"/>
      <c r="AK4440"/>
      <c r="AL4440"/>
      <c r="AM4440"/>
      <c r="AN4440"/>
      <c r="AO4440"/>
    </row>
    <row r="4441" spans="1:41" ht="15">
      <c r="A4441"/>
      <c r="B4441"/>
      <c r="C4441" s="137"/>
      <c r="D4441" s="30"/>
      <c r="E4441" s="30"/>
      <c r="F4441" s="10"/>
      <c r="G4441" s="10"/>
      <c r="H4441" s="15"/>
      <c r="I4441" s="15"/>
      <c r="J4441" s="15"/>
      <c r="K4441" s="15"/>
      <c r="L4441" s="15"/>
      <c r="M4441" s="15"/>
      <c r="N4441" s="15"/>
      <c r="O4441" s="15"/>
      <c r="P4441" s="15"/>
      <c r="Q4441" s="71"/>
      <c r="R4441" s="84"/>
      <c r="S4441" s="10"/>
      <c r="T4441" s="10"/>
      <c r="U4441" s="10"/>
      <c r="V4441" s="10"/>
      <c r="W4441" s="138"/>
      <c r="Y4441"/>
      <c r="Z4441"/>
      <c r="AA4441"/>
      <c r="AB4441"/>
      <c r="AC4441"/>
      <c r="AD4441"/>
      <c r="AE4441"/>
      <c r="AF4441"/>
      <c r="AG4441"/>
      <c r="AH4441"/>
      <c r="AI4441"/>
      <c r="AJ4441"/>
      <c r="AK4441"/>
      <c r="AL4441"/>
      <c r="AM4441"/>
      <c r="AN4441"/>
      <c r="AO4441"/>
    </row>
    <row r="4442" spans="1:41" ht="15">
      <c r="A4442"/>
      <c r="B4442"/>
      <c r="C4442" s="137"/>
      <c r="D4442" s="30"/>
      <c r="E4442" s="30"/>
      <c r="F4442" s="10"/>
      <c r="G4442" s="10"/>
      <c r="H4442" s="15"/>
      <c r="I4442" s="15"/>
      <c r="J4442" s="15"/>
      <c r="K4442" s="15"/>
      <c r="L4442" s="15"/>
      <c r="M4442" s="15"/>
      <c r="N4442" s="15"/>
      <c r="O4442" s="15"/>
      <c r="P4442" s="15"/>
      <c r="Q4442" s="71"/>
      <c r="R4442" s="84"/>
      <c r="S4442" s="10"/>
      <c r="T4442" s="10"/>
      <c r="U4442" s="10"/>
      <c r="V4442" s="10"/>
      <c r="W4442" s="138"/>
      <c r="Y4442"/>
      <c r="Z4442"/>
      <c r="AA4442"/>
      <c r="AB4442"/>
      <c r="AC4442"/>
      <c r="AD4442"/>
      <c r="AE4442"/>
      <c r="AF4442"/>
      <c r="AG4442"/>
      <c r="AH4442"/>
      <c r="AI4442"/>
      <c r="AJ4442"/>
      <c r="AK4442"/>
      <c r="AL4442"/>
      <c r="AM4442"/>
      <c r="AN4442"/>
      <c r="AO4442"/>
    </row>
    <row r="4443" spans="1:41" ht="15">
      <c r="A4443"/>
      <c r="B4443"/>
      <c r="C4443" s="137"/>
      <c r="D4443" s="30"/>
      <c r="E4443" s="30"/>
      <c r="F4443" s="10"/>
      <c r="G4443" s="10"/>
      <c r="H4443" s="15"/>
      <c r="I4443" s="15"/>
      <c r="J4443" s="15"/>
      <c r="K4443" s="15"/>
      <c r="L4443" s="15"/>
      <c r="M4443" s="15"/>
      <c r="N4443" s="15"/>
      <c r="O4443" s="15"/>
      <c r="P4443" s="15"/>
      <c r="Q4443" s="71"/>
      <c r="R4443" s="84"/>
      <c r="S4443" s="10"/>
      <c r="T4443" s="10"/>
      <c r="U4443" s="10"/>
      <c r="V4443" s="10"/>
      <c r="W4443" s="138"/>
      <c r="Y4443"/>
      <c r="Z4443"/>
      <c r="AA4443"/>
      <c r="AB4443"/>
      <c r="AC4443"/>
      <c r="AD4443"/>
      <c r="AE4443"/>
      <c r="AF4443"/>
      <c r="AG4443"/>
      <c r="AH4443"/>
      <c r="AI4443"/>
      <c r="AJ4443"/>
      <c r="AK4443"/>
      <c r="AL4443"/>
      <c r="AM4443"/>
      <c r="AN4443"/>
      <c r="AO4443"/>
    </row>
    <row r="4444" spans="1:41" ht="15">
      <c r="A4444"/>
      <c r="B4444"/>
      <c r="C4444" s="137"/>
      <c r="D4444" s="30"/>
      <c r="E4444" s="30"/>
      <c r="F4444" s="10"/>
      <c r="G4444" s="10"/>
      <c r="H4444" s="15"/>
      <c r="I4444" s="15"/>
      <c r="J4444" s="15"/>
      <c r="K4444" s="15"/>
      <c r="L4444" s="15"/>
      <c r="M4444" s="15"/>
      <c r="N4444" s="15"/>
      <c r="O4444" s="15"/>
      <c r="P4444" s="15"/>
      <c r="Q4444" s="71"/>
      <c r="R4444" s="84"/>
      <c r="S4444" s="10"/>
      <c r="T4444" s="10"/>
      <c r="U4444" s="10"/>
      <c r="V4444" s="10"/>
      <c r="W4444" s="138"/>
      <c r="Y4444"/>
      <c r="Z4444"/>
      <c r="AA4444"/>
      <c r="AB4444"/>
      <c r="AC4444"/>
      <c r="AD4444"/>
      <c r="AE4444"/>
      <c r="AF4444"/>
      <c r="AG4444"/>
      <c r="AH4444"/>
      <c r="AI4444"/>
      <c r="AJ4444"/>
      <c r="AK4444"/>
      <c r="AL4444"/>
      <c r="AM4444"/>
      <c r="AN4444"/>
      <c r="AO4444"/>
    </row>
    <row r="4445" spans="1:41" ht="15">
      <c r="A4445"/>
      <c r="B4445"/>
      <c r="C4445" s="137"/>
      <c r="D4445" s="30"/>
      <c r="E4445" s="30"/>
      <c r="F4445" s="10"/>
      <c r="G4445" s="10"/>
      <c r="H4445" s="15"/>
      <c r="I4445" s="15"/>
      <c r="J4445" s="15"/>
      <c r="K4445" s="15"/>
      <c r="L4445" s="15"/>
      <c r="M4445" s="15"/>
      <c r="N4445" s="15"/>
      <c r="O4445" s="15"/>
      <c r="P4445" s="15"/>
      <c r="Q4445" s="71"/>
      <c r="R4445" s="84"/>
      <c r="S4445" s="10"/>
      <c r="T4445" s="10"/>
      <c r="U4445" s="10"/>
      <c r="V4445" s="10"/>
      <c r="W4445" s="138"/>
      <c r="Y4445"/>
      <c r="Z4445"/>
      <c r="AA4445"/>
      <c r="AB4445"/>
      <c r="AC4445"/>
      <c r="AD4445"/>
      <c r="AE4445"/>
      <c r="AF4445"/>
      <c r="AG4445"/>
      <c r="AH4445"/>
      <c r="AI4445"/>
      <c r="AJ4445"/>
      <c r="AK4445"/>
      <c r="AL4445"/>
      <c r="AM4445"/>
      <c r="AN4445"/>
      <c r="AO4445"/>
    </row>
    <row r="4446" spans="1:41" ht="15">
      <c r="A4446"/>
      <c r="B4446"/>
      <c r="C4446" s="137"/>
      <c r="D4446" s="30"/>
      <c r="E4446" s="30"/>
      <c r="F4446" s="10"/>
      <c r="G4446" s="10"/>
      <c r="H4446" s="15"/>
      <c r="I4446" s="15"/>
      <c r="J4446" s="15"/>
      <c r="K4446" s="15"/>
      <c r="L4446" s="15"/>
      <c r="M4446" s="15"/>
      <c r="N4446" s="15"/>
      <c r="O4446" s="15"/>
      <c r="P4446" s="15"/>
      <c r="Q4446" s="71"/>
      <c r="R4446" s="84"/>
      <c r="S4446" s="10"/>
      <c r="T4446" s="10"/>
      <c r="U4446" s="10"/>
      <c r="V4446" s="10"/>
      <c r="W4446" s="138"/>
      <c r="Y4446"/>
      <c r="Z4446"/>
      <c r="AA4446"/>
      <c r="AB4446"/>
      <c r="AC4446"/>
      <c r="AD4446"/>
      <c r="AE4446"/>
      <c r="AF4446"/>
      <c r="AG4446"/>
      <c r="AH4446"/>
      <c r="AI4446"/>
      <c r="AJ4446"/>
      <c r="AK4446"/>
      <c r="AL4446"/>
      <c r="AM4446"/>
      <c r="AN4446"/>
      <c r="AO4446"/>
    </row>
    <row r="4447" spans="1:41" ht="15">
      <c r="A4447"/>
      <c r="B4447"/>
      <c r="C4447" s="137"/>
      <c r="D4447" s="30"/>
      <c r="E4447" s="30"/>
      <c r="F4447" s="10"/>
      <c r="G4447" s="10"/>
      <c r="H4447" s="15"/>
      <c r="I4447" s="15"/>
      <c r="J4447" s="15"/>
      <c r="K4447" s="15"/>
      <c r="L4447" s="15"/>
      <c r="M4447" s="15"/>
      <c r="N4447" s="15"/>
      <c r="O4447" s="15"/>
      <c r="P4447" s="15"/>
      <c r="Q4447" s="71"/>
      <c r="R4447" s="84"/>
      <c r="S4447" s="10"/>
      <c r="T4447" s="10"/>
      <c r="U4447" s="10"/>
      <c r="V4447" s="10"/>
      <c r="W4447" s="138"/>
      <c r="Y4447"/>
      <c r="Z4447"/>
      <c r="AA4447"/>
      <c r="AB4447"/>
      <c r="AC4447"/>
      <c r="AD4447"/>
      <c r="AE4447"/>
      <c r="AF4447"/>
      <c r="AG4447"/>
      <c r="AH4447"/>
      <c r="AI4447"/>
      <c r="AJ4447"/>
      <c r="AK4447"/>
      <c r="AL4447"/>
      <c r="AM4447"/>
      <c r="AN4447"/>
      <c r="AO4447"/>
    </row>
    <row r="4448" spans="1:41" ht="15">
      <c r="A4448"/>
      <c r="B4448"/>
      <c r="C4448" s="137"/>
      <c r="D4448" s="30"/>
      <c r="E4448" s="30"/>
      <c r="F4448" s="10"/>
      <c r="G4448" s="10"/>
      <c r="H4448" s="15"/>
      <c r="I4448" s="15"/>
      <c r="J4448" s="15"/>
      <c r="K4448" s="15"/>
      <c r="L4448" s="15"/>
      <c r="M4448" s="15"/>
      <c r="N4448" s="15"/>
      <c r="O4448" s="15"/>
      <c r="P4448" s="15"/>
      <c r="Q4448" s="71"/>
      <c r="R4448" s="84"/>
      <c r="S4448" s="10"/>
      <c r="T4448" s="10"/>
      <c r="U4448" s="10"/>
      <c r="V4448" s="10"/>
      <c r="W4448" s="138"/>
      <c r="Y4448"/>
      <c r="Z4448"/>
      <c r="AA4448"/>
      <c r="AB4448"/>
      <c r="AC4448"/>
      <c r="AD4448"/>
      <c r="AE4448"/>
      <c r="AF4448"/>
      <c r="AG4448"/>
      <c r="AH4448"/>
      <c r="AI4448"/>
      <c r="AJ4448"/>
      <c r="AK4448"/>
      <c r="AL4448"/>
      <c r="AM4448"/>
      <c r="AN4448"/>
      <c r="AO4448"/>
    </row>
    <row r="4449" spans="1:41" ht="15">
      <c r="A4449"/>
      <c r="B4449"/>
      <c r="C4449" s="137"/>
      <c r="D4449" s="30"/>
      <c r="E4449" s="30"/>
      <c r="F4449" s="10"/>
      <c r="G4449" s="10"/>
      <c r="H4449" s="15"/>
      <c r="I4449" s="15"/>
      <c r="J4449" s="15"/>
      <c r="K4449" s="15"/>
      <c r="L4449" s="15"/>
      <c r="M4449" s="15"/>
      <c r="N4449" s="15"/>
      <c r="O4449" s="15"/>
      <c r="P4449" s="15"/>
      <c r="Q4449" s="71"/>
      <c r="R4449" s="84"/>
      <c r="S4449" s="10"/>
      <c r="T4449" s="10"/>
      <c r="U4449" s="10"/>
      <c r="V4449" s="10"/>
      <c r="W4449" s="138"/>
      <c r="Y4449"/>
      <c r="Z4449"/>
      <c r="AA4449"/>
      <c r="AB4449"/>
      <c r="AC4449"/>
      <c r="AD4449"/>
      <c r="AE4449"/>
      <c r="AF4449"/>
      <c r="AG4449"/>
      <c r="AH4449"/>
      <c r="AI4449"/>
      <c r="AJ4449"/>
      <c r="AK4449"/>
      <c r="AL4449"/>
      <c r="AM4449"/>
      <c r="AN4449"/>
      <c r="AO4449"/>
    </row>
    <row r="4450" spans="1:41" ht="15">
      <c r="A4450"/>
      <c r="B4450"/>
      <c r="C4450" s="137"/>
      <c r="D4450" s="30"/>
      <c r="E4450" s="30"/>
      <c r="F4450" s="10"/>
      <c r="G4450" s="10"/>
      <c r="H4450" s="15"/>
      <c r="I4450" s="15"/>
      <c r="J4450" s="15"/>
      <c r="K4450" s="15"/>
      <c r="L4450" s="15"/>
      <c r="M4450" s="15"/>
      <c r="N4450" s="15"/>
      <c r="O4450" s="15"/>
      <c r="P4450" s="15"/>
      <c r="Q4450" s="71"/>
      <c r="R4450" s="84"/>
      <c r="S4450" s="10"/>
      <c r="T4450" s="10"/>
      <c r="U4450" s="10"/>
      <c r="V4450" s="10"/>
      <c r="W4450" s="138"/>
      <c r="Y4450"/>
      <c r="Z4450"/>
      <c r="AA4450"/>
      <c r="AB4450"/>
      <c r="AC4450"/>
      <c r="AD4450"/>
      <c r="AE4450"/>
      <c r="AF4450"/>
      <c r="AG4450"/>
      <c r="AH4450"/>
      <c r="AI4450"/>
      <c r="AJ4450"/>
      <c r="AK4450"/>
      <c r="AL4450"/>
      <c r="AM4450"/>
      <c r="AN4450"/>
      <c r="AO4450"/>
    </row>
    <row r="4451" spans="1:41" ht="15">
      <c r="A4451"/>
      <c r="B4451"/>
      <c r="C4451" s="137"/>
      <c r="D4451" s="30"/>
      <c r="E4451" s="30"/>
      <c r="F4451" s="10"/>
      <c r="G4451" s="10"/>
      <c r="H4451" s="15"/>
      <c r="I4451" s="15"/>
      <c r="J4451" s="15"/>
      <c r="K4451" s="15"/>
      <c r="L4451" s="15"/>
      <c r="M4451" s="15"/>
      <c r="N4451" s="15"/>
      <c r="O4451" s="15"/>
      <c r="P4451" s="15"/>
      <c r="Q4451" s="71"/>
      <c r="R4451" s="84"/>
      <c r="S4451" s="10"/>
      <c r="T4451" s="10"/>
      <c r="U4451" s="10"/>
      <c r="V4451" s="10"/>
      <c r="W4451" s="138"/>
      <c r="Y4451"/>
      <c r="Z4451"/>
      <c r="AA4451"/>
      <c r="AB4451"/>
      <c r="AC4451"/>
      <c r="AD4451"/>
      <c r="AE4451"/>
      <c r="AF4451"/>
      <c r="AG4451"/>
      <c r="AH4451"/>
      <c r="AI4451"/>
      <c r="AJ4451"/>
      <c r="AK4451"/>
      <c r="AL4451"/>
      <c r="AM4451"/>
      <c r="AN4451"/>
      <c r="AO4451"/>
    </row>
    <row r="4452" spans="1:41" ht="15">
      <c r="A4452"/>
      <c r="B4452"/>
      <c r="C4452" s="137"/>
      <c r="D4452" s="30"/>
      <c r="E4452" s="30"/>
      <c r="F4452" s="10"/>
      <c r="G4452" s="10"/>
      <c r="H4452" s="15"/>
      <c r="I4452" s="15"/>
      <c r="J4452" s="15"/>
      <c r="K4452" s="15"/>
      <c r="L4452" s="15"/>
      <c r="M4452" s="15"/>
      <c r="N4452" s="15"/>
      <c r="O4452" s="15"/>
      <c r="P4452" s="15"/>
      <c r="Q4452" s="71"/>
      <c r="R4452" s="84"/>
      <c r="S4452" s="10"/>
      <c r="T4452" s="10"/>
      <c r="U4452" s="10"/>
      <c r="V4452" s="10"/>
      <c r="W4452" s="138"/>
      <c r="Y4452"/>
      <c r="Z4452"/>
      <c r="AA4452"/>
      <c r="AB4452"/>
      <c r="AC4452"/>
      <c r="AD4452"/>
      <c r="AE4452"/>
      <c r="AF4452"/>
      <c r="AG4452"/>
      <c r="AH4452"/>
      <c r="AI4452"/>
      <c r="AJ4452"/>
      <c r="AK4452"/>
      <c r="AL4452"/>
      <c r="AM4452"/>
      <c r="AN4452"/>
      <c r="AO4452"/>
    </row>
    <row r="4453" spans="1:41" ht="15">
      <c r="A4453"/>
      <c r="B4453"/>
      <c r="C4453" s="137"/>
      <c r="D4453" s="30"/>
      <c r="E4453" s="30"/>
      <c r="F4453" s="10"/>
      <c r="G4453" s="10"/>
      <c r="H4453" s="15"/>
      <c r="I4453" s="15"/>
      <c r="J4453" s="15"/>
      <c r="K4453" s="15"/>
      <c r="L4453" s="15"/>
      <c r="M4453" s="15"/>
      <c r="N4453" s="15"/>
      <c r="O4453" s="15"/>
      <c r="P4453" s="15"/>
      <c r="Q4453" s="71"/>
      <c r="R4453" s="84"/>
      <c r="S4453" s="10"/>
      <c r="T4453" s="10"/>
      <c r="U4453" s="10"/>
      <c r="V4453" s="10"/>
      <c r="W4453" s="138"/>
      <c r="Y4453"/>
      <c r="Z4453"/>
      <c r="AA4453"/>
      <c r="AB4453"/>
      <c r="AC4453"/>
      <c r="AD4453"/>
      <c r="AE4453"/>
      <c r="AF4453"/>
      <c r="AG4453"/>
      <c r="AH4453"/>
      <c r="AI4453"/>
      <c r="AJ4453"/>
      <c r="AK4453"/>
      <c r="AL4453"/>
      <c r="AM4453"/>
      <c r="AN4453"/>
      <c r="AO4453"/>
    </row>
    <row r="4454" spans="1:41" ht="15">
      <c r="A4454"/>
      <c r="B4454"/>
      <c r="C4454" s="137"/>
      <c r="D4454" s="30"/>
      <c r="E4454" s="30"/>
      <c r="F4454" s="10"/>
      <c r="G4454" s="10"/>
      <c r="H4454" s="15"/>
      <c r="I4454" s="15"/>
      <c r="J4454" s="15"/>
      <c r="K4454" s="15"/>
      <c r="L4454" s="15"/>
      <c r="M4454" s="15"/>
      <c r="N4454" s="15"/>
      <c r="O4454" s="15"/>
      <c r="P4454" s="15"/>
      <c r="Q4454" s="71"/>
      <c r="R4454" s="84"/>
      <c r="S4454" s="10"/>
      <c r="T4454" s="10"/>
      <c r="U4454" s="10"/>
      <c r="V4454" s="10"/>
      <c r="W4454" s="138"/>
      <c r="Y4454"/>
      <c r="Z4454"/>
      <c r="AA4454"/>
      <c r="AB4454"/>
      <c r="AC4454"/>
      <c r="AD4454"/>
      <c r="AE4454"/>
      <c r="AF4454"/>
      <c r="AG4454"/>
      <c r="AH4454"/>
      <c r="AI4454"/>
      <c r="AJ4454"/>
      <c r="AK4454"/>
      <c r="AL4454"/>
      <c r="AM4454"/>
      <c r="AN4454"/>
      <c r="AO4454"/>
    </row>
    <row r="4455" spans="1:41" ht="15">
      <c r="A4455"/>
      <c r="B4455"/>
      <c r="C4455" s="137"/>
      <c r="D4455" s="30"/>
      <c r="E4455" s="30"/>
      <c r="F4455" s="10"/>
      <c r="G4455" s="10"/>
      <c r="H4455" s="15"/>
      <c r="I4455" s="15"/>
      <c r="J4455" s="15"/>
      <c r="K4455" s="15"/>
      <c r="L4455" s="15"/>
      <c r="M4455" s="15"/>
      <c r="N4455" s="15"/>
      <c r="O4455" s="15"/>
      <c r="P4455" s="15"/>
      <c r="Q4455" s="71"/>
      <c r="R4455" s="84"/>
      <c r="S4455" s="10"/>
      <c r="T4455" s="10"/>
      <c r="U4455" s="10"/>
      <c r="V4455" s="10"/>
      <c r="W4455" s="138"/>
      <c r="Y4455"/>
      <c r="Z4455"/>
      <c r="AA4455"/>
      <c r="AB4455"/>
      <c r="AC4455"/>
      <c r="AD4455"/>
      <c r="AE4455"/>
      <c r="AF4455"/>
      <c r="AG4455"/>
      <c r="AH4455"/>
      <c r="AI4455"/>
      <c r="AJ4455"/>
      <c r="AK4455"/>
      <c r="AL4455"/>
      <c r="AM4455"/>
      <c r="AN4455"/>
      <c r="AO4455"/>
    </row>
    <row r="4456" spans="1:41" ht="15">
      <c r="A4456"/>
      <c r="B4456"/>
      <c r="C4456" s="137"/>
      <c r="D4456" s="30"/>
      <c r="E4456" s="30"/>
      <c r="F4456" s="10"/>
      <c r="G4456" s="10"/>
      <c r="H4456" s="15"/>
      <c r="I4456" s="15"/>
      <c r="J4456" s="15"/>
      <c r="K4456" s="15"/>
      <c r="L4456" s="15"/>
      <c r="M4456" s="15"/>
      <c r="N4456" s="15"/>
      <c r="O4456" s="15"/>
      <c r="P4456" s="15"/>
      <c r="Q4456" s="71"/>
      <c r="R4456" s="84"/>
      <c r="S4456" s="10"/>
      <c r="T4456" s="10"/>
      <c r="U4456" s="10"/>
      <c r="V4456" s="10"/>
      <c r="W4456" s="138"/>
      <c r="Y4456"/>
      <c r="Z4456"/>
      <c r="AA4456"/>
      <c r="AB4456"/>
      <c r="AC4456"/>
      <c r="AD4456"/>
      <c r="AE4456"/>
      <c r="AF4456"/>
      <c r="AG4456"/>
      <c r="AH4456"/>
      <c r="AI4456"/>
      <c r="AJ4456"/>
      <c r="AK4456"/>
      <c r="AL4456"/>
      <c r="AM4456"/>
      <c r="AN4456"/>
      <c r="AO4456"/>
    </row>
    <row r="4457" spans="1:41" ht="15">
      <c r="A4457"/>
      <c r="B4457"/>
      <c r="C4457" s="137"/>
      <c r="D4457" s="30"/>
      <c r="E4457" s="30"/>
      <c r="F4457" s="10"/>
      <c r="G4457" s="10"/>
      <c r="H4457" s="15"/>
      <c r="I4457" s="15"/>
      <c r="J4457" s="15"/>
      <c r="K4457" s="15"/>
      <c r="L4457" s="15"/>
      <c r="M4457" s="15"/>
      <c r="N4457" s="15"/>
      <c r="O4457" s="15"/>
      <c r="P4457" s="15"/>
      <c r="Q4457" s="71"/>
      <c r="R4457" s="84"/>
      <c r="S4457" s="10"/>
      <c r="T4457" s="10"/>
      <c r="U4457" s="10"/>
      <c r="V4457" s="10"/>
      <c r="W4457" s="138"/>
      <c r="Y4457"/>
      <c r="Z4457"/>
      <c r="AA4457"/>
      <c r="AB4457"/>
      <c r="AC4457"/>
      <c r="AD4457"/>
      <c r="AE4457"/>
      <c r="AF4457"/>
      <c r="AG4457"/>
      <c r="AH4457"/>
      <c r="AI4457"/>
      <c r="AJ4457"/>
      <c r="AK4457"/>
      <c r="AL4457"/>
      <c r="AM4457"/>
      <c r="AN4457"/>
      <c r="AO4457"/>
    </row>
    <row r="4458" spans="1:41" ht="15">
      <c r="A4458"/>
      <c r="B4458"/>
      <c r="C4458" s="137"/>
      <c r="D4458" s="30"/>
      <c r="E4458" s="30"/>
      <c r="F4458" s="10"/>
      <c r="G4458" s="10"/>
      <c r="H4458" s="15"/>
      <c r="I4458" s="15"/>
      <c r="J4458" s="15"/>
      <c r="K4458" s="15"/>
      <c r="L4458" s="15"/>
      <c r="M4458" s="15"/>
      <c r="N4458" s="15"/>
      <c r="O4458" s="15"/>
      <c r="P4458" s="15"/>
      <c r="Q4458" s="71"/>
      <c r="R4458" s="84"/>
      <c r="S4458" s="10"/>
      <c r="T4458" s="10"/>
      <c r="U4458" s="10"/>
      <c r="V4458" s="10"/>
      <c r="W4458" s="138"/>
      <c r="Y4458"/>
      <c r="Z4458"/>
      <c r="AA4458"/>
      <c r="AB4458"/>
      <c r="AC4458"/>
      <c r="AD4458"/>
      <c r="AE4458"/>
      <c r="AF4458"/>
      <c r="AG4458"/>
      <c r="AH4458"/>
      <c r="AI4458"/>
      <c r="AJ4458"/>
      <c r="AK4458"/>
      <c r="AL4458"/>
      <c r="AM4458"/>
      <c r="AN4458"/>
      <c r="AO4458"/>
    </row>
    <row r="4459" spans="1:41" ht="15">
      <c r="A4459"/>
      <c r="B4459"/>
      <c r="C4459" s="137"/>
      <c r="D4459" s="30"/>
      <c r="E4459" s="30"/>
      <c r="F4459" s="10"/>
      <c r="G4459" s="10"/>
      <c r="H4459" s="15"/>
      <c r="I4459" s="15"/>
      <c r="J4459" s="15"/>
      <c r="K4459" s="15"/>
      <c r="L4459" s="15"/>
      <c r="M4459" s="15"/>
      <c r="N4459" s="15"/>
      <c r="O4459" s="15"/>
      <c r="P4459" s="15"/>
      <c r="Q4459" s="71"/>
      <c r="R4459" s="84"/>
      <c r="S4459" s="10"/>
      <c r="T4459" s="10"/>
      <c r="U4459" s="10"/>
      <c r="V4459" s="10"/>
      <c r="W4459" s="138"/>
      <c r="Y4459"/>
      <c r="Z4459"/>
      <c r="AA4459"/>
      <c r="AB4459"/>
      <c r="AC4459"/>
      <c r="AD4459"/>
      <c r="AE4459"/>
      <c r="AF4459"/>
      <c r="AG4459"/>
      <c r="AH4459"/>
      <c r="AI4459"/>
      <c r="AJ4459"/>
      <c r="AK4459"/>
      <c r="AL4459"/>
      <c r="AM4459"/>
      <c r="AN4459"/>
      <c r="AO4459"/>
    </row>
    <row r="4460" spans="1:41" ht="15">
      <c r="A4460"/>
      <c r="B4460"/>
      <c r="C4460" s="137"/>
      <c r="D4460" s="30"/>
      <c r="E4460" s="30"/>
      <c r="F4460" s="10"/>
      <c r="G4460" s="10"/>
      <c r="H4460" s="15"/>
      <c r="I4460" s="15"/>
      <c r="J4460" s="15"/>
      <c r="K4460" s="15"/>
      <c r="L4460" s="15"/>
      <c r="M4460" s="15"/>
      <c r="N4460" s="15"/>
      <c r="O4460" s="15"/>
      <c r="P4460" s="15"/>
      <c r="Q4460" s="71"/>
      <c r="R4460" s="84"/>
      <c r="S4460" s="10"/>
      <c r="T4460" s="10"/>
      <c r="U4460" s="10"/>
      <c r="V4460" s="10"/>
      <c r="W4460" s="138"/>
      <c r="Y4460"/>
      <c r="Z4460"/>
      <c r="AA4460"/>
      <c r="AB4460"/>
      <c r="AC4460"/>
      <c r="AD4460"/>
      <c r="AE4460"/>
      <c r="AF4460"/>
      <c r="AG4460"/>
      <c r="AH4460"/>
      <c r="AI4460"/>
      <c r="AJ4460"/>
      <c r="AK4460"/>
      <c r="AL4460"/>
      <c r="AM4460"/>
      <c r="AN4460"/>
      <c r="AO4460"/>
    </row>
    <row r="4461" spans="1:41" ht="15">
      <c r="A4461"/>
      <c r="B4461"/>
      <c r="C4461" s="137"/>
      <c r="D4461" s="30"/>
      <c r="E4461" s="30"/>
      <c r="F4461" s="10"/>
      <c r="G4461" s="10"/>
      <c r="H4461" s="15"/>
      <c r="I4461" s="15"/>
      <c r="J4461" s="15"/>
      <c r="K4461" s="15"/>
      <c r="L4461" s="15"/>
      <c r="M4461" s="15"/>
      <c r="N4461" s="15"/>
      <c r="O4461" s="15"/>
      <c r="P4461" s="15"/>
      <c r="Q4461" s="71"/>
      <c r="R4461" s="84"/>
      <c r="S4461" s="10"/>
      <c r="T4461" s="10"/>
      <c r="U4461" s="10"/>
      <c r="V4461" s="10"/>
      <c r="W4461" s="138"/>
      <c r="Y4461"/>
      <c r="Z4461"/>
      <c r="AA4461"/>
      <c r="AB4461"/>
      <c r="AC4461"/>
      <c r="AD4461"/>
      <c r="AE4461"/>
      <c r="AF4461"/>
      <c r="AG4461"/>
      <c r="AH4461"/>
      <c r="AI4461"/>
      <c r="AJ4461"/>
      <c r="AK4461"/>
      <c r="AL4461"/>
      <c r="AM4461"/>
      <c r="AN4461"/>
      <c r="AO4461"/>
    </row>
    <row r="4462" spans="1:41" ht="15">
      <c r="A4462"/>
      <c r="B4462"/>
      <c r="C4462" s="137"/>
      <c r="D4462" s="30"/>
      <c r="E4462" s="30"/>
      <c r="F4462" s="10"/>
      <c r="G4462" s="10"/>
      <c r="H4462" s="15"/>
      <c r="I4462" s="15"/>
      <c r="J4462" s="15"/>
      <c r="K4462" s="15"/>
      <c r="L4462" s="15"/>
      <c r="M4462" s="15"/>
      <c r="N4462" s="15"/>
      <c r="O4462" s="15"/>
      <c r="P4462" s="15"/>
      <c r="Q4462" s="71"/>
      <c r="R4462" s="84"/>
      <c r="S4462" s="10"/>
      <c r="T4462" s="10"/>
      <c r="U4462" s="10"/>
      <c r="V4462" s="10"/>
      <c r="W4462" s="138"/>
      <c r="Y4462"/>
      <c r="Z4462"/>
      <c r="AA4462"/>
      <c r="AB4462"/>
      <c r="AC4462"/>
      <c r="AD4462"/>
      <c r="AE4462"/>
      <c r="AF4462"/>
      <c r="AG4462"/>
      <c r="AH4462"/>
      <c r="AI4462"/>
      <c r="AJ4462"/>
      <c r="AK4462"/>
      <c r="AL4462"/>
      <c r="AM4462"/>
      <c r="AN4462"/>
      <c r="AO4462"/>
    </row>
    <row r="4463" spans="1:41" ht="15">
      <c r="A4463"/>
      <c r="B4463"/>
      <c r="C4463" s="137"/>
      <c r="D4463" s="30"/>
      <c r="E4463" s="30"/>
      <c r="F4463" s="10"/>
      <c r="G4463" s="10"/>
      <c r="H4463" s="15"/>
      <c r="I4463" s="15"/>
      <c r="J4463" s="15"/>
      <c r="K4463" s="15"/>
      <c r="L4463" s="15"/>
      <c r="M4463" s="15"/>
      <c r="N4463" s="15"/>
      <c r="O4463" s="15"/>
      <c r="P4463" s="15"/>
      <c r="Q4463" s="71"/>
      <c r="R4463" s="84"/>
      <c r="S4463" s="10"/>
      <c r="T4463" s="10"/>
      <c r="U4463" s="10"/>
      <c r="V4463" s="10"/>
      <c r="W4463" s="138"/>
      <c r="Y4463"/>
      <c r="Z4463"/>
      <c r="AA4463"/>
      <c r="AB4463"/>
      <c r="AC4463"/>
      <c r="AD4463"/>
      <c r="AE4463"/>
      <c r="AF4463"/>
      <c r="AG4463"/>
      <c r="AH4463"/>
      <c r="AI4463"/>
      <c r="AJ4463"/>
      <c r="AK4463"/>
      <c r="AL4463"/>
      <c r="AM4463"/>
      <c r="AN4463"/>
      <c r="AO4463"/>
    </row>
    <row r="4464" spans="1:41" ht="15">
      <c r="A4464"/>
      <c r="B4464"/>
      <c r="C4464" s="137"/>
      <c r="D4464" s="30"/>
      <c r="E4464" s="30"/>
      <c r="F4464" s="10"/>
      <c r="G4464" s="10"/>
      <c r="H4464" s="15"/>
      <c r="I4464" s="15"/>
      <c r="J4464" s="15"/>
      <c r="K4464" s="15"/>
      <c r="L4464" s="15"/>
      <c r="M4464" s="15"/>
      <c r="N4464" s="15"/>
      <c r="O4464" s="15"/>
      <c r="P4464" s="15"/>
      <c r="Q4464" s="71"/>
      <c r="R4464" s="84"/>
      <c r="S4464" s="10"/>
      <c r="T4464" s="10"/>
      <c r="U4464" s="10"/>
      <c r="V4464" s="10"/>
      <c r="W4464" s="138"/>
      <c r="Y4464"/>
      <c r="Z4464"/>
      <c r="AA4464"/>
      <c r="AB4464"/>
      <c r="AC4464"/>
      <c r="AD4464"/>
      <c r="AE4464"/>
      <c r="AF4464"/>
      <c r="AG4464"/>
      <c r="AH4464"/>
      <c r="AI4464"/>
      <c r="AJ4464"/>
      <c r="AK4464"/>
      <c r="AL4464"/>
      <c r="AM4464"/>
      <c r="AN4464"/>
      <c r="AO4464"/>
    </row>
    <row r="4465" spans="1:41" ht="15">
      <c r="A4465"/>
      <c r="B4465"/>
      <c r="C4465" s="137"/>
      <c r="D4465" s="30"/>
      <c r="E4465" s="30"/>
      <c r="F4465" s="10"/>
      <c r="G4465" s="10"/>
      <c r="H4465" s="15"/>
      <c r="I4465" s="15"/>
      <c r="J4465" s="15"/>
      <c r="K4465" s="15"/>
      <c r="L4465" s="15"/>
      <c r="M4465" s="15"/>
      <c r="N4465" s="15"/>
      <c r="O4465" s="15"/>
      <c r="P4465" s="15"/>
      <c r="Q4465" s="71"/>
      <c r="R4465" s="84"/>
      <c r="S4465" s="10"/>
      <c r="T4465" s="10"/>
      <c r="U4465" s="10"/>
      <c r="V4465" s="10"/>
      <c r="W4465" s="138"/>
      <c r="Y4465"/>
      <c r="Z4465"/>
      <c r="AA4465"/>
      <c r="AB4465"/>
      <c r="AC4465"/>
      <c r="AD4465"/>
      <c r="AE4465"/>
      <c r="AF4465"/>
      <c r="AG4465"/>
      <c r="AH4465"/>
      <c r="AI4465"/>
      <c r="AJ4465"/>
      <c r="AK4465"/>
      <c r="AL4465"/>
      <c r="AM4465"/>
      <c r="AN4465"/>
      <c r="AO4465"/>
    </row>
    <row r="4466" spans="1:41" ht="15">
      <c r="A4466"/>
      <c r="B4466"/>
      <c r="C4466" s="137"/>
      <c r="D4466" s="30"/>
      <c r="E4466" s="30"/>
      <c r="F4466" s="10"/>
      <c r="G4466" s="10"/>
      <c r="H4466" s="15"/>
      <c r="I4466" s="15"/>
      <c r="J4466" s="15"/>
      <c r="K4466" s="15"/>
      <c r="L4466" s="15"/>
      <c r="M4466" s="15"/>
      <c r="N4466" s="15"/>
      <c r="O4466" s="15"/>
      <c r="P4466" s="15"/>
      <c r="Q4466" s="71"/>
      <c r="R4466" s="84"/>
      <c r="S4466" s="10"/>
      <c r="T4466" s="10"/>
      <c r="U4466" s="10"/>
      <c r="V4466" s="10"/>
      <c r="W4466" s="138"/>
      <c r="Y4466"/>
      <c r="Z4466"/>
      <c r="AA4466"/>
      <c r="AB4466"/>
      <c r="AC4466"/>
      <c r="AD4466"/>
      <c r="AE4466"/>
      <c r="AF4466"/>
      <c r="AG4466"/>
      <c r="AH4466"/>
      <c r="AI4466"/>
      <c r="AJ4466"/>
      <c r="AK4466"/>
      <c r="AL4466"/>
      <c r="AM4466"/>
      <c r="AN4466"/>
      <c r="AO4466"/>
    </row>
    <row r="4467" spans="1:41" ht="15">
      <c r="A4467"/>
      <c r="B4467"/>
      <c r="C4467" s="137"/>
      <c r="D4467" s="30"/>
      <c r="E4467" s="30"/>
      <c r="F4467" s="10"/>
      <c r="G4467" s="10"/>
      <c r="H4467" s="15"/>
      <c r="I4467" s="15"/>
      <c r="J4467" s="15"/>
      <c r="K4467" s="15"/>
      <c r="L4467" s="15"/>
      <c r="M4467" s="15"/>
      <c r="N4467" s="15"/>
      <c r="O4467" s="15"/>
      <c r="P4467" s="15"/>
      <c r="Q4467" s="71"/>
      <c r="R4467" s="84"/>
      <c r="S4467" s="10"/>
      <c r="T4467" s="10"/>
      <c r="U4467" s="10"/>
      <c r="V4467" s="10"/>
      <c r="W4467" s="138"/>
      <c r="Y4467"/>
      <c r="Z4467"/>
      <c r="AA4467"/>
      <c r="AB4467"/>
      <c r="AC4467"/>
      <c r="AD4467"/>
      <c r="AE4467"/>
      <c r="AF4467"/>
      <c r="AG4467"/>
      <c r="AH4467"/>
      <c r="AI4467"/>
      <c r="AJ4467"/>
      <c r="AK4467"/>
      <c r="AL4467"/>
      <c r="AM4467"/>
      <c r="AN4467"/>
      <c r="AO4467"/>
    </row>
    <row r="4468" spans="1:41" ht="15">
      <c r="A4468"/>
      <c r="B4468"/>
      <c r="C4468" s="137"/>
      <c r="D4468" s="30"/>
      <c r="E4468" s="30"/>
      <c r="F4468" s="10"/>
      <c r="G4468" s="10"/>
      <c r="H4468" s="15"/>
      <c r="I4468" s="15"/>
      <c r="J4468" s="15"/>
      <c r="K4468" s="15"/>
      <c r="L4468" s="15"/>
      <c r="M4468" s="15"/>
      <c r="N4468" s="15"/>
      <c r="O4468" s="15"/>
      <c r="P4468" s="15"/>
      <c r="Q4468" s="71"/>
      <c r="R4468" s="84"/>
      <c r="S4468" s="10"/>
      <c r="T4468" s="10"/>
      <c r="U4468" s="10"/>
      <c r="V4468" s="10"/>
      <c r="W4468" s="138"/>
      <c r="Y4468"/>
      <c r="Z4468"/>
      <c r="AA4468"/>
      <c r="AB4468"/>
      <c r="AC4468"/>
      <c r="AD4468"/>
      <c r="AE4468"/>
      <c r="AF4468"/>
      <c r="AG4468"/>
      <c r="AH4468"/>
      <c r="AI4468"/>
      <c r="AJ4468"/>
      <c r="AK4468"/>
      <c r="AL4468"/>
      <c r="AM4468"/>
      <c r="AN4468"/>
      <c r="AO4468"/>
    </row>
    <row r="4469" spans="1:41" ht="15">
      <c r="A4469"/>
      <c r="B4469"/>
      <c r="C4469" s="137"/>
      <c r="D4469" s="30"/>
      <c r="E4469" s="30"/>
      <c r="F4469" s="10"/>
      <c r="G4469" s="10"/>
      <c r="H4469" s="15"/>
      <c r="I4469" s="15"/>
      <c r="J4469" s="15"/>
      <c r="K4469" s="15"/>
      <c r="L4469" s="15"/>
      <c r="M4469" s="15"/>
      <c r="N4469" s="15"/>
      <c r="O4469" s="15"/>
      <c r="P4469" s="15"/>
      <c r="Q4469" s="71"/>
      <c r="R4469" s="84"/>
      <c r="S4469" s="10"/>
      <c r="T4469" s="10"/>
      <c r="U4469" s="10"/>
      <c r="V4469" s="10"/>
      <c r="W4469" s="138"/>
      <c r="Y4469"/>
      <c r="Z4469"/>
      <c r="AA4469"/>
      <c r="AB4469"/>
      <c r="AC4469"/>
      <c r="AD4469"/>
      <c r="AE4469"/>
      <c r="AF4469"/>
      <c r="AG4469"/>
      <c r="AH4469"/>
      <c r="AI4469"/>
      <c r="AJ4469"/>
      <c r="AK4469"/>
      <c r="AL4469"/>
      <c r="AM4469"/>
      <c r="AN4469"/>
      <c r="AO4469"/>
    </row>
    <row r="4470" spans="1:41" ht="15">
      <c r="A4470"/>
      <c r="B4470"/>
      <c r="C4470" s="137"/>
      <c r="D4470" s="30"/>
      <c r="E4470" s="30"/>
      <c r="F4470" s="10"/>
      <c r="G4470" s="10"/>
      <c r="H4470" s="15"/>
      <c r="I4470" s="15"/>
      <c r="J4470" s="15"/>
      <c r="K4470" s="15"/>
      <c r="L4470" s="15"/>
      <c r="M4470" s="15"/>
      <c r="N4470" s="15"/>
      <c r="O4470" s="15"/>
      <c r="P4470" s="15"/>
      <c r="Q4470" s="71"/>
      <c r="R4470" s="84"/>
      <c r="S4470" s="10"/>
      <c r="T4470" s="10"/>
      <c r="U4470" s="10"/>
      <c r="V4470" s="10"/>
      <c r="W4470" s="138"/>
      <c r="Y4470"/>
      <c r="Z4470"/>
      <c r="AA4470"/>
      <c r="AB4470"/>
      <c r="AC4470"/>
      <c r="AD4470"/>
      <c r="AE4470"/>
      <c r="AF4470"/>
      <c r="AG4470"/>
      <c r="AH4470"/>
      <c r="AI4470"/>
      <c r="AJ4470"/>
      <c r="AK4470"/>
      <c r="AL4470"/>
      <c r="AM4470"/>
      <c r="AN4470"/>
      <c r="AO4470"/>
    </row>
    <row r="4471" spans="1:41" ht="15">
      <c r="A4471"/>
      <c r="B4471"/>
      <c r="C4471" s="137"/>
      <c r="D4471" s="30"/>
      <c r="E4471" s="30"/>
      <c r="F4471" s="10"/>
      <c r="G4471" s="10"/>
      <c r="H4471" s="15"/>
      <c r="I4471" s="15"/>
      <c r="J4471" s="15"/>
      <c r="K4471" s="15"/>
      <c r="L4471" s="15"/>
      <c r="M4471" s="15"/>
      <c r="N4471" s="15"/>
      <c r="O4471" s="15"/>
      <c r="P4471" s="15"/>
      <c r="Q4471" s="71"/>
      <c r="R4471" s="84"/>
      <c r="S4471" s="10"/>
      <c r="T4471" s="10"/>
      <c r="U4471" s="10"/>
      <c r="V4471" s="10"/>
      <c r="W4471" s="138"/>
      <c r="Y4471"/>
      <c r="Z4471"/>
      <c r="AA4471"/>
      <c r="AB4471"/>
      <c r="AC4471"/>
      <c r="AD4471"/>
      <c r="AE4471"/>
      <c r="AF4471"/>
      <c r="AG4471"/>
      <c r="AH4471"/>
      <c r="AI4471"/>
      <c r="AJ4471"/>
      <c r="AK4471"/>
      <c r="AL4471"/>
      <c r="AM4471"/>
      <c r="AN4471"/>
      <c r="AO4471"/>
    </row>
    <row r="4472" spans="1:41" ht="15">
      <c r="A4472"/>
      <c r="B4472"/>
      <c r="C4472" s="137"/>
      <c r="D4472" s="30"/>
      <c r="E4472" s="30"/>
      <c r="F4472" s="10"/>
      <c r="G4472" s="10"/>
      <c r="H4472" s="15"/>
      <c r="I4472" s="15"/>
      <c r="J4472" s="15"/>
      <c r="K4472" s="15"/>
      <c r="L4472" s="15"/>
      <c r="M4472" s="15"/>
      <c r="N4472" s="15"/>
      <c r="O4472" s="15"/>
      <c r="P4472" s="15"/>
      <c r="Q4472" s="71"/>
      <c r="R4472" s="84"/>
      <c r="S4472" s="10"/>
      <c r="T4472" s="10"/>
      <c r="U4472" s="10"/>
      <c r="V4472" s="10"/>
      <c r="W4472" s="138"/>
      <c r="Y4472"/>
      <c r="Z4472"/>
      <c r="AA4472"/>
      <c r="AB4472"/>
      <c r="AC4472"/>
      <c r="AD4472"/>
      <c r="AE4472"/>
      <c r="AF4472"/>
      <c r="AG4472"/>
      <c r="AH4472"/>
      <c r="AI4472"/>
      <c r="AJ4472"/>
      <c r="AK4472"/>
      <c r="AL4472"/>
      <c r="AM4472"/>
      <c r="AN4472"/>
      <c r="AO4472"/>
    </row>
    <row r="4473" spans="1:41" ht="15">
      <c r="A4473"/>
      <c r="B4473"/>
      <c r="C4473" s="137"/>
      <c r="D4473" s="30"/>
      <c r="E4473" s="30"/>
      <c r="F4473" s="10"/>
      <c r="G4473" s="10"/>
      <c r="H4473" s="15"/>
      <c r="I4473" s="15"/>
      <c r="J4473" s="15"/>
      <c r="K4473" s="15"/>
      <c r="L4473" s="15"/>
      <c r="M4473" s="15"/>
      <c r="N4473" s="15"/>
      <c r="O4473" s="15"/>
      <c r="P4473" s="15"/>
      <c r="Q4473" s="71"/>
      <c r="R4473" s="84"/>
      <c r="S4473" s="10"/>
      <c r="T4473" s="10"/>
      <c r="U4473" s="10"/>
      <c r="V4473" s="10"/>
      <c r="W4473" s="138"/>
      <c r="Y4473"/>
      <c r="Z4473"/>
      <c r="AA4473"/>
      <c r="AB4473"/>
      <c r="AC4473"/>
      <c r="AD4473"/>
      <c r="AE4473"/>
      <c r="AF4473"/>
      <c r="AG4473"/>
      <c r="AH4473"/>
      <c r="AI4473"/>
      <c r="AJ4473"/>
      <c r="AK4473"/>
      <c r="AL4473"/>
      <c r="AM4473"/>
      <c r="AN4473"/>
      <c r="AO4473"/>
    </row>
    <row r="4474" spans="1:41" ht="15">
      <c r="A4474"/>
      <c r="B4474"/>
      <c r="C4474" s="137"/>
      <c r="D4474" s="30"/>
      <c r="E4474" s="30"/>
      <c r="F4474" s="10"/>
      <c r="G4474" s="10"/>
      <c r="H4474" s="15"/>
      <c r="I4474" s="15"/>
      <c r="J4474" s="15"/>
      <c r="K4474" s="15"/>
      <c r="L4474" s="15"/>
      <c r="M4474" s="15"/>
      <c r="N4474" s="15"/>
      <c r="O4474" s="15"/>
      <c r="P4474" s="15"/>
      <c r="Q4474" s="71"/>
      <c r="R4474" s="84"/>
      <c r="S4474" s="10"/>
      <c r="T4474" s="10"/>
      <c r="U4474" s="10"/>
      <c r="V4474" s="10"/>
      <c r="W4474" s="138"/>
      <c r="Y4474"/>
      <c r="Z4474"/>
      <c r="AA4474"/>
      <c r="AB4474"/>
      <c r="AC4474"/>
      <c r="AD4474"/>
      <c r="AE4474"/>
      <c r="AF4474"/>
      <c r="AG4474"/>
      <c r="AH4474"/>
      <c r="AI4474"/>
      <c r="AJ4474"/>
      <c r="AK4474"/>
      <c r="AL4474"/>
      <c r="AM4474"/>
      <c r="AN4474"/>
      <c r="AO4474"/>
    </row>
    <row r="4475" spans="1:41" ht="15">
      <c r="A4475"/>
      <c r="B4475"/>
      <c r="C4475" s="137"/>
      <c r="D4475" s="30"/>
      <c r="E4475" s="30"/>
      <c r="F4475" s="10"/>
      <c r="G4475" s="10"/>
      <c r="H4475" s="15"/>
      <c r="I4475" s="15"/>
      <c r="J4475" s="15"/>
      <c r="K4475" s="15"/>
      <c r="L4475" s="15"/>
      <c r="M4475" s="15"/>
      <c r="N4475" s="15"/>
      <c r="O4475" s="15"/>
      <c r="P4475" s="15"/>
      <c r="Q4475" s="71"/>
      <c r="R4475" s="84"/>
      <c r="S4475" s="10"/>
      <c r="T4475" s="10"/>
      <c r="U4475" s="10"/>
      <c r="V4475" s="10"/>
      <c r="W4475" s="138"/>
      <c r="Y4475"/>
      <c r="Z4475"/>
      <c r="AA4475"/>
      <c r="AB4475"/>
      <c r="AC4475"/>
      <c r="AD4475"/>
      <c r="AE4475"/>
      <c r="AF4475"/>
      <c r="AG4475"/>
      <c r="AH4475"/>
      <c r="AI4475"/>
      <c r="AJ4475"/>
      <c r="AK4475"/>
      <c r="AL4475"/>
      <c r="AM4475"/>
      <c r="AN4475"/>
      <c r="AO4475"/>
    </row>
    <row r="4476" spans="1:41" ht="15">
      <c r="A4476"/>
      <c r="B4476"/>
      <c r="C4476" s="137"/>
      <c r="D4476" s="30"/>
      <c r="E4476" s="30"/>
      <c r="F4476" s="10"/>
      <c r="G4476" s="10"/>
      <c r="H4476" s="15"/>
      <c r="I4476" s="15"/>
      <c r="J4476" s="15"/>
      <c r="K4476" s="15"/>
      <c r="L4476" s="15"/>
      <c r="M4476" s="15"/>
      <c r="N4476" s="15"/>
      <c r="O4476" s="15"/>
      <c r="P4476" s="15"/>
      <c r="Q4476" s="71"/>
      <c r="R4476" s="84"/>
      <c r="S4476" s="10"/>
      <c r="T4476" s="10"/>
      <c r="U4476" s="10"/>
      <c r="V4476" s="10"/>
      <c r="W4476" s="138"/>
      <c r="Y4476"/>
      <c r="Z4476"/>
      <c r="AA4476"/>
      <c r="AB4476"/>
      <c r="AC4476"/>
      <c r="AD4476"/>
      <c r="AE4476"/>
      <c r="AF4476"/>
      <c r="AG4476"/>
      <c r="AH4476"/>
      <c r="AI4476"/>
      <c r="AJ4476"/>
      <c r="AK4476"/>
      <c r="AL4476"/>
      <c r="AM4476"/>
      <c r="AN4476"/>
      <c r="AO4476"/>
    </row>
    <row r="4477" spans="1:41" ht="15">
      <c r="A4477"/>
      <c r="B4477"/>
      <c r="C4477" s="137"/>
      <c r="D4477" s="30"/>
      <c r="E4477" s="30"/>
      <c r="F4477" s="10"/>
      <c r="G4477" s="10"/>
      <c r="H4477" s="15"/>
      <c r="I4477" s="15"/>
      <c r="J4477" s="15"/>
      <c r="K4477" s="15"/>
      <c r="L4477" s="15"/>
      <c r="M4477" s="15"/>
      <c r="N4477" s="15"/>
      <c r="O4477" s="15"/>
      <c r="P4477" s="15"/>
      <c r="Q4477" s="71"/>
      <c r="R4477" s="84"/>
      <c r="S4477" s="10"/>
      <c r="T4477" s="10"/>
      <c r="U4477" s="10"/>
      <c r="V4477" s="10"/>
      <c r="W4477" s="138"/>
      <c r="Y4477"/>
      <c r="Z4477"/>
      <c r="AA4477"/>
      <c r="AB4477"/>
      <c r="AC4477"/>
      <c r="AD4477"/>
      <c r="AE4477"/>
      <c r="AF4477"/>
      <c r="AG4477"/>
      <c r="AH4477"/>
      <c r="AI4477"/>
      <c r="AJ4477"/>
      <c r="AK4477"/>
      <c r="AL4477"/>
      <c r="AM4477"/>
      <c r="AN4477"/>
      <c r="AO4477"/>
    </row>
    <row r="4478" spans="1:41" ht="15">
      <c r="A4478"/>
      <c r="B4478"/>
      <c r="C4478" s="137"/>
      <c r="D4478" s="30"/>
      <c r="E4478" s="30"/>
      <c r="F4478" s="10"/>
      <c r="G4478" s="10"/>
      <c r="H4478" s="15"/>
      <c r="I4478" s="15"/>
      <c r="J4478" s="15"/>
      <c r="K4478" s="15"/>
      <c r="L4478" s="15"/>
      <c r="M4478" s="15"/>
      <c r="N4478" s="15"/>
      <c r="O4478" s="15"/>
      <c r="P4478" s="15"/>
      <c r="Q4478" s="71"/>
      <c r="R4478" s="84"/>
      <c r="S4478" s="10"/>
      <c r="T4478" s="10"/>
      <c r="U4478" s="10"/>
      <c r="V4478" s="10"/>
      <c r="W4478" s="138"/>
      <c r="Y4478"/>
      <c r="Z4478"/>
      <c r="AA4478"/>
      <c r="AB4478"/>
      <c r="AC4478"/>
      <c r="AD4478"/>
      <c r="AE4478"/>
      <c r="AF4478"/>
      <c r="AG4478"/>
      <c r="AH4478"/>
      <c r="AI4478"/>
      <c r="AJ4478"/>
      <c r="AK4478"/>
      <c r="AL4478"/>
      <c r="AM4478"/>
      <c r="AN4478"/>
      <c r="AO4478"/>
    </row>
    <row r="4479" spans="1:41" ht="15">
      <c r="A4479"/>
      <c r="B4479"/>
      <c r="C4479" s="137"/>
      <c r="D4479" s="30"/>
      <c r="E4479" s="30"/>
      <c r="F4479" s="10"/>
      <c r="G4479" s="10"/>
      <c r="H4479" s="15"/>
      <c r="I4479" s="15"/>
      <c r="J4479" s="15"/>
      <c r="K4479" s="15"/>
      <c r="L4479" s="15"/>
      <c r="M4479" s="15"/>
      <c r="N4479" s="15"/>
      <c r="O4479" s="15"/>
      <c r="P4479" s="15"/>
      <c r="Q4479" s="71"/>
      <c r="R4479" s="84"/>
      <c r="S4479" s="10"/>
      <c r="T4479" s="10"/>
      <c r="U4479" s="10"/>
      <c r="V4479" s="10"/>
      <c r="W4479" s="138"/>
      <c r="Y4479"/>
      <c r="Z4479"/>
      <c r="AA4479"/>
      <c r="AB4479"/>
      <c r="AC4479"/>
      <c r="AD4479"/>
      <c r="AE4479"/>
      <c r="AF4479"/>
      <c r="AG4479"/>
      <c r="AH4479"/>
      <c r="AI4479"/>
      <c r="AJ4479"/>
      <c r="AK4479"/>
      <c r="AL4479"/>
      <c r="AM4479"/>
      <c r="AN4479"/>
      <c r="AO4479"/>
    </row>
    <row r="4480" spans="1:41" ht="15">
      <c r="A4480"/>
      <c r="B4480"/>
      <c r="C4480" s="137"/>
      <c r="D4480" s="30"/>
      <c r="E4480" s="30"/>
      <c r="F4480" s="10"/>
      <c r="G4480" s="10"/>
      <c r="H4480" s="15"/>
      <c r="I4480" s="15"/>
      <c r="J4480" s="15"/>
      <c r="K4480" s="15"/>
      <c r="L4480" s="15"/>
      <c r="M4480" s="15"/>
      <c r="N4480" s="15"/>
      <c r="O4480" s="15"/>
      <c r="P4480" s="15"/>
      <c r="Q4480" s="71"/>
      <c r="R4480" s="84"/>
      <c r="S4480" s="10"/>
      <c r="T4480" s="10"/>
      <c r="U4480" s="10"/>
      <c r="V4480" s="10"/>
      <c r="W4480" s="138"/>
      <c r="Y4480"/>
      <c r="Z4480"/>
      <c r="AA4480"/>
      <c r="AB4480"/>
      <c r="AC4480"/>
      <c r="AD4480"/>
      <c r="AE4480"/>
      <c r="AF4480"/>
      <c r="AG4480"/>
      <c r="AH4480"/>
      <c r="AI4480"/>
      <c r="AJ4480"/>
      <c r="AK4480"/>
      <c r="AL4480"/>
      <c r="AM4480"/>
      <c r="AN4480"/>
      <c r="AO4480"/>
    </row>
    <row r="4481" spans="1:41" ht="15">
      <c r="A4481"/>
      <c r="B4481"/>
      <c r="C4481" s="137"/>
      <c r="D4481" s="30"/>
      <c r="E4481" s="30"/>
      <c r="F4481" s="10"/>
      <c r="G4481" s="10"/>
      <c r="H4481" s="15"/>
      <c r="I4481" s="15"/>
      <c r="J4481" s="15"/>
      <c r="K4481" s="15"/>
      <c r="L4481" s="15"/>
      <c r="M4481" s="15"/>
      <c r="N4481" s="15"/>
      <c r="O4481" s="15"/>
      <c r="P4481" s="15"/>
      <c r="Q4481" s="71"/>
      <c r="R4481" s="84"/>
      <c r="S4481" s="10"/>
      <c r="T4481" s="10"/>
      <c r="U4481" s="10"/>
      <c r="V4481" s="10"/>
      <c r="W4481" s="138"/>
      <c r="Y4481"/>
      <c r="Z4481"/>
      <c r="AA4481"/>
      <c r="AB4481"/>
      <c r="AC4481"/>
      <c r="AD4481"/>
      <c r="AE4481"/>
      <c r="AF4481"/>
      <c r="AG4481"/>
      <c r="AH4481"/>
      <c r="AI4481"/>
      <c r="AJ4481"/>
      <c r="AK4481"/>
      <c r="AL4481"/>
      <c r="AM4481"/>
      <c r="AN4481"/>
      <c r="AO4481"/>
    </row>
    <row r="4482" spans="1:41" ht="15">
      <c r="A4482"/>
      <c r="B4482"/>
      <c r="C4482" s="137"/>
      <c r="D4482" s="30"/>
      <c r="E4482" s="30"/>
      <c r="F4482" s="10"/>
      <c r="G4482" s="10"/>
      <c r="H4482" s="15"/>
      <c r="I4482" s="15"/>
      <c r="J4482" s="15"/>
      <c r="K4482" s="15"/>
      <c r="L4482" s="15"/>
      <c r="M4482" s="15"/>
      <c r="N4482" s="15"/>
      <c r="O4482" s="15"/>
      <c r="P4482" s="15"/>
      <c r="Q4482" s="71"/>
      <c r="R4482" s="84"/>
      <c r="S4482" s="10"/>
      <c r="T4482" s="10"/>
      <c r="U4482" s="10"/>
      <c r="V4482" s="10"/>
      <c r="W4482" s="138"/>
      <c r="Y4482"/>
      <c r="Z4482"/>
      <c r="AA4482"/>
      <c r="AB4482"/>
      <c r="AC4482"/>
      <c r="AD4482"/>
      <c r="AE4482"/>
      <c r="AF4482"/>
      <c r="AG4482"/>
      <c r="AH4482"/>
      <c r="AI4482"/>
      <c r="AJ4482"/>
      <c r="AK4482"/>
      <c r="AL4482"/>
      <c r="AM4482"/>
      <c r="AN4482"/>
      <c r="AO4482"/>
    </row>
    <row r="4483" spans="1:41" ht="15">
      <c r="A4483"/>
      <c r="B4483"/>
      <c r="C4483" s="137"/>
      <c r="D4483" s="30"/>
      <c r="E4483" s="30"/>
      <c r="F4483" s="10"/>
      <c r="G4483" s="10"/>
      <c r="H4483" s="15"/>
      <c r="I4483" s="15"/>
      <c r="J4483" s="15"/>
      <c r="K4483" s="15"/>
      <c r="L4483" s="15"/>
      <c r="M4483" s="15"/>
      <c r="N4483" s="15"/>
      <c r="O4483" s="15"/>
      <c r="P4483" s="15"/>
      <c r="Q4483" s="71"/>
      <c r="R4483" s="84"/>
      <c r="S4483" s="10"/>
      <c r="T4483" s="10"/>
      <c r="U4483" s="10"/>
      <c r="V4483" s="10"/>
      <c r="W4483" s="138"/>
      <c r="Y4483"/>
      <c r="Z4483"/>
      <c r="AA4483"/>
      <c r="AB4483"/>
      <c r="AC4483"/>
      <c r="AD4483"/>
      <c r="AE4483"/>
      <c r="AF4483"/>
      <c r="AG4483"/>
      <c r="AH4483"/>
      <c r="AI4483"/>
      <c r="AJ4483"/>
      <c r="AK4483"/>
      <c r="AL4483"/>
      <c r="AM4483"/>
      <c r="AN4483"/>
      <c r="AO4483"/>
    </row>
    <row r="4484" spans="1:41" ht="15">
      <c r="A4484"/>
      <c r="B4484"/>
      <c r="C4484" s="137"/>
      <c r="D4484" s="30"/>
      <c r="E4484" s="30"/>
      <c r="F4484" s="10"/>
      <c r="G4484" s="10"/>
      <c r="H4484" s="15"/>
      <c r="I4484" s="15"/>
      <c r="J4484" s="15"/>
      <c r="K4484" s="15"/>
      <c r="L4484" s="15"/>
      <c r="M4484" s="15"/>
      <c r="N4484" s="15"/>
      <c r="O4484" s="15"/>
      <c r="P4484" s="15"/>
      <c r="Q4484" s="71"/>
      <c r="R4484" s="84"/>
      <c r="S4484" s="10"/>
      <c r="T4484" s="10"/>
      <c r="U4484" s="10"/>
      <c r="V4484" s="10"/>
      <c r="W4484" s="138"/>
      <c r="Y4484"/>
      <c r="Z4484"/>
      <c r="AA4484"/>
      <c r="AB4484"/>
      <c r="AC4484"/>
      <c r="AD4484"/>
      <c r="AE4484"/>
      <c r="AF4484"/>
      <c r="AG4484"/>
      <c r="AH4484"/>
      <c r="AI4484"/>
      <c r="AJ4484"/>
      <c r="AK4484"/>
      <c r="AL4484"/>
      <c r="AM4484"/>
      <c r="AN4484"/>
      <c r="AO4484"/>
    </row>
    <row r="4485" spans="1:41" ht="15">
      <c r="A4485"/>
      <c r="B4485"/>
      <c r="C4485" s="137"/>
      <c r="D4485" s="30"/>
      <c r="E4485" s="30"/>
      <c r="F4485" s="10"/>
      <c r="G4485" s="10"/>
      <c r="H4485" s="15"/>
      <c r="I4485" s="15"/>
      <c r="J4485" s="15"/>
      <c r="K4485" s="15"/>
      <c r="L4485" s="15"/>
      <c r="M4485" s="15"/>
      <c r="N4485" s="15"/>
      <c r="O4485" s="15"/>
      <c r="P4485" s="15"/>
      <c r="Q4485" s="71"/>
      <c r="R4485" s="84"/>
      <c r="S4485" s="10"/>
      <c r="T4485" s="10"/>
      <c r="U4485" s="10"/>
      <c r="V4485" s="10"/>
      <c r="W4485" s="138"/>
      <c r="Y4485"/>
      <c r="Z4485"/>
      <c r="AA4485"/>
      <c r="AB4485"/>
      <c r="AC4485"/>
      <c r="AD4485"/>
      <c r="AE4485"/>
      <c r="AF4485"/>
      <c r="AG4485"/>
      <c r="AH4485"/>
      <c r="AI4485"/>
      <c r="AJ4485"/>
      <c r="AK4485"/>
      <c r="AL4485"/>
      <c r="AM4485"/>
      <c r="AN4485"/>
      <c r="AO4485"/>
    </row>
    <row r="4486" spans="1:41" ht="15">
      <c r="A4486"/>
      <c r="B4486"/>
      <c r="C4486" s="137"/>
      <c r="D4486" s="30"/>
      <c r="E4486" s="30"/>
      <c r="F4486" s="10"/>
      <c r="G4486" s="10"/>
      <c r="H4486" s="15"/>
      <c r="I4486" s="15"/>
      <c r="J4486" s="15"/>
      <c r="K4486" s="15"/>
      <c r="L4486" s="15"/>
      <c r="M4486" s="15"/>
      <c r="N4486" s="15"/>
      <c r="O4486" s="15"/>
      <c r="P4486" s="15"/>
      <c r="Q4486" s="71"/>
      <c r="R4486" s="84"/>
      <c r="S4486" s="10"/>
      <c r="T4486" s="10"/>
      <c r="U4486" s="10"/>
      <c r="V4486" s="10"/>
      <c r="W4486" s="138"/>
      <c r="Y4486"/>
      <c r="Z4486"/>
      <c r="AA4486"/>
      <c r="AB4486"/>
      <c r="AC4486"/>
      <c r="AD4486"/>
      <c r="AE4486"/>
      <c r="AF4486"/>
      <c r="AG4486"/>
      <c r="AH4486"/>
      <c r="AI4486"/>
      <c r="AJ4486"/>
      <c r="AK4486"/>
      <c r="AL4486"/>
      <c r="AM4486"/>
      <c r="AN4486"/>
      <c r="AO4486"/>
    </row>
    <row r="4487" spans="1:41" ht="15">
      <c r="A4487"/>
      <c r="B4487"/>
      <c r="C4487" s="137"/>
      <c r="D4487" s="30"/>
      <c r="E4487" s="30"/>
      <c r="F4487" s="10"/>
      <c r="G4487" s="10"/>
      <c r="H4487" s="15"/>
      <c r="I4487" s="15"/>
      <c r="J4487" s="15"/>
      <c r="K4487" s="15"/>
      <c r="L4487" s="15"/>
      <c r="M4487" s="15"/>
      <c r="N4487" s="15"/>
      <c r="O4487" s="15"/>
      <c r="P4487" s="15"/>
      <c r="Q4487" s="71"/>
      <c r="R4487" s="84"/>
      <c r="S4487" s="10"/>
      <c r="T4487" s="10"/>
      <c r="U4487" s="10"/>
      <c r="V4487" s="10"/>
      <c r="W4487" s="138"/>
      <c r="Y4487"/>
      <c r="Z4487"/>
      <c r="AA4487"/>
      <c r="AB4487"/>
      <c r="AC4487"/>
      <c r="AD4487"/>
      <c r="AE4487"/>
      <c r="AF4487"/>
      <c r="AG4487"/>
      <c r="AH4487"/>
      <c r="AI4487"/>
      <c r="AJ4487"/>
      <c r="AK4487"/>
      <c r="AL4487"/>
      <c r="AM4487"/>
      <c r="AN4487"/>
      <c r="AO4487"/>
    </row>
    <row r="4488" spans="1:41" ht="15">
      <c r="A4488"/>
      <c r="B4488"/>
      <c r="C4488" s="137"/>
      <c r="D4488" s="30"/>
      <c r="E4488" s="30"/>
      <c r="F4488" s="10"/>
      <c r="G4488" s="10"/>
      <c r="H4488" s="15"/>
      <c r="I4488" s="15"/>
      <c r="J4488" s="15"/>
      <c r="K4488" s="15"/>
      <c r="L4488" s="15"/>
      <c r="M4488" s="15"/>
      <c r="N4488" s="15"/>
      <c r="O4488" s="15"/>
      <c r="P4488" s="15"/>
      <c r="Q4488" s="71"/>
      <c r="R4488" s="84"/>
      <c r="S4488" s="10"/>
      <c r="T4488" s="10"/>
      <c r="U4488" s="10"/>
      <c r="V4488" s="10"/>
      <c r="W4488" s="138"/>
      <c r="Y4488"/>
      <c r="Z4488"/>
      <c r="AA4488"/>
      <c r="AB4488"/>
      <c r="AC4488"/>
      <c r="AD4488"/>
      <c r="AE4488"/>
      <c r="AF4488"/>
      <c r="AG4488"/>
      <c r="AH4488"/>
      <c r="AI4488"/>
      <c r="AJ4488"/>
      <c r="AK4488"/>
      <c r="AL4488"/>
      <c r="AM4488"/>
      <c r="AN4488"/>
      <c r="AO4488"/>
    </row>
    <row r="4489" spans="1:41" ht="15">
      <c r="A4489"/>
      <c r="B4489"/>
      <c r="C4489" s="137"/>
      <c r="D4489" s="30"/>
      <c r="E4489" s="30"/>
      <c r="F4489" s="10"/>
      <c r="G4489" s="10"/>
      <c r="H4489" s="15"/>
      <c r="I4489" s="15"/>
      <c r="J4489" s="15"/>
      <c r="K4489" s="15"/>
      <c r="L4489" s="15"/>
      <c r="M4489" s="15"/>
      <c r="N4489" s="15"/>
      <c r="O4489" s="15"/>
      <c r="P4489" s="15"/>
      <c r="Q4489" s="71"/>
      <c r="R4489" s="84"/>
      <c r="S4489" s="10"/>
      <c r="T4489" s="10"/>
      <c r="U4489" s="10"/>
      <c r="V4489" s="10"/>
      <c r="W4489" s="138"/>
      <c r="Y4489"/>
      <c r="Z4489"/>
      <c r="AA4489"/>
      <c r="AB4489"/>
      <c r="AC4489"/>
      <c r="AD4489"/>
      <c r="AE4489"/>
      <c r="AF4489"/>
      <c r="AG4489"/>
      <c r="AH4489"/>
      <c r="AI4489"/>
      <c r="AJ4489"/>
      <c r="AK4489"/>
      <c r="AL4489"/>
      <c r="AM4489"/>
      <c r="AN4489"/>
      <c r="AO4489"/>
    </row>
    <row r="4490" spans="1:41" ht="15">
      <c r="A4490"/>
      <c r="B4490"/>
      <c r="C4490" s="137"/>
      <c r="D4490" s="30"/>
      <c r="E4490" s="30"/>
      <c r="F4490" s="10"/>
      <c r="G4490" s="10"/>
      <c r="H4490" s="15"/>
      <c r="I4490" s="15"/>
      <c r="J4490" s="15"/>
      <c r="K4490" s="15"/>
      <c r="L4490" s="15"/>
      <c r="M4490" s="15"/>
      <c r="N4490" s="15"/>
      <c r="O4490" s="15"/>
      <c r="P4490" s="15"/>
      <c r="Q4490" s="71"/>
      <c r="R4490" s="84"/>
      <c r="S4490" s="10"/>
      <c r="T4490" s="10"/>
      <c r="U4490" s="10"/>
      <c r="V4490" s="10"/>
      <c r="W4490" s="138"/>
      <c r="Y4490"/>
      <c r="Z4490"/>
      <c r="AA4490"/>
      <c r="AB4490"/>
      <c r="AC4490"/>
      <c r="AD4490"/>
      <c r="AE4490"/>
      <c r="AF4490"/>
      <c r="AG4490"/>
      <c r="AH4490"/>
      <c r="AI4490"/>
      <c r="AJ4490"/>
      <c r="AK4490"/>
      <c r="AL4490"/>
      <c r="AM4490"/>
      <c r="AN4490"/>
      <c r="AO4490"/>
    </row>
    <row r="4491" spans="1:41" ht="15">
      <c r="A4491"/>
      <c r="B4491"/>
      <c r="C4491" s="137"/>
      <c r="D4491" s="30"/>
      <c r="E4491" s="30"/>
      <c r="F4491" s="10"/>
      <c r="G4491" s="10"/>
      <c r="H4491" s="15"/>
      <c r="I4491" s="15"/>
      <c r="J4491" s="15"/>
      <c r="K4491" s="15"/>
      <c r="L4491" s="15"/>
      <c r="M4491" s="15"/>
      <c r="N4491" s="15"/>
      <c r="O4491" s="15"/>
      <c r="P4491" s="15"/>
      <c r="Q4491" s="71"/>
      <c r="R4491" s="84"/>
      <c r="S4491" s="10"/>
      <c r="T4491" s="10"/>
      <c r="U4491" s="10"/>
      <c r="V4491" s="10"/>
      <c r="W4491" s="138"/>
      <c r="Y4491"/>
      <c r="Z4491"/>
      <c r="AA4491"/>
      <c r="AB4491"/>
      <c r="AC4491"/>
      <c r="AD4491"/>
      <c r="AE4491"/>
      <c r="AF4491"/>
      <c r="AG4491"/>
      <c r="AH4491"/>
      <c r="AI4491"/>
      <c r="AJ4491"/>
      <c r="AK4491"/>
      <c r="AL4491"/>
      <c r="AM4491"/>
      <c r="AN4491"/>
      <c r="AO4491"/>
    </row>
    <row r="4492" spans="1:41" ht="15">
      <c r="A4492"/>
      <c r="B4492"/>
      <c r="C4492" s="137"/>
      <c r="D4492" s="30"/>
      <c r="E4492" s="30"/>
      <c r="F4492" s="10"/>
      <c r="G4492" s="10"/>
      <c r="H4492" s="15"/>
      <c r="I4492" s="15"/>
      <c r="J4492" s="15"/>
      <c r="K4492" s="15"/>
      <c r="L4492" s="15"/>
      <c r="M4492" s="15"/>
      <c r="N4492" s="15"/>
      <c r="O4492" s="15"/>
      <c r="P4492" s="15"/>
      <c r="Q4492" s="71"/>
      <c r="R4492" s="84"/>
      <c r="S4492" s="10"/>
      <c r="T4492" s="10"/>
      <c r="U4492" s="10"/>
      <c r="V4492" s="10"/>
      <c r="W4492" s="138"/>
      <c r="Y4492"/>
      <c r="Z4492"/>
      <c r="AA4492"/>
      <c r="AB4492"/>
      <c r="AC4492"/>
      <c r="AD4492"/>
      <c r="AE4492"/>
      <c r="AF4492"/>
      <c r="AG4492"/>
      <c r="AH4492"/>
      <c r="AI4492"/>
      <c r="AJ4492"/>
      <c r="AK4492"/>
      <c r="AL4492"/>
      <c r="AM4492"/>
      <c r="AN4492"/>
      <c r="AO4492"/>
    </row>
    <row r="4493" spans="1:41" ht="15">
      <c r="A4493"/>
      <c r="B4493"/>
      <c r="C4493" s="137"/>
      <c r="D4493" s="30"/>
      <c r="E4493" s="30"/>
      <c r="F4493" s="10"/>
      <c r="G4493" s="10"/>
      <c r="H4493" s="15"/>
      <c r="I4493" s="15"/>
      <c r="J4493" s="15"/>
      <c r="K4493" s="15"/>
      <c r="L4493" s="15"/>
      <c r="M4493" s="15"/>
      <c r="N4493" s="15"/>
      <c r="O4493" s="15"/>
      <c r="P4493" s="15"/>
      <c r="Q4493" s="71"/>
      <c r="R4493" s="84"/>
      <c r="S4493" s="10"/>
      <c r="T4493" s="10"/>
      <c r="U4493" s="10"/>
      <c r="V4493" s="10"/>
      <c r="W4493" s="138"/>
      <c r="Y4493"/>
      <c r="Z4493"/>
      <c r="AA4493"/>
      <c r="AB4493"/>
      <c r="AC4493"/>
      <c r="AD4493"/>
      <c r="AE4493"/>
      <c r="AF4493"/>
      <c r="AG4493"/>
      <c r="AH4493"/>
      <c r="AI4493"/>
      <c r="AJ4493"/>
      <c r="AK4493"/>
      <c r="AL4493"/>
      <c r="AM4493"/>
      <c r="AN4493"/>
      <c r="AO4493"/>
    </row>
    <row r="4494" spans="1:41" ht="15">
      <c r="A4494"/>
      <c r="B4494"/>
      <c r="C4494" s="137"/>
      <c r="D4494" s="30"/>
      <c r="E4494" s="30"/>
      <c r="F4494" s="10"/>
      <c r="G4494" s="10"/>
      <c r="H4494" s="15"/>
      <c r="I4494" s="15"/>
      <c r="J4494" s="15"/>
      <c r="K4494" s="15"/>
      <c r="L4494" s="15"/>
      <c r="M4494" s="15"/>
      <c r="N4494" s="15"/>
      <c r="O4494" s="15"/>
      <c r="P4494" s="15"/>
      <c r="Q4494" s="71"/>
      <c r="R4494" s="84"/>
      <c r="S4494" s="10"/>
      <c r="T4494" s="10"/>
      <c r="U4494" s="10"/>
      <c r="V4494" s="10"/>
      <c r="W4494" s="138"/>
      <c r="Y4494"/>
      <c r="Z4494"/>
      <c r="AA4494"/>
      <c r="AB4494"/>
      <c r="AC4494"/>
      <c r="AD4494"/>
      <c r="AE4494"/>
      <c r="AF4494"/>
      <c r="AG4494"/>
      <c r="AH4494"/>
      <c r="AI4494"/>
      <c r="AJ4494"/>
      <c r="AK4494"/>
      <c r="AL4494"/>
      <c r="AM4494"/>
      <c r="AN4494"/>
      <c r="AO4494"/>
    </row>
    <row r="4495" spans="1:41" ht="15">
      <c r="A4495"/>
      <c r="B4495"/>
      <c r="C4495" s="137"/>
      <c r="D4495" s="30"/>
      <c r="E4495" s="30"/>
      <c r="F4495" s="10"/>
      <c r="G4495" s="10"/>
      <c r="H4495" s="15"/>
      <c r="I4495" s="15"/>
      <c r="J4495" s="15"/>
      <c r="K4495" s="15"/>
      <c r="L4495" s="15"/>
      <c r="M4495" s="15"/>
      <c r="N4495" s="15"/>
      <c r="O4495" s="15"/>
      <c r="P4495" s="15"/>
      <c r="Q4495" s="71"/>
      <c r="R4495" s="84"/>
      <c r="S4495" s="10"/>
      <c r="T4495" s="10"/>
      <c r="U4495" s="10"/>
      <c r="V4495" s="10"/>
      <c r="W4495" s="138"/>
      <c r="Y4495"/>
      <c r="Z4495"/>
      <c r="AA4495"/>
      <c r="AB4495"/>
      <c r="AC4495"/>
      <c r="AD4495"/>
      <c r="AE4495"/>
      <c r="AF4495"/>
      <c r="AG4495"/>
      <c r="AH4495"/>
      <c r="AI4495"/>
      <c r="AJ4495"/>
      <c r="AK4495"/>
      <c r="AL4495"/>
      <c r="AM4495"/>
      <c r="AN4495"/>
      <c r="AO4495"/>
    </row>
    <row r="4496" spans="1:41" ht="15">
      <c r="A4496"/>
      <c r="B4496"/>
      <c r="C4496" s="137"/>
      <c r="D4496" s="30"/>
      <c r="E4496" s="30"/>
      <c r="F4496" s="10"/>
      <c r="G4496" s="10"/>
      <c r="H4496" s="15"/>
      <c r="I4496" s="15"/>
      <c r="J4496" s="15"/>
      <c r="K4496" s="15"/>
      <c r="L4496" s="15"/>
      <c r="M4496" s="15"/>
      <c r="N4496" s="15"/>
      <c r="O4496" s="15"/>
      <c r="P4496" s="15"/>
      <c r="Q4496" s="71"/>
      <c r="R4496" s="84"/>
      <c r="S4496" s="10"/>
      <c r="T4496" s="10"/>
      <c r="U4496" s="10"/>
      <c r="V4496" s="10"/>
      <c r="W4496" s="138"/>
      <c r="Y4496"/>
      <c r="Z4496"/>
      <c r="AA4496"/>
      <c r="AB4496"/>
      <c r="AC4496"/>
      <c r="AD4496"/>
      <c r="AE4496"/>
      <c r="AF4496"/>
      <c r="AG4496"/>
      <c r="AH4496"/>
      <c r="AI4496"/>
      <c r="AJ4496"/>
      <c r="AK4496"/>
      <c r="AL4496"/>
      <c r="AM4496"/>
      <c r="AN4496"/>
      <c r="AO4496"/>
    </row>
    <row r="4497" spans="1:41" ht="15">
      <c r="A4497"/>
      <c r="B4497"/>
      <c r="C4497" s="137"/>
      <c r="D4497" s="30"/>
      <c r="E4497" s="30"/>
      <c r="F4497" s="10"/>
      <c r="G4497" s="10"/>
      <c r="H4497" s="15"/>
      <c r="I4497" s="15"/>
      <c r="J4497" s="15"/>
      <c r="K4497" s="15"/>
      <c r="L4497" s="15"/>
      <c r="M4497" s="15"/>
      <c r="N4497" s="15"/>
      <c r="O4497" s="15"/>
      <c r="P4497" s="15"/>
      <c r="Q4497" s="71"/>
      <c r="R4497" s="84"/>
      <c r="S4497" s="10"/>
      <c r="T4497" s="10"/>
      <c r="U4497" s="10"/>
      <c r="V4497" s="10"/>
      <c r="W4497" s="138"/>
      <c r="Y4497"/>
      <c r="Z4497"/>
      <c r="AA4497"/>
      <c r="AB4497"/>
      <c r="AC4497"/>
      <c r="AD4497"/>
      <c r="AE4497"/>
      <c r="AF4497"/>
      <c r="AG4497"/>
      <c r="AH4497"/>
      <c r="AI4497"/>
      <c r="AJ4497"/>
      <c r="AK4497"/>
      <c r="AL4497"/>
      <c r="AM4497"/>
      <c r="AN4497"/>
      <c r="AO4497"/>
    </row>
    <row r="4498" spans="1:41" ht="15">
      <c r="A4498"/>
      <c r="B4498"/>
      <c r="C4498" s="137"/>
      <c r="D4498" s="30"/>
      <c r="E4498" s="30"/>
      <c r="F4498" s="10"/>
      <c r="G4498" s="10"/>
      <c r="H4498" s="15"/>
      <c r="I4498" s="15"/>
      <c r="J4498" s="15"/>
      <c r="K4498" s="15"/>
      <c r="L4498" s="15"/>
      <c r="M4498" s="15"/>
      <c r="N4498" s="15"/>
      <c r="O4498" s="15"/>
      <c r="P4498" s="15"/>
      <c r="Q4498" s="71"/>
      <c r="R4498" s="84"/>
      <c r="S4498" s="10"/>
      <c r="T4498" s="10"/>
      <c r="U4498" s="10"/>
      <c r="V4498" s="10"/>
      <c r="W4498" s="138"/>
      <c r="Y4498"/>
      <c r="Z4498"/>
      <c r="AA4498"/>
      <c r="AB4498"/>
      <c r="AC4498"/>
      <c r="AD4498"/>
      <c r="AE4498"/>
      <c r="AF4498"/>
      <c r="AG4498"/>
      <c r="AH4498"/>
      <c r="AI4498"/>
      <c r="AJ4498"/>
      <c r="AK4498"/>
      <c r="AL4498"/>
      <c r="AM4498"/>
      <c r="AN4498"/>
      <c r="AO4498"/>
    </row>
    <row r="4499" spans="1:41" ht="15">
      <c r="A4499"/>
      <c r="B4499"/>
      <c r="C4499" s="137"/>
      <c r="D4499" s="30"/>
      <c r="E4499" s="30"/>
      <c r="F4499" s="10"/>
      <c r="G4499" s="10"/>
      <c r="H4499" s="15"/>
      <c r="I4499" s="15"/>
      <c r="J4499" s="15"/>
      <c r="K4499" s="15"/>
      <c r="L4499" s="15"/>
      <c r="M4499" s="15"/>
      <c r="N4499" s="15"/>
      <c r="O4499" s="15"/>
      <c r="P4499" s="15"/>
      <c r="Q4499" s="71"/>
      <c r="R4499" s="84"/>
      <c r="S4499" s="10"/>
      <c r="T4499" s="10"/>
      <c r="U4499" s="10"/>
      <c r="V4499" s="10"/>
      <c r="W4499" s="138"/>
      <c r="Y4499"/>
      <c r="Z4499"/>
      <c r="AA4499"/>
      <c r="AB4499"/>
      <c r="AC4499"/>
      <c r="AD4499"/>
      <c r="AE4499"/>
      <c r="AF4499"/>
      <c r="AG4499"/>
      <c r="AH4499"/>
      <c r="AI4499"/>
      <c r="AJ4499"/>
      <c r="AK4499"/>
      <c r="AL4499"/>
      <c r="AM4499"/>
      <c r="AN4499"/>
      <c r="AO4499"/>
    </row>
    <row r="4500" spans="1:41" ht="15">
      <c r="A4500"/>
      <c r="B4500"/>
      <c r="C4500" s="137"/>
      <c r="D4500" s="30"/>
      <c r="E4500" s="30"/>
      <c r="F4500" s="10"/>
      <c r="G4500" s="10"/>
      <c r="H4500" s="15"/>
      <c r="I4500" s="15"/>
      <c r="J4500" s="15"/>
      <c r="K4500" s="15"/>
      <c r="L4500" s="15"/>
      <c r="M4500" s="15"/>
      <c r="N4500" s="15"/>
      <c r="O4500" s="15"/>
      <c r="P4500" s="15"/>
      <c r="Q4500" s="71"/>
      <c r="R4500" s="84"/>
      <c r="S4500" s="10"/>
      <c r="T4500" s="10"/>
      <c r="U4500" s="10"/>
      <c r="V4500" s="10"/>
      <c r="W4500" s="138"/>
      <c r="Y4500"/>
      <c r="Z4500"/>
      <c r="AA4500"/>
      <c r="AB4500"/>
      <c r="AC4500"/>
      <c r="AD4500"/>
      <c r="AE4500"/>
      <c r="AF4500"/>
      <c r="AG4500"/>
      <c r="AH4500"/>
      <c r="AI4500"/>
      <c r="AJ4500"/>
      <c r="AK4500"/>
      <c r="AL4500"/>
      <c r="AM4500"/>
      <c r="AN4500"/>
      <c r="AO4500"/>
    </row>
    <row r="4501" spans="1:41" ht="15">
      <c r="A4501"/>
      <c r="B4501"/>
      <c r="C4501" s="137"/>
      <c r="D4501" s="30"/>
      <c r="E4501" s="30"/>
      <c r="F4501" s="10"/>
      <c r="G4501" s="10"/>
      <c r="H4501" s="15"/>
      <c r="I4501" s="15"/>
      <c r="J4501" s="15"/>
      <c r="K4501" s="15"/>
      <c r="L4501" s="15"/>
      <c r="M4501" s="15"/>
      <c r="N4501" s="15"/>
      <c r="O4501" s="15"/>
      <c r="P4501" s="15"/>
      <c r="Q4501" s="71"/>
      <c r="R4501" s="84"/>
      <c r="S4501" s="10"/>
      <c r="T4501" s="10"/>
      <c r="U4501" s="10"/>
      <c r="V4501" s="10"/>
      <c r="W4501" s="138"/>
      <c r="Y4501"/>
      <c r="Z4501"/>
      <c r="AA4501"/>
      <c r="AB4501"/>
      <c r="AC4501"/>
      <c r="AD4501"/>
      <c r="AE4501"/>
      <c r="AF4501"/>
      <c r="AG4501"/>
      <c r="AH4501"/>
      <c r="AI4501"/>
      <c r="AJ4501"/>
      <c r="AK4501"/>
      <c r="AL4501"/>
      <c r="AM4501"/>
      <c r="AN4501"/>
      <c r="AO4501"/>
    </row>
    <row r="4502" spans="1:41" ht="15">
      <c r="A4502"/>
      <c r="B4502"/>
      <c r="C4502" s="137"/>
      <c r="D4502" s="30"/>
      <c r="E4502" s="30"/>
      <c r="F4502" s="10"/>
      <c r="G4502" s="10"/>
      <c r="H4502" s="15"/>
      <c r="I4502" s="15"/>
      <c r="J4502" s="15"/>
      <c r="K4502" s="15"/>
      <c r="L4502" s="15"/>
      <c r="M4502" s="15"/>
      <c r="N4502" s="15"/>
      <c r="O4502" s="15"/>
      <c r="P4502" s="15"/>
      <c r="Q4502" s="71"/>
      <c r="R4502" s="84"/>
      <c r="S4502" s="10"/>
      <c r="T4502" s="10"/>
      <c r="U4502" s="10"/>
      <c r="V4502" s="10"/>
      <c r="W4502" s="138"/>
      <c r="Y4502"/>
      <c r="Z4502"/>
      <c r="AA4502"/>
      <c r="AB4502"/>
      <c r="AC4502"/>
      <c r="AD4502"/>
      <c r="AE4502"/>
      <c r="AF4502"/>
      <c r="AG4502"/>
      <c r="AH4502"/>
      <c r="AI4502"/>
      <c r="AJ4502"/>
      <c r="AK4502"/>
      <c r="AL4502"/>
      <c r="AM4502"/>
      <c r="AN4502"/>
      <c r="AO4502"/>
    </row>
    <row r="4503" spans="1:41" ht="15">
      <c r="A4503"/>
      <c r="B4503"/>
      <c r="C4503" s="137"/>
      <c r="D4503" s="30"/>
      <c r="E4503" s="30"/>
      <c r="F4503" s="10"/>
      <c r="G4503" s="10"/>
      <c r="H4503" s="15"/>
      <c r="I4503" s="15"/>
      <c r="J4503" s="15"/>
      <c r="K4503" s="15"/>
      <c r="L4503" s="15"/>
      <c r="M4503" s="15"/>
      <c r="N4503" s="15"/>
      <c r="O4503" s="15"/>
      <c r="P4503" s="15"/>
      <c r="Q4503" s="71"/>
      <c r="R4503" s="84"/>
      <c r="S4503" s="10"/>
      <c r="T4503" s="10"/>
      <c r="U4503" s="10"/>
      <c r="V4503" s="10"/>
      <c r="W4503" s="138"/>
      <c r="Y4503"/>
      <c r="Z4503"/>
      <c r="AA4503"/>
      <c r="AB4503"/>
      <c r="AC4503"/>
      <c r="AD4503"/>
      <c r="AE4503"/>
      <c r="AF4503"/>
      <c r="AG4503"/>
      <c r="AH4503"/>
      <c r="AI4503"/>
      <c r="AJ4503"/>
      <c r="AK4503"/>
      <c r="AL4503"/>
      <c r="AM4503"/>
      <c r="AN4503"/>
      <c r="AO4503"/>
    </row>
    <row r="4504" spans="1:41" ht="15">
      <c r="A4504"/>
      <c r="B4504"/>
      <c r="C4504" s="137"/>
      <c r="D4504" s="30"/>
      <c r="E4504" s="30"/>
      <c r="F4504" s="10"/>
      <c r="G4504" s="10"/>
      <c r="H4504" s="15"/>
      <c r="I4504" s="15"/>
      <c r="J4504" s="15"/>
      <c r="K4504" s="15"/>
      <c r="L4504" s="15"/>
      <c r="M4504" s="15"/>
      <c r="N4504" s="15"/>
      <c r="O4504" s="15"/>
      <c r="P4504" s="15"/>
      <c r="Q4504" s="71"/>
      <c r="R4504" s="84"/>
      <c r="S4504" s="10"/>
      <c r="T4504" s="10"/>
      <c r="U4504" s="10"/>
      <c r="V4504" s="10"/>
      <c r="W4504" s="138"/>
      <c r="Y4504"/>
      <c r="Z4504"/>
      <c r="AA4504"/>
      <c r="AB4504"/>
      <c r="AC4504"/>
      <c r="AD4504"/>
      <c r="AE4504"/>
      <c r="AF4504"/>
      <c r="AG4504"/>
      <c r="AH4504"/>
      <c r="AI4504"/>
      <c r="AJ4504"/>
      <c r="AK4504"/>
      <c r="AL4504"/>
      <c r="AM4504"/>
      <c r="AN4504"/>
      <c r="AO4504"/>
    </row>
    <row r="4505" spans="1:41" ht="15">
      <c r="A4505"/>
      <c r="B4505"/>
      <c r="C4505" s="137"/>
      <c r="D4505" s="30"/>
      <c r="E4505" s="30"/>
      <c r="F4505" s="10"/>
      <c r="G4505" s="10"/>
      <c r="H4505" s="15"/>
      <c r="I4505" s="15"/>
      <c r="J4505" s="15"/>
      <c r="K4505" s="15"/>
      <c r="L4505" s="15"/>
      <c r="M4505" s="15"/>
      <c r="N4505" s="15"/>
      <c r="O4505" s="15"/>
      <c r="P4505" s="15"/>
      <c r="Q4505" s="71"/>
      <c r="R4505" s="84"/>
      <c r="S4505" s="10"/>
      <c r="T4505" s="10"/>
      <c r="U4505" s="10"/>
      <c r="V4505" s="10"/>
      <c r="W4505" s="138"/>
      <c r="Y4505"/>
      <c r="Z4505"/>
      <c r="AA4505"/>
      <c r="AB4505"/>
      <c r="AC4505"/>
      <c r="AD4505"/>
      <c r="AE4505"/>
      <c r="AF4505"/>
      <c r="AG4505"/>
      <c r="AH4505"/>
      <c r="AI4505"/>
      <c r="AJ4505"/>
      <c r="AK4505"/>
      <c r="AL4505"/>
      <c r="AM4505"/>
      <c r="AN4505"/>
      <c r="AO4505"/>
    </row>
    <row r="4506" spans="1:41" ht="15">
      <c r="A4506"/>
      <c r="B4506"/>
      <c r="C4506" s="137"/>
      <c r="D4506" s="30"/>
      <c r="E4506" s="30"/>
      <c r="F4506" s="10"/>
      <c r="G4506" s="10"/>
      <c r="H4506" s="15"/>
      <c r="I4506" s="15"/>
      <c r="J4506" s="15"/>
      <c r="K4506" s="15"/>
      <c r="L4506" s="15"/>
      <c r="M4506" s="15"/>
      <c r="N4506" s="15"/>
      <c r="O4506" s="15"/>
      <c r="P4506" s="15"/>
      <c r="Q4506" s="71"/>
      <c r="R4506" s="84"/>
      <c r="S4506" s="10"/>
      <c r="T4506" s="10"/>
      <c r="U4506" s="10"/>
      <c r="V4506" s="10"/>
      <c r="W4506" s="138"/>
      <c r="Y4506"/>
      <c r="Z4506"/>
      <c r="AA4506"/>
      <c r="AB4506"/>
      <c r="AC4506"/>
      <c r="AD4506"/>
      <c r="AE4506"/>
      <c r="AF4506"/>
      <c r="AG4506"/>
      <c r="AH4506"/>
      <c r="AI4506"/>
      <c r="AJ4506"/>
      <c r="AK4506"/>
      <c r="AL4506"/>
      <c r="AM4506"/>
      <c r="AN4506"/>
      <c r="AO4506"/>
    </row>
    <row r="4507" spans="1:41" ht="15">
      <c r="A4507"/>
      <c r="B4507"/>
      <c r="C4507" s="137"/>
      <c r="D4507" s="30"/>
      <c r="E4507" s="30"/>
      <c r="F4507" s="10"/>
      <c r="G4507" s="10"/>
      <c r="H4507" s="15"/>
      <c r="I4507" s="15"/>
      <c r="J4507" s="15"/>
      <c r="K4507" s="15"/>
      <c r="L4507" s="15"/>
      <c r="M4507" s="15"/>
      <c r="N4507" s="15"/>
      <c r="O4507" s="15"/>
      <c r="P4507" s="15"/>
      <c r="Q4507" s="71"/>
      <c r="R4507" s="84"/>
      <c r="S4507" s="10"/>
      <c r="T4507" s="10"/>
      <c r="U4507" s="10"/>
      <c r="V4507" s="10"/>
      <c r="W4507" s="138"/>
      <c r="Y4507"/>
      <c r="Z4507"/>
      <c r="AA4507"/>
      <c r="AB4507"/>
      <c r="AC4507"/>
      <c r="AD4507"/>
      <c r="AE4507"/>
      <c r="AF4507"/>
      <c r="AG4507"/>
      <c r="AH4507"/>
      <c r="AI4507"/>
      <c r="AJ4507"/>
      <c r="AK4507"/>
      <c r="AL4507"/>
      <c r="AM4507"/>
      <c r="AN4507"/>
      <c r="AO4507"/>
    </row>
    <row r="4508" spans="1:41" ht="15">
      <c r="A4508"/>
      <c r="B4508"/>
      <c r="C4508" s="137"/>
      <c r="D4508" s="30"/>
      <c r="E4508" s="30"/>
      <c r="F4508" s="10"/>
      <c r="G4508" s="10"/>
      <c r="H4508" s="15"/>
      <c r="I4508" s="15"/>
      <c r="J4508" s="15"/>
      <c r="K4508" s="15"/>
      <c r="L4508" s="15"/>
      <c r="M4508" s="15"/>
      <c r="N4508" s="15"/>
      <c r="O4508" s="15"/>
      <c r="P4508" s="15"/>
      <c r="Q4508" s="71"/>
      <c r="R4508" s="84"/>
      <c r="S4508" s="10"/>
      <c r="T4508" s="10"/>
      <c r="U4508" s="10"/>
      <c r="V4508" s="10"/>
      <c r="W4508" s="138"/>
      <c r="Y4508"/>
      <c r="Z4508"/>
      <c r="AA4508"/>
      <c r="AB4508"/>
      <c r="AC4508"/>
      <c r="AD4508"/>
      <c r="AE4508"/>
      <c r="AF4508"/>
      <c r="AG4508"/>
      <c r="AH4508"/>
      <c r="AI4508"/>
      <c r="AJ4508"/>
      <c r="AK4508"/>
      <c r="AL4508"/>
      <c r="AM4508"/>
      <c r="AN4508"/>
      <c r="AO4508"/>
    </row>
    <row r="4509" spans="1:41" ht="15">
      <c r="A4509"/>
      <c r="B4509"/>
      <c r="C4509" s="137"/>
      <c r="D4509" s="30"/>
      <c r="E4509" s="30"/>
      <c r="F4509" s="10"/>
      <c r="G4509" s="10"/>
      <c r="H4509" s="15"/>
      <c r="I4509" s="15"/>
      <c r="J4509" s="15"/>
      <c r="K4509" s="15"/>
      <c r="L4509" s="15"/>
      <c r="M4509" s="15"/>
      <c r="N4509" s="15"/>
      <c r="O4509" s="15"/>
      <c r="P4509" s="15"/>
      <c r="Q4509" s="71"/>
      <c r="R4509" s="84"/>
      <c r="S4509" s="10"/>
      <c r="T4509" s="10"/>
      <c r="U4509" s="10"/>
      <c r="V4509" s="10"/>
      <c r="W4509" s="138"/>
      <c r="Y4509"/>
      <c r="Z4509"/>
      <c r="AA4509"/>
      <c r="AB4509"/>
      <c r="AC4509"/>
      <c r="AD4509"/>
      <c r="AE4509"/>
      <c r="AF4509"/>
      <c r="AG4509"/>
      <c r="AH4509"/>
      <c r="AI4509"/>
      <c r="AJ4509"/>
      <c r="AK4509"/>
      <c r="AL4509"/>
      <c r="AM4509"/>
      <c r="AN4509"/>
      <c r="AO4509"/>
    </row>
    <row r="4510" spans="1:41" ht="15">
      <c r="A4510"/>
      <c r="B4510"/>
      <c r="C4510" s="137"/>
      <c r="D4510" s="30"/>
      <c r="E4510" s="30"/>
      <c r="F4510" s="10"/>
      <c r="G4510" s="10"/>
      <c r="H4510" s="15"/>
      <c r="I4510" s="15"/>
      <c r="J4510" s="15"/>
      <c r="K4510" s="15"/>
      <c r="L4510" s="15"/>
      <c r="M4510" s="15"/>
      <c r="N4510" s="15"/>
      <c r="O4510" s="15"/>
      <c r="P4510" s="15"/>
      <c r="Q4510" s="71"/>
      <c r="R4510" s="84"/>
      <c r="S4510" s="10"/>
      <c r="T4510" s="10"/>
      <c r="U4510" s="10"/>
      <c r="V4510" s="10"/>
      <c r="W4510" s="138"/>
      <c r="Y4510"/>
      <c r="Z4510"/>
      <c r="AA4510"/>
      <c r="AB4510"/>
      <c r="AC4510"/>
      <c r="AD4510"/>
      <c r="AE4510"/>
      <c r="AF4510"/>
      <c r="AG4510"/>
      <c r="AH4510"/>
      <c r="AI4510"/>
      <c r="AJ4510"/>
      <c r="AK4510"/>
      <c r="AL4510"/>
      <c r="AM4510"/>
      <c r="AN4510"/>
      <c r="AO4510"/>
    </row>
    <row r="4511" spans="1:41" ht="15">
      <c r="A4511"/>
      <c r="B4511"/>
      <c r="C4511" s="137"/>
      <c r="D4511" s="30"/>
      <c r="E4511" s="30"/>
      <c r="F4511" s="10"/>
      <c r="G4511" s="10"/>
      <c r="H4511" s="15"/>
      <c r="I4511" s="15"/>
      <c r="J4511" s="15"/>
      <c r="K4511" s="15"/>
      <c r="L4511" s="15"/>
      <c r="M4511" s="15"/>
      <c r="N4511" s="15"/>
      <c r="O4511" s="15"/>
      <c r="P4511" s="15"/>
      <c r="Q4511" s="71"/>
      <c r="R4511" s="84"/>
      <c r="S4511" s="10"/>
      <c r="T4511" s="10"/>
      <c r="U4511" s="10"/>
      <c r="V4511" s="10"/>
      <c r="W4511" s="138"/>
      <c r="Y4511"/>
      <c r="Z4511"/>
      <c r="AA4511"/>
      <c r="AB4511"/>
      <c r="AC4511"/>
      <c r="AD4511"/>
      <c r="AE4511"/>
      <c r="AF4511"/>
      <c r="AG4511"/>
      <c r="AH4511"/>
      <c r="AI4511"/>
      <c r="AJ4511"/>
      <c r="AK4511"/>
      <c r="AL4511"/>
      <c r="AM4511"/>
      <c r="AN4511"/>
      <c r="AO4511"/>
    </row>
    <row r="4512" spans="1:41" ht="15">
      <c r="A4512"/>
      <c r="B4512"/>
      <c r="C4512" s="137"/>
      <c r="D4512" s="30"/>
      <c r="E4512" s="30"/>
      <c r="F4512" s="10"/>
      <c r="G4512" s="10"/>
      <c r="H4512" s="15"/>
      <c r="I4512" s="15"/>
      <c r="J4512" s="15"/>
      <c r="K4512" s="15"/>
      <c r="L4512" s="15"/>
      <c r="M4512" s="15"/>
      <c r="N4512" s="15"/>
      <c r="O4512" s="15"/>
      <c r="P4512" s="15"/>
      <c r="Q4512" s="71"/>
      <c r="R4512" s="84"/>
      <c r="S4512" s="10"/>
      <c r="T4512" s="10"/>
      <c r="U4512" s="10"/>
      <c r="V4512" s="10"/>
      <c r="W4512" s="138"/>
      <c r="Y4512"/>
      <c r="Z4512"/>
      <c r="AA4512"/>
      <c r="AB4512"/>
      <c r="AC4512"/>
      <c r="AD4512"/>
      <c r="AE4512"/>
      <c r="AF4512"/>
      <c r="AG4512"/>
      <c r="AH4512"/>
      <c r="AI4512"/>
      <c r="AJ4512"/>
      <c r="AK4512"/>
      <c r="AL4512"/>
      <c r="AM4512"/>
      <c r="AN4512"/>
      <c r="AO4512"/>
    </row>
    <row r="4513" spans="1:41" ht="15">
      <c r="A4513"/>
      <c r="B4513"/>
      <c r="C4513" s="137"/>
      <c r="D4513" s="30"/>
      <c r="E4513" s="30"/>
      <c r="F4513" s="10"/>
      <c r="G4513" s="10"/>
      <c r="H4513" s="15"/>
      <c r="I4513" s="15"/>
      <c r="J4513" s="15"/>
      <c r="K4513" s="15"/>
      <c r="L4513" s="15"/>
      <c r="M4513" s="15"/>
      <c r="N4513" s="15"/>
      <c r="O4513" s="15"/>
      <c r="P4513" s="15"/>
      <c r="Q4513" s="71"/>
      <c r="R4513" s="84"/>
      <c r="S4513" s="10"/>
      <c r="T4513" s="10"/>
      <c r="U4513" s="10"/>
      <c r="V4513" s="10"/>
      <c r="W4513" s="138"/>
      <c r="Y4513"/>
      <c r="Z4513"/>
      <c r="AA4513"/>
      <c r="AB4513"/>
      <c r="AC4513"/>
      <c r="AD4513"/>
      <c r="AE4513"/>
      <c r="AF4513"/>
      <c r="AG4513"/>
      <c r="AH4513"/>
      <c r="AI4513"/>
      <c r="AJ4513"/>
      <c r="AK4513"/>
      <c r="AL4513"/>
      <c r="AM4513"/>
      <c r="AN4513"/>
      <c r="AO4513"/>
    </row>
    <row r="4514" spans="1:41" ht="15">
      <c r="A4514"/>
      <c r="B4514"/>
      <c r="C4514" s="137"/>
      <c r="D4514" s="30"/>
      <c r="E4514" s="30"/>
      <c r="F4514" s="10"/>
      <c r="G4514" s="10"/>
      <c r="H4514" s="15"/>
      <c r="I4514" s="15"/>
      <c r="J4514" s="15"/>
      <c r="K4514" s="15"/>
      <c r="L4514" s="15"/>
      <c r="M4514" s="15"/>
      <c r="N4514" s="15"/>
      <c r="O4514" s="15"/>
      <c r="P4514" s="15"/>
      <c r="Q4514" s="71"/>
      <c r="R4514" s="84"/>
      <c r="S4514" s="10"/>
      <c r="T4514" s="10"/>
      <c r="U4514" s="10"/>
      <c r="V4514" s="10"/>
      <c r="W4514" s="138"/>
      <c r="Y4514"/>
      <c r="Z4514"/>
      <c r="AA4514"/>
      <c r="AB4514"/>
      <c r="AC4514"/>
      <c r="AD4514"/>
      <c r="AE4514"/>
      <c r="AF4514"/>
      <c r="AG4514"/>
      <c r="AH4514"/>
      <c r="AI4514"/>
      <c r="AJ4514"/>
      <c r="AK4514"/>
      <c r="AL4514"/>
      <c r="AM4514"/>
      <c r="AN4514"/>
      <c r="AO4514"/>
    </row>
    <row r="4515" spans="1:41" ht="15">
      <c r="A4515"/>
      <c r="B4515"/>
      <c r="C4515" s="137"/>
      <c r="D4515" s="30"/>
      <c r="E4515" s="30"/>
      <c r="F4515" s="10"/>
      <c r="G4515" s="10"/>
      <c r="H4515" s="15"/>
      <c r="I4515" s="15"/>
      <c r="J4515" s="15"/>
      <c r="K4515" s="15"/>
      <c r="L4515" s="15"/>
      <c r="M4515" s="15"/>
      <c r="N4515" s="15"/>
      <c r="O4515" s="15"/>
      <c r="P4515" s="15"/>
      <c r="Q4515" s="71"/>
      <c r="R4515" s="84"/>
      <c r="S4515" s="10"/>
      <c r="T4515" s="10"/>
      <c r="U4515" s="10"/>
      <c r="V4515" s="10"/>
      <c r="W4515" s="138"/>
      <c r="Y4515"/>
      <c r="Z4515"/>
      <c r="AA4515"/>
      <c r="AB4515"/>
      <c r="AC4515"/>
      <c r="AD4515"/>
      <c r="AE4515"/>
      <c r="AF4515"/>
      <c r="AG4515"/>
      <c r="AH4515"/>
      <c r="AI4515"/>
      <c r="AJ4515"/>
      <c r="AK4515"/>
      <c r="AL4515"/>
      <c r="AM4515"/>
      <c r="AN4515"/>
      <c r="AO4515"/>
    </row>
    <row r="4516" spans="1:41" ht="15">
      <c r="A4516"/>
      <c r="B4516"/>
      <c r="C4516" s="137"/>
      <c r="D4516" s="30"/>
      <c r="E4516" s="30"/>
      <c r="F4516" s="10"/>
      <c r="G4516" s="10"/>
      <c r="H4516" s="15"/>
      <c r="I4516" s="15"/>
      <c r="J4516" s="15"/>
      <c r="K4516" s="15"/>
      <c r="L4516" s="15"/>
      <c r="M4516" s="15"/>
      <c r="N4516" s="15"/>
      <c r="O4516" s="15"/>
      <c r="P4516" s="15"/>
      <c r="Q4516" s="71"/>
      <c r="R4516" s="84"/>
      <c r="S4516" s="10"/>
      <c r="T4516" s="10"/>
      <c r="U4516" s="10"/>
      <c r="V4516" s="10"/>
      <c r="W4516" s="138"/>
      <c r="Y4516"/>
      <c r="Z4516"/>
      <c r="AA4516"/>
      <c r="AB4516"/>
      <c r="AC4516"/>
      <c r="AD4516"/>
      <c r="AE4516"/>
      <c r="AF4516"/>
      <c r="AG4516"/>
      <c r="AH4516"/>
      <c r="AI4516"/>
      <c r="AJ4516"/>
      <c r="AK4516"/>
      <c r="AL4516"/>
      <c r="AM4516"/>
      <c r="AN4516"/>
      <c r="AO4516"/>
    </row>
    <row r="4517" spans="1:41" ht="15">
      <c r="A4517"/>
      <c r="B4517"/>
      <c r="C4517" s="137"/>
      <c r="D4517" s="30"/>
      <c r="E4517" s="30"/>
      <c r="F4517" s="10"/>
      <c r="G4517" s="10"/>
      <c r="H4517" s="15"/>
      <c r="I4517" s="15"/>
      <c r="J4517" s="15"/>
      <c r="K4517" s="15"/>
      <c r="L4517" s="15"/>
      <c r="M4517" s="15"/>
      <c r="N4517" s="15"/>
      <c r="O4517" s="15"/>
      <c r="P4517" s="15"/>
      <c r="Q4517" s="71"/>
      <c r="R4517" s="84"/>
      <c r="S4517" s="10"/>
      <c r="T4517" s="10"/>
      <c r="U4517" s="10"/>
      <c r="V4517" s="10"/>
      <c r="W4517" s="138"/>
      <c r="Y4517"/>
      <c r="Z4517"/>
      <c r="AA4517"/>
      <c r="AB4517"/>
      <c r="AC4517"/>
      <c r="AD4517"/>
      <c r="AE4517"/>
      <c r="AF4517"/>
      <c r="AG4517"/>
      <c r="AH4517"/>
      <c r="AI4517"/>
      <c r="AJ4517"/>
      <c r="AK4517"/>
      <c r="AL4517"/>
      <c r="AM4517"/>
      <c r="AN4517"/>
      <c r="AO4517"/>
    </row>
    <row r="4518" spans="1:41" ht="15">
      <c r="A4518"/>
      <c r="B4518"/>
      <c r="C4518" s="137"/>
      <c r="D4518" s="30"/>
      <c r="E4518" s="30"/>
      <c r="F4518" s="10"/>
      <c r="G4518" s="10"/>
      <c r="H4518" s="15"/>
      <c r="I4518" s="15"/>
      <c r="J4518" s="15"/>
      <c r="K4518" s="15"/>
      <c r="L4518" s="15"/>
      <c r="M4518" s="15"/>
      <c r="N4518" s="15"/>
      <c r="O4518" s="15"/>
      <c r="P4518" s="15"/>
      <c r="Q4518" s="71"/>
      <c r="R4518" s="84"/>
      <c r="S4518" s="10"/>
      <c r="T4518" s="10"/>
      <c r="U4518" s="10"/>
      <c r="V4518" s="10"/>
      <c r="W4518" s="138"/>
      <c r="Y4518"/>
      <c r="Z4518"/>
      <c r="AA4518"/>
      <c r="AB4518"/>
      <c r="AC4518"/>
      <c r="AD4518"/>
      <c r="AE4518"/>
      <c r="AF4518"/>
      <c r="AG4518"/>
      <c r="AH4518"/>
      <c r="AI4518"/>
      <c r="AJ4518"/>
      <c r="AK4518"/>
      <c r="AL4518"/>
      <c r="AM4518"/>
      <c r="AN4518"/>
      <c r="AO4518"/>
    </row>
    <row r="4519" spans="1:41" ht="15">
      <c r="A4519"/>
      <c r="B4519"/>
      <c r="C4519" s="137"/>
      <c r="D4519" s="30"/>
      <c r="E4519" s="30"/>
      <c r="F4519" s="10"/>
      <c r="G4519" s="10"/>
      <c r="H4519" s="15"/>
      <c r="I4519" s="15"/>
      <c r="J4519" s="15"/>
      <c r="K4519" s="15"/>
      <c r="L4519" s="15"/>
      <c r="M4519" s="15"/>
      <c r="N4519" s="15"/>
      <c r="O4519" s="15"/>
      <c r="P4519" s="15"/>
      <c r="Q4519" s="71"/>
      <c r="R4519" s="84"/>
      <c r="S4519" s="10"/>
      <c r="T4519" s="10"/>
      <c r="U4519" s="10"/>
      <c r="V4519" s="10"/>
      <c r="W4519" s="138"/>
      <c r="Y4519"/>
      <c r="Z4519"/>
      <c r="AA4519"/>
      <c r="AB4519"/>
      <c r="AC4519"/>
      <c r="AD4519"/>
      <c r="AE4519"/>
      <c r="AF4519"/>
      <c r="AG4519"/>
      <c r="AH4519"/>
      <c r="AI4519"/>
      <c r="AJ4519"/>
      <c r="AK4519"/>
      <c r="AL4519"/>
      <c r="AM4519"/>
      <c r="AN4519"/>
      <c r="AO4519"/>
    </row>
    <row r="4520" spans="1:41" ht="15">
      <c r="A4520"/>
      <c r="B4520"/>
      <c r="C4520" s="137"/>
      <c r="D4520" s="30"/>
      <c r="E4520" s="30"/>
      <c r="F4520" s="10"/>
      <c r="G4520" s="10"/>
      <c r="H4520" s="15"/>
      <c r="I4520" s="15"/>
      <c r="J4520" s="15"/>
      <c r="K4520" s="15"/>
      <c r="L4520" s="15"/>
      <c r="M4520" s="15"/>
      <c r="N4520" s="15"/>
      <c r="O4520" s="15"/>
      <c r="P4520" s="15"/>
      <c r="Q4520" s="71"/>
      <c r="R4520" s="84"/>
      <c r="S4520" s="10"/>
      <c r="T4520" s="10"/>
      <c r="U4520" s="10"/>
      <c r="V4520" s="10"/>
      <c r="W4520" s="138"/>
      <c r="Y4520"/>
      <c r="Z4520"/>
      <c r="AA4520"/>
      <c r="AB4520"/>
      <c r="AC4520"/>
      <c r="AD4520"/>
      <c r="AE4520"/>
      <c r="AF4520"/>
      <c r="AG4520"/>
      <c r="AH4520"/>
      <c r="AI4520"/>
      <c r="AJ4520"/>
      <c r="AK4520"/>
      <c r="AL4520"/>
      <c r="AM4520"/>
      <c r="AN4520"/>
      <c r="AO4520"/>
    </row>
    <row r="4521" spans="1:41" ht="15">
      <c r="A4521"/>
      <c r="B4521"/>
      <c r="C4521" s="137"/>
      <c r="D4521" s="30"/>
      <c r="E4521" s="30"/>
      <c r="F4521" s="10"/>
      <c r="G4521" s="10"/>
      <c r="H4521" s="15"/>
      <c r="I4521" s="15"/>
      <c r="J4521" s="15"/>
      <c r="K4521" s="15"/>
      <c r="L4521" s="15"/>
      <c r="M4521" s="15"/>
      <c r="N4521" s="15"/>
      <c r="O4521" s="15"/>
      <c r="P4521" s="15"/>
      <c r="Q4521" s="71"/>
      <c r="R4521" s="84"/>
      <c r="S4521" s="10"/>
      <c r="T4521" s="10"/>
      <c r="U4521" s="10"/>
      <c r="V4521" s="10"/>
      <c r="W4521" s="138"/>
      <c r="Y4521"/>
      <c r="Z4521"/>
      <c r="AA4521"/>
      <c r="AB4521"/>
      <c r="AC4521"/>
      <c r="AD4521"/>
      <c r="AE4521"/>
      <c r="AF4521"/>
      <c r="AG4521"/>
      <c r="AH4521"/>
      <c r="AI4521"/>
      <c r="AJ4521"/>
      <c r="AK4521"/>
      <c r="AL4521"/>
      <c r="AM4521"/>
      <c r="AN4521"/>
      <c r="AO4521"/>
    </row>
    <row r="4522" spans="1:41" ht="15">
      <c r="A4522"/>
      <c r="B4522"/>
      <c r="C4522" s="137"/>
      <c r="D4522" s="30"/>
      <c r="E4522" s="30"/>
      <c r="F4522" s="10"/>
      <c r="G4522" s="10"/>
      <c r="H4522" s="15"/>
      <c r="I4522" s="15"/>
      <c r="J4522" s="15"/>
      <c r="K4522" s="15"/>
      <c r="L4522" s="15"/>
      <c r="M4522" s="15"/>
      <c r="N4522" s="15"/>
      <c r="O4522" s="15"/>
      <c r="P4522" s="15"/>
      <c r="Q4522" s="71"/>
      <c r="R4522" s="84"/>
      <c r="S4522" s="10"/>
      <c r="T4522" s="10"/>
      <c r="U4522" s="10"/>
      <c r="V4522" s="10"/>
      <c r="W4522" s="138"/>
      <c r="Y4522"/>
      <c r="Z4522"/>
      <c r="AA4522"/>
      <c r="AB4522"/>
      <c r="AC4522"/>
      <c r="AD4522"/>
      <c r="AE4522"/>
      <c r="AF4522"/>
      <c r="AG4522"/>
      <c r="AH4522"/>
      <c r="AI4522"/>
      <c r="AJ4522"/>
      <c r="AK4522"/>
      <c r="AL4522"/>
      <c r="AM4522"/>
      <c r="AN4522"/>
      <c r="AO4522"/>
    </row>
    <row r="4523" spans="1:41" ht="15">
      <c r="A4523"/>
      <c r="B4523"/>
      <c r="C4523" s="137"/>
      <c r="D4523" s="30"/>
      <c r="E4523" s="30"/>
      <c r="F4523" s="10"/>
      <c r="G4523" s="10"/>
      <c r="H4523" s="15"/>
      <c r="I4523" s="15"/>
      <c r="J4523" s="15"/>
      <c r="K4523" s="15"/>
      <c r="L4523" s="15"/>
      <c r="M4523" s="15"/>
      <c r="N4523" s="15"/>
      <c r="O4523" s="15"/>
      <c r="P4523" s="15"/>
      <c r="Q4523" s="71"/>
      <c r="R4523" s="84"/>
      <c r="S4523" s="10"/>
      <c r="T4523" s="10"/>
      <c r="U4523" s="10"/>
      <c r="V4523" s="10"/>
      <c r="W4523" s="138"/>
      <c r="Y4523"/>
      <c r="Z4523"/>
      <c r="AA4523"/>
      <c r="AB4523"/>
      <c r="AC4523"/>
      <c r="AD4523"/>
      <c r="AE4523"/>
      <c r="AF4523"/>
      <c r="AG4523"/>
      <c r="AH4523"/>
      <c r="AI4523"/>
      <c r="AJ4523"/>
      <c r="AK4523"/>
      <c r="AL4523"/>
      <c r="AM4523"/>
      <c r="AN4523"/>
      <c r="AO4523"/>
    </row>
    <row r="4524" spans="1:41" ht="15">
      <c r="A4524"/>
      <c r="B4524"/>
      <c r="C4524" s="137"/>
      <c r="D4524" s="30"/>
      <c r="E4524" s="30"/>
      <c r="F4524" s="10"/>
      <c r="G4524" s="10"/>
      <c r="H4524" s="15"/>
      <c r="I4524" s="15"/>
      <c r="J4524" s="15"/>
      <c r="K4524" s="15"/>
      <c r="L4524" s="15"/>
      <c r="M4524" s="15"/>
      <c r="N4524" s="15"/>
      <c r="O4524" s="15"/>
      <c r="P4524" s="15"/>
      <c r="Q4524" s="71"/>
      <c r="R4524" s="84"/>
      <c r="S4524" s="10"/>
      <c r="T4524" s="10"/>
      <c r="U4524" s="10"/>
      <c r="V4524" s="10"/>
      <c r="W4524" s="138"/>
      <c r="Y4524"/>
      <c r="Z4524"/>
      <c r="AA4524"/>
      <c r="AB4524"/>
      <c r="AC4524"/>
      <c r="AD4524"/>
      <c r="AE4524"/>
      <c r="AF4524"/>
      <c r="AG4524"/>
      <c r="AH4524"/>
      <c r="AI4524"/>
      <c r="AJ4524"/>
      <c r="AK4524"/>
      <c r="AL4524"/>
      <c r="AM4524"/>
      <c r="AN4524"/>
      <c r="AO4524"/>
    </row>
    <row r="4525" spans="1:41" ht="15">
      <c r="A4525"/>
      <c r="B4525"/>
      <c r="C4525" s="137"/>
      <c r="D4525" s="30"/>
      <c r="E4525" s="30"/>
      <c r="F4525" s="10"/>
      <c r="G4525" s="10"/>
      <c r="H4525" s="15"/>
      <c r="I4525" s="15"/>
      <c r="J4525" s="15"/>
      <c r="K4525" s="15"/>
      <c r="L4525" s="15"/>
      <c r="M4525" s="15"/>
      <c r="N4525" s="15"/>
      <c r="O4525" s="15"/>
      <c r="P4525" s="15"/>
      <c r="Q4525" s="71"/>
      <c r="R4525" s="84"/>
      <c r="S4525" s="10"/>
      <c r="T4525" s="10"/>
      <c r="U4525" s="10"/>
      <c r="V4525" s="10"/>
      <c r="W4525" s="138"/>
      <c r="Y4525"/>
      <c r="Z4525"/>
      <c r="AA4525"/>
      <c r="AB4525"/>
      <c r="AC4525"/>
      <c r="AD4525"/>
      <c r="AE4525"/>
      <c r="AF4525"/>
      <c r="AG4525"/>
      <c r="AH4525"/>
      <c r="AI4525"/>
      <c r="AJ4525"/>
      <c r="AK4525"/>
      <c r="AL4525"/>
      <c r="AM4525"/>
      <c r="AN4525"/>
      <c r="AO4525"/>
    </row>
    <row r="4526" spans="1:41" ht="15">
      <c r="A4526"/>
      <c r="B4526"/>
      <c r="C4526" s="137"/>
      <c r="D4526" s="30"/>
      <c r="E4526" s="30"/>
      <c r="F4526" s="10"/>
      <c r="G4526" s="10"/>
      <c r="H4526" s="15"/>
      <c r="I4526" s="15"/>
      <c r="J4526" s="15"/>
      <c r="K4526" s="15"/>
      <c r="L4526" s="15"/>
      <c r="M4526" s="15"/>
      <c r="N4526" s="15"/>
      <c r="O4526" s="15"/>
      <c r="P4526" s="15"/>
      <c r="Q4526" s="71"/>
      <c r="R4526" s="84"/>
      <c r="S4526" s="10"/>
      <c r="T4526" s="10"/>
      <c r="U4526" s="10"/>
      <c r="V4526" s="10"/>
      <c r="W4526" s="138"/>
      <c r="Y4526"/>
      <c r="Z4526"/>
      <c r="AA4526"/>
      <c r="AB4526"/>
      <c r="AC4526"/>
      <c r="AD4526"/>
      <c r="AE4526"/>
      <c r="AF4526"/>
      <c r="AG4526"/>
      <c r="AH4526"/>
      <c r="AI4526"/>
      <c r="AJ4526"/>
      <c r="AK4526"/>
      <c r="AL4526"/>
      <c r="AM4526"/>
      <c r="AN4526"/>
      <c r="AO4526"/>
    </row>
    <row r="4527" spans="1:41" ht="15">
      <c r="A4527"/>
      <c r="B4527"/>
      <c r="C4527" s="137"/>
      <c r="D4527" s="30"/>
      <c r="E4527" s="30"/>
      <c r="F4527" s="10"/>
      <c r="G4527" s="10"/>
      <c r="H4527" s="15"/>
      <c r="I4527" s="15"/>
      <c r="J4527" s="15"/>
      <c r="K4527" s="15"/>
      <c r="L4527" s="15"/>
      <c r="M4527" s="15"/>
      <c r="N4527" s="15"/>
      <c r="O4527" s="15"/>
      <c r="P4527" s="15"/>
      <c r="Q4527" s="71"/>
      <c r="R4527" s="84"/>
      <c r="S4527" s="10"/>
      <c r="T4527" s="10"/>
      <c r="U4527" s="10"/>
      <c r="V4527" s="10"/>
      <c r="W4527" s="138"/>
      <c r="Y4527"/>
      <c r="Z4527"/>
      <c r="AA4527"/>
      <c r="AB4527"/>
      <c r="AC4527"/>
      <c r="AD4527"/>
      <c r="AE4527"/>
      <c r="AF4527"/>
      <c r="AG4527"/>
      <c r="AH4527"/>
      <c r="AI4527"/>
      <c r="AJ4527"/>
      <c r="AK4527"/>
      <c r="AL4527"/>
      <c r="AM4527"/>
      <c r="AN4527"/>
      <c r="AO4527"/>
    </row>
    <row r="4528" spans="1:41" ht="15">
      <c r="A4528"/>
      <c r="B4528"/>
      <c r="C4528" s="137"/>
      <c r="D4528" s="30"/>
      <c r="E4528" s="30"/>
      <c r="F4528" s="10"/>
      <c r="G4528" s="10"/>
      <c r="H4528" s="15"/>
      <c r="I4528" s="15"/>
      <c r="J4528" s="15"/>
      <c r="K4528" s="15"/>
      <c r="L4528" s="15"/>
      <c r="M4528" s="15"/>
      <c r="N4528" s="15"/>
      <c r="O4528" s="15"/>
      <c r="P4528" s="15"/>
      <c r="Q4528" s="71"/>
      <c r="R4528" s="84"/>
      <c r="S4528" s="10"/>
      <c r="T4528" s="10"/>
      <c r="U4528" s="10"/>
      <c r="V4528" s="10"/>
      <c r="W4528" s="138"/>
      <c r="Y4528"/>
      <c r="Z4528"/>
      <c r="AA4528"/>
      <c r="AB4528"/>
      <c r="AC4528"/>
      <c r="AD4528"/>
      <c r="AE4528"/>
      <c r="AF4528"/>
      <c r="AG4528"/>
      <c r="AH4528"/>
      <c r="AI4528"/>
      <c r="AJ4528"/>
      <c r="AK4528"/>
      <c r="AL4528"/>
      <c r="AM4528"/>
      <c r="AN4528"/>
      <c r="AO4528"/>
    </row>
    <row r="4529" spans="1:41" ht="15">
      <c r="A4529"/>
      <c r="B4529"/>
      <c r="C4529" s="137"/>
      <c r="D4529" s="30"/>
      <c r="E4529" s="30"/>
      <c r="F4529" s="10"/>
      <c r="G4529" s="10"/>
      <c r="H4529" s="15"/>
      <c r="I4529" s="15"/>
      <c r="J4529" s="15"/>
      <c r="K4529" s="15"/>
      <c r="L4529" s="15"/>
      <c r="M4529" s="15"/>
      <c r="N4529" s="15"/>
      <c r="O4529" s="15"/>
      <c r="P4529" s="15"/>
      <c r="Q4529" s="71"/>
      <c r="R4529" s="84"/>
      <c r="S4529" s="10"/>
      <c r="T4529" s="10"/>
      <c r="U4529" s="10"/>
      <c r="V4529" s="10"/>
      <c r="W4529" s="138"/>
      <c r="Y4529"/>
      <c r="Z4529"/>
      <c r="AA4529"/>
      <c r="AB4529"/>
      <c r="AC4529"/>
      <c r="AD4529"/>
      <c r="AE4529"/>
      <c r="AF4529"/>
      <c r="AG4529"/>
      <c r="AH4529"/>
      <c r="AI4529"/>
      <c r="AJ4529"/>
      <c r="AK4529"/>
      <c r="AL4529"/>
      <c r="AM4529"/>
      <c r="AN4529"/>
      <c r="AO4529"/>
    </row>
    <row r="4530" spans="1:41" ht="15">
      <c r="A4530"/>
      <c r="B4530"/>
      <c r="C4530" s="137"/>
      <c r="D4530" s="30"/>
      <c r="E4530" s="30"/>
      <c r="F4530" s="10"/>
      <c r="G4530" s="10"/>
      <c r="H4530" s="15"/>
      <c r="I4530" s="15"/>
      <c r="J4530" s="15"/>
      <c r="K4530" s="15"/>
      <c r="L4530" s="15"/>
      <c r="M4530" s="15"/>
      <c r="N4530" s="15"/>
      <c r="O4530" s="15"/>
      <c r="P4530" s="15"/>
      <c r="Q4530" s="71"/>
      <c r="R4530" s="84"/>
      <c r="S4530" s="10"/>
      <c r="T4530" s="10"/>
      <c r="U4530" s="10"/>
      <c r="V4530" s="10"/>
      <c r="W4530" s="138"/>
      <c r="Y4530"/>
      <c r="Z4530"/>
      <c r="AA4530"/>
      <c r="AB4530"/>
      <c r="AC4530"/>
      <c r="AD4530"/>
      <c r="AE4530"/>
      <c r="AF4530"/>
      <c r="AG4530"/>
      <c r="AH4530"/>
      <c r="AI4530"/>
      <c r="AJ4530"/>
      <c r="AK4530"/>
      <c r="AL4530"/>
      <c r="AM4530"/>
      <c r="AN4530"/>
      <c r="AO4530"/>
    </row>
    <row r="4531" spans="1:41" ht="15">
      <c r="A4531"/>
      <c r="B4531"/>
      <c r="C4531" s="137"/>
      <c r="D4531" s="30"/>
      <c r="E4531" s="30"/>
      <c r="F4531" s="10"/>
      <c r="G4531" s="10"/>
      <c r="H4531" s="15"/>
      <c r="I4531" s="15"/>
      <c r="J4531" s="15"/>
      <c r="K4531" s="15"/>
      <c r="L4531" s="15"/>
      <c r="M4531" s="15"/>
      <c r="N4531" s="15"/>
      <c r="O4531" s="15"/>
      <c r="P4531" s="15"/>
      <c r="Q4531" s="71"/>
      <c r="R4531" s="84"/>
      <c r="S4531" s="10"/>
      <c r="T4531" s="10"/>
      <c r="U4531" s="10"/>
      <c r="V4531" s="10"/>
      <c r="W4531" s="138"/>
      <c r="Y4531"/>
      <c r="Z4531"/>
      <c r="AA4531"/>
      <c r="AB4531"/>
      <c r="AC4531"/>
      <c r="AD4531"/>
      <c r="AE4531"/>
      <c r="AF4531"/>
      <c r="AG4531"/>
      <c r="AH4531"/>
      <c r="AI4531"/>
      <c r="AJ4531"/>
      <c r="AK4531"/>
      <c r="AL4531"/>
      <c r="AM4531"/>
      <c r="AN4531"/>
      <c r="AO4531"/>
    </row>
    <row r="4532" spans="1:41" ht="15">
      <c r="A4532"/>
      <c r="B4532"/>
      <c r="C4532" s="137"/>
      <c r="D4532" s="30"/>
      <c r="E4532" s="30"/>
      <c r="F4532" s="10"/>
      <c r="G4532" s="10"/>
      <c r="H4532" s="15"/>
      <c r="I4532" s="15"/>
      <c r="J4532" s="15"/>
      <c r="K4532" s="15"/>
      <c r="L4532" s="15"/>
      <c r="M4532" s="15"/>
      <c r="N4532" s="15"/>
      <c r="O4532" s="15"/>
      <c r="P4532" s="15"/>
      <c r="Q4532" s="71"/>
      <c r="R4532" s="84"/>
      <c r="S4532" s="10"/>
      <c r="T4532" s="10"/>
      <c r="U4532" s="10"/>
      <c r="V4532" s="10"/>
      <c r="W4532" s="138"/>
      <c r="Y4532"/>
      <c r="Z4532"/>
      <c r="AA4532"/>
      <c r="AB4532"/>
      <c r="AC4532"/>
      <c r="AD4532"/>
      <c r="AE4532"/>
      <c r="AF4532"/>
      <c r="AG4532"/>
      <c r="AH4532"/>
      <c r="AI4532"/>
      <c r="AJ4532"/>
      <c r="AK4532"/>
      <c r="AL4532"/>
      <c r="AM4532"/>
      <c r="AN4532"/>
      <c r="AO4532"/>
    </row>
    <row r="4533" spans="1:41" ht="15">
      <c r="A4533"/>
      <c r="B4533"/>
      <c r="C4533" s="137"/>
      <c r="D4533" s="30"/>
      <c r="E4533" s="30"/>
      <c r="F4533" s="10"/>
      <c r="G4533" s="10"/>
      <c r="H4533" s="15"/>
      <c r="I4533" s="15"/>
      <c r="J4533" s="15"/>
      <c r="K4533" s="15"/>
      <c r="L4533" s="15"/>
      <c r="M4533" s="15"/>
      <c r="N4533" s="15"/>
      <c r="O4533" s="15"/>
      <c r="P4533" s="15"/>
      <c r="Q4533" s="71"/>
      <c r="R4533" s="84"/>
      <c r="S4533" s="10"/>
      <c r="T4533" s="10"/>
      <c r="U4533" s="10"/>
      <c r="V4533" s="10"/>
      <c r="W4533" s="138"/>
      <c r="Y4533"/>
      <c r="Z4533"/>
      <c r="AA4533"/>
      <c r="AB4533"/>
      <c r="AC4533"/>
      <c r="AD4533"/>
      <c r="AE4533"/>
      <c r="AF4533"/>
      <c r="AG4533"/>
      <c r="AH4533"/>
      <c r="AI4533"/>
      <c r="AJ4533"/>
      <c r="AK4533"/>
      <c r="AL4533"/>
      <c r="AM4533"/>
      <c r="AN4533"/>
      <c r="AO4533"/>
    </row>
    <row r="4534" spans="1:41" ht="15">
      <c r="A4534"/>
      <c r="B4534"/>
      <c r="C4534" s="137"/>
      <c r="D4534" s="30"/>
      <c r="E4534" s="30"/>
      <c r="F4534" s="10"/>
      <c r="G4534" s="10"/>
      <c r="H4534" s="15"/>
      <c r="I4534" s="15"/>
      <c r="J4534" s="15"/>
      <c r="K4534" s="15"/>
      <c r="L4534" s="15"/>
      <c r="M4534" s="15"/>
      <c r="N4534" s="15"/>
      <c r="O4534" s="15"/>
      <c r="P4534" s="15"/>
      <c r="Q4534" s="71"/>
      <c r="R4534" s="84"/>
      <c r="S4534" s="10"/>
      <c r="T4534" s="10"/>
      <c r="U4534" s="10"/>
      <c r="V4534" s="10"/>
      <c r="W4534" s="138"/>
      <c r="Y4534"/>
      <c r="Z4534"/>
      <c r="AA4534"/>
      <c r="AB4534"/>
      <c r="AC4534"/>
      <c r="AD4534"/>
      <c r="AE4534"/>
      <c r="AF4534"/>
      <c r="AG4534"/>
      <c r="AH4534"/>
      <c r="AI4534"/>
      <c r="AJ4534"/>
      <c r="AK4534"/>
      <c r="AL4534"/>
      <c r="AM4534"/>
      <c r="AN4534"/>
      <c r="AO4534"/>
    </row>
    <row r="4535" spans="1:41" ht="15">
      <c r="A4535"/>
      <c r="B4535"/>
      <c r="C4535" s="137"/>
      <c r="D4535" s="30"/>
      <c r="E4535" s="30"/>
      <c r="F4535" s="10"/>
      <c r="G4535" s="10"/>
      <c r="H4535" s="15"/>
      <c r="I4535" s="15"/>
      <c r="J4535" s="15"/>
      <c r="K4535" s="15"/>
      <c r="L4535" s="15"/>
      <c r="M4535" s="15"/>
      <c r="N4535" s="15"/>
      <c r="O4535" s="15"/>
      <c r="P4535" s="15"/>
      <c r="Q4535" s="71"/>
      <c r="R4535" s="84"/>
      <c r="S4535" s="10"/>
      <c r="T4535" s="10"/>
      <c r="U4535" s="10"/>
      <c r="V4535" s="10"/>
      <c r="W4535" s="138"/>
      <c r="Y4535"/>
      <c r="Z4535"/>
      <c r="AA4535"/>
      <c r="AB4535"/>
      <c r="AC4535"/>
      <c r="AD4535"/>
      <c r="AE4535"/>
      <c r="AF4535"/>
      <c r="AG4535"/>
      <c r="AH4535"/>
      <c r="AI4535"/>
      <c r="AJ4535"/>
      <c r="AK4535"/>
      <c r="AL4535"/>
      <c r="AM4535"/>
      <c r="AN4535"/>
      <c r="AO4535"/>
    </row>
    <row r="4536" spans="1:41" ht="15">
      <c r="A4536"/>
      <c r="B4536"/>
      <c r="C4536" s="137"/>
      <c r="D4536" s="30"/>
      <c r="E4536" s="30"/>
      <c r="F4536" s="10"/>
      <c r="G4536" s="10"/>
      <c r="H4536" s="15"/>
      <c r="I4536" s="15"/>
      <c r="J4536" s="15"/>
      <c r="K4536" s="15"/>
      <c r="L4536" s="15"/>
      <c r="M4536" s="15"/>
      <c r="N4536" s="15"/>
      <c r="O4536" s="15"/>
      <c r="P4536" s="15"/>
      <c r="Q4536" s="71"/>
      <c r="R4536" s="84"/>
      <c r="S4536" s="10"/>
      <c r="T4536" s="10"/>
      <c r="U4536" s="10"/>
      <c r="V4536" s="10"/>
      <c r="W4536" s="138"/>
      <c r="Y4536"/>
      <c r="Z4536"/>
      <c r="AA4536"/>
      <c r="AB4536"/>
      <c r="AC4536"/>
      <c r="AD4536"/>
      <c r="AE4536"/>
      <c r="AF4536"/>
      <c r="AG4536"/>
      <c r="AH4536"/>
      <c r="AI4536"/>
      <c r="AJ4536"/>
      <c r="AK4536"/>
      <c r="AL4536"/>
      <c r="AM4536"/>
      <c r="AN4536"/>
      <c r="AO4536"/>
    </row>
    <row r="4537" spans="1:41" ht="15">
      <c r="A4537"/>
      <c r="B4537"/>
      <c r="C4537" s="137"/>
      <c r="D4537" s="30"/>
      <c r="E4537" s="30"/>
      <c r="F4537" s="10"/>
      <c r="G4537" s="10"/>
      <c r="H4537" s="15"/>
      <c r="I4537" s="15"/>
      <c r="J4537" s="15"/>
      <c r="K4537" s="15"/>
      <c r="L4537" s="15"/>
      <c r="M4537" s="15"/>
      <c r="N4537" s="15"/>
      <c r="O4537" s="15"/>
      <c r="P4537" s="15"/>
      <c r="Q4537" s="71"/>
      <c r="R4537" s="84"/>
      <c r="S4537" s="10"/>
      <c r="T4537" s="10"/>
      <c r="U4537" s="10"/>
      <c r="V4537" s="10"/>
      <c r="W4537" s="138"/>
      <c r="Y4537"/>
      <c r="Z4537"/>
      <c r="AA4537"/>
      <c r="AB4537"/>
      <c r="AC4537"/>
      <c r="AD4537"/>
      <c r="AE4537"/>
      <c r="AF4537"/>
      <c r="AG4537"/>
      <c r="AH4537"/>
      <c r="AI4537"/>
      <c r="AJ4537"/>
      <c r="AK4537"/>
      <c r="AL4537"/>
      <c r="AM4537"/>
      <c r="AN4537"/>
      <c r="AO4537"/>
    </row>
    <row r="4538" spans="1:41" ht="15">
      <c r="A4538"/>
      <c r="B4538"/>
      <c r="C4538" s="137"/>
      <c r="D4538" s="30"/>
      <c r="E4538" s="30"/>
      <c r="F4538" s="10"/>
      <c r="G4538" s="10"/>
      <c r="H4538" s="15"/>
      <c r="I4538" s="15"/>
      <c r="J4538" s="15"/>
      <c r="K4538" s="15"/>
      <c r="L4538" s="15"/>
      <c r="M4538" s="15"/>
      <c r="N4538" s="15"/>
      <c r="O4538" s="15"/>
      <c r="P4538" s="15"/>
      <c r="Q4538" s="71"/>
      <c r="R4538" s="84"/>
      <c r="S4538" s="10"/>
      <c r="T4538" s="10"/>
      <c r="U4538" s="10"/>
      <c r="V4538" s="10"/>
      <c r="W4538" s="138"/>
      <c r="Y4538"/>
      <c r="Z4538"/>
      <c r="AA4538"/>
      <c r="AB4538"/>
      <c r="AC4538"/>
      <c r="AD4538"/>
      <c r="AE4538"/>
      <c r="AF4538"/>
      <c r="AG4538"/>
      <c r="AH4538"/>
      <c r="AI4538"/>
      <c r="AJ4538"/>
      <c r="AK4538"/>
      <c r="AL4538"/>
      <c r="AM4538"/>
      <c r="AN4538"/>
      <c r="AO4538"/>
    </row>
    <row r="4539" spans="1:41" ht="15">
      <c r="A4539"/>
      <c r="B4539"/>
      <c r="C4539" s="137"/>
      <c r="D4539" s="30"/>
      <c r="E4539" s="30"/>
      <c r="F4539" s="10"/>
      <c r="G4539" s="10"/>
      <c r="H4539" s="15"/>
      <c r="I4539" s="15"/>
      <c r="J4539" s="15"/>
      <c r="K4539" s="15"/>
      <c r="L4539" s="15"/>
      <c r="M4539" s="15"/>
      <c r="N4539" s="15"/>
      <c r="O4539" s="15"/>
      <c r="P4539" s="15"/>
      <c r="Q4539" s="71"/>
      <c r="R4539" s="84"/>
      <c r="S4539" s="10"/>
      <c r="T4539" s="10"/>
      <c r="U4539" s="10"/>
      <c r="V4539" s="10"/>
      <c r="W4539" s="138"/>
      <c r="Y4539"/>
      <c r="Z4539"/>
      <c r="AA4539"/>
      <c r="AB4539"/>
      <c r="AC4539"/>
      <c r="AD4539"/>
      <c r="AE4539"/>
      <c r="AF4539"/>
      <c r="AG4539"/>
      <c r="AH4539"/>
      <c r="AI4539"/>
      <c r="AJ4539"/>
      <c r="AK4539"/>
      <c r="AL4539"/>
      <c r="AM4539"/>
      <c r="AN4539"/>
      <c r="AO4539"/>
    </row>
    <row r="4540" spans="1:41" ht="15">
      <c r="A4540"/>
      <c r="B4540"/>
      <c r="C4540" s="137"/>
      <c r="D4540" s="30"/>
      <c r="E4540" s="30"/>
      <c r="F4540" s="10"/>
      <c r="G4540" s="10"/>
      <c r="H4540" s="15"/>
      <c r="I4540" s="15"/>
      <c r="J4540" s="15"/>
      <c r="K4540" s="15"/>
      <c r="L4540" s="15"/>
      <c r="M4540" s="15"/>
      <c r="N4540" s="15"/>
      <c r="O4540" s="15"/>
      <c r="P4540" s="15"/>
      <c r="Q4540" s="71"/>
      <c r="R4540" s="84"/>
      <c r="S4540" s="10"/>
      <c r="T4540" s="10"/>
      <c r="U4540" s="10"/>
      <c r="V4540" s="10"/>
      <c r="W4540" s="138"/>
      <c r="Y4540"/>
      <c r="Z4540"/>
      <c r="AA4540"/>
      <c r="AB4540"/>
      <c r="AC4540"/>
      <c r="AD4540"/>
      <c r="AE4540"/>
      <c r="AF4540"/>
      <c r="AG4540"/>
      <c r="AH4540"/>
      <c r="AI4540"/>
      <c r="AJ4540"/>
      <c r="AK4540"/>
      <c r="AL4540"/>
      <c r="AM4540"/>
      <c r="AN4540"/>
      <c r="AO4540"/>
    </row>
    <row r="4541" spans="1:41" ht="15">
      <c r="A4541"/>
      <c r="B4541"/>
      <c r="C4541" s="137"/>
      <c r="D4541" s="30"/>
      <c r="E4541" s="30"/>
      <c r="F4541" s="10"/>
      <c r="G4541" s="10"/>
      <c r="H4541" s="15"/>
      <c r="I4541" s="15"/>
      <c r="J4541" s="15"/>
      <c r="K4541" s="15"/>
      <c r="L4541" s="15"/>
      <c r="M4541" s="15"/>
      <c r="N4541" s="15"/>
      <c r="O4541" s="15"/>
      <c r="P4541" s="15"/>
      <c r="Q4541" s="71"/>
      <c r="R4541" s="84"/>
      <c r="S4541" s="10"/>
      <c r="T4541" s="10"/>
      <c r="U4541" s="10"/>
      <c r="V4541" s="10"/>
      <c r="W4541" s="138"/>
      <c r="Y4541"/>
      <c r="Z4541"/>
      <c r="AA4541"/>
      <c r="AB4541"/>
      <c r="AC4541"/>
      <c r="AD4541"/>
      <c r="AE4541"/>
      <c r="AF4541"/>
      <c r="AG4541"/>
      <c r="AH4541"/>
      <c r="AI4541"/>
      <c r="AJ4541"/>
      <c r="AK4541"/>
      <c r="AL4541"/>
      <c r="AM4541"/>
      <c r="AN4541"/>
      <c r="AO4541"/>
    </row>
    <row r="4542" spans="1:41" ht="15">
      <c r="A4542"/>
      <c r="B4542"/>
      <c r="C4542" s="137"/>
      <c r="D4542" s="30"/>
      <c r="E4542" s="30"/>
      <c r="F4542" s="10"/>
      <c r="G4542" s="10"/>
      <c r="H4542" s="15"/>
      <c r="I4542" s="15"/>
      <c r="J4542" s="15"/>
      <c r="K4542" s="15"/>
      <c r="L4542" s="15"/>
      <c r="M4542" s="15"/>
      <c r="N4542" s="15"/>
      <c r="O4542" s="15"/>
      <c r="P4542" s="15"/>
      <c r="Q4542" s="71"/>
      <c r="R4542" s="84"/>
      <c r="S4542" s="10"/>
      <c r="T4542" s="10"/>
      <c r="U4542" s="10"/>
      <c r="V4542" s="10"/>
      <c r="W4542" s="138"/>
      <c r="Y4542"/>
      <c r="Z4542"/>
      <c r="AA4542"/>
      <c r="AB4542"/>
      <c r="AC4542"/>
      <c r="AD4542"/>
      <c r="AE4542"/>
      <c r="AF4542"/>
      <c r="AG4542"/>
      <c r="AH4542"/>
      <c r="AI4542"/>
      <c r="AJ4542"/>
      <c r="AK4542"/>
      <c r="AL4542"/>
      <c r="AM4542"/>
      <c r="AN4542"/>
      <c r="AO4542"/>
    </row>
    <row r="4543" spans="1:41" ht="15">
      <c r="A4543"/>
      <c r="B4543"/>
      <c r="C4543" s="137"/>
      <c r="D4543" s="30"/>
      <c r="E4543" s="30"/>
      <c r="F4543" s="10"/>
      <c r="G4543" s="10"/>
      <c r="H4543" s="15"/>
      <c r="I4543" s="15"/>
      <c r="J4543" s="15"/>
      <c r="K4543" s="15"/>
      <c r="L4543" s="15"/>
      <c r="M4543" s="15"/>
      <c r="N4543" s="15"/>
      <c r="O4543" s="15"/>
      <c r="P4543" s="15"/>
      <c r="Q4543" s="71"/>
      <c r="R4543" s="84"/>
      <c r="S4543" s="10"/>
      <c r="T4543" s="10"/>
      <c r="U4543" s="10"/>
      <c r="V4543" s="10"/>
      <c r="W4543" s="138"/>
      <c r="Y4543"/>
      <c r="Z4543"/>
      <c r="AA4543"/>
      <c r="AB4543"/>
      <c r="AC4543"/>
      <c r="AD4543"/>
      <c r="AE4543"/>
      <c r="AF4543"/>
      <c r="AG4543"/>
      <c r="AH4543"/>
      <c r="AI4543"/>
      <c r="AJ4543"/>
      <c r="AK4543"/>
      <c r="AL4543"/>
      <c r="AM4543"/>
      <c r="AN4543"/>
      <c r="AO4543"/>
    </row>
    <row r="4544" spans="1:41" ht="15">
      <c r="A4544"/>
      <c r="B4544"/>
      <c r="C4544" s="137"/>
      <c r="D4544" s="30"/>
      <c r="E4544" s="30"/>
      <c r="F4544" s="10"/>
      <c r="G4544" s="10"/>
      <c r="H4544" s="15"/>
      <c r="I4544" s="15"/>
      <c r="J4544" s="15"/>
      <c r="K4544" s="15"/>
      <c r="L4544" s="15"/>
      <c r="M4544" s="15"/>
      <c r="N4544" s="15"/>
      <c r="O4544" s="15"/>
      <c r="P4544" s="15"/>
      <c r="Q4544" s="71"/>
      <c r="R4544" s="84"/>
      <c r="S4544" s="10"/>
      <c r="T4544" s="10"/>
      <c r="U4544" s="10"/>
      <c r="V4544" s="10"/>
      <c r="W4544" s="138"/>
      <c r="Y4544"/>
      <c r="Z4544"/>
      <c r="AA4544"/>
      <c r="AB4544"/>
      <c r="AC4544"/>
      <c r="AD4544"/>
      <c r="AE4544"/>
      <c r="AF4544"/>
      <c r="AG4544"/>
      <c r="AH4544"/>
      <c r="AI4544"/>
      <c r="AJ4544"/>
      <c r="AK4544"/>
      <c r="AL4544"/>
      <c r="AM4544"/>
      <c r="AN4544"/>
      <c r="AO4544"/>
    </row>
    <row r="4545" spans="1:41" ht="15">
      <c r="A4545"/>
      <c r="B4545"/>
      <c r="C4545" s="137"/>
      <c r="D4545" s="30"/>
      <c r="E4545" s="30"/>
      <c r="F4545" s="10"/>
      <c r="G4545" s="10"/>
      <c r="H4545" s="15"/>
      <c r="I4545" s="15"/>
      <c r="J4545" s="15"/>
      <c r="K4545" s="15"/>
      <c r="L4545" s="15"/>
      <c r="M4545" s="15"/>
      <c r="N4545" s="15"/>
      <c r="O4545" s="15"/>
      <c r="P4545" s="15"/>
      <c r="Q4545" s="71"/>
      <c r="R4545" s="84"/>
      <c r="S4545" s="10"/>
      <c r="T4545" s="10"/>
      <c r="U4545" s="10"/>
      <c r="V4545" s="10"/>
      <c r="W4545" s="138"/>
      <c r="Y4545"/>
      <c r="Z4545"/>
      <c r="AA4545"/>
      <c r="AB4545"/>
      <c r="AC4545"/>
      <c r="AD4545"/>
      <c r="AE4545"/>
      <c r="AF4545"/>
      <c r="AG4545"/>
      <c r="AH4545"/>
      <c r="AI4545"/>
      <c r="AJ4545"/>
      <c r="AK4545"/>
      <c r="AL4545"/>
      <c r="AM4545"/>
      <c r="AN4545"/>
      <c r="AO4545"/>
    </row>
    <row r="4546" spans="1:41" ht="15">
      <c r="A4546"/>
      <c r="B4546"/>
      <c r="C4546" s="137"/>
      <c r="D4546" s="30"/>
      <c r="E4546" s="30"/>
      <c r="F4546" s="10"/>
      <c r="G4546" s="10"/>
      <c r="H4546" s="15"/>
      <c r="I4546" s="15"/>
      <c r="J4546" s="15"/>
      <c r="K4546" s="15"/>
      <c r="L4546" s="15"/>
      <c r="M4546" s="15"/>
      <c r="N4546" s="15"/>
      <c r="O4546" s="15"/>
      <c r="P4546" s="15"/>
      <c r="Q4546" s="71"/>
      <c r="R4546" s="84"/>
      <c r="S4546" s="10"/>
      <c r="T4546" s="10"/>
      <c r="U4546" s="10"/>
      <c r="V4546" s="10"/>
      <c r="W4546" s="138"/>
      <c r="Y4546"/>
      <c r="Z4546"/>
      <c r="AA4546"/>
      <c r="AB4546"/>
      <c r="AC4546"/>
      <c r="AD4546"/>
      <c r="AE4546"/>
      <c r="AF4546"/>
      <c r="AG4546"/>
      <c r="AH4546"/>
      <c r="AI4546"/>
      <c r="AJ4546"/>
      <c r="AK4546"/>
      <c r="AL4546"/>
      <c r="AM4546"/>
      <c r="AN4546"/>
      <c r="AO4546"/>
    </row>
    <row r="4547" spans="1:41" ht="15">
      <c r="A4547"/>
      <c r="B4547"/>
      <c r="C4547" s="137"/>
      <c r="D4547" s="30"/>
      <c r="E4547" s="30"/>
      <c r="F4547" s="10"/>
      <c r="G4547" s="10"/>
      <c r="H4547" s="15"/>
      <c r="I4547" s="15"/>
      <c r="J4547" s="15"/>
      <c r="K4547" s="15"/>
      <c r="L4547" s="15"/>
      <c r="M4547" s="15"/>
      <c r="N4547" s="15"/>
      <c r="O4547" s="15"/>
      <c r="P4547" s="15"/>
      <c r="Q4547" s="71"/>
      <c r="R4547" s="84"/>
      <c r="S4547" s="10"/>
      <c r="T4547" s="10"/>
      <c r="U4547" s="10"/>
      <c r="V4547" s="10"/>
      <c r="W4547" s="138"/>
      <c r="Y4547"/>
      <c r="Z4547"/>
      <c r="AA4547"/>
      <c r="AB4547"/>
      <c r="AC4547"/>
      <c r="AD4547"/>
      <c r="AE4547"/>
      <c r="AF4547"/>
      <c r="AG4547"/>
      <c r="AH4547"/>
      <c r="AI4547"/>
      <c r="AJ4547"/>
      <c r="AK4547"/>
      <c r="AL4547"/>
      <c r="AM4547"/>
      <c r="AN4547"/>
      <c r="AO4547"/>
    </row>
    <row r="4548" spans="1:41" ht="15">
      <c r="A4548"/>
      <c r="B4548"/>
      <c r="C4548" s="137"/>
      <c r="D4548" s="30"/>
      <c r="E4548" s="30"/>
      <c r="F4548" s="10"/>
      <c r="G4548" s="10"/>
      <c r="H4548" s="15"/>
      <c r="I4548" s="15"/>
      <c r="J4548" s="15"/>
      <c r="K4548" s="15"/>
      <c r="L4548" s="15"/>
      <c r="M4548" s="15"/>
      <c r="N4548" s="15"/>
      <c r="O4548" s="15"/>
      <c r="P4548" s="15"/>
      <c r="Q4548" s="71"/>
      <c r="R4548" s="84"/>
      <c r="S4548" s="10"/>
      <c r="T4548" s="10"/>
      <c r="U4548" s="10"/>
      <c r="V4548" s="10"/>
      <c r="W4548" s="138"/>
      <c r="Y4548"/>
      <c r="Z4548"/>
      <c r="AA4548"/>
      <c r="AB4548"/>
      <c r="AC4548"/>
      <c r="AD4548"/>
      <c r="AE4548"/>
      <c r="AF4548"/>
      <c r="AG4548"/>
      <c r="AH4548"/>
      <c r="AI4548"/>
      <c r="AJ4548"/>
      <c r="AK4548"/>
      <c r="AL4548"/>
      <c r="AM4548"/>
      <c r="AN4548"/>
      <c r="AO4548"/>
    </row>
    <row r="4549" spans="1:41" ht="15">
      <c r="A4549"/>
      <c r="B4549"/>
      <c r="C4549" s="137"/>
      <c r="D4549" s="30"/>
      <c r="E4549" s="30"/>
      <c r="F4549" s="10"/>
      <c r="G4549" s="10"/>
      <c r="H4549" s="15"/>
      <c r="I4549" s="15"/>
      <c r="J4549" s="15"/>
      <c r="K4549" s="15"/>
      <c r="L4549" s="15"/>
      <c r="M4549" s="15"/>
      <c r="N4549" s="15"/>
      <c r="O4549" s="15"/>
      <c r="P4549" s="15"/>
      <c r="Q4549" s="71"/>
      <c r="R4549" s="84"/>
      <c r="S4549" s="10"/>
      <c r="T4549" s="10"/>
      <c r="U4549" s="10"/>
      <c r="V4549" s="10"/>
      <c r="W4549" s="138"/>
      <c r="Y4549"/>
      <c r="Z4549"/>
      <c r="AA4549"/>
      <c r="AB4549"/>
      <c r="AC4549"/>
      <c r="AD4549"/>
      <c r="AE4549"/>
      <c r="AF4549"/>
      <c r="AG4549"/>
      <c r="AH4549"/>
      <c r="AI4549"/>
      <c r="AJ4549"/>
      <c r="AK4549"/>
      <c r="AL4549"/>
      <c r="AM4549"/>
      <c r="AN4549"/>
      <c r="AO4549"/>
    </row>
    <row r="4550" spans="1:41" ht="15">
      <c r="A4550"/>
      <c r="B4550"/>
      <c r="C4550" s="137"/>
      <c r="D4550" s="30"/>
      <c r="E4550" s="30"/>
      <c r="F4550" s="10"/>
      <c r="G4550" s="10"/>
      <c r="H4550" s="15"/>
      <c r="I4550" s="15"/>
      <c r="J4550" s="15"/>
      <c r="K4550" s="15"/>
      <c r="L4550" s="15"/>
      <c r="M4550" s="15"/>
      <c r="N4550" s="15"/>
      <c r="O4550" s="15"/>
      <c r="P4550" s="15"/>
      <c r="Q4550" s="71"/>
      <c r="R4550" s="84"/>
      <c r="S4550" s="10"/>
      <c r="T4550" s="10"/>
      <c r="U4550" s="10"/>
      <c r="V4550" s="10"/>
      <c r="W4550" s="138"/>
      <c r="Y4550"/>
      <c r="Z4550"/>
      <c r="AA4550"/>
      <c r="AB4550"/>
      <c r="AC4550"/>
      <c r="AD4550"/>
      <c r="AE4550"/>
      <c r="AF4550"/>
      <c r="AG4550"/>
      <c r="AH4550"/>
      <c r="AI4550"/>
      <c r="AJ4550"/>
      <c r="AK4550"/>
      <c r="AL4550"/>
      <c r="AM4550"/>
      <c r="AN4550"/>
      <c r="AO4550"/>
    </row>
    <row r="4551" spans="1:41" ht="15">
      <c r="A4551"/>
      <c r="B4551"/>
      <c r="C4551" s="137"/>
      <c r="D4551" s="30"/>
      <c r="E4551" s="30"/>
      <c r="F4551" s="10"/>
      <c r="G4551" s="10"/>
      <c r="H4551" s="15"/>
      <c r="I4551" s="15"/>
      <c r="J4551" s="15"/>
      <c r="K4551" s="15"/>
      <c r="L4551" s="15"/>
      <c r="M4551" s="15"/>
      <c r="N4551" s="15"/>
      <c r="O4551" s="15"/>
      <c r="P4551" s="15"/>
      <c r="Q4551" s="71"/>
      <c r="R4551" s="84"/>
      <c r="S4551" s="10"/>
      <c r="T4551" s="10"/>
      <c r="U4551" s="10"/>
      <c r="V4551" s="10"/>
      <c r="W4551" s="138"/>
      <c r="Y4551"/>
      <c r="Z4551"/>
      <c r="AA4551"/>
      <c r="AB4551"/>
      <c r="AC4551"/>
      <c r="AD4551"/>
      <c r="AE4551"/>
      <c r="AF4551"/>
      <c r="AG4551"/>
      <c r="AH4551"/>
      <c r="AI4551"/>
      <c r="AJ4551"/>
      <c r="AK4551"/>
      <c r="AL4551"/>
      <c r="AM4551"/>
      <c r="AN4551"/>
      <c r="AO4551"/>
    </row>
    <row r="4552" spans="1:41" ht="15">
      <c r="A4552"/>
      <c r="B4552"/>
      <c r="C4552" s="137"/>
      <c r="D4552" s="30"/>
      <c r="E4552" s="30"/>
      <c r="F4552" s="10"/>
      <c r="G4552" s="10"/>
      <c r="H4552" s="15"/>
      <c r="I4552" s="15"/>
      <c r="J4552" s="15"/>
      <c r="K4552" s="15"/>
      <c r="L4552" s="15"/>
      <c r="M4552" s="15"/>
      <c r="N4552" s="15"/>
      <c r="O4552" s="15"/>
      <c r="P4552" s="15"/>
      <c r="Q4552" s="71"/>
      <c r="R4552" s="84"/>
      <c r="S4552" s="10"/>
      <c r="T4552" s="10"/>
      <c r="U4552" s="10"/>
      <c r="V4552" s="10"/>
      <c r="W4552" s="138"/>
      <c r="Y4552"/>
      <c r="Z4552"/>
      <c r="AA4552"/>
      <c r="AB4552"/>
      <c r="AC4552"/>
      <c r="AD4552"/>
      <c r="AE4552"/>
      <c r="AF4552"/>
      <c r="AG4552"/>
      <c r="AH4552"/>
      <c r="AI4552"/>
      <c r="AJ4552"/>
      <c r="AK4552"/>
      <c r="AL4552"/>
      <c r="AM4552"/>
      <c r="AN4552"/>
      <c r="AO4552"/>
    </row>
    <row r="4553" spans="1:41" ht="15">
      <c r="A4553"/>
      <c r="B4553"/>
      <c r="C4553" s="137"/>
      <c r="D4553" s="30"/>
      <c r="E4553" s="30"/>
      <c r="F4553" s="10"/>
      <c r="G4553" s="10"/>
      <c r="H4553" s="15"/>
      <c r="I4553" s="15"/>
      <c r="J4553" s="15"/>
      <c r="K4553" s="15"/>
      <c r="L4553" s="15"/>
      <c r="M4553" s="15"/>
      <c r="N4553" s="15"/>
      <c r="O4553" s="15"/>
      <c r="P4553" s="15"/>
      <c r="Q4553" s="71"/>
      <c r="R4553" s="84"/>
      <c r="S4553" s="10"/>
      <c r="T4553" s="10"/>
      <c r="U4553" s="10"/>
      <c r="V4553" s="10"/>
      <c r="W4553" s="138"/>
      <c r="Y4553"/>
      <c r="Z4553"/>
      <c r="AA4553"/>
      <c r="AB4553"/>
      <c r="AC4553"/>
      <c r="AD4553"/>
      <c r="AE4553"/>
      <c r="AF4553"/>
      <c r="AG4553"/>
      <c r="AH4553"/>
      <c r="AI4553"/>
      <c r="AJ4553"/>
      <c r="AK4553"/>
      <c r="AL4553"/>
      <c r="AM4553"/>
      <c r="AN4553"/>
      <c r="AO4553"/>
    </row>
    <row r="4554" spans="1:41" ht="15">
      <c r="A4554"/>
      <c r="B4554"/>
      <c r="C4554" s="137"/>
      <c r="D4554" s="30"/>
      <c r="E4554" s="30"/>
      <c r="F4554" s="10"/>
      <c r="G4554" s="10"/>
      <c r="H4554" s="15"/>
      <c r="I4554" s="15"/>
      <c r="J4554" s="15"/>
      <c r="K4554" s="15"/>
      <c r="L4554" s="15"/>
      <c r="M4554" s="15"/>
      <c r="N4554" s="15"/>
      <c r="O4554" s="15"/>
      <c r="P4554" s="15"/>
      <c r="Q4554" s="71"/>
      <c r="R4554" s="84"/>
      <c r="S4554" s="10"/>
      <c r="T4554" s="10"/>
      <c r="U4554" s="10"/>
      <c r="V4554" s="10"/>
      <c r="W4554" s="138"/>
      <c r="Y4554"/>
      <c r="Z4554"/>
      <c r="AA4554"/>
      <c r="AB4554"/>
      <c r="AC4554"/>
      <c r="AD4554"/>
      <c r="AE4554"/>
      <c r="AF4554"/>
      <c r="AG4554"/>
      <c r="AH4554"/>
      <c r="AI4554"/>
      <c r="AJ4554"/>
      <c r="AK4554"/>
      <c r="AL4554"/>
      <c r="AM4554"/>
      <c r="AN4554"/>
      <c r="AO4554"/>
    </row>
    <row r="4555" spans="1:41" ht="15">
      <c r="A4555"/>
      <c r="B4555"/>
      <c r="C4555" s="137"/>
      <c r="D4555" s="30"/>
      <c r="E4555" s="30"/>
      <c r="F4555" s="10"/>
      <c r="G4555" s="10"/>
      <c r="H4555" s="15"/>
      <c r="I4555" s="15"/>
      <c r="J4555" s="15"/>
      <c r="K4555" s="15"/>
      <c r="L4555" s="15"/>
      <c r="M4555" s="15"/>
      <c r="N4555" s="15"/>
      <c r="O4555" s="15"/>
      <c r="P4555" s="15"/>
      <c r="Q4555" s="71"/>
      <c r="R4555" s="84"/>
      <c r="S4555" s="10"/>
      <c r="T4555" s="10"/>
      <c r="U4555" s="10"/>
      <c r="V4555" s="10"/>
      <c r="W4555" s="138"/>
      <c r="Y4555"/>
      <c r="Z4555"/>
      <c r="AA4555"/>
      <c r="AB4555"/>
      <c r="AC4555"/>
      <c r="AD4555"/>
      <c r="AE4555"/>
      <c r="AF4555"/>
      <c r="AG4555"/>
      <c r="AH4555"/>
      <c r="AI4555"/>
      <c r="AJ4555"/>
      <c r="AK4555"/>
      <c r="AL4555"/>
      <c r="AM4555"/>
      <c r="AN4555"/>
      <c r="AO4555"/>
    </row>
    <row r="4556" spans="1:41" ht="15">
      <c r="A4556"/>
      <c r="B4556"/>
      <c r="C4556" s="137"/>
      <c r="D4556" s="30"/>
      <c r="E4556" s="30"/>
      <c r="F4556" s="10"/>
      <c r="G4556" s="10"/>
      <c r="H4556" s="15"/>
      <c r="I4556" s="15"/>
      <c r="J4556" s="15"/>
      <c r="K4556" s="15"/>
      <c r="L4556" s="15"/>
      <c r="M4556" s="15"/>
      <c r="N4556" s="15"/>
      <c r="O4556" s="15"/>
      <c r="P4556" s="15"/>
      <c r="Q4556" s="71"/>
      <c r="R4556" s="84"/>
      <c r="S4556" s="10"/>
      <c r="T4556" s="10"/>
      <c r="U4556" s="10"/>
      <c r="V4556" s="10"/>
      <c r="W4556" s="138"/>
      <c r="Y4556"/>
      <c r="Z4556"/>
      <c r="AA4556"/>
      <c r="AB4556"/>
      <c r="AC4556"/>
      <c r="AD4556"/>
      <c r="AE4556"/>
      <c r="AF4556"/>
      <c r="AG4556"/>
      <c r="AH4556"/>
      <c r="AI4556"/>
      <c r="AJ4556"/>
      <c r="AK4556"/>
      <c r="AL4556"/>
      <c r="AM4556"/>
      <c r="AN4556"/>
      <c r="AO4556"/>
    </row>
    <row r="4557" spans="1:41" ht="15">
      <c r="A4557"/>
      <c r="B4557"/>
      <c r="C4557" s="137"/>
      <c r="D4557" s="30"/>
      <c r="E4557" s="30"/>
      <c r="F4557" s="10"/>
      <c r="G4557" s="10"/>
      <c r="H4557" s="15"/>
      <c r="I4557" s="15"/>
      <c r="J4557" s="15"/>
      <c r="K4557" s="15"/>
      <c r="L4557" s="15"/>
      <c r="M4557" s="15"/>
      <c r="N4557" s="15"/>
      <c r="O4557" s="15"/>
      <c r="P4557" s="15"/>
      <c r="Q4557" s="71"/>
      <c r="R4557" s="84"/>
      <c r="S4557" s="10"/>
      <c r="T4557" s="10"/>
      <c r="U4557" s="10"/>
      <c r="V4557" s="10"/>
      <c r="W4557" s="138"/>
      <c r="Y4557"/>
      <c r="Z4557"/>
      <c r="AA4557"/>
      <c r="AB4557"/>
      <c r="AC4557"/>
      <c r="AD4557"/>
      <c r="AE4557"/>
      <c r="AF4557"/>
      <c r="AG4557"/>
      <c r="AH4557"/>
      <c r="AI4557"/>
      <c r="AJ4557"/>
      <c r="AK4557"/>
      <c r="AL4557"/>
      <c r="AM4557"/>
      <c r="AN4557"/>
      <c r="AO4557"/>
    </row>
    <row r="4558" spans="1:41" ht="15">
      <c r="A4558"/>
      <c r="B4558"/>
      <c r="C4558" s="137"/>
      <c r="D4558" s="30"/>
      <c r="E4558" s="30"/>
      <c r="F4558" s="10"/>
      <c r="G4558" s="10"/>
      <c r="H4558" s="15"/>
      <c r="I4558" s="15"/>
      <c r="J4558" s="15"/>
      <c r="K4558" s="15"/>
      <c r="L4558" s="15"/>
      <c r="M4558" s="15"/>
      <c r="N4558" s="15"/>
      <c r="O4558" s="15"/>
      <c r="P4558" s="15"/>
      <c r="Q4558" s="71"/>
      <c r="R4558" s="84"/>
      <c r="S4558" s="10"/>
      <c r="T4558" s="10"/>
      <c r="U4558" s="10"/>
      <c r="V4558" s="10"/>
      <c r="W4558" s="138"/>
      <c r="Y4558"/>
      <c r="Z4558"/>
      <c r="AA4558"/>
      <c r="AB4558"/>
      <c r="AC4558"/>
      <c r="AD4558"/>
      <c r="AE4558"/>
      <c r="AF4558"/>
      <c r="AG4558"/>
      <c r="AH4558"/>
      <c r="AI4558"/>
      <c r="AJ4558"/>
      <c r="AK4558"/>
      <c r="AL4558"/>
      <c r="AM4558"/>
      <c r="AN4558"/>
      <c r="AO4558"/>
    </row>
    <row r="4559" spans="1:41" ht="15">
      <c r="A4559"/>
      <c r="B4559"/>
      <c r="C4559" s="137"/>
      <c r="D4559" s="30"/>
      <c r="E4559" s="30"/>
      <c r="F4559" s="10"/>
      <c r="G4559" s="10"/>
      <c r="H4559" s="15"/>
      <c r="I4559" s="15"/>
      <c r="J4559" s="15"/>
      <c r="K4559" s="15"/>
      <c r="L4559" s="15"/>
      <c r="M4559" s="15"/>
      <c r="N4559" s="15"/>
      <c r="O4559" s="15"/>
      <c r="P4559" s="15"/>
      <c r="Q4559" s="71"/>
      <c r="R4559" s="84"/>
      <c r="S4559" s="10"/>
      <c r="T4559" s="10"/>
      <c r="U4559" s="10"/>
      <c r="V4559" s="10"/>
      <c r="W4559" s="138"/>
      <c r="Y4559"/>
      <c r="Z4559"/>
      <c r="AA4559"/>
      <c r="AB4559"/>
      <c r="AC4559"/>
      <c r="AD4559"/>
      <c r="AE4559"/>
      <c r="AF4559"/>
      <c r="AG4559"/>
      <c r="AH4559"/>
      <c r="AI4559"/>
      <c r="AJ4559"/>
      <c r="AK4559"/>
      <c r="AL4559"/>
      <c r="AM4559"/>
      <c r="AN4559"/>
      <c r="AO4559"/>
    </row>
    <row r="4560" spans="1:41" ht="15">
      <c r="A4560"/>
      <c r="B4560"/>
      <c r="C4560" s="137"/>
      <c r="D4560" s="30"/>
      <c r="E4560" s="30"/>
      <c r="F4560" s="10"/>
      <c r="G4560" s="10"/>
      <c r="H4560" s="15"/>
      <c r="I4560" s="15"/>
      <c r="J4560" s="15"/>
      <c r="K4560" s="15"/>
      <c r="L4560" s="15"/>
      <c r="M4560" s="15"/>
      <c r="N4560" s="15"/>
      <c r="O4560" s="15"/>
      <c r="P4560" s="15"/>
      <c r="Q4560" s="71"/>
      <c r="R4560" s="84"/>
      <c r="S4560" s="10"/>
      <c r="T4560" s="10"/>
      <c r="U4560" s="10"/>
      <c r="V4560" s="10"/>
      <c r="W4560" s="138"/>
      <c r="Y4560"/>
      <c r="Z4560"/>
      <c r="AA4560"/>
      <c r="AB4560"/>
      <c r="AC4560"/>
      <c r="AD4560"/>
      <c r="AE4560"/>
      <c r="AF4560"/>
      <c r="AG4560"/>
      <c r="AH4560"/>
      <c r="AI4560"/>
      <c r="AJ4560"/>
      <c r="AK4560"/>
      <c r="AL4560"/>
      <c r="AM4560"/>
      <c r="AN4560"/>
      <c r="AO4560"/>
    </row>
    <row r="4561" spans="1:41" ht="15">
      <c r="A4561"/>
      <c r="B4561"/>
      <c r="C4561" s="137"/>
      <c r="D4561" s="30"/>
      <c r="E4561" s="30"/>
      <c r="F4561" s="10"/>
      <c r="G4561" s="10"/>
      <c r="H4561" s="15"/>
      <c r="I4561" s="15"/>
      <c r="J4561" s="15"/>
      <c r="K4561" s="15"/>
      <c r="L4561" s="15"/>
      <c r="M4561" s="15"/>
      <c r="N4561" s="15"/>
      <c r="O4561" s="15"/>
      <c r="P4561" s="15"/>
      <c r="Q4561" s="71"/>
      <c r="R4561" s="84"/>
      <c r="S4561" s="10"/>
      <c r="T4561" s="10"/>
      <c r="U4561" s="10"/>
      <c r="V4561" s="10"/>
      <c r="W4561" s="138"/>
      <c r="Y4561"/>
      <c r="Z4561"/>
      <c r="AA4561"/>
      <c r="AB4561"/>
      <c r="AC4561"/>
      <c r="AD4561"/>
      <c r="AE4561"/>
      <c r="AF4561"/>
      <c r="AG4561"/>
      <c r="AH4561"/>
      <c r="AI4561"/>
      <c r="AJ4561"/>
      <c r="AK4561"/>
      <c r="AL4561"/>
      <c r="AM4561"/>
      <c r="AN4561"/>
      <c r="AO4561"/>
    </row>
    <row r="4562" spans="1:41" ht="15">
      <c r="A4562"/>
      <c r="B4562"/>
      <c r="C4562" s="137"/>
      <c r="D4562" s="30"/>
      <c r="E4562" s="30"/>
      <c r="F4562" s="10"/>
      <c r="G4562" s="10"/>
      <c r="H4562" s="15"/>
      <c r="I4562" s="15"/>
      <c r="J4562" s="15"/>
      <c r="K4562" s="15"/>
      <c r="L4562" s="15"/>
      <c r="M4562" s="15"/>
      <c r="N4562" s="15"/>
      <c r="O4562" s="15"/>
      <c r="P4562" s="15"/>
      <c r="Q4562" s="71"/>
      <c r="R4562" s="84"/>
      <c r="S4562" s="10"/>
      <c r="T4562" s="10"/>
      <c r="U4562" s="10"/>
      <c r="V4562" s="10"/>
      <c r="W4562" s="138"/>
      <c r="Y4562"/>
      <c r="Z4562"/>
      <c r="AA4562"/>
      <c r="AB4562"/>
      <c r="AC4562"/>
      <c r="AD4562"/>
      <c r="AE4562"/>
      <c r="AF4562"/>
      <c r="AG4562"/>
      <c r="AH4562"/>
      <c r="AI4562"/>
      <c r="AJ4562"/>
      <c r="AK4562"/>
      <c r="AL4562"/>
      <c r="AM4562"/>
      <c r="AN4562"/>
      <c r="AO4562"/>
    </row>
    <row r="4563" spans="1:41" ht="15">
      <c r="A4563"/>
      <c r="B4563"/>
      <c r="C4563" s="137"/>
      <c r="D4563" s="30"/>
      <c r="E4563" s="30"/>
      <c r="F4563" s="10"/>
      <c r="G4563" s="10"/>
      <c r="H4563" s="15"/>
      <c r="I4563" s="15"/>
      <c r="J4563" s="15"/>
      <c r="K4563" s="15"/>
      <c r="L4563" s="15"/>
      <c r="M4563" s="15"/>
      <c r="N4563" s="15"/>
      <c r="O4563" s="15"/>
      <c r="P4563" s="15"/>
      <c r="Q4563" s="71"/>
      <c r="R4563" s="84"/>
      <c r="S4563" s="10"/>
      <c r="T4563" s="10"/>
      <c r="U4563" s="10"/>
      <c r="V4563" s="10"/>
      <c r="W4563" s="138"/>
      <c r="Y4563"/>
      <c r="Z4563"/>
      <c r="AA4563"/>
      <c r="AB4563"/>
      <c r="AC4563"/>
      <c r="AD4563"/>
      <c r="AE4563"/>
      <c r="AF4563"/>
      <c r="AG4563"/>
      <c r="AH4563"/>
      <c r="AI4563"/>
      <c r="AJ4563"/>
      <c r="AK4563"/>
      <c r="AL4563"/>
      <c r="AM4563"/>
      <c r="AN4563"/>
      <c r="AO4563"/>
    </row>
    <row r="4564" spans="1:41" ht="15">
      <c r="A4564"/>
      <c r="B4564"/>
      <c r="C4564" s="137"/>
      <c r="D4564" s="30"/>
      <c r="E4564" s="30"/>
      <c r="F4564" s="10"/>
      <c r="G4564" s="10"/>
      <c r="H4564" s="15"/>
      <c r="I4564" s="15"/>
      <c r="J4564" s="15"/>
      <c r="K4564" s="15"/>
      <c r="L4564" s="15"/>
      <c r="M4564" s="15"/>
      <c r="N4564" s="15"/>
      <c r="O4564" s="15"/>
      <c r="P4564" s="15"/>
      <c r="Q4564" s="71"/>
      <c r="R4564" s="84"/>
      <c r="S4564" s="10"/>
      <c r="T4564" s="10"/>
      <c r="U4564" s="10"/>
      <c r="V4564" s="10"/>
      <c r="W4564" s="138"/>
      <c r="Y4564"/>
      <c r="Z4564"/>
      <c r="AA4564"/>
      <c r="AB4564"/>
      <c r="AC4564"/>
      <c r="AD4564"/>
      <c r="AE4564"/>
      <c r="AF4564"/>
      <c r="AG4564"/>
      <c r="AH4564"/>
      <c r="AI4564"/>
      <c r="AJ4564"/>
      <c r="AK4564"/>
      <c r="AL4564"/>
      <c r="AM4564"/>
      <c r="AN4564"/>
      <c r="AO4564"/>
    </row>
    <row r="4565" spans="1:41" ht="15">
      <c r="A4565"/>
      <c r="B4565"/>
      <c r="C4565" s="137"/>
      <c r="D4565" s="30"/>
      <c r="E4565" s="30"/>
      <c r="F4565" s="10"/>
      <c r="G4565" s="10"/>
      <c r="H4565" s="15"/>
      <c r="I4565" s="15"/>
      <c r="J4565" s="15"/>
      <c r="K4565" s="15"/>
      <c r="L4565" s="15"/>
      <c r="M4565" s="15"/>
      <c r="N4565" s="15"/>
      <c r="O4565" s="15"/>
      <c r="P4565" s="15"/>
      <c r="Q4565" s="71"/>
      <c r="R4565" s="84"/>
      <c r="S4565" s="10"/>
      <c r="T4565" s="10"/>
      <c r="U4565" s="10"/>
      <c r="V4565" s="10"/>
      <c r="W4565" s="138"/>
      <c r="Y4565"/>
      <c r="Z4565"/>
      <c r="AA4565"/>
      <c r="AB4565"/>
      <c r="AC4565"/>
      <c r="AD4565"/>
      <c r="AE4565"/>
      <c r="AF4565"/>
      <c r="AG4565"/>
      <c r="AH4565"/>
      <c r="AI4565"/>
      <c r="AJ4565"/>
      <c r="AK4565"/>
      <c r="AL4565"/>
      <c r="AM4565"/>
      <c r="AN4565"/>
      <c r="AO4565"/>
    </row>
    <row r="4566" spans="1:41" ht="15">
      <c r="A4566"/>
      <c r="B4566"/>
      <c r="C4566" s="137"/>
      <c r="D4566" s="30"/>
      <c r="E4566" s="30"/>
      <c r="F4566" s="10"/>
      <c r="G4566" s="10"/>
      <c r="H4566" s="15"/>
      <c r="I4566" s="15"/>
      <c r="J4566" s="15"/>
      <c r="K4566" s="15"/>
      <c r="L4566" s="15"/>
      <c r="M4566" s="15"/>
      <c r="N4566" s="15"/>
      <c r="O4566" s="15"/>
      <c r="P4566" s="15"/>
      <c r="Q4566" s="71"/>
      <c r="R4566" s="84"/>
      <c r="S4566" s="10"/>
      <c r="T4566" s="10"/>
      <c r="U4566" s="10"/>
      <c r="V4566" s="10"/>
      <c r="W4566" s="138"/>
      <c r="Y4566"/>
      <c r="Z4566"/>
      <c r="AA4566"/>
      <c r="AB4566"/>
      <c r="AC4566"/>
      <c r="AD4566"/>
      <c r="AE4566"/>
      <c r="AF4566"/>
      <c r="AG4566"/>
      <c r="AH4566"/>
      <c r="AI4566"/>
      <c r="AJ4566"/>
      <c r="AK4566"/>
      <c r="AL4566"/>
      <c r="AM4566"/>
      <c r="AN4566"/>
      <c r="AO4566"/>
    </row>
    <row r="4567" spans="1:41" ht="15">
      <c r="A4567"/>
      <c r="B4567"/>
      <c r="C4567" s="137"/>
      <c r="D4567" s="30"/>
      <c r="E4567" s="30"/>
      <c r="F4567" s="10"/>
      <c r="G4567" s="10"/>
      <c r="H4567" s="15"/>
      <c r="I4567" s="15"/>
      <c r="J4567" s="15"/>
      <c r="K4567" s="15"/>
      <c r="L4567" s="15"/>
      <c r="M4567" s="15"/>
      <c r="N4567" s="15"/>
      <c r="O4567" s="15"/>
      <c r="P4567" s="15"/>
      <c r="Q4567" s="71"/>
      <c r="R4567" s="84"/>
      <c r="S4567" s="10"/>
      <c r="T4567" s="10"/>
      <c r="U4567" s="10"/>
      <c r="V4567" s="10"/>
      <c r="W4567" s="138"/>
      <c r="Y4567"/>
      <c r="Z4567"/>
      <c r="AA4567"/>
      <c r="AB4567"/>
      <c r="AC4567"/>
      <c r="AD4567"/>
      <c r="AE4567"/>
      <c r="AF4567"/>
      <c r="AG4567"/>
      <c r="AH4567"/>
      <c r="AI4567"/>
      <c r="AJ4567"/>
      <c r="AK4567"/>
      <c r="AL4567"/>
      <c r="AM4567"/>
      <c r="AN4567"/>
      <c r="AO4567"/>
    </row>
    <row r="4568" spans="1:41" ht="15">
      <c r="A4568"/>
      <c r="B4568"/>
      <c r="C4568" s="137"/>
      <c r="D4568" s="30"/>
      <c r="E4568" s="30"/>
      <c r="F4568" s="10"/>
      <c r="G4568" s="10"/>
      <c r="H4568" s="15"/>
      <c r="I4568" s="15"/>
      <c r="J4568" s="15"/>
      <c r="K4568" s="15"/>
      <c r="L4568" s="15"/>
      <c r="M4568" s="15"/>
      <c r="N4568" s="15"/>
      <c r="O4568" s="15"/>
      <c r="P4568" s="15"/>
      <c r="Q4568" s="71"/>
      <c r="R4568" s="84"/>
      <c r="S4568" s="10"/>
      <c r="T4568" s="10"/>
      <c r="U4568" s="10"/>
      <c r="V4568" s="10"/>
      <c r="W4568" s="138"/>
      <c r="Y4568"/>
      <c r="Z4568"/>
      <c r="AA4568"/>
      <c r="AB4568"/>
      <c r="AC4568"/>
      <c r="AD4568"/>
      <c r="AE4568"/>
      <c r="AF4568"/>
      <c r="AG4568"/>
      <c r="AH4568"/>
      <c r="AI4568"/>
      <c r="AJ4568"/>
      <c r="AK4568"/>
      <c r="AL4568"/>
      <c r="AM4568"/>
      <c r="AN4568"/>
      <c r="AO4568"/>
    </row>
    <row r="4569" spans="1:41" ht="15">
      <c r="A4569"/>
      <c r="B4569"/>
      <c r="C4569" s="137"/>
      <c r="D4569" s="30"/>
      <c r="E4569" s="30"/>
      <c r="F4569" s="10"/>
      <c r="G4569" s="10"/>
      <c r="H4569" s="15"/>
      <c r="I4569" s="15"/>
      <c r="J4569" s="15"/>
      <c r="K4569" s="15"/>
      <c r="L4569" s="15"/>
      <c r="M4569" s="15"/>
      <c r="N4569" s="15"/>
      <c r="O4569" s="15"/>
      <c r="P4569" s="15"/>
      <c r="Q4569" s="71"/>
      <c r="R4569" s="84"/>
      <c r="S4569" s="10"/>
      <c r="T4569" s="10"/>
      <c r="U4569" s="10"/>
      <c r="V4569" s="10"/>
      <c r="W4569" s="138"/>
      <c r="Y4569"/>
      <c r="Z4569"/>
      <c r="AA4569"/>
      <c r="AB4569"/>
      <c r="AC4569"/>
      <c r="AD4569"/>
      <c r="AE4569"/>
      <c r="AF4569"/>
      <c r="AG4569"/>
      <c r="AH4569"/>
      <c r="AI4569"/>
      <c r="AJ4569"/>
      <c r="AK4569"/>
      <c r="AL4569"/>
      <c r="AM4569"/>
      <c r="AN4569"/>
      <c r="AO4569"/>
    </row>
    <row r="4570" spans="1:41" ht="15">
      <c r="A4570"/>
      <c r="B4570"/>
      <c r="C4570" s="137"/>
      <c r="D4570" s="30"/>
      <c r="E4570" s="30"/>
      <c r="F4570" s="10"/>
      <c r="G4570" s="10"/>
      <c r="H4570" s="15"/>
      <c r="I4570" s="15"/>
      <c r="J4570" s="15"/>
      <c r="K4570" s="15"/>
      <c r="L4570" s="15"/>
      <c r="M4570" s="15"/>
      <c r="N4570" s="15"/>
      <c r="O4570" s="15"/>
      <c r="P4570" s="15"/>
      <c r="Q4570" s="71"/>
      <c r="R4570" s="84"/>
      <c r="S4570" s="10"/>
      <c r="T4570" s="10"/>
      <c r="U4570" s="10"/>
      <c r="V4570" s="10"/>
      <c r="W4570" s="138"/>
      <c r="Y4570"/>
      <c r="Z4570"/>
      <c r="AA4570"/>
      <c r="AB4570"/>
      <c r="AC4570"/>
      <c r="AD4570"/>
      <c r="AE4570"/>
      <c r="AF4570"/>
      <c r="AG4570"/>
      <c r="AH4570"/>
      <c r="AI4570"/>
      <c r="AJ4570"/>
      <c r="AK4570"/>
      <c r="AL4570"/>
      <c r="AM4570"/>
      <c r="AN4570"/>
      <c r="AO4570"/>
    </row>
    <row r="4571" spans="1:41" ht="15">
      <c r="A4571"/>
      <c r="B4571"/>
      <c r="C4571" s="137"/>
      <c r="D4571" s="30"/>
      <c r="E4571" s="30"/>
      <c r="F4571" s="10"/>
      <c r="G4571" s="10"/>
      <c r="H4571" s="15"/>
      <c r="I4571" s="15"/>
      <c r="J4571" s="15"/>
      <c r="K4571" s="15"/>
      <c r="L4571" s="15"/>
      <c r="M4571" s="15"/>
      <c r="N4571" s="15"/>
      <c r="O4571" s="15"/>
      <c r="P4571" s="15"/>
      <c r="Q4571" s="71"/>
      <c r="R4571" s="84"/>
      <c r="S4571" s="10"/>
      <c r="T4571" s="10"/>
      <c r="U4571" s="10"/>
      <c r="V4571" s="10"/>
      <c r="W4571" s="138"/>
      <c r="Y4571"/>
      <c r="Z4571"/>
      <c r="AA4571"/>
      <c r="AB4571"/>
      <c r="AC4571"/>
      <c r="AD4571"/>
      <c r="AE4571"/>
      <c r="AF4571"/>
      <c r="AG4571"/>
      <c r="AH4571"/>
      <c r="AI4571"/>
      <c r="AJ4571"/>
      <c r="AK4571"/>
      <c r="AL4571"/>
      <c r="AM4571"/>
      <c r="AN4571"/>
      <c r="AO4571"/>
    </row>
    <row r="4572" spans="1:41" ht="15">
      <c r="A4572"/>
      <c r="B4572"/>
      <c r="C4572" s="137"/>
      <c r="D4572" s="30"/>
      <c r="E4572" s="30"/>
      <c r="F4572" s="10"/>
      <c r="G4572" s="10"/>
      <c r="H4572" s="15"/>
      <c r="I4572" s="15"/>
      <c r="J4572" s="15"/>
      <c r="K4572" s="15"/>
      <c r="L4572" s="15"/>
      <c r="M4572" s="15"/>
      <c r="N4572" s="15"/>
      <c r="O4572" s="15"/>
      <c r="P4572" s="15"/>
      <c r="Q4572" s="71"/>
      <c r="R4572" s="84"/>
      <c r="S4572" s="10"/>
      <c r="T4572" s="10"/>
      <c r="U4572" s="10"/>
      <c r="V4572" s="10"/>
      <c r="W4572" s="138"/>
      <c r="Y4572"/>
      <c r="Z4572"/>
      <c r="AA4572"/>
      <c r="AB4572"/>
      <c r="AC4572"/>
      <c r="AD4572"/>
      <c r="AE4572"/>
      <c r="AF4572"/>
      <c r="AG4572"/>
      <c r="AH4572"/>
      <c r="AI4572"/>
      <c r="AJ4572"/>
      <c r="AK4572"/>
      <c r="AL4572"/>
      <c r="AM4572"/>
      <c r="AN4572"/>
      <c r="AO4572"/>
    </row>
    <row r="4573" spans="1:41" ht="15">
      <c r="A4573"/>
      <c r="B4573"/>
      <c r="C4573" s="137"/>
      <c r="D4573" s="30"/>
      <c r="E4573" s="30"/>
      <c r="F4573" s="10"/>
      <c r="G4573" s="10"/>
      <c r="H4573" s="15"/>
      <c r="I4573" s="15"/>
      <c r="J4573" s="15"/>
      <c r="K4573" s="15"/>
      <c r="L4573" s="15"/>
      <c r="M4573" s="15"/>
      <c r="N4573" s="15"/>
      <c r="O4573" s="15"/>
      <c r="P4573" s="15"/>
      <c r="Q4573" s="71"/>
      <c r="R4573" s="84"/>
      <c r="S4573" s="10"/>
      <c r="T4573" s="10"/>
      <c r="U4573" s="10"/>
      <c r="V4573" s="10"/>
      <c r="W4573" s="138"/>
      <c r="Y4573"/>
      <c r="Z4573"/>
      <c r="AA4573"/>
      <c r="AB4573"/>
      <c r="AC4573"/>
      <c r="AD4573"/>
      <c r="AE4573"/>
      <c r="AF4573"/>
      <c r="AG4573"/>
      <c r="AH4573"/>
      <c r="AI4573"/>
      <c r="AJ4573"/>
      <c r="AK4573"/>
      <c r="AL4573"/>
      <c r="AM4573"/>
      <c r="AN4573"/>
      <c r="AO4573"/>
    </row>
    <row r="4574" spans="1:41" ht="15">
      <c r="A4574"/>
      <c r="B4574"/>
      <c r="C4574" s="137"/>
      <c r="D4574" s="30"/>
      <c r="E4574" s="30"/>
      <c r="F4574" s="10"/>
      <c r="G4574" s="10"/>
      <c r="H4574" s="15"/>
      <c r="I4574" s="15"/>
      <c r="J4574" s="15"/>
      <c r="K4574" s="15"/>
      <c r="L4574" s="15"/>
      <c r="M4574" s="15"/>
      <c r="N4574" s="15"/>
      <c r="O4574" s="15"/>
      <c r="P4574" s="15"/>
      <c r="Q4574" s="71"/>
      <c r="R4574" s="84"/>
      <c r="S4574" s="10"/>
      <c r="T4574" s="10"/>
      <c r="U4574" s="10"/>
      <c r="V4574" s="10"/>
      <c r="W4574" s="138"/>
      <c r="Y4574"/>
      <c r="Z4574"/>
      <c r="AA4574"/>
      <c r="AB4574"/>
      <c r="AC4574"/>
      <c r="AD4574"/>
      <c r="AE4574"/>
      <c r="AF4574"/>
      <c r="AG4574"/>
      <c r="AH4574"/>
      <c r="AI4574"/>
      <c r="AJ4574"/>
      <c r="AK4574"/>
      <c r="AL4574"/>
      <c r="AM4574"/>
      <c r="AN4574"/>
      <c r="AO4574"/>
    </row>
    <row r="4575" spans="1:41" ht="15">
      <c r="A4575"/>
      <c r="B4575"/>
      <c r="C4575" s="137"/>
      <c r="D4575" s="30"/>
      <c r="E4575" s="30"/>
      <c r="F4575" s="10"/>
      <c r="G4575" s="10"/>
      <c r="H4575" s="15"/>
      <c r="I4575" s="15"/>
      <c r="J4575" s="15"/>
      <c r="K4575" s="15"/>
      <c r="L4575" s="15"/>
      <c r="M4575" s="15"/>
      <c r="N4575" s="15"/>
      <c r="O4575" s="15"/>
      <c r="P4575" s="15"/>
      <c r="Q4575" s="71"/>
      <c r="R4575" s="84"/>
      <c r="S4575" s="10"/>
      <c r="T4575" s="10"/>
      <c r="U4575" s="10"/>
      <c r="V4575" s="10"/>
      <c r="W4575" s="138"/>
      <c r="Y4575"/>
      <c r="Z4575"/>
      <c r="AA4575"/>
      <c r="AB4575"/>
      <c r="AC4575"/>
      <c r="AD4575"/>
      <c r="AE4575"/>
      <c r="AF4575"/>
      <c r="AG4575"/>
      <c r="AH4575"/>
      <c r="AI4575"/>
      <c r="AJ4575"/>
      <c r="AK4575"/>
      <c r="AL4575"/>
      <c r="AM4575"/>
      <c r="AN4575"/>
      <c r="AO4575"/>
    </row>
    <row r="4576" spans="1:41" ht="15">
      <c r="A4576"/>
      <c r="B4576"/>
      <c r="C4576" s="137"/>
      <c r="D4576" s="30"/>
      <c r="E4576" s="30"/>
      <c r="F4576" s="10"/>
      <c r="G4576" s="10"/>
      <c r="H4576" s="15"/>
      <c r="I4576" s="15"/>
      <c r="J4576" s="15"/>
      <c r="K4576" s="15"/>
      <c r="L4576" s="15"/>
      <c r="M4576" s="15"/>
      <c r="N4576" s="15"/>
      <c r="O4576" s="15"/>
      <c r="P4576" s="15"/>
      <c r="Q4576" s="71"/>
      <c r="R4576" s="84"/>
      <c r="S4576" s="10"/>
      <c r="T4576" s="10"/>
      <c r="U4576" s="10"/>
      <c r="V4576" s="10"/>
      <c r="W4576" s="138"/>
      <c r="Y4576"/>
      <c r="Z4576"/>
      <c r="AA4576"/>
      <c r="AB4576"/>
      <c r="AC4576"/>
      <c r="AD4576"/>
      <c r="AE4576"/>
      <c r="AF4576"/>
      <c r="AG4576"/>
      <c r="AH4576"/>
      <c r="AI4576"/>
      <c r="AJ4576"/>
      <c r="AK4576"/>
      <c r="AL4576"/>
      <c r="AM4576"/>
      <c r="AN4576"/>
      <c r="AO4576"/>
    </row>
    <row r="4577" spans="1:41" ht="15">
      <c r="A4577"/>
      <c r="B4577"/>
      <c r="C4577" s="137"/>
      <c r="D4577" s="30"/>
      <c r="E4577" s="30"/>
      <c r="F4577" s="10"/>
      <c r="G4577" s="10"/>
      <c r="H4577" s="15"/>
      <c r="I4577" s="15"/>
      <c r="J4577" s="15"/>
      <c r="K4577" s="15"/>
      <c r="L4577" s="15"/>
      <c r="M4577" s="15"/>
      <c r="N4577" s="15"/>
      <c r="O4577" s="15"/>
      <c r="P4577" s="15"/>
      <c r="Q4577" s="71"/>
      <c r="R4577" s="84"/>
      <c r="S4577" s="10"/>
      <c r="T4577" s="10"/>
      <c r="U4577" s="10"/>
      <c r="V4577" s="10"/>
      <c r="W4577" s="138"/>
      <c r="Y4577"/>
      <c r="Z4577"/>
      <c r="AA4577"/>
      <c r="AB4577"/>
      <c r="AC4577"/>
      <c r="AD4577"/>
      <c r="AE4577"/>
      <c r="AF4577"/>
      <c r="AG4577"/>
      <c r="AH4577"/>
      <c r="AI4577"/>
      <c r="AJ4577"/>
      <c r="AK4577"/>
      <c r="AL4577"/>
      <c r="AM4577"/>
      <c r="AN4577"/>
      <c r="AO4577"/>
    </row>
    <row r="4578" spans="1:41" ht="15">
      <c r="A4578"/>
      <c r="B4578"/>
      <c r="C4578" s="137"/>
      <c r="D4578" s="30"/>
      <c r="E4578" s="30"/>
      <c r="F4578" s="10"/>
      <c r="G4578" s="10"/>
      <c r="H4578" s="15"/>
      <c r="I4578" s="15"/>
      <c r="J4578" s="15"/>
      <c r="K4578" s="15"/>
      <c r="L4578" s="15"/>
      <c r="M4578" s="15"/>
      <c r="N4578" s="15"/>
      <c r="O4578" s="15"/>
      <c r="P4578" s="15"/>
      <c r="Q4578" s="71"/>
      <c r="R4578" s="84"/>
      <c r="S4578" s="10"/>
      <c r="T4578" s="10"/>
      <c r="U4578" s="10"/>
      <c r="V4578" s="10"/>
      <c r="W4578" s="138"/>
      <c r="Y4578"/>
      <c r="Z4578"/>
      <c r="AA4578"/>
      <c r="AB4578"/>
      <c r="AC4578"/>
      <c r="AD4578"/>
      <c r="AE4578"/>
      <c r="AF4578"/>
      <c r="AG4578"/>
      <c r="AH4578"/>
      <c r="AI4578"/>
      <c r="AJ4578"/>
      <c r="AK4578"/>
      <c r="AL4578"/>
      <c r="AM4578"/>
      <c r="AN4578"/>
      <c r="AO4578"/>
    </row>
    <row r="4579" spans="1:41" ht="15">
      <c r="A4579"/>
      <c r="B4579"/>
      <c r="C4579" s="137"/>
      <c r="D4579" s="30"/>
      <c r="E4579" s="30"/>
      <c r="F4579" s="10"/>
      <c r="G4579" s="10"/>
      <c r="H4579" s="15"/>
      <c r="I4579" s="15"/>
      <c r="J4579" s="15"/>
      <c r="K4579" s="15"/>
      <c r="L4579" s="15"/>
      <c r="M4579" s="15"/>
      <c r="N4579" s="15"/>
      <c r="O4579" s="15"/>
      <c r="P4579" s="15"/>
      <c r="Q4579" s="71"/>
      <c r="R4579" s="84"/>
      <c r="S4579" s="10"/>
      <c r="T4579" s="10"/>
      <c r="U4579" s="10"/>
      <c r="V4579" s="10"/>
      <c r="W4579" s="138"/>
      <c r="Y4579"/>
      <c r="Z4579"/>
      <c r="AA4579"/>
      <c r="AB4579"/>
      <c r="AC4579"/>
      <c r="AD4579"/>
      <c r="AE4579"/>
      <c r="AF4579"/>
      <c r="AG4579"/>
      <c r="AH4579"/>
      <c r="AI4579"/>
      <c r="AJ4579"/>
      <c r="AK4579"/>
      <c r="AL4579"/>
      <c r="AM4579"/>
      <c r="AN4579"/>
      <c r="AO4579"/>
    </row>
    <row r="4580" spans="1:41" ht="15">
      <c r="A4580"/>
      <c r="B4580"/>
      <c r="C4580" s="137"/>
      <c r="D4580" s="30"/>
      <c r="E4580" s="30"/>
      <c r="F4580" s="10"/>
      <c r="G4580" s="10"/>
      <c r="H4580" s="15"/>
      <c r="I4580" s="15"/>
      <c r="J4580" s="15"/>
      <c r="K4580" s="15"/>
      <c r="L4580" s="15"/>
      <c r="M4580" s="15"/>
      <c r="N4580" s="15"/>
      <c r="O4580" s="15"/>
      <c r="P4580" s="15"/>
      <c r="Q4580" s="71"/>
      <c r="R4580" s="84"/>
      <c r="S4580" s="10"/>
      <c r="T4580" s="10"/>
      <c r="U4580" s="10"/>
      <c r="V4580" s="10"/>
      <c r="W4580" s="138"/>
      <c r="Y4580"/>
      <c r="Z4580"/>
      <c r="AA4580"/>
      <c r="AB4580"/>
      <c r="AC4580"/>
      <c r="AD4580"/>
      <c r="AE4580"/>
      <c r="AF4580"/>
      <c r="AG4580"/>
      <c r="AH4580"/>
      <c r="AI4580"/>
      <c r="AJ4580"/>
      <c r="AK4580"/>
      <c r="AL4580"/>
      <c r="AM4580"/>
      <c r="AN4580"/>
      <c r="AO4580"/>
    </row>
    <row r="4581" spans="1:41" ht="15">
      <c r="A4581"/>
      <c r="B4581"/>
      <c r="C4581" s="137"/>
      <c r="D4581" s="30"/>
      <c r="E4581" s="30"/>
      <c r="F4581" s="10"/>
      <c r="G4581" s="10"/>
      <c r="H4581" s="15"/>
      <c r="I4581" s="15"/>
      <c r="J4581" s="15"/>
      <c r="K4581" s="15"/>
      <c r="L4581" s="15"/>
      <c r="M4581" s="15"/>
      <c r="N4581" s="15"/>
      <c r="O4581" s="15"/>
      <c r="P4581" s="15"/>
      <c r="Q4581" s="71"/>
      <c r="R4581" s="84"/>
      <c r="S4581" s="10"/>
      <c r="T4581" s="10"/>
      <c r="U4581" s="10"/>
      <c r="V4581" s="10"/>
      <c r="W4581" s="138"/>
      <c r="Y4581"/>
      <c r="Z4581"/>
      <c r="AA4581"/>
      <c r="AB4581"/>
      <c r="AC4581"/>
      <c r="AD4581"/>
      <c r="AE4581"/>
      <c r="AF4581"/>
      <c r="AG4581"/>
      <c r="AH4581"/>
      <c r="AI4581"/>
      <c r="AJ4581"/>
      <c r="AK4581"/>
      <c r="AL4581"/>
      <c r="AM4581"/>
      <c r="AN4581"/>
      <c r="AO4581"/>
    </row>
    <row r="4582" spans="1:41" ht="15">
      <c r="A4582"/>
      <c r="B4582"/>
      <c r="C4582" s="137"/>
      <c r="D4582" s="30"/>
      <c r="E4582" s="30"/>
      <c r="F4582" s="10"/>
      <c r="G4582" s="10"/>
      <c r="H4582" s="15"/>
      <c r="I4582" s="15"/>
      <c r="J4582" s="15"/>
      <c r="K4582" s="15"/>
      <c r="L4582" s="15"/>
      <c r="M4582" s="15"/>
      <c r="N4582" s="15"/>
      <c r="O4582" s="15"/>
      <c r="P4582" s="15"/>
      <c r="Q4582" s="71"/>
      <c r="R4582" s="84"/>
      <c r="S4582" s="10"/>
      <c r="T4582" s="10"/>
      <c r="U4582" s="10"/>
      <c r="V4582" s="10"/>
      <c r="W4582" s="138"/>
      <c r="Y4582"/>
      <c r="Z4582"/>
      <c r="AA4582"/>
      <c r="AB4582"/>
      <c r="AC4582"/>
      <c r="AD4582"/>
      <c r="AE4582"/>
      <c r="AF4582"/>
      <c r="AG4582"/>
      <c r="AH4582"/>
      <c r="AI4582"/>
      <c r="AJ4582"/>
      <c r="AK4582"/>
      <c r="AL4582"/>
      <c r="AM4582"/>
      <c r="AN4582"/>
      <c r="AO4582"/>
    </row>
    <row r="4583" spans="1:41" ht="15">
      <c r="A4583"/>
      <c r="B4583"/>
      <c r="C4583" s="137"/>
      <c r="D4583" s="30"/>
      <c r="E4583" s="30"/>
      <c r="F4583" s="10"/>
      <c r="G4583" s="10"/>
      <c r="H4583" s="15"/>
      <c r="I4583" s="15"/>
      <c r="J4583" s="15"/>
      <c r="K4583" s="15"/>
      <c r="L4583" s="15"/>
      <c r="M4583" s="15"/>
      <c r="N4583" s="15"/>
      <c r="O4583" s="15"/>
      <c r="P4583" s="15"/>
      <c r="Q4583" s="71"/>
      <c r="R4583" s="84"/>
      <c r="S4583" s="10"/>
      <c r="T4583" s="10"/>
      <c r="U4583" s="10"/>
      <c r="V4583" s="10"/>
      <c r="W4583" s="138"/>
      <c r="Y4583"/>
      <c r="Z4583"/>
      <c r="AA4583"/>
      <c r="AB4583"/>
      <c r="AC4583"/>
      <c r="AD4583"/>
      <c r="AE4583"/>
      <c r="AF4583"/>
      <c r="AG4583"/>
      <c r="AH4583"/>
      <c r="AI4583"/>
      <c r="AJ4583"/>
      <c r="AK4583"/>
      <c r="AL4583"/>
      <c r="AM4583"/>
      <c r="AN4583"/>
      <c r="AO4583"/>
    </row>
    <row r="4584" spans="1:41" ht="15">
      <c r="A4584"/>
      <c r="B4584"/>
      <c r="C4584" s="137"/>
      <c r="D4584" s="30"/>
      <c r="E4584" s="30"/>
      <c r="F4584" s="10"/>
      <c r="G4584" s="10"/>
      <c r="H4584" s="15"/>
      <c r="I4584" s="15"/>
      <c r="J4584" s="15"/>
      <c r="K4584" s="15"/>
      <c r="L4584" s="15"/>
      <c r="M4584" s="15"/>
      <c r="N4584" s="15"/>
      <c r="O4584" s="15"/>
      <c r="P4584" s="15"/>
      <c r="Q4584" s="71"/>
      <c r="R4584" s="84"/>
      <c r="S4584" s="10"/>
      <c r="T4584" s="10"/>
      <c r="U4584" s="10"/>
      <c r="V4584" s="10"/>
      <c r="W4584" s="138"/>
      <c r="Y4584"/>
      <c r="Z4584"/>
      <c r="AA4584"/>
      <c r="AB4584"/>
      <c r="AC4584"/>
      <c r="AD4584"/>
      <c r="AE4584"/>
      <c r="AF4584"/>
      <c r="AG4584"/>
      <c r="AH4584"/>
      <c r="AI4584"/>
      <c r="AJ4584"/>
      <c r="AK4584"/>
      <c r="AL4584"/>
      <c r="AM4584"/>
      <c r="AN4584"/>
      <c r="AO4584"/>
    </row>
    <row r="4585" spans="1:41" ht="15">
      <c r="A4585"/>
      <c r="B4585"/>
      <c r="C4585" s="137"/>
      <c r="D4585" s="30"/>
      <c r="E4585" s="30"/>
      <c r="F4585" s="10"/>
      <c r="G4585" s="10"/>
      <c r="H4585" s="15"/>
      <c r="I4585" s="15"/>
      <c r="J4585" s="15"/>
      <c r="K4585" s="15"/>
      <c r="L4585" s="15"/>
      <c r="M4585" s="15"/>
      <c r="N4585" s="15"/>
      <c r="O4585" s="15"/>
      <c r="P4585" s="15"/>
      <c r="Q4585" s="71"/>
      <c r="R4585" s="84"/>
      <c r="S4585" s="10"/>
      <c r="T4585" s="10"/>
      <c r="U4585" s="10"/>
      <c r="V4585" s="10"/>
      <c r="W4585" s="138"/>
      <c r="Y4585"/>
      <c r="Z4585"/>
      <c r="AA4585"/>
      <c r="AB4585"/>
      <c r="AC4585"/>
      <c r="AD4585"/>
      <c r="AE4585"/>
      <c r="AF4585"/>
      <c r="AG4585"/>
      <c r="AH4585"/>
      <c r="AI4585"/>
      <c r="AJ4585"/>
      <c r="AK4585"/>
      <c r="AL4585"/>
      <c r="AM4585"/>
      <c r="AN4585"/>
      <c r="AO4585"/>
    </row>
    <row r="4586" spans="1:41" ht="15">
      <c r="A4586"/>
      <c r="B4586"/>
      <c r="C4586" s="137"/>
      <c r="D4586" s="30"/>
      <c r="E4586" s="30"/>
      <c r="F4586" s="10"/>
      <c r="G4586" s="10"/>
      <c r="H4586" s="15"/>
      <c r="I4586" s="15"/>
      <c r="J4586" s="15"/>
      <c r="K4586" s="15"/>
      <c r="L4586" s="15"/>
      <c r="M4586" s="15"/>
      <c r="N4586" s="15"/>
      <c r="O4586" s="15"/>
      <c r="P4586" s="15"/>
      <c r="Q4586" s="71"/>
      <c r="R4586" s="84"/>
      <c r="S4586" s="10"/>
      <c r="T4586" s="10"/>
      <c r="U4586" s="10"/>
      <c r="V4586" s="10"/>
      <c r="W4586" s="138"/>
      <c r="Y4586"/>
      <c r="Z4586"/>
      <c r="AA4586"/>
      <c r="AB4586"/>
      <c r="AC4586"/>
      <c r="AD4586"/>
      <c r="AE4586"/>
      <c r="AF4586"/>
      <c r="AG4586"/>
      <c r="AH4586"/>
      <c r="AI4586"/>
      <c r="AJ4586"/>
      <c r="AK4586"/>
      <c r="AL4586"/>
      <c r="AM4586"/>
      <c r="AN4586"/>
      <c r="AO4586"/>
    </row>
    <row r="4587" spans="1:41" ht="15">
      <c r="A4587"/>
      <c r="B4587"/>
      <c r="C4587" s="137"/>
      <c r="D4587" s="30"/>
      <c r="E4587" s="30"/>
      <c r="F4587" s="10"/>
      <c r="G4587" s="10"/>
      <c r="H4587" s="15"/>
      <c r="I4587" s="15"/>
      <c r="J4587" s="15"/>
      <c r="K4587" s="15"/>
      <c r="L4587" s="15"/>
      <c r="M4587" s="15"/>
      <c r="N4587" s="15"/>
      <c r="O4587" s="15"/>
      <c r="P4587" s="15"/>
      <c r="Q4587" s="71"/>
      <c r="R4587" s="84"/>
      <c r="S4587" s="10"/>
      <c r="T4587" s="10"/>
      <c r="U4587" s="10"/>
      <c r="V4587" s="10"/>
      <c r="W4587" s="138"/>
      <c r="Y4587"/>
      <c r="Z4587"/>
      <c r="AA4587"/>
      <c r="AB4587"/>
      <c r="AC4587"/>
      <c r="AD4587"/>
      <c r="AE4587"/>
      <c r="AF4587"/>
      <c r="AG4587"/>
      <c r="AH4587"/>
      <c r="AI4587"/>
      <c r="AJ4587"/>
      <c r="AK4587"/>
      <c r="AL4587"/>
      <c r="AM4587"/>
      <c r="AN4587"/>
      <c r="AO4587"/>
    </row>
    <row r="4588" spans="1:41" ht="15">
      <c r="A4588"/>
      <c r="B4588"/>
      <c r="C4588" s="137"/>
      <c r="D4588" s="30"/>
      <c r="E4588" s="30"/>
      <c r="F4588" s="10"/>
      <c r="G4588" s="10"/>
      <c r="H4588" s="15"/>
      <c r="I4588" s="15"/>
      <c r="J4588" s="15"/>
      <c r="K4588" s="15"/>
      <c r="L4588" s="15"/>
      <c r="M4588" s="15"/>
      <c r="N4588" s="15"/>
      <c r="O4588" s="15"/>
      <c r="P4588" s="15"/>
      <c r="Q4588" s="71"/>
      <c r="R4588" s="84"/>
      <c r="S4588" s="10"/>
      <c r="T4588" s="10"/>
      <c r="U4588" s="10"/>
      <c r="V4588" s="10"/>
      <c r="W4588" s="138"/>
      <c r="Y4588"/>
      <c r="Z4588"/>
      <c r="AA4588"/>
      <c r="AB4588"/>
      <c r="AC4588"/>
      <c r="AD4588"/>
      <c r="AE4588"/>
      <c r="AF4588"/>
      <c r="AG4588"/>
      <c r="AH4588"/>
      <c r="AI4588"/>
      <c r="AJ4588"/>
      <c r="AK4588"/>
      <c r="AL4588"/>
      <c r="AM4588"/>
      <c r="AN4588"/>
      <c r="AO4588"/>
    </row>
    <row r="4589" spans="1:41" ht="15">
      <c r="A4589"/>
      <c r="B4589"/>
      <c r="C4589" s="137"/>
      <c r="D4589" s="30"/>
      <c r="E4589" s="30"/>
      <c r="F4589" s="10"/>
      <c r="G4589" s="10"/>
      <c r="H4589" s="15"/>
      <c r="I4589" s="15"/>
      <c r="J4589" s="15"/>
      <c r="K4589" s="15"/>
      <c r="L4589" s="15"/>
      <c r="M4589" s="15"/>
      <c r="N4589" s="15"/>
      <c r="O4589" s="15"/>
      <c r="P4589" s="15"/>
      <c r="Q4589" s="71"/>
      <c r="R4589" s="84"/>
      <c r="S4589" s="10"/>
      <c r="T4589" s="10"/>
      <c r="U4589" s="10"/>
      <c r="V4589" s="10"/>
      <c r="W4589" s="138"/>
      <c r="Y4589"/>
      <c r="Z4589"/>
      <c r="AA4589"/>
      <c r="AB4589"/>
      <c r="AC4589"/>
      <c r="AD4589"/>
      <c r="AE4589"/>
      <c r="AF4589"/>
      <c r="AG4589"/>
      <c r="AH4589"/>
      <c r="AI4589"/>
      <c r="AJ4589"/>
      <c r="AK4589"/>
      <c r="AL4589"/>
      <c r="AM4589"/>
      <c r="AN4589"/>
      <c r="AO4589"/>
    </row>
    <row r="4590" spans="1:41" ht="15">
      <c r="A4590"/>
      <c r="B4590"/>
      <c r="C4590" s="137"/>
      <c r="D4590" s="30"/>
      <c r="E4590" s="30"/>
      <c r="F4590" s="10"/>
      <c r="G4590" s="10"/>
      <c r="H4590" s="15"/>
      <c r="I4590" s="15"/>
      <c r="J4590" s="15"/>
      <c r="K4590" s="15"/>
      <c r="L4590" s="15"/>
      <c r="M4590" s="15"/>
      <c r="N4590" s="15"/>
      <c r="O4590" s="15"/>
      <c r="P4590" s="15"/>
      <c r="Q4590" s="71"/>
      <c r="R4590" s="84"/>
      <c r="S4590" s="10"/>
      <c r="T4590" s="10"/>
      <c r="U4590" s="10"/>
      <c r="V4590" s="10"/>
      <c r="W4590" s="138"/>
      <c r="Y4590"/>
      <c r="Z4590"/>
      <c r="AA4590"/>
      <c r="AB4590"/>
      <c r="AC4590"/>
      <c r="AD4590"/>
      <c r="AE4590"/>
      <c r="AF4590"/>
      <c r="AG4590"/>
      <c r="AH4590"/>
      <c r="AI4590"/>
      <c r="AJ4590"/>
      <c r="AK4590"/>
      <c r="AL4590"/>
      <c r="AM4590"/>
      <c r="AN4590"/>
      <c r="AO4590"/>
    </row>
    <row r="4591" spans="1:41" ht="15">
      <c r="A4591"/>
      <c r="B4591"/>
      <c r="C4591" s="137"/>
      <c r="D4591" s="30"/>
      <c r="E4591" s="30"/>
      <c r="F4591" s="10"/>
      <c r="G4591" s="10"/>
      <c r="H4591" s="15"/>
      <c r="I4591" s="15"/>
      <c r="J4591" s="15"/>
      <c r="K4591" s="15"/>
      <c r="L4591" s="15"/>
      <c r="M4591" s="15"/>
      <c r="N4591" s="15"/>
      <c r="O4591" s="15"/>
      <c r="P4591" s="15"/>
      <c r="Q4591" s="71"/>
      <c r="R4591" s="84"/>
      <c r="S4591" s="10"/>
      <c r="T4591" s="10"/>
      <c r="U4591" s="10"/>
      <c r="V4591" s="10"/>
      <c r="W4591" s="138"/>
      <c r="Y4591"/>
      <c r="Z4591"/>
      <c r="AA4591"/>
      <c r="AB4591"/>
      <c r="AC4591"/>
      <c r="AD4591"/>
      <c r="AE4591"/>
      <c r="AF4591"/>
      <c r="AG4591"/>
      <c r="AH4591"/>
      <c r="AI4591"/>
      <c r="AJ4591"/>
      <c r="AK4591"/>
      <c r="AL4591"/>
      <c r="AM4591"/>
      <c r="AN4591"/>
      <c r="AO4591"/>
    </row>
    <row r="4592" spans="1:41" ht="15">
      <c r="A4592"/>
      <c r="B4592"/>
      <c r="C4592" s="137"/>
      <c r="D4592" s="30"/>
      <c r="E4592" s="30"/>
      <c r="F4592" s="10"/>
      <c r="G4592" s="10"/>
      <c r="H4592" s="15"/>
      <c r="I4592" s="15"/>
      <c r="J4592" s="15"/>
      <c r="K4592" s="15"/>
      <c r="L4592" s="15"/>
      <c r="M4592" s="15"/>
      <c r="N4592" s="15"/>
      <c r="O4592" s="15"/>
      <c r="P4592" s="15"/>
      <c r="Q4592" s="71"/>
      <c r="R4592" s="84"/>
      <c r="S4592" s="10"/>
      <c r="T4592" s="10"/>
      <c r="U4592" s="10"/>
      <c r="V4592" s="10"/>
      <c r="W4592" s="138"/>
      <c r="Y4592"/>
      <c r="Z4592"/>
      <c r="AA4592"/>
      <c r="AB4592"/>
      <c r="AC4592"/>
      <c r="AD4592"/>
      <c r="AE4592"/>
      <c r="AF4592"/>
      <c r="AG4592"/>
      <c r="AH4592"/>
      <c r="AI4592"/>
      <c r="AJ4592"/>
      <c r="AK4592"/>
      <c r="AL4592"/>
      <c r="AM4592"/>
      <c r="AN4592"/>
      <c r="AO4592"/>
    </row>
    <row r="4593" spans="1:41" ht="15">
      <c r="A4593"/>
      <c r="B4593"/>
      <c r="C4593" s="137"/>
      <c r="D4593" s="30"/>
      <c r="E4593" s="30"/>
      <c r="F4593" s="10"/>
      <c r="G4593" s="10"/>
      <c r="H4593" s="15"/>
      <c r="I4593" s="15"/>
      <c r="J4593" s="15"/>
      <c r="K4593" s="15"/>
      <c r="L4593" s="15"/>
      <c r="M4593" s="15"/>
      <c r="N4593" s="15"/>
      <c r="O4593" s="15"/>
      <c r="P4593" s="15"/>
      <c r="Q4593" s="71"/>
      <c r="R4593" s="84"/>
      <c r="S4593" s="10"/>
      <c r="T4593" s="10"/>
      <c r="U4593" s="10"/>
      <c r="V4593" s="10"/>
      <c r="W4593" s="138"/>
      <c r="Y4593"/>
      <c r="Z4593"/>
      <c r="AA4593"/>
      <c r="AB4593"/>
      <c r="AC4593"/>
      <c r="AD4593"/>
      <c r="AE4593"/>
      <c r="AF4593"/>
      <c r="AG4593"/>
      <c r="AH4593"/>
      <c r="AI4593"/>
      <c r="AJ4593"/>
      <c r="AK4593"/>
      <c r="AL4593"/>
      <c r="AM4593"/>
      <c r="AN4593"/>
      <c r="AO4593"/>
    </row>
    <row r="4594" spans="1:41" ht="15">
      <c r="A4594"/>
      <c r="B4594"/>
      <c r="C4594" s="137"/>
      <c r="D4594" s="30"/>
      <c r="E4594" s="30"/>
      <c r="F4594" s="10"/>
      <c r="G4594" s="10"/>
      <c r="H4594" s="15"/>
      <c r="I4594" s="15"/>
      <c r="J4594" s="15"/>
      <c r="K4594" s="15"/>
      <c r="L4594" s="15"/>
      <c r="M4594" s="15"/>
      <c r="N4594" s="15"/>
      <c r="O4594" s="15"/>
      <c r="P4594" s="15"/>
      <c r="Q4594" s="71"/>
      <c r="R4594" s="84"/>
      <c r="S4594" s="10"/>
      <c r="T4594" s="10"/>
      <c r="U4594" s="10"/>
      <c r="V4594" s="10"/>
      <c r="W4594" s="138"/>
      <c r="Y4594"/>
      <c r="Z4594"/>
      <c r="AA4594"/>
      <c r="AB4594"/>
      <c r="AC4594"/>
      <c r="AD4594"/>
      <c r="AE4594"/>
      <c r="AF4594"/>
      <c r="AG4594"/>
      <c r="AH4594"/>
      <c r="AI4594"/>
      <c r="AJ4594"/>
      <c r="AK4594"/>
      <c r="AL4594"/>
      <c r="AM4594"/>
      <c r="AN4594"/>
      <c r="AO4594"/>
    </row>
    <row r="4595" spans="1:41" ht="15">
      <c r="A4595"/>
      <c r="B4595"/>
      <c r="C4595" s="137"/>
      <c r="D4595" s="30"/>
      <c r="E4595" s="30"/>
      <c r="F4595" s="10"/>
      <c r="G4595" s="10"/>
      <c r="H4595" s="15"/>
      <c r="I4595" s="15"/>
      <c r="J4595" s="15"/>
      <c r="K4595" s="15"/>
      <c r="L4595" s="15"/>
      <c r="M4595" s="15"/>
      <c r="N4595" s="15"/>
      <c r="O4595" s="15"/>
      <c r="P4595" s="15"/>
      <c r="Q4595" s="71"/>
      <c r="R4595" s="84"/>
      <c r="S4595" s="10"/>
      <c r="T4595" s="10"/>
      <c r="U4595" s="10"/>
      <c r="V4595" s="10"/>
      <c r="W4595" s="138"/>
      <c r="Y4595"/>
      <c r="Z4595"/>
      <c r="AA4595"/>
      <c r="AB4595"/>
      <c r="AC4595"/>
      <c r="AD4595"/>
      <c r="AE4595"/>
      <c r="AF4595"/>
      <c r="AG4595"/>
      <c r="AH4595"/>
      <c r="AI4595"/>
      <c r="AJ4595"/>
      <c r="AK4595"/>
      <c r="AL4595"/>
      <c r="AM4595"/>
      <c r="AN4595"/>
      <c r="AO4595"/>
    </row>
    <row r="4596" spans="1:41" ht="15">
      <c r="A4596"/>
      <c r="B4596"/>
      <c r="C4596" s="137"/>
      <c r="D4596" s="30"/>
      <c r="E4596" s="30"/>
      <c r="F4596" s="10"/>
      <c r="G4596" s="10"/>
      <c r="H4596" s="15"/>
      <c r="I4596" s="15"/>
      <c r="J4596" s="15"/>
      <c r="K4596" s="15"/>
      <c r="L4596" s="15"/>
      <c r="M4596" s="15"/>
      <c r="N4596" s="15"/>
      <c r="O4596" s="15"/>
      <c r="P4596" s="15"/>
      <c r="Q4596" s="71"/>
      <c r="R4596" s="84"/>
      <c r="S4596" s="10"/>
      <c r="T4596" s="10"/>
      <c r="U4596" s="10"/>
      <c r="V4596" s="10"/>
      <c r="W4596" s="138"/>
      <c r="Y4596"/>
      <c r="Z4596"/>
      <c r="AA4596"/>
      <c r="AB4596"/>
      <c r="AC4596"/>
      <c r="AD4596"/>
      <c r="AE4596"/>
      <c r="AF4596"/>
      <c r="AG4596"/>
      <c r="AH4596"/>
      <c r="AI4596"/>
      <c r="AJ4596"/>
      <c r="AK4596"/>
      <c r="AL4596"/>
      <c r="AM4596"/>
      <c r="AN4596"/>
      <c r="AO4596"/>
    </row>
    <row r="4597" spans="1:41" ht="15">
      <c r="A4597"/>
      <c r="B4597"/>
      <c r="C4597" s="137"/>
      <c r="D4597" s="30"/>
      <c r="E4597" s="30"/>
      <c r="F4597" s="10"/>
      <c r="G4597" s="10"/>
      <c r="H4597" s="15"/>
      <c r="I4597" s="15"/>
      <c r="J4597" s="15"/>
      <c r="K4597" s="15"/>
      <c r="L4597" s="15"/>
      <c r="M4597" s="15"/>
      <c r="N4597" s="15"/>
      <c r="O4597" s="15"/>
      <c r="P4597" s="15"/>
      <c r="Q4597" s="71"/>
      <c r="R4597" s="84"/>
      <c r="S4597" s="10"/>
      <c r="T4597" s="10"/>
      <c r="U4597" s="10"/>
      <c r="V4597" s="10"/>
      <c r="W4597" s="138"/>
      <c r="Y4597"/>
      <c r="Z4597"/>
      <c r="AA4597"/>
      <c r="AB4597"/>
      <c r="AC4597"/>
      <c r="AD4597"/>
      <c r="AE4597"/>
      <c r="AF4597"/>
      <c r="AG4597"/>
      <c r="AH4597"/>
      <c r="AI4597"/>
      <c r="AJ4597"/>
      <c r="AK4597"/>
      <c r="AL4597"/>
      <c r="AM4597"/>
      <c r="AN4597"/>
      <c r="AO4597"/>
    </row>
    <row r="4598" spans="1:41" ht="15">
      <c r="A4598"/>
      <c r="B4598"/>
      <c r="C4598" s="137"/>
      <c r="D4598" s="30"/>
      <c r="E4598" s="30"/>
      <c r="F4598" s="10"/>
      <c r="G4598" s="10"/>
      <c r="H4598" s="15"/>
      <c r="I4598" s="15"/>
      <c r="J4598" s="15"/>
      <c r="K4598" s="15"/>
      <c r="L4598" s="15"/>
      <c r="M4598" s="15"/>
      <c r="N4598" s="15"/>
      <c r="O4598" s="15"/>
      <c r="P4598" s="15"/>
      <c r="Q4598" s="71"/>
      <c r="R4598" s="84"/>
      <c r="S4598" s="10"/>
      <c r="T4598" s="10"/>
      <c r="U4598" s="10"/>
      <c r="V4598" s="10"/>
      <c r="W4598" s="138"/>
      <c r="Y4598"/>
      <c r="Z4598"/>
      <c r="AA4598"/>
      <c r="AB4598"/>
      <c r="AC4598"/>
      <c r="AD4598"/>
      <c r="AE4598"/>
      <c r="AF4598"/>
      <c r="AG4598"/>
      <c r="AH4598"/>
      <c r="AI4598"/>
      <c r="AJ4598"/>
      <c r="AK4598"/>
      <c r="AL4598"/>
      <c r="AM4598"/>
      <c r="AN4598"/>
      <c r="AO4598"/>
    </row>
    <row r="4599" spans="1:41" ht="15">
      <c r="A4599"/>
      <c r="B4599"/>
      <c r="C4599" s="137"/>
      <c r="D4599" s="30"/>
      <c r="E4599" s="30"/>
      <c r="F4599" s="10"/>
      <c r="G4599" s="10"/>
      <c r="H4599" s="15"/>
      <c r="I4599" s="15"/>
      <c r="J4599" s="15"/>
      <c r="K4599" s="15"/>
      <c r="L4599" s="15"/>
      <c r="M4599" s="15"/>
      <c r="N4599" s="15"/>
      <c r="O4599" s="15"/>
      <c r="P4599" s="15"/>
      <c r="Q4599" s="71"/>
      <c r="R4599" s="84"/>
      <c r="S4599" s="10"/>
      <c r="T4599" s="10"/>
      <c r="U4599" s="10"/>
      <c r="V4599" s="10"/>
      <c r="W4599" s="138"/>
      <c r="Y4599"/>
      <c r="Z4599"/>
      <c r="AA4599"/>
      <c r="AB4599"/>
      <c r="AC4599"/>
      <c r="AD4599"/>
      <c r="AE4599"/>
      <c r="AF4599"/>
      <c r="AG4599"/>
      <c r="AH4599"/>
      <c r="AI4599"/>
      <c r="AJ4599"/>
      <c r="AK4599"/>
      <c r="AL4599"/>
      <c r="AM4599"/>
      <c r="AN4599"/>
      <c r="AO4599"/>
    </row>
    <row r="4600" spans="1:41" ht="15">
      <c r="A4600"/>
      <c r="B4600"/>
      <c r="C4600" s="137"/>
      <c r="D4600" s="30"/>
      <c r="E4600" s="30"/>
      <c r="F4600" s="10"/>
      <c r="G4600" s="10"/>
      <c r="H4600" s="15"/>
      <c r="I4600" s="15"/>
      <c r="J4600" s="15"/>
      <c r="K4600" s="15"/>
      <c r="L4600" s="15"/>
      <c r="M4600" s="15"/>
      <c r="N4600" s="15"/>
      <c r="O4600" s="15"/>
      <c r="P4600" s="15"/>
      <c r="Q4600" s="71"/>
      <c r="R4600" s="84"/>
      <c r="S4600" s="10"/>
      <c r="T4600" s="10"/>
      <c r="U4600" s="10"/>
      <c r="V4600" s="10"/>
      <c r="W4600" s="138"/>
      <c r="Y4600"/>
      <c r="Z4600"/>
      <c r="AA4600"/>
      <c r="AB4600"/>
      <c r="AC4600"/>
      <c r="AD4600"/>
      <c r="AE4600"/>
      <c r="AF4600"/>
      <c r="AG4600"/>
      <c r="AH4600"/>
      <c r="AI4600"/>
      <c r="AJ4600"/>
      <c r="AK4600"/>
      <c r="AL4600"/>
      <c r="AM4600"/>
      <c r="AN4600"/>
      <c r="AO4600"/>
    </row>
    <row r="4601" spans="1:41" ht="15">
      <c r="A4601"/>
      <c r="B4601"/>
      <c r="C4601" s="137"/>
      <c r="D4601" s="30"/>
      <c r="E4601" s="30"/>
      <c r="F4601" s="10"/>
      <c r="G4601" s="10"/>
      <c r="H4601" s="15"/>
      <c r="I4601" s="15"/>
      <c r="J4601" s="15"/>
      <c r="K4601" s="15"/>
      <c r="L4601" s="15"/>
      <c r="M4601" s="15"/>
      <c r="N4601" s="15"/>
      <c r="O4601" s="15"/>
      <c r="P4601" s="15"/>
      <c r="Q4601" s="71"/>
      <c r="R4601" s="84"/>
      <c r="S4601" s="10"/>
      <c r="T4601" s="10"/>
      <c r="U4601" s="10"/>
      <c r="V4601" s="10"/>
      <c r="W4601" s="138"/>
      <c r="Y4601"/>
      <c r="Z4601"/>
      <c r="AA4601"/>
      <c r="AB4601"/>
      <c r="AC4601"/>
      <c r="AD4601"/>
      <c r="AE4601"/>
      <c r="AF4601"/>
      <c r="AG4601"/>
      <c r="AH4601"/>
      <c r="AI4601"/>
      <c r="AJ4601"/>
      <c r="AK4601"/>
      <c r="AL4601"/>
      <c r="AM4601"/>
      <c r="AN4601"/>
      <c r="AO4601"/>
    </row>
    <row r="4602" spans="1:41" ht="15">
      <c r="A4602"/>
      <c r="B4602"/>
      <c r="C4602" s="137"/>
      <c r="D4602" s="30"/>
      <c r="E4602" s="30"/>
      <c r="F4602" s="10"/>
      <c r="G4602" s="10"/>
      <c r="H4602" s="15"/>
      <c r="I4602" s="15"/>
      <c r="J4602" s="15"/>
      <c r="K4602" s="15"/>
      <c r="L4602" s="15"/>
      <c r="M4602" s="15"/>
      <c r="N4602" s="15"/>
      <c r="O4602" s="15"/>
      <c r="P4602" s="15"/>
      <c r="Q4602" s="71"/>
      <c r="R4602" s="84"/>
      <c r="S4602" s="10"/>
      <c r="T4602" s="10"/>
      <c r="U4602" s="10"/>
      <c r="V4602" s="10"/>
      <c r="W4602" s="138"/>
      <c r="Y4602"/>
      <c r="Z4602"/>
      <c r="AA4602"/>
      <c r="AB4602"/>
      <c r="AC4602"/>
      <c r="AD4602"/>
      <c r="AE4602"/>
      <c r="AF4602"/>
      <c r="AG4602"/>
      <c r="AH4602"/>
      <c r="AI4602"/>
      <c r="AJ4602"/>
      <c r="AK4602"/>
      <c r="AL4602"/>
      <c r="AM4602"/>
      <c r="AN4602"/>
      <c r="AO4602"/>
    </row>
    <row r="4603" spans="1:41" ht="15">
      <c r="A4603"/>
      <c r="B4603"/>
      <c r="C4603" s="137"/>
      <c r="D4603" s="30"/>
      <c r="E4603" s="30"/>
      <c r="F4603" s="10"/>
      <c r="G4603" s="10"/>
      <c r="H4603" s="15"/>
      <c r="I4603" s="15"/>
      <c r="J4603" s="15"/>
      <c r="K4603" s="15"/>
      <c r="L4603" s="15"/>
      <c r="M4603" s="15"/>
      <c r="N4603" s="15"/>
      <c r="O4603" s="15"/>
      <c r="P4603" s="15"/>
      <c r="Q4603" s="71"/>
      <c r="R4603" s="84"/>
      <c r="S4603" s="10"/>
      <c r="T4603" s="10"/>
      <c r="U4603" s="10"/>
      <c r="V4603" s="10"/>
      <c r="W4603" s="138"/>
      <c r="Y4603"/>
      <c r="Z4603"/>
      <c r="AA4603"/>
      <c r="AB4603"/>
      <c r="AC4603"/>
      <c r="AD4603"/>
      <c r="AE4603"/>
      <c r="AF4603"/>
      <c r="AG4603"/>
      <c r="AH4603"/>
      <c r="AI4603"/>
      <c r="AJ4603"/>
      <c r="AK4603"/>
      <c r="AL4603"/>
      <c r="AM4603"/>
      <c r="AN4603"/>
      <c r="AO4603"/>
    </row>
    <row r="4604" spans="1:41" ht="15">
      <c r="A4604"/>
      <c r="B4604"/>
      <c r="C4604" s="137"/>
      <c r="D4604" s="30"/>
      <c r="E4604" s="30"/>
      <c r="F4604" s="10"/>
      <c r="G4604" s="10"/>
      <c r="H4604" s="15"/>
      <c r="I4604" s="15"/>
      <c r="J4604" s="15"/>
      <c r="K4604" s="15"/>
      <c r="L4604" s="15"/>
      <c r="M4604" s="15"/>
      <c r="N4604" s="15"/>
      <c r="O4604" s="15"/>
      <c r="P4604" s="15"/>
      <c r="Q4604" s="71"/>
      <c r="R4604" s="84"/>
      <c r="S4604" s="10"/>
      <c r="T4604" s="10"/>
      <c r="U4604" s="10"/>
      <c r="V4604" s="10"/>
      <c r="W4604" s="138"/>
      <c r="Y4604"/>
      <c r="Z4604"/>
      <c r="AA4604"/>
      <c r="AB4604"/>
      <c r="AC4604"/>
      <c r="AD4604"/>
      <c r="AE4604"/>
      <c r="AF4604"/>
      <c r="AG4604"/>
      <c r="AH4604"/>
      <c r="AI4604"/>
      <c r="AJ4604"/>
      <c r="AK4604"/>
      <c r="AL4604"/>
      <c r="AM4604"/>
      <c r="AN4604"/>
      <c r="AO4604"/>
    </row>
    <row r="4605" spans="1:41" ht="15">
      <c r="A4605"/>
      <c r="B4605"/>
      <c r="C4605" s="137"/>
      <c r="D4605" s="30"/>
      <c r="E4605" s="30"/>
      <c r="F4605" s="10"/>
      <c r="G4605" s="10"/>
      <c r="H4605" s="15"/>
      <c r="I4605" s="15"/>
      <c r="J4605" s="15"/>
      <c r="K4605" s="15"/>
      <c r="L4605" s="15"/>
      <c r="M4605" s="15"/>
      <c r="N4605" s="15"/>
      <c r="O4605" s="15"/>
      <c r="P4605" s="15"/>
      <c r="Q4605" s="71"/>
      <c r="R4605" s="84"/>
      <c r="S4605" s="10"/>
      <c r="T4605" s="10"/>
      <c r="U4605" s="10"/>
      <c r="V4605" s="10"/>
      <c r="W4605" s="138"/>
      <c r="Y4605"/>
      <c r="Z4605"/>
      <c r="AA4605"/>
      <c r="AB4605"/>
      <c r="AC4605"/>
      <c r="AD4605"/>
      <c r="AE4605"/>
      <c r="AF4605"/>
      <c r="AG4605"/>
      <c r="AH4605"/>
      <c r="AI4605"/>
      <c r="AJ4605"/>
      <c r="AK4605"/>
      <c r="AL4605"/>
      <c r="AM4605"/>
      <c r="AN4605"/>
      <c r="AO4605"/>
    </row>
    <row r="4606" spans="1:41" ht="15">
      <c r="A4606"/>
      <c r="B4606"/>
      <c r="C4606" s="137"/>
      <c r="D4606" s="30"/>
      <c r="E4606" s="30"/>
      <c r="F4606" s="10"/>
      <c r="G4606" s="10"/>
      <c r="H4606" s="15"/>
      <c r="I4606" s="15"/>
      <c r="J4606" s="15"/>
      <c r="K4606" s="15"/>
      <c r="L4606" s="15"/>
      <c r="M4606" s="15"/>
      <c r="N4606" s="15"/>
      <c r="O4606" s="15"/>
      <c r="P4606" s="15"/>
      <c r="Q4606" s="71"/>
      <c r="R4606" s="84"/>
      <c r="S4606" s="10"/>
      <c r="T4606" s="10"/>
      <c r="U4606" s="10"/>
      <c r="V4606" s="10"/>
      <c r="W4606" s="138"/>
      <c r="Y4606"/>
      <c r="Z4606"/>
      <c r="AA4606"/>
      <c r="AB4606"/>
      <c r="AC4606"/>
      <c r="AD4606"/>
      <c r="AE4606"/>
      <c r="AF4606"/>
      <c r="AG4606"/>
      <c r="AH4606"/>
      <c r="AI4606"/>
      <c r="AJ4606"/>
      <c r="AK4606"/>
      <c r="AL4606"/>
      <c r="AM4606"/>
      <c r="AN4606"/>
      <c r="AO4606"/>
    </row>
    <row r="4607" spans="1:41" ht="15">
      <c r="A4607"/>
      <c r="B4607"/>
      <c r="C4607" s="137"/>
      <c r="D4607" s="30"/>
      <c r="E4607" s="30"/>
      <c r="F4607" s="10"/>
      <c r="G4607" s="10"/>
      <c r="H4607" s="15"/>
      <c r="I4607" s="15"/>
      <c r="J4607" s="15"/>
      <c r="K4607" s="15"/>
      <c r="L4607" s="15"/>
      <c r="M4607" s="15"/>
      <c r="N4607" s="15"/>
      <c r="O4607" s="15"/>
      <c r="P4607" s="15"/>
      <c r="Q4607" s="71"/>
      <c r="R4607" s="84"/>
      <c r="S4607" s="10"/>
      <c r="T4607" s="10"/>
      <c r="U4607" s="10"/>
      <c r="V4607" s="10"/>
      <c r="W4607" s="138"/>
      <c r="Y4607"/>
      <c r="Z4607"/>
      <c r="AA4607"/>
      <c r="AB4607"/>
      <c r="AC4607"/>
      <c r="AD4607"/>
      <c r="AE4607"/>
      <c r="AF4607"/>
      <c r="AG4607"/>
      <c r="AH4607"/>
      <c r="AI4607"/>
      <c r="AJ4607"/>
      <c r="AK4607"/>
      <c r="AL4607"/>
      <c r="AM4607"/>
      <c r="AN4607"/>
      <c r="AO4607"/>
    </row>
    <row r="4608" spans="1:41" ht="15">
      <c r="A4608"/>
      <c r="B4608"/>
      <c r="C4608" s="137"/>
      <c r="D4608" s="30"/>
      <c r="E4608" s="30"/>
      <c r="F4608" s="10"/>
      <c r="G4608" s="10"/>
      <c r="H4608" s="15"/>
      <c r="I4608" s="15"/>
      <c r="J4608" s="15"/>
      <c r="K4608" s="15"/>
      <c r="L4608" s="15"/>
      <c r="M4608" s="15"/>
      <c r="N4608" s="15"/>
      <c r="O4608" s="15"/>
      <c r="P4608" s="15"/>
      <c r="Q4608" s="71"/>
      <c r="R4608" s="84"/>
      <c r="S4608" s="10"/>
      <c r="T4608" s="10"/>
      <c r="U4608" s="10"/>
      <c r="V4608" s="10"/>
      <c r="W4608" s="138"/>
      <c r="Y4608"/>
      <c r="Z4608"/>
      <c r="AA4608"/>
      <c r="AB4608"/>
      <c r="AC4608"/>
      <c r="AD4608"/>
      <c r="AE4608"/>
      <c r="AF4608"/>
      <c r="AG4608"/>
      <c r="AH4608"/>
      <c r="AI4608"/>
      <c r="AJ4608"/>
      <c r="AK4608"/>
      <c r="AL4608"/>
      <c r="AM4608"/>
      <c r="AN4608"/>
      <c r="AO4608"/>
    </row>
    <row r="4609" spans="1:41" ht="15">
      <c r="A4609"/>
      <c r="B4609"/>
      <c r="C4609" s="137"/>
      <c r="D4609" s="30"/>
      <c r="E4609" s="30"/>
      <c r="F4609" s="10"/>
      <c r="G4609" s="10"/>
      <c r="H4609" s="15"/>
      <c r="I4609" s="15"/>
      <c r="J4609" s="15"/>
      <c r="K4609" s="15"/>
      <c r="L4609" s="15"/>
      <c r="M4609" s="15"/>
      <c r="N4609" s="15"/>
      <c r="O4609" s="15"/>
      <c r="P4609" s="15"/>
      <c r="Q4609" s="71"/>
      <c r="R4609" s="84"/>
      <c r="S4609" s="10"/>
      <c r="T4609" s="10"/>
      <c r="U4609" s="10"/>
      <c r="V4609" s="10"/>
      <c r="W4609" s="138"/>
      <c r="Y4609"/>
      <c r="Z4609"/>
      <c r="AA4609"/>
      <c r="AB4609"/>
      <c r="AC4609"/>
      <c r="AD4609"/>
      <c r="AE4609"/>
      <c r="AF4609"/>
      <c r="AG4609"/>
      <c r="AH4609"/>
      <c r="AI4609"/>
      <c r="AJ4609"/>
      <c r="AK4609"/>
      <c r="AL4609"/>
      <c r="AM4609"/>
      <c r="AN4609"/>
      <c r="AO4609"/>
    </row>
    <row r="4610" spans="1:41" ht="15">
      <c r="A4610"/>
      <c r="B4610"/>
      <c r="C4610" s="137"/>
      <c r="D4610" s="30"/>
      <c r="E4610" s="30"/>
      <c r="F4610" s="10"/>
      <c r="G4610" s="10"/>
      <c r="H4610" s="15"/>
      <c r="I4610" s="15"/>
      <c r="J4610" s="15"/>
      <c r="K4610" s="15"/>
      <c r="L4610" s="15"/>
      <c r="M4610" s="15"/>
      <c r="N4610" s="15"/>
      <c r="O4610" s="15"/>
      <c r="P4610" s="15"/>
      <c r="Q4610" s="71"/>
      <c r="R4610" s="84"/>
      <c r="S4610" s="10"/>
      <c r="T4610" s="10"/>
      <c r="U4610" s="10"/>
      <c r="V4610" s="10"/>
      <c r="W4610" s="138"/>
      <c r="Y4610"/>
      <c r="Z4610"/>
      <c r="AA4610"/>
      <c r="AB4610"/>
      <c r="AC4610"/>
      <c r="AD4610"/>
      <c r="AE4610"/>
      <c r="AF4610"/>
      <c r="AG4610"/>
      <c r="AH4610"/>
      <c r="AI4610"/>
      <c r="AJ4610"/>
      <c r="AK4610"/>
      <c r="AL4610"/>
      <c r="AM4610"/>
      <c r="AN4610"/>
      <c r="AO4610"/>
    </row>
    <row r="4611" spans="1:41" ht="15">
      <c r="A4611"/>
      <c r="B4611"/>
      <c r="C4611" s="137"/>
      <c r="D4611" s="30"/>
      <c r="E4611" s="30"/>
      <c r="F4611" s="10"/>
      <c r="G4611" s="10"/>
      <c r="H4611" s="15"/>
      <c r="I4611" s="15"/>
      <c r="J4611" s="15"/>
      <c r="K4611" s="15"/>
      <c r="L4611" s="15"/>
      <c r="M4611" s="15"/>
      <c r="N4611" s="15"/>
      <c r="O4611" s="15"/>
      <c r="P4611" s="15"/>
      <c r="Q4611" s="71"/>
      <c r="R4611" s="84"/>
      <c r="S4611" s="10"/>
      <c r="T4611" s="10"/>
      <c r="U4611" s="10"/>
      <c r="V4611" s="10"/>
      <c r="W4611" s="138"/>
      <c r="Y4611"/>
      <c r="Z4611"/>
      <c r="AA4611"/>
      <c r="AB4611"/>
      <c r="AC4611"/>
      <c r="AD4611"/>
      <c r="AE4611"/>
      <c r="AF4611"/>
      <c r="AG4611"/>
      <c r="AH4611"/>
      <c r="AI4611"/>
      <c r="AJ4611"/>
      <c r="AK4611"/>
      <c r="AL4611"/>
      <c r="AM4611"/>
      <c r="AN4611"/>
      <c r="AO4611"/>
    </row>
    <row r="4612" spans="1:41" ht="15">
      <c r="A4612"/>
      <c r="B4612"/>
      <c r="C4612" s="137"/>
      <c r="D4612" s="30"/>
      <c r="E4612" s="30"/>
      <c r="F4612" s="10"/>
      <c r="G4612" s="10"/>
      <c r="H4612" s="15"/>
      <c r="I4612" s="15"/>
      <c r="J4612" s="15"/>
      <c r="K4612" s="15"/>
      <c r="L4612" s="15"/>
      <c r="M4612" s="15"/>
      <c r="N4612" s="15"/>
      <c r="O4612" s="15"/>
      <c r="P4612" s="15"/>
      <c r="Q4612" s="71"/>
      <c r="R4612" s="84"/>
      <c r="S4612" s="10"/>
      <c r="T4612" s="10"/>
      <c r="U4612" s="10"/>
      <c r="V4612" s="10"/>
      <c r="W4612" s="138"/>
      <c r="Y4612"/>
      <c r="Z4612"/>
      <c r="AA4612"/>
      <c r="AB4612"/>
      <c r="AC4612"/>
      <c r="AD4612"/>
      <c r="AE4612"/>
      <c r="AF4612"/>
      <c r="AG4612"/>
      <c r="AH4612"/>
      <c r="AI4612"/>
      <c r="AJ4612"/>
      <c r="AK4612"/>
      <c r="AL4612"/>
      <c r="AM4612"/>
      <c r="AN4612"/>
      <c r="AO4612"/>
    </row>
    <row r="4613" spans="1:41" ht="15">
      <c r="A4613"/>
      <c r="B4613"/>
      <c r="C4613" s="137"/>
      <c r="D4613" s="30"/>
      <c r="E4613" s="30"/>
      <c r="F4613" s="10"/>
      <c r="G4613" s="10"/>
      <c r="H4613" s="15"/>
      <c r="I4613" s="15"/>
      <c r="J4613" s="15"/>
      <c r="K4613" s="15"/>
      <c r="L4613" s="15"/>
      <c r="M4613" s="15"/>
      <c r="N4613" s="15"/>
      <c r="O4613" s="15"/>
      <c r="P4613" s="15"/>
      <c r="Q4613" s="71"/>
      <c r="R4613" s="84"/>
      <c r="S4613" s="10"/>
      <c r="T4613" s="10"/>
      <c r="U4613" s="10"/>
      <c r="V4613" s="10"/>
      <c r="W4613" s="138"/>
      <c r="Y4613"/>
      <c r="Z4613"/>
      <c r="AA4613"/>
      <c r="AB4613"/>
      <c r="AC4613"/>
      <c r="AD4613"/>
      <c r="AE4613"/>
      <c r="AF4613"/>
      <c r="AG4613"/>
      <c r="AH4613"/>
      <c r="AI4613"/>
      <c r="AJ4613"/>
      <c r="AK4613"/>
      <c r="AL4613"/>
      <c r="AM4613"/>
      <c r="AN4613"/>
      <c r="AO4613"/>
    </row>
    <row r="4614" spans="1:41" ht="15">
      <c r="A4614"/>
      <c r="B4614"/>
      <c r="C4614" s="137"/>
      <c r="D4614" s="30"/>
      <c r="E4614" s="30"/>
      <c r="F4614" s="10"/>
      <c r="G4614" s="10"/>
      <c r="H4614" s="15"/>
      <c r="I4614" s="15"/>
      <c r="J4614" s="15"/>
      <c r="K4614" s="15"/>
      <c r="L4614" s="15"/>
      <c r="M4614" s="15"/>
      <c r="N4614" s="15"/>
      <c r="O4614" s="15"/>
      <c r="P4614" s="15"/>
      <c r="Q4614" s="71"/>
      <c r="R4614" s="84"/>
      <c r="S4614" s="10"/>
      <c r="T4614" s="10"/>
      <c r="U4614" s="10"/>
      <c r="V4614" s="10"/>
      <c r="W4614" s="138"/>
      <c r="Y4614"/>
      <c r="Z4614"/>
      <c r="AA4614"/>
      <c r="AB4614"/>
      <c r="AC4614"/>
      <c r="AD4614"/>
      <c r="AE4614"/>
      <c r="AF4614"/>
      <c r="AG4614"/>
      <c r="AH4614"/>
      <c r="AI4614"/>
      <c r="AJ4614"/>
      <c r="AK4614"/>
      <c r="AL4614"/>
      <c r="AM4614"/>
      <c r="AN4614"/>
      <c r="AO4614"/>
    </row>
    <row r="4615" spans="1:41" ht="15">
      <c r="A4615"/>
      <c r="B4615"/>
      <c r="C4615" s="137"/>
      <c r="D4615" s="30"/>
      <c r="E4615" s="30"/>
      <c r="F4615" s="10"/>
      <c r="G4615" s="10"/>
      <c r="H4615" s="15"/>
      <c r="I4615" s="15"/>
      <c r="J4615" s="15"/>
      <c r="K4615" s="15"/>
      <c r="L4615" s="15"/>
      <c r="M4615" s="15"/>
      <c r="N4615" s="15"/>
      <c r="O4615" s="15"/>
      <c r="P4615" s="15"/>
      <c r="Q4615" s="71"/>
      <c r="R4615" s="84"/>
      <c r="S4615" s="10"/>
      <c r="T4615" s="10"/>
      <c r="U4615" s="10"/>
      <c r="V4615" s="10"/>
      <c r="W4615" s="138"/>
      <c r="Y4615"/>
      <c r="Z4615"/>
      <c r="AA4615"/>
      <c r="AB4615"/>
      <c r="AC4615"/>
      <c r="AD4615"/>
      <c r="AE4615"/>
      <c r="AF4615"/>
      <c r="AG4615"/>
      <c r="AH4615"/>
      <c r="AI4615"/>
      <c r="AJ4615"/>
      <c r="AK4615"/>
      <c r="AL4615"/>
      <c r="AM4615"/>
      <c r="AN4615"/>
      <c r="AO4615"/>
    </row>
    <row r="4616" spans="1:41" ht="15">
      <c r="A4616"/>
      <c r="B4616"/>
      <c r="C4616" s="137"/>
      <c r="D4616" s="30"/>
      <c r="E4616" s="30"/>
      <c r="F4616" s="10"/>
      <c r="G4616" s="10"/>
      <c r="H4616" s="15"/>
      <c r="I4616" s="15"/>
      <c r="J4616" s="15"/>
      <c r="K4616" s="15"/>
      <c r="L4616" s="15"/>
      <c r="M4616" s="15"/>
      <c r="N4616" s="15"/>
      <c r="O4616" s="15"/>
      <c r="P4616" s="15"/>
      <c r="Q4616" s="71"/>
      <c r="R4616" s="84"/>
      <c r="S4616" s="10"/>
      <c r="T4616" s="10"/>
      <c r="U4616" s="10"/>
      <c r="V4616" s="10"/>
      <c r="W4616" s="138"/>
      <c r="Y4616"/>
      <c r="Z4616"/>
      <c r="AA4616"/>
      <c r="AB4616"/>
      <c r="AC4616"/>
      <c r="AD4616"/>
      <c r="AE4616"/>
      <c r="AF4616"/>
      <c r="AG4616"/>
      <c r="AH4616"/>
      <c r="AI4616"/>
      <c r="AJ4616"/>
      <c r="AK4616"/>
      <c r="AL4616"/>
      <c r="AM4616"/>
      <c r="AN4616"/>
      <c r="AO4616"/>
    </row>
    <row r="4617" spans="1:41" ht="15">
      <c r="A4617"/>
      <c r="B4617"/>
      <c r="C4617" s="137"/>
      <c r="D4617" s="30"/>
      <c r="E4617" s="30"/>
      <c r="F4617" s="10"/>
      <c r="G4617" s="10"/>
      <c r="H4617" s="15"/>
      <c r="I4617" s="15"/>
      <c r="J4617" s="15"/>
      <c r="K4617" s="15"/>
      <c r="L4617" s="15"/>
      <c r="M4617" s="15"/>
      <c r="N4617" s="15"/>
      <c r="O4617" s="15"/>
      <c r="P4617" s="15"/>
      <c r="Q4617" s="71"/>
      <c r="R4617" s="84"/>
      <c r="S4617" s="10"/>
      <c r="T4617" s="10"/>
      <c r="U4617" s="10"/>
      <c r="V4617" s="10"/>
      <c r="W4617" s="138"/>
      <c r="Y4617"/>
      <c r="Z4617"/>
      <c r="AA4617"/>
      <c r="AB4617"/>
      <c r="AC4617"/>
      <c r="AD4617"/>
      <c r="AE4617"/>
      <c r="AF4617"/>
      <c r="AG4617"/>
      <c r="AH4617"/>
      <c r="AI4617"/>
      <c r="AJ4617"/>
      <c r="AK4617"/>
      <c r="AL4617"/>
      <c r="AM4617"/>
      <c r="AN4617"/>
      <c r="AO4617"/>
    </row>
    <row r="4618" spans="1:41" ht="15">
      <c r="A4618"/>
      <c r="B4618"/>
      <c r="C4618" s="137"/>
      <c r="D4618" s="30"/>
      <c r="E4618" s="30"/>
      <c r="F4618" s="10"/>
      <c r="G4618" s="10"/>
      <c r="H4618" s="15"/>
      <c r="I4618" s="15"/>
      <c r="J4618" s="15"/>
      <c r="K4618" s="15"/>
      <c r="L4618" s="15"/>
      <c r="M4618" s="15"/>
      <c r="N4618" s="15"/>
      <c r="O4618" s="15"/>
      <c r="P4618" s="15"/>
      <c r="Q4618" s="71"/>
      <c r="R4618" s="84"/>
      <c r="S4618" s="10"/>
      <c r="T4618" s="10"/>
      <c r="U4618" s="10"/>
      <c r="V4618" s="10"/>
      <c r="W4618" s="138"/>
      <c r="Y4618"/>
      <c r="Z4618"/>
      <c r="AA4618"/>
      <c r="AB4618"/>
      <c r="AC4618"/>
      <c r="AD4618"/>
      <c r="AE4618"/>
      <c r="AF4618"/>
      <c r="AG4618"/>
      <c r="AH4618"/>
      <c r="AI4618"/>
      <c r="AJ4618"/>
      <c r="AK4618"/>
      <c r="AL4618"/>
      <c r="AM4618"/>
      <c r="AN4618"/>
      <c r="AO4618"/>
    </row>
    <row r="4619" spans="1:41" ht="15">
      <c r="A4619"/>
      <c r="B4619"/>
      <c r="C4619" s="137"/>
      <c r="D4619" s="30"/>
      <c r="E4619" s="30"/>
      <c r="F4619" s="10"/>
      <c r="G4619" s="10"/>
      <c r="H4619" s="15"/>
      <c r="I4619" s="15"/>
      <c r="J4619" s="15"/>
      <c r="K4619" s="15"/>
      <c r="L4619" s="15"/>
      <c r="M4619" s="15"/>
      <c r="N4619" s="15"/>
      <c r="O4619" s="15"/>
      <c r="P4619" s="15"/>
      <c r="Q4619" s="71"/>
      <c r="R4619" s="84"/>
      <c r="S4619" s="10"/>
      <c r="T4619" s="10"/>
      <c r="U4619" s="10"/>
      <c r="V4619" s="10"/>
      <c r="W4619" s="138"/>
      <c r="Y4619"/>
      <c r="Z4619"/>
      <c r="AA4619"/>
      <c r="AB4619"/>
      <c r="AC4619"/>
      <c r="AD4619"/>
      <c r="AE4619"/>
      <c r="AF4619"/>
      <c r="AG4619"/>
      <c r="AH4619"/>
      <c r="AI4619"/>
      <c r="AJ4619"/>
      <c r="AK4619"/>
      <c r="AL4619"/>
      <c r="AM4619"/>
      <c r="AN4619"/>
      <c r="AO4619"/>
    </row>
    <row r="4620" spans="1:41" ht="15">
      <c r="A4620"/>
      <c r="B4620"/>
      <c r="C4620" s="137"/>
      <c r="D4620" s="30"/>
      <c r="E4620" s="30"/>
      <c r="F4620" s="10"/>
      <c r="G4620" s="10"/>
      <c r="H4620" s="15"/>
      <c r="I4620" s="15"/>
      <c r="J4620" s="15"/>
      <c r="K4620" s="15"/>
      <c r="L4620" s="15"/>
      <c r="M4620" s="15"/>
      <c r="N4620" s="15"/>
      <c r="O4620" s="15"/>
      <c r="P4620" s="15"/>
      <c r="Q4620" s="71"/>
      <c r="R4620" s="84"/>
      <c r="S4620" s="10"/>
      <c r="T4620" s="10"/>
      <c r="U4620" s="10"/>
      <c r="V4620" s="10"/>
      <c r="W4620" s="138"/>
      <c r="Y4620"/>
      <c r="Z4620"/>
      <c r="AA4620"/>
      <c r="AB4620"/>
      <c r="AC4620"/>
      <c r="AD4620"/>
      <c r="AE4620"/>
      <c r="AF4620"/>
      <c r="AG4620"/>
      <c r="AH4620"/>
      <c r="AI4620"/>
      <c r="AJ4620"/>
      <c r="AK4620"/>
      <c r="AL4620"/>
      <c r="AM4620"/>
      <c r="AN4620"/>
      <c r="AO4620"/>
    </row>
    <row r="4621" spans="1:41" ht="15">
      <c r="A4621"/>
      <c r="B4621"/>
      <c r="C4621" s="137"/>
      <c r="D4621" s="30"/>
      <c r="E4621" s="30"/>
      <c r="F4621" s="10"/>
      <c r="G4621" s="10"/>
      <c r="H4621" s="15"/>
      <c r="I4621" s="15"/>
      <c r="J4621" s="15"/>
      <c r="K4621" s="15"/>
      <c r="L4621" s="15"/>
      <c r="M4621" s="15"/>
      <c r="N4621" s="15"/>
      <c r="O4621" s="15"/>
      <c r="P4621" s="15"/>
      <c r="Q4621" s="71"/>
      <c r="R4621" s="84"/>
      <c r="S4621" s="10"/>
      <c r="T4621" s="10"/>
      <c r="U4621" s="10"/>
      <c r="V4621" s="10"/>
      <c r="W4621" s="138"/>
      <c r="Y4621"/>
      <c r="Z4621"/>
      <c r="AA4621"/>
      <c r="AB4621"/>
      <c r="AC4621"/>
      <c r="AD4621"/>
      <c r="AE4621"/>
      <c r="AF4621"/>
      <c r="AG4621"/>
      <c r="AH4621"/>
      <c r="AI4621"/>
      <c r="AJ4621"/>
      <c r="AK4621"/>
      <c r="AL4621"/>
      <c r="AM4621"/>
      <c r="AN4621"/>
      <c r="AO4621"/>
    </row>
    <row r="4622" spans="1:41" ht="15">
      <c r="A4622"/>
      <c r="B4622"/>
      <c r="C4622" s="137"/>
      <c r="D4622" s="30"/>
      <c r="E4622" s="30"/>
      <c r="F4622" s="10"/>
      <c r="G4622" s="10"/>
      <c r="H4622" s="15"/>
      <c r="I4622" s="15"/>
      <c r="J4622" s="15"/>
      <c r="K4622" s="15"/>
      <c r="L4622" s="15"/>
      <c r="M4622" s="15"/>
      <c r="N4622" s="15"/>
      <c r="O4622" s="15"/>
      <c r="P4622" s="15"/>
      <c r="Q4622" s="71"/>
      <c r="R4622" s="84"/>
      <c r="S4622" s="10"/>
      <c r="T4622" s="10"/>
      <c r="U4622" s="10"/>
      <c r="V4622" s="10"/>
      <c r="W4622" s="138"/>
      <c r="Y4622"/>
      <c r="Z4622"/>
      <c r="AA4622"/>
      <c r="AB4622"/>
      <c r="AC4622"/>
      <c r="AD4622"/>
      <c r="AE4622"/>
      <c r="AF4622"/>
      <c r="AG4622"/>
      <c r="AH4622"/>
      <c r="AI4622"/>
      <c r="AJ4622"/>
      <c r="AK4622"/>
      <c r="AL4622"/>
      <c r="AM4622"/>
      <c r="AN4622"/>
      <c r="AO4622"/>
    </row>
    <row r="4623" spans="1:41" ht="15">
      <c r="A4623"/>
      <c r="B4623"/>
      <c r="C4623" s="137"/>
      <c r="D4623" s="30"/>
      <c r="E4623" s="30"/>
      <c r="F4623" s="10"/>
      <c r="G4623" s="10"/>
      <c r="H4623" s="15"/>
      <c r="I4623" s="15"/>
      <c r="J4623" s="15"/>
      <c r="K4623" s="15"/>
      <c r="L4623" s="15"/>
      <c r="M4623" s="15"/>
      <c r="N4623" s="15"/>
      <c r="O4623" s="15"/>
      <c r="P4623" s="15"/>
      <c r="Q4623" s="71"/>
      <c r="R4623" s="84"/>
      <c r="S4623" s="10"/>
      <c r="T4623" s="10"/>
      <c r="U4623" s="10"/>
      <c r="V4623" s="10"/>
      <c r="W4623" s="138"/>
      <c r="Y4623"/>
      <c r="Z4623"/>
      <c r="AA4623"/>
      <c r="AB4623"/>
      <c r="AC4623"/>
      <c r="AD4623"/>
      <c r="AE4623"/>
      <c r="AF4623"/>
      <c r="AG4623"/>
      <c r="AH4623"/>
      <c r="AI4623"/>
      <c r="AJ4623"/>
      <c r="AK4623"/>
      <c r="AL4623"/>
      <c r="AM4623"/>
      <c r="AN4623"/>
      <c r="AO4623"/>
    </row>
    <row r="4624" spans="1:41" ht="15">
      <c r="A4624"/>
      <c r="B4624"/>
      <c r="C4624" s="137"/>
      <c r="D4624" s="30"/>
      <c r="E4624" s="30"/>
      <c r="F4624" s="10"/>
      <c r="G4624" s="10"/>
      <c r="H4624" s="15"/>
      <c r="I4624" s="15"/>
      <c r="J4624" s="15"/>
      <c r="K4624" s="15"/>
      <c r="L4624" s="15"/>
      <c r="M4624" s="15"/>
      <c r="N4624" s="15"/>
      <c r="O4624" s="15"/>
      <c r="P4624" s="15"/>
      <c r="Q4624" s="71"/>
      <c r="R4624" s="84"/>
      <c r="S4624" s="10"/>
      <c r="T4624" s="10"/>
      <c r="U4624" s="10"/>
      <c r="V4624" s="10"/>
      <c r="W4624" s="138"/>
      <c r="Y4624"/>
      <c r="Z4624"/>
      <c r="AA4624"/>
      <c r="AB4624"/>
      <c r="AC4624"/>
      <c r="AD4624"/>
      <c r="AE4624"/>
      <c r="AF4624"/>
      <c r="AG4624"/>
      <c r="AH4624"/>
      <c r="AI4624"/>
      <c r="AJ4624"/>
      <c r="AK4624"/>
      <c r="AL4624"/>
      <c r="AM4624"/>
      <c r="AN4624"/>
      <c r="AO4624"/>
    </row>
    <row r="4625" spans="1:41" ht="15">
      <c r="A4625"/>
      <c r="B4625"/>
      <c r="C4625" s="137"/>
      <c r="D4625" s="30"/>
      <c r="E4625" s="30"/>
      <c r="F4625" s="10"/>
      <c r="G4625" s="10"/>
      <c r="H4625" s="15"/>
      <c r="I4625" s="15"/>
      <c r="J4625" s="15"/>
      <c r="K4625" s="15"/>
      <c r="L4625" s="15"/>
      <c r="M4625" s="15"/>
      <c r="N4625" s="15"/>
      <c r="O4625" s="15"/>
      <c r="P4625" s="15"/>
      <c r="Q4625" s="71"/>
      <c r="R4625" s="84"/>
      <c r="S4625" s="10"/>
      <c r="T4625" s="10"/>
      <c r="U4625" s="10"/>
      <c r="V4625" s="10"/>
      <c r="W4625" s="138"/>
      <c r="Y4625"/>
      <c r="Z4625"/>
      <c r="AA4625"/>
      <c r="AB4625"/>
      <c r="AC4625"/>
      <c r="AD4625"/>
      <c r="AE4625"/>
      <c r="AF4625"/>
      <c r="AG4625"/>
      <c r="AH4625"/>
      <c r="AI4625"/>
      <c r="AJ4625"/>
      <c r="AK4625"/>
      <c r="AL4625"/>
      <c r="AM4625"/>
      <c r="AN4625"/>
      <c r="AO4625"/>
    </row>
    <row r="4626" spans="1:41" ht="15">
      <c r="A4626"/>
      <c r="B4626"/>
      <c r="C4626" s="137"/>
      <c r="D4626" s="30"/>
      <c r="E4626" s="30"/>
      <c r="F4626" s="10"/>
      <c r="G4626" s="10"/>
      <c r="H4626" s="15"/>
      <c r="I4626" s="15"/>
      <c r="J4626" s="15"/>
      <c r="K4626" s="15"/>
      <c r="L4626" s="15"/>
      <c r="M4626" s="15"/>
      <c r="N4626" s="15"/>
      <c r="O4626" s="15"/>
      <c r="P4626" s="15"/>
      <c r="Q4626" s="71"/>
      <c r="R4626" s="84"/>
      <c r="S4626" s="10"/>
      <c r="T4626" s="10"/>
      <c r="U4626" s="10"/>
      <c r="V4626" s="10"/>
      <c r="W4626" s="138"/>
      <c r="Y4626"/>
      <c r="Z4626"/>
      <c r="AA4626"/>
      <c r="AB4626"/>
      <c r="AC4626"/>
      <c r="AD4626"/>
      <c r="AE4626"/>
      <c r="AF4626"/>
      <c r="AG4626"/>
      <c r="AH4626"/>
      <c r="AI4626"/>
      <c r="AJ4626"/>
      <c r="AK4626"/>
      <c r="AL4626"/>
      <c r="AM4626"/>
      <c r="AN4626"/>
      <c r="AO4626"/>
    </row>
    <row r="4627" spans="1:41" ht="15">
      <c r="A4627"/>
      <c r="B4627"/>
      <c r="C4627" s="137"/>
      <c r="D4627" s="30"/>
      <c r="E4627" s="30"/>
      <c r="F4627" s="10"/>
      <c r="G4627" s="10"/>
      <c r="H4627" s="15"/>
      <c r="I4627" s="15"/>
      <c r="J4627" s="15"/>
      <c r="K4627" s="15"/>
      <c r="L4627" s="15"/>
      <c r="M4627" s="15"/>
      <c r="N4627" s="15"/>
      <c r="O4627" s="15"/>
      <c r="P4627" s="15"/>
      <c r="Q4627" s="71"/>
      <c r="R4627" s="84"/>
      <c r="S4627" s="10"/>
      <c r="T4627" s="10"/>
      <c r="U4627" s="10"/>
      <c r="V4627" s="10"/>
      <c r="W4627" s="138"/>
      <c r="Y4627"/>
      <c r="Z4627"/>
      <c r="AA4627"/>
      <c r="AB4627"/>
      <c r="AC4627"/>
      <c r="AD4627"/>
      <c r="AE4627"/>
      <c r="AF4627"/>
      <c r="AG4627"/>
      <c r="AH4627"/>
      <c r="AI4627"/>
      <c r="AJ4627"/>
      <c r="AK4627"/>
      <c r="AL4627"/>
      <c r="AM4627"/>
      <c r="AN4627"/>
      <c r="AO4627"/>
    </row>
    <row r="4628" spans="1:41" ht="15">
      <c r="A4628"/>
      <c r="B4628"/>
      <c r="C4628" s="137"/>
      <c r="D4628" s="30"/>
      <c r="E4628" s="30"/>
      <c r="F4628" s="10"/>
      <c r="G4628" s="10"/>
      <c r="H4628" s="15"/>
      <c r="I4628" s="15"/>
      <c r="J4628" s="15"/>
      <c r="K4628" s="15"/>
      <c r="L4628" s="15"/>
      <c r="M4628" s="15"/>
      <c r="N4628" s="15"/>
      <c r="O4628" s="15"/>
      <c r="P4628" s="15"/>
      <c r="Q4628" s="71"/>
      <c r="R4628" s="84"/>
      <c r="S4628" s="10"/>
      <c r="T4628" s="10"/>
      <c r="U4628" s="10"/>
      <c r="V4628" s="10"/>
      <c r="W4628" s="138"/>
      <c r="Y4628"/>
      <c r="Z4628"/>
      <c r="AA4628"/>
      <c r="AB4628"/>
      <c r="AC4628"/>
      <c r="AD4628"/>
      <c r="AE4628"/>
      <c r="AF4628"/>
      <c r="AG4628"/>
      <c r="AH4628"/>
      <c r="AI4628"/>
      <c r="AJ4628"/>
      <c r="AK4628"/>
      <c r="AL4628"/>
      <c r="AM4628"/>
      <c r="AN4628"/>
      <c r="AO4628"/>
    </row>
    <row r="4629" spans="1:41" ht="15">
      <c r="A4629"/>
      <c r="B4629"/>
      <c r="C4629" s="137"/>
      <c r="D4629" s="30"/>
      <c r="E4629" s="30"/>
      <c r="F4629" s="10"/>
      <c r="G4629" s="10"/>
      <c r="H4629" s="15"/>
      <c r="I4629" s="15"/>
      <c r="J4629" s="15"/>
      <c r="K4629" s="15"/>
      <c r="L4629" s="15"/>
      <c r="M4629" s="15"/>
      <c r="N4629" s="15"/>
      <c r="O4629" s="15"/>
      <c r="P4629" s="15"/>
      <c r="Q4629" s="71"/>
      <c r="R4629" s="84"/>
      <c r="S4629" s="10"/>
      <c r="T4629" s="10"/>
      <c r="U4629" s="10"/>
      <c r="V4629" s="10"/>
      <c r="W4629" s="138"/>
      <c r="Y4629"/>
      <c r="Z4629"/>
      <c r="AA4629"/>
      <c r="AB4629"/>
      <c r="AC4629"/>
      <c r="AD4629"/>
      <c r="AE4629"/>
      <c r="AF4629"/>
      <c r="AG4629"/>
      <c r="AH4629"/>
      <c r="AI4629"/>
      <c r="AJ4629"/>
      <c r="AK4629"/>
      <c r="AL4629"/>
      <c r="AM4629"/>
      <c r="AN4629"/>
      <c r="AO4629"/>
    </row>
    <row r="4630" spans="1:41" ht="15">
      <c r="A4630"/>
      <c r="B4630"/>
      <c r="C4630" s="137"/>
      <c r="D4630" s="30"/>
      <c r="E4630" s="30"/>
      <c r="F4630" s="10"/>
      <c r="G4630" s="10"/>
      <c r="H4630" s="15"/>
      <c r="I4630" s="15"/>
      <c r="J4630" s="15"/>
      <c r="K4630" s="15"/>
      <c r="L4630" s="15"/>
      <c r="M4630" s="15"/>
      <c r="N4630" s="15"/>
      <c r="O4630" s="15"/>
      <c r="P4630" s="15"/>
      <c r="Q4630" s="71"/>
      <c r="R4630" s="84"/>
      <c r="S4630" s="10"/>
      <c r="T4630" s="10"/>
      <c r="U4630" s="10"/>
      <c r="V4630" s="10"/>
      <c r="W4630" s="138"/>
      <c r="Y4630"/>
      <c r="Z4630"/>
      <c r="AA4630"/>
      <c r="AB4630"/>
      <c r="AC4630"/>
      <c r="AD4630"/>
      <c r="AE4630"/>
      <c r="AF4630"/>
      <c r="AG4630"/>
      <c r="AH4630"/>
      <c r="AI4630"/>
      <c r="AJ4630"/>
      <c r="AK4630"/>
      <c r="AL4630"/>
      <c r="AM4630"/>
      <c r="AN4630"/>
      <c r="AO4630"/>
    </row>
    <row r="4631" spans="1:41" ht="15">
      <c r="A4631"/>
      <c r="B4631"/>
      <c r="C4631" s="137"/>
      <c r="D4631" s="30"/>
      <c r="E4631" s="30"/>
      <c r="F4631" s="10"/>
      <c r="G4631" s="10"/>
      <c r="H4631" s="15"/>
      <c r="I4631" s="15"/>
      <c r="J4631" s="15"/>
      <c r="K4631" s="15"/>
      <c r="L4631" s="15"/>
      <c r="M4631" s="15"/>
      <c r="N4631" s="15"/>
      <c r="O4631" s="15"/>
      <c r="P4631" s="15"/>
      <c r="Q4631" s="71"/>
      <c r="R4631" s="84"/>
      <c r="S4631" s="10"/>
      <c r="T4631" s="10"/>
      <c r="U4631" s="10"/>
      <c r="V4631" s="10"/>
      <c r="W4631" s="138"/>
      <c r="Y4631"/>
      <c r="Z4631"/>
      <c r="AA4631"/>
      <c r="AB4631"/>
      <c r="AC4631"/>
      <c r="AD4631"/>
      <c r="AE4631"/>
      <c r="AF4631"/>
      <c r="AG4631"/>
      <c r="AH4631"/>
      <c r="AI4631"/>
      <c r="AJ4631"/>
      <c r="AK4631"/>
      <c r="AL4631"/>
      <c r="AM4631"/>
      <c r="AN4631"/>
      <c r="AO4631"/>
    </row>
    <row r="4632" spans="1:41" ht="15">
      <c r="A4632"/>
      <c r="B4632"/>
      <c r="C4632" s="137"/>
      <c r="D4632" s="30"/>
      <c r="E4632" s="30"/>
      <c r="F4632" s="10"/>
      <c r="G4632" s="10"/>
      <c r="H4632" s="15"/>
      <c r="I4632" s="15"/>
      <c r="J4632" s="15"/>
      <c r="K4632" s="15"/>
      <c r="L4632" s="15"/>
      <c r="M4632" s="15"/>
      <c r="N4632" s="15"/>
      <c r="O4632" s="15"/>
      <c r="P4632" s="15"/>
      <c r="Q4632" s="71"/>
      <c r="R4632" s="84"/>
      <c r="S4632" s="10"/>
      <c r="T4632" s="10"/>
      <c r="U4632" s="10"/>
      <c r="V4632" s="10"/>
      <c r="W4632" s="138"/>
      <c r="Y4632"/>
      <c r="Z4632"/>
      <c r="AA4632"/>
      <c r="AB4632"/>
      <c r="AC4632"/>
      <c r="AD4632"/>
      <c r="AE4632"/>
      <c r="AF4632"/>
      <c r="AG4632"/>
      <c r="AH4632"/>
      <c r="AI4632"/>
      <c r="AJ4632"/>
      <c r="AK4632"/>
      <c r="AL4632"/>
      <c r="AM4632"/>
      <c r="AN4632"/>
      <c r="AO4632"/>
    </row>
    <row r="4633" spans="1:41" ht="15">
      <c r="A4633"/>
      <c r="B4633"/>
      <c r="C4633" s="137"/>
      <c r="D4633" s="30"/>
      <c r="E4633" s="30"/>
      <c r="F4633" s="10"/>
      <c r="G4633" s="10"/>
      <c r="H4633" s="15"/>
      <c r="I4633" s="15"/>
      <c r="J4633" s="15"/>
      <c r="K4633" s="15"/>
      <c r="L4633" s="15"/>
      <c r="M4633" s="15"/>
      <c r="N4633" s="15"/>
      <c r="O4633" s="15"/>
      <c r="P4633" s="15"/>
      <c r="Q4633" s="71"/>
      <c r="R4633" s="84"/>
      <c r="S4633" s="10"/>
      <c r="T4633" s="10"/>
      <c r="U4633" s="10"/>
      <c r="V4633" s="10"/>
      <c r="W4633" s="138"/>
      <c r="Y4633"/>
      <c r="Z4633"/>
      <c r="AA4633"/>
      <c r="AB4633"/>
      <c r="AC4633"/>
      <c r="AD4633"/>
      <c r="AE4633"/>
      <c r="AF4633"/>
      <c r="AG4633"/>
      <c r="AH4633"/>
      <c r="AI4633"/>
      <c r="AJ4633"/>
      <c r="AK4633"/>
      <c r="AL4633"/>
      <c r="AM4633"/>
      <c r="AN4633"/>
      <c r="AO4633"/>
    </row>
    <row r="4634" spans="1:41" ht="15">
      <c r="A4634"/>
      <c r="B4634"/>
      <c r="C4634" s="137"/>
      <c r="D4634" s="30"/>
      <c r="E4634" s="30"/>
      <c r="F4634" s="10"/>
      <c r="G4634" s="10"/>
      <c r="H4634" s="15"/>
      <c r="I4634" s="15"/>
      <c r="J4634" s="15"/>
      <c r="K4634" s="15"/>
      <c r="L4634" s="15"/>
      <c r="M4634" s="15"/>
      <c r="N4634" s="15"/>
      <c r="O4634" s="15"/>
      <c r="P4634" s="15"/>
      <c r="Q4634" s="71"/>
      <c r="R4634" s="84"/>
      <c r="S4634" s="10"/>
      <c r="T4634" s="10"/>
      <c r="U4634" s="10"/>
      <c r="V4634" s="10"/>
      <c r="W4634" s="138"/>
      <c r="Y4634"/>
      <c r="Z4634"/>
      <c r="AA4634"/>
      <c r="AB4634"/>
      <c r="AC4634"/>
      <c r="AD4634"/>
      <c r="AE4634"/>
      <c r="AF4634"/>
      <c r="AG4634"/>
      <c r="AH4634"/>
      <c r="AI4634"/>
      <c r="AJ4634"/>
      <c r="AK4634"/>
      <c r="AL4634"/>
      <c r="AM4634"/>
      <c r="AN4634"/>
      <c r="AO4634"/>
    </row>
    <row r="4635" spans="1:41" ht="15">
      <c r="A4635"/>
      <c r="B4635"/>
      <c r="C4635" s="137"/>
      <c r="D4635" s="30"/>
      <c r="E4635" s="30"/>
      <c r="F4635" s="10"/>
      <c r="G4635" s="10"/>
      <c r="H4635" s="15"/>
      <c r="I4635" s="15"/>
      <c r="J4635" s="15"/>
      <c r="K4635" s="15"/>
      <c r="L4635" s="15"/>
      <c r="M4635" s="15"/>
      <c r="N4635" s="15"/>
      <c r="O4635" s="15"/>
      <c r="P4635" s="15"/>
      <c r="Q4635" s="71"/>
      <c r="R4635" s="84"/>
      <c r="S4635" s="10"/>
      <c r="T4635" s="10"/>
      <c r="U4635" s="10"/>
      <c r="V4635" s="10"/>
      <c r="W4635" s="138"/>
      <c r="Y4635"/>
      <c r="Z4635"/>
      <c r="AA4635"/>
      <c r="AB4635"/>
      <c r="AC4635"/>
      <c r="AD4635"/>
      <c r="AE4635"/>
      <c r="AF4635"/>
      <c r="AG4635"/>
      <c r="AH4635"/>
      <c r="AI4635"/>
      <c r="AJ4635"/>
      <c r="AK4635"/>
      <c r="AL4635"/>
      <c r="AM4635"/>
      <c r="AN4635"/>
      <c r="AO4635"/>
    </row>
    <row r="4636" spans="1:41" ht="15">
      <c r="A4636"/>
      <c r="B4636"/>
      <c r="C4636" s="137"/>
      <c r="D4636" s="30"/>
      <c r="E4636" s="30"/>
      <c r="F4636" s="10"/>
      <c r="G4636" s="10"/>
      <c r="H4636" s="15"/>
      <c r="I4636" s="15"/>
      <c r="J4636" s="15"/>
      <c r="K4636" s="15"/>
      <c r="L4636" s="15"/>
      <c r="M4636" s="15"/>
      <c r="N4636" s="15"/>
      <c r="O4636" s="15"/>
      <c r="P4636" s="15"/>
      <c r="Q4636" s="71"/>
      <c r="R4636" s="84"/>
      <c r="S4636" s="10"/>
      <c r="T4636" s="10"/>
      <c r="U4636" s="10"/>
      <c r="V4636" s="10"/>
      <c r="W4636" s="138"/>
      <c r="Y4636"/>
      <c r="Z4636"/>
      <c r="AA4636"/>
      <c r="AB4636"/>
      <c r="AC4636"/>
      <c r="AD4636"/>
      <c r="AE4636"/>
      <c r="AF4636"/>
      <c r="AG4636"/>
      <c r="AH4636"/>
      <c r="AI4636"/>
      <c r="AJ4636"/>
      <c r="AK4636"/>
      <c r="AL4636"/>
      <c r="AM4636"/>
      <c r="AN4636"/>
      <c r="AO4636"/>
    </row>
    <row r="4637" spans="1:41" ht="15">
      <c r="A4637"/>
      <c r="B4637"/>
      <c r="C4637" s="137"/>
      <c r="D4637" s="30"/>
      <c r="E4637" s="30"/>
      <c r="F4637" s="10"/>
      <c r="G4637" s="10"/>
      <c r="H4637" s="15"/>
      <c r="I4637" s="15"/>
      <c r="J4637" s="15"/>
      <c r="K4637" s="15"/>
      <c r="L4637" s="15"/>
      <c r="M4637" s="15"/>
      <c r="N4637" s="15"/>
      <c r="O4637" s="15"/>
      <c r="P4637" s="15"/>
      <c r="Q4637" s="71"/>
      <c r="R4637" s="84"/>
      <c r="S4637" s="10"/>
      <c r="T4637" s="10"/>
      <c r="U4637" s="10"/>
      <c r="V4637" s="10"/>
      <c r="W4637" s="138"/>
      <c r="Y4637"/>
      <c r="Z4637"/>
      <c r="AA4637"/>
      <c r="AB4637"/>
      <c r="AC4637"/>
      <c r="AD4637"/>
      <c r="AE4637"/>
      <c r="AF4637"/>
      <c r="AG4637"/>
      <c r="AH4637"/>
      <c r="AI4637"/>
      <c r="AJ4637"/>
      <c r="AK4637"/>
      <c r="AL4637"/>
      <c r="AM4637"/>
      <c r="AN4637"/>
      <c r="AO4637"/>
    </row>
    <row r="4638" spans="1:41" ht="15">
      <c r="A4638"/>
      <c r="B4638"/>
      <c r="C4638" s="137"/>
      <c r="D4638" s="30"/>
      <c r="E4638" s="30"/>
      <c r="F4638" s="10"/>
      <c r="G4638" s="10"/>
      <c r="H4638" s="15"/>
      <c r="I4638" s="15"/>
      <c r="J4638" s="15"/>
      <c r="K4638" s="15"/>
      <c r="L4638" s="15"/>
      <c r="M4638" s="15"/>
      <c r="N4638" s="15"/>
      <c r="O4638" s="15"/>
      <c r="P4638" s="15"/>
      <c r="Q4638" s="71"/>
      <c r="R4638" s="84"/>
      <c r="S4638" s="10"/>
      <c r="T4638" s="10"/>
      <c r="U4638" s="10"/>
      <c r="V4638" s="10"/>
      <c r="W4638" s="138"/>
      <c r="Y4638"/>
      <c r="Z4638"/>
      <c r="AA4638"/>
      <c r="AB4638"/>
      <c r="AC4638"/>
      <c r="AD4638"/>
      <c r="AE4638"/>
      <c r="AF4638"/>
      <c r="AG4638"/>
      <c r="AH4638"/>
      <c r="AI4638"/>
      <c r="AJ4638"/>
      <c r="AK4638"/>
      <c r="AL4638"/>
      <c r="AM4638"/>
      <c r="AN4638"/>
      <c r="AO4638"/>
    </row>
    <row r="4639" spans="1:41" ht="15">
      <c r="A4639"/>
      <c r="B4639"/>
      <c r="C4639" s="137"/>
      <c r="D4639" s="30"/>
      <c r="E4639" s="30"/>
      <c r="F4639" s="10"/>
      <c r="G4639" s="10"/>
      <c r="H4639" s="15"/>
      <c r="I4639" s="15"/>
      <c r="J4639" s="15"/>
      <c r="K4639" s="15"/>
      <c r="L4639" s="15"/>
      <c r="M4639" s="15"/>
      <c r="N4639" s="15"/>
      <c r="O4639" s="15"/>
      <c r="P4639" s="15"/>
      <c r="Q4639" s="71"/>
      <c r="R4639" s="84"/>
      <c r="S4639" s="10"/>
      <c r="T4639" s="10"/>
      <c r="U4639" s="10"/>
      <c r="V4639" s="10"/>
      <c r="W4639" s="138"/>
      <c r="Y4639"/>
      <c r="Z4639"/>
      <c r="AA4639"/>
      <c r="AB4639"/>
      <c r="AC4639"/>
      <c r="AD4639"/>
      <c r="AE4639"/>
      <c r="AF4639"/>
      <c r="AG4639"/>
      <c r="AH4639"/>
      <c r="AI4639"/>
      <c r="AJ4639"/>
      <c r="AK4639"/>
      <c r="AL4639"/>
      <c r="AM4639"/>
      <c r="AN4639"/>
      <c r="AO4639"/>
    </row>
    <row r="4640" spans="1:41" ht="15">
      <c r="A4640"/>
      <c r="B4640"/>
      <c r="C4640" s="137"/>
      <c r="D4640" s="30"/>
      <c r="E4640" s="30"/>
      <c r="F4640" s="10"/>
      <c r="G4640" s="10"/>
      <c r="H4640" s="15"/>
      <c r="I4640" s="15"/>
      <c r="J4640" s="15"/>
      <c r="K4640" s="15"/>
      <c r="L4640" s="15"/>
      <c r="M4640" s="15"/>
      <c r="N4640" s="15"/>
      <c r="O4640" s="15"/>
      <c r="P4640" s="15"/>
      <c r="Q4640" s="71"/>
      <c r="R4640" s="84"/>
      <c r="S4640" s="10"/>
      <c r="T4640" s="10"/>
      <c r="U4640" s="10"/>
      <c r="V4640" s="10"/>
      <c r="W4640" s="138"/>
      <c r="Y4640"/>
      <c r="Z4640"/>
      <c r="AA4640"/>
      <c r="AB4640"/>
      <c r="AC4640"/>
      <c r="AD4640"/>
      <c r="AE4640"/>
      <c r="AF4640"/>
      <c r="AG4640"/>
      <c r="AH4640"/>
      <c r="AI4640"/>
      <c r="AJ4640"/>
      <c r="AK4640"/>
      <c r="AL4640"/>
      <c r="AM4640"/>
      <c r="AN4640"/>
      <c r="AO4640"/>
    </row>
    <row r="4641" spans="1:41" ht="15">
      <c r="A4641"/>
      <c r="B4641"/>
      <c r="C4641" s="137"/>
      <c r="D4641" s="30"/>
      <c r="E4641" s="30"/>
      <c r="F4641" s="10"/>
      <c r="G4641" s="10"/>
      <c r="H4641" s="15"/>
      <c r="I4641" s="15"/>
      <c r="J4641" s="15"/>
      <c r="K4641" s="15"/>
      <c r="L4641" s="15"/>
      <c r="M4641" s="15"/>
      <c r="N4641" s="15"/>
      <c r="O4641" s="15"/>
      <c r="P4641" s="15"/>
      <c r="Q4641" s="71"/>
      <c r="R4641" s="84"/>
      <c r="S4641" s="10"/>
      <c r="T4641" s="10"/>
      <c r="U4641" s="10"/>
      <c r="V4641" s="10"/>
      <c r="W4641" s="138"/>
      <c r="Y4641"/>
      <c r="Z4641"/>
      <c r="AA4641"/>
      <c r="AB4641"/>
      <c r="AC4641"/>
      <c r="AD4641"/>
      <c r="AE4641"/>
      <c r="AF4641"/>
      <c r="AG4641"/>
      <c r="AH4641"/>
      <c r="AI4641"/>
      <c r="AJ4641"/>
      <c r="AK4641"/>
      <c r="AL4641"/>
      <c r="AM4641"/>
      <c r="AN4641"/>
      <c r="AO4641"/>
    </row>
    <row r="4642" spans="1:41" ht="15">
      <c r="A4642"/>
      <c r="B4642"/>
      <c r="C4642" s="137"/>
      <c r="D4642" s="30"/>
      <c r="E4642" s="30"/>
      <c r="F4642" s="10"/>
      <c r="G4642" s="10"/>
      <c r="H4642" s="15"/>
      <c r="I4642" s="15"/>
      <c r="J4642" s="15"/>
      <c r="K4642" s="15"/>
      <c r="L4642" s="15"/>
      <c r="M4642" s="15"/>
      <c r="N4642" s="15"/>
      <c r="O4642" s="15"/>
      <c r="P4642" s="15"/>
      <c r="Q4642" s="71"/>
      <c r="R4642" s="84"/>
      <c r="S4642" s="10"/>
      <c r="T4642" s="10"/>
      <c r="U4642" s="10"/>
      <c r="V4642" s="10"/>
      <c r="W4642" s="138"/>
      <c r="Y4642"/>
      <c r="Z4642"/>
      <c r="AA4642"/>
      <c r="AB4642"/>
      <c r="AC4642"/>
      <c r="AD4642"/>
      <c r="AE4642"/>
      <c r="AF4642"/>
      <c r="AG4642"/>
      <c r="AH4642"/>
      <c r="AI4642"/>
      <c r="AJ4642"/>
      <c r="AK4642"/>
      <c r="AL4642"/>
      <c r="AM4642"/>
      <c r="AN4642"/>
      <c r="AO4642"/>
    </row>
    <row r="4643" spans="1:41" ht="15">
      <c r="A4643"/>
      <c r="B4643"/>
      <c r="C4643" s="137"/>
      <c r="D4643" s="30"/>
      <c r="E4643" s="30"/>
      <c r="F4643" s="10"/>
      <c r="G4643" s="10"/>
      <c r="H4643" s="15"/>
      <c r="I4643" s="15"/>
      <c r="J4643" s="15"/>
      <c r="K4643" s="15"/>
      <c r="L4643" s="15"/>
      <c r="M4643" s="15"/>
      <c r="N4643" s="15"/>
      <c r="O4643" s="15"/>
      <c r="P4643" s="15"/>
      <c r="Q4643" s="71"/>
      <c r="R4643" s="84"/>
      <c r="S4643" s="10"/>
      <c r="T4643" s="10"/>
      <c r="U4643" s="10"/>
      <c r="V4643" s="10"/>
      <c r="W4643" s="138"/>
      <c r="Y4643"/>
      <c r="Z4643"/>
      <c r="AA4643"/>
      <c r="AB4643"/>
      <c r="AC4643"/>
      <c r="AD4643"/>
      <c r="AE4643"/>
      <c r="AF4643"/>
      <c r="AG4643"/>
      <c r="AH4643"/>
      <c r="AI4643"/>
      <c r="AJ4643"/>
      <c r="AK4643"/>
      <c r="AL4643"/>
      <c r="AM4643"/>
      <c r="AN4643"/>
      <c r="AO4643"/>
    </row>
    <row r="4644" spans="1:41" ht="15">
      <c r="A4644"/>
      <c r="B4644"/>
      <c r="C4644" s="137"/>
      <c r="D4644" s="30"/>
      <c r="E4644" s="30"/>
      <c r="F4644" s="10"/>
      <c r="G4644" s="10"/>
      <c r="H4644" s="15"/>
      <c r="I4644" s="15"/>
      <c r="J4644" s="15"/>
      <c r="K4644" s="15"/>
      <c r="L4644" s="15"/>
      <c r="M4644" s="15"/>
      <c r="N4644" s="15"/>
      <c r="O4644" s="15"/>
      <c r="P4644" s="15"/>
      <c r="Q4644" s="71"/>
      <c r="R4644" s="84"/>
      <c r="S4644" s="10"/>
      <c r="T4644" s="10"/>
      <c r="U4644" s="10"/>
      <c r="V4644" s="10"/>
      <c r="W4644" s="138"/>
      <c r="Y4644"/>
      <c r="Z4644"/>
      <c r="AA4644"/>
      <c r="AB4644"/>
      <c r="AC4644"/>
      <c r="AD4644"/>
      <c r="AE4644"/>
      <c r="AF4644"/>
      <c r="AG4644"/>
      <c r="AH4644"/>
      <c r="AI4644"/>
      <c r="AJ4644"/>
      <c r="AK4644"/>
      <c r="AL4644"/>
      <c r="AM4644"/>
      <c r="AN4644"/>
      <c r="AO4644"/>
    </row>
    <row r="4645" spans="1:41" ht="15">
      <c r="A4645"/>
      <c r="B4645"/>
      <c r="C4645" s="137"/>
      <c r="D4645" s="30"/>
      <c r="E4645" s="30"/>
      <c r="F4645" s="10"/>
      <c r="G4645" s="10"/>
      <c r="H4645" s="15"/>
      <c r="I4645" s="15"/>
      <c r="J4645" s="15"/>
      <c r="K4645" s="15"/>
      <c r="L4645" s="15"/>
      <c r="M4645" s="15"/>
      <c r="N4645" s="15"/>
      <c r="O4645" s="15"/>
      <c r="P4645" s="15"/>
      <c r="Q4645" s="71"/>
      <c r="R4645" s="84"/>
      <c r="S4645" s="10"/>
      <c r="T4645" s="10"/>
      <c r="U4645" s="10"/>
      <c r="V4645" s="10"/>
      <c r="W4645" s="138"/>
      <c r="Y4645"/>
      <c r="Z4645"/>
      <c r="AA4645"/>
      <c r="AB4645"/>
      <c r="AC4645"/>
      <c r="AD4645"/>
      <c r="AE4645"/>
      <c r="AF4645"/>
      <c r="AG4645"/>
      <c r="AH4645"/>
      <c r="AI4645"/>
      <c r="AJ4645"/>
      <c r="AK4645"/>
      <c r="AL4645"/>
      <c r="AM4645"/>
      <c r="AN4645"/>
      <c r="AO4645"/>
    </row>
    <row r="4646" spans="1:41" ht="15">
      <c r="A4646"/>
      <c r="B4646"/>
      <c r="C4646" s="137"/>
      <c r="D4646" s="30"/>
      <c r="E4646" s="30"/>
      <c r="F4646" s="10"/>
      <c r="G4646" s="10"/>
      <c r="H4646" s="15"/>
      <c r="I4646" s="15"/>
      <c r="J4646" s="15"/>
      <c r="K4646" s="15"/>
      <c r="L4646" s="15"/>
      <c r="M4646" s="15"/>
      <c r="N4646" s="15"/>
      <c r="O4646" s="15"/>
      <c r="P4646" s="15"/>
      <c r="Q4646" s="71"/>
      <c r="R4646" s="84"/>
      <c r="S4646" s="10"/>
      <c r="T4646" s="10"/>
      <c r="U4646" s="10"/>
      <c r="V4646" s="10"/>
      <c r="W4646" s="138"/>
      <c r="Y4646"/>
      <c r="Z4646"/>
      <c r="AA4646"/>
      <c r="AB4646"/>
      <c r="AC4646"/>
      <c r="AD4646"/>
      <c r="AE4646"/>
      <c r="AF4646"/>
      <c r="AG4646"/>
      <c r="AH4646"/>
      <c r="AI4646"/>
      <c r="AJ4646"/>
      <c r="AK4646"/>
      <c r="AL4646"/>
      <c r="AM4646"/>
      <c r="AN4646"/>
      <c r="AO4646"/>
    </row>
    <row r="4647" spans="1:41" ht="15">
      <c r="A4647"/>
      <c r="B4647"/>
      <c r="C4647" s="137"/>
      <c r="D4647" s="30"/>
      <c r="E4647" s="30"/>
      <c r="F4647" s="10"/>
      <c r="G4647" s="10"/>
      <c r="H4647" s="15"/>
      <c r="I4647" s="15"/>
      <c r="J4647" s="15"/>
      <c r="K4647" s="15"/>
      <c r="L4647" s="15"/>
      <c r="M4647" s="15"/>
      <c r="N4647" s="15"/>
      <c r="O4647" s="15"/>
      <c r="P4647" s="15"/>
      <c r="Q4647" s="71"/>
      <c r="R4647" s="84"/>
      <c r="S4647" s="10"/>
      <c r="T4647" s="10"/>
      <c r="U4647" s="10"/>
      <c r="V4647" s="10"/>
      <c r="W4647" s="138"/>
      <c r="Y4647"/>
      <c r="Z4647"/>
      <c r="AA4647"/>
      <c r="AB4647"/>
      <c r="AC4647"/>
      <c r="AD4647"/>
      <c r="AE4647"/>
      <c r="AF4647"/>
      <c r="AG4647"/>
      <c r="AH4647"/>
      <c r="AI4647"/>
      <c r="AJ4647"/>
      <c r="AK4647"/>
      <c r="AL4647"/>
      <c r="AM4647"/>
      <c r="AN4647"/>
      <c r="AO4647"/>
    </row>
    <row r="4648" spans="1:41" ht="15">
      <c r="A4648"/>
      <c r="B4648"/>
      <c r="C4648" s="137"/>
      <c r="D4648" s="30"/>
      <c r="E4648" s="30"/>
      <c r="F4648" s="10"/>
      <c r="G4648" s="10"/>
      <c r="H4648" s="15"/>
      <c r="I4648" s="15"/>
      <c r="J4648" s="15"/>
      <c r="K4648" s="15"/>
      <c r="L4648" s="15"/>
      <c r="M4648" s="15"/>
      <c r="N4648" s="15"/>
      <c r="O4648" s="15"/>
      <c r="P4648" s="15"/>
      <c r="Q4648" s="71"/>
      <c r="R4648" s="84"/>
      <c r="S4648" s="10"/>
      <c r="T4648" s="10"/>
      <c r="U4648" s="10"/>
      <c r="V4648" s="10"/>
      <c r="W4648" s="138"/>
      <c r="Y4648"/>
      <c r="Z4648"/>
      <c r="AA4648"/>
      <c r="AB4648"/>
      <c r="AC4648"/>
      <c r="AD4648"/>
      <c r="AE4648"/>
      <c r="AF4648"/>
      <c r="AG4648"/>
      <c r="AH4648"/>
      <c r="AI4648"/>
      <c r="AJ4648"/>
      <c r="AK4648"/>
      <c r="AL4648"/>
      <c r="AM4648"/>
      <c r="AN4648"/>
      <c r="AO4648"/>
    </row>
    <row r="4649" spans="1:41" ht="15">
      <c r="A4649"/>
      <c r="B4649"/>
      <c r="C4649" s="137"/>
      <c r="D4649" s="30"/>
      <c r="E4649" s="30"/>
      <c r="F4649" s="10"/>
      <c r="G4649" s="10"/>
      <c r="H4649" s="15"/>
      <c r="I4649" s="15"/>
      <c r="J4649" s="15"/>
      <c r="K4649" s="15"/>
      <c r="L4649" s="15"/>
      <c r="M4649" s="15"/>
      <c r="N4649" s="15"/>
      <c r="O4649" s="15"/>
      <c r="P4649" s="15"/>
      <c r="Q4649" s="71"/>
      <c r="R4649" s="84"/>
      <c r="S4649" s="10"/>
      <c r="T4649" s="10"/>
      <c r="U4649" s="10"/>
      <c r="V4649" s="10"/>
      <c r="W4649" s="138"/>
      <c r="Y4649"/>
      <c r="Z4649"/>
      <c r="AA4649"/>
      <c r="AB4649"/>
      <c r="AC4649"/>
      <c r="AD4649"/>
      <c r="AE4649"/>
      <c r="AF4649"/>
      <c r="AG4649"/>
      <c r="AH4649"/>
      <c r="AI4649"/>
      <c r="AJ4649"/>
      <c r="AK4649"/>
      <c r="AL4649"/>
      <c r="AM4649"/>
      <c r="AN4649"/>
      <c r="AO4649"/>
    </row>
    <row r="4650" spans="1:41" ht="15">
      <c r="A4650"/>
      <c r="B4650"/>
      <c r="C4650" s="137"/>
      <c r="D4650" s="30"/>
      <c r="E4650" s="30"/>
      <c r="F4650" s="10"/>
      <c r="G4650" s="10"/>
      <c r="H4650" s="15"/>
      <c r="I4650" s="15"/>
      <c r="J4650" s="15"/>
      <c r="K4650" s="15"/>
      <c r="L4650" s="15"/>
      <c r="M4650" s="15"/>
      <c r="N4650" s="15"/>
      <c r="O4650" s="15"/>
      <c r="P4650" s="15"/>
      <c r="Q4650" s="71"/>
      <c r="R4650" s="84"/>
      <c r="S4650" s="10"/>
      <c r="T4650" s="10"/>
      <c r="U4650" s="10"/>
      <c r="V4650" s="10"/>
      <c r="W4650" s="138"/>
      <c r="Y4650"/>
      <c r="Z4650"/>
      <c r="AA4650"/>
      <c r="AB4650"/>
      <c r="AC4650"/>
      <c r="AD4650"/>
      <c r="AE4650"/>
      <c r="AF4650"/>
      <c r="AG4650"/>
      <c r="AH4650"/>
      <c r="AI4650"/>
      <c r="AJ4650"/>
      <c r="AK4650"/>
      <c r="AL4650"/>
      <c r="AM4650"/>
      <c r="AN4650"/>
      <c r="AO4650"/>
    </row>
    <row r="4651" spans="1:41" ht="15">
      <c r="A4651"/>
      <c r="B4651"/>
      <c r="C4651" s="137"/>
      <c r="D4651" s="30"/>
      <c r="E4651" s="30"/>
      <c r="F4651" s="10"/>
      <c r="G4651" s="10"/>
      <c r="H4651" s="15"/>
      <c r="I4651" s="15"/>
      <c r="J4651" s="15"/>
      <c r="K4651" s="15"/>
      <c r="L4651" s="15"/>
      <c r="M4651" s="15"/>
      <c r="N4651" s="15"/>
      <c r="O4651" s="15"/>
      <c r="P4651" s="15"/>
      <c r="Q4651" s="71"/>
      <c r="R4651" s="84"/>
      <c r="S4651" s="10"/>
      <c r="T4651" s="10"/>
      <c r="U4651" s="10"/>
      <c r="V4651" s="10"/>
      <c r="W4651" s="138"/>
      <c r="Y4651"/>
      <c r="Z4651"/>
      <c r="AA4651"/>
      <c r="AB4651"/>
      <c r="AC4651"/>
      <c r="AD4651"/>
      <c r="AE4651"/>
      <c r="AF4651"/>
      <c r="AG4651"/>
      <c r="AH4651"/>
      <c r="AI4651"/>
      <c r="AJ4651"/>
      <c r="AK4651"/>
      <c r="AL4651"/>
      <c r="AM4651"/>
      <c r="AN4651"/>
      <c r="AO4651"/>
    </row>
    <row r="4652" spans="1:41" ht="15">
      <c r="A4652"/>
      <c r="B4652"/>
      <c r="C4652" s="137"/>
      <c r="D4652" s="30"/>
      <c r="E4652" s="30"/>
      <c r="F4652" s="10"/>
      <c r="G4652" s="10"/>
      <c r="H4652" s="15"/>
      <c r="I4652" s="15"/>
      <c r="J4652" s="15"/>
      <c r="K4652" s="15"/>
      <c r="L4652" s="15"/>
      <c r="M4652" s="15"/>
      <c r="N4652" s="15"/>
      <c r="O4652" s="15"/>
      <c r="P4652" s="15"/>
      <c r="Q4652" s="71"/>
      <c r="R4652" s="84"/>
      <c r="S4652" s="10"/>
      <c r="T4652" s="10"/>
      <c r="U4652" s="10"/>
      <c r="V4652" s="10"/>
      <c r="W4652" s="138"/>
      <c r="Y4652"/>
      <c r="Z4652"/>
      <c r="AA4652"/>
      <c r="AB4652"/>
      <c r="AC4652"/>
      <c r="AD4652"/>
      <c r="AE4652"/>
      <c r="AF4652"/>
      <c r="AG4652"/>
      <c r="AH4652"/>
      <c r="AI4652"/>
      <c r="AJ4652"/>
      <c r="AK4652"/>
      <c r="AL4652"/>
      <c r="AM4652"/>
      <c r="AN4652"/>
      <c r="AO4652"/>
    </row>
    <row r="4653" spans="1:41" ht="15">
      <c r="A4653"/>
      <c r="B4653"/>
      <c r="C4653" s="137"/>
      <c r="D4653" s="30"/>
      <c r="E4653" s="30"/>
      <c r="F4653" s="10"/>
      <c r="G4653" s="10"/>
      <c r="H4653" s="15"/>
      <c r="I4653" s="15"/>
      <c r="J4653" s="15"/>
      <c r="K4653" s="15"/>
      <c r="L4653" s="15"/>
      <c r="M4653" s="15"/>
      <c r="N4653" s="15"/>
      <c r="O4653" s="15"/>
      <c r="P4653" s="15"/>
      <c r="Q4653" s="71"/>
      <c r="R4653" s="84"/>
      <c r="S4653" s="10"/>
      <c r="T4653" s="10"/>
      <c r="U4653" s="10"/>
      <c r="V4653" s="10"/>
      <c r="W4653" s="138"/>
      <c r="Y4653"/>
      <c r="Z4653"/>
      <c r="AA4653"/>
      <c r="AB4653"/>
      <c r="AC4653"/>
      <c r="AD4653"/>
      <c r="AE4653"/>
      <c r="AF4653"/>
      <c r="AG4653"/>
      <c r="AH4653"/>
      <c r="AI4653"/>
      <c r="AJ4653"/>
      <c r="AK4653"/>
      <c r="AL4653"/>
      <c r="AM4653"/>
      <c r="AN4653"/>
      <c r="AO4653"/>
    </row>
    <row r="4654" spans="1:41" ht="15">
      <c r="A4654"/>
      <c r="B4654"/>
      <c r="C4654" s="137"/>
      <c r="D4654" s="30"/>
      <c r="E4654" s="30"/>
      <c r="F4654" s="10"/>
      <c r="G4654" s="10"/>
      <c r="H4654" s="15"/>
      <c r="I4654" s="15"/>
      <c r="J4654" s="15"/>
      <c r="K4654" s="15"/>
      <c r="L4654" s="15"/>
      <c r="M4654" s="15"/>
      <c r="N4654" s="15"/>
      <c r="O4654" s="15"/>
      <c r="P4654" s="15"/>
      <c r="Q4654" s="71"/>
      <c r="R4654" s="84"/>
      <c r="S4654" s="10"/>
      <c r="T4654" s="10"/>
      <c r="U4654" s="10"/>
      <c r="V4654" s="10"/>
      <c r="W4654" s="138"/>
      <c r="Y4654"/>
      <c r="Z4654"/>
      <c r="AA4654"/>
      <c r="AB4654"/>
      <c r="AC4654"/>
      <c r="AD4654"/>
      <c r="AE4654"/>
      <c r="AF4654"/>
      <c r="AG4654"/>
      <c r="AH4654"/>
      <c r="AI4654"/>
      <c r="AJ4654"/>
      <c r="AK4654"/>
      <c r="AL4654"/>
      <c r="AM4654"/>
      <c r="AN4654"/>
      <c r="AO4654"/>
    </row>
    <row r="4655" spans="1:41" ht="15">
      <c r="A4655"/>
      <c r="B4655"/>
      <c r="C4655" s="137"/>
      <c r="D4655" s="30"/>
      <c r="E4655" s="30"/>
      <c r="F4655" s="10"/>
      <c r="G4655" s="10"/>
      <c r="H4655" s="15"/>
      <c r="I4655" s="15"/>
      <c r="J4655" s="15"/>
      <c r="K4655" s="15"/>
      <c r="L4655" s="15"/>
      <c r="M4655" s="15"/>
      <c r="N4655" s="15"/>
      <c r="O4655" s="15"/>
      <c r="P4655" s="15"/>
      <c r="Q4655" s="71"/>
      <c r="R4655" s="84"/>
      <c r="S4655" s="10"/>
      <c r="T4655" s="10"/>
      <c r="U4655" s="10"/>
      <c r="V4655" s="10"/>
      <c r="W4655" s="138"/>
      <c r="Y4655"/>
      <c r="Z4655"/>
      <c r="AA4655"/>
      <c r="AB4655"/>
      <c r="AC4655"/>
      <c r="AD4655"/>
      <c r="AE4655"/>
      <c r="AF4655"/>
      <c r="AG4655"/>
      <c r="AH4655"/>
      <c r="AI4655"/>
      <c r="AJ4655"/>
      <c r="AK4655"/>
      <c r="AL4655"/>
      <c r="AM4655"/>
      <c r="AN4655"/>
      <c r="AO4655"/>
    </row>
    <row r="4656" spans="1:41" ht="15">
      <c r="A4656"/>
      <c r="B4656"/>
      <c r="C4656" s="137"/>
      <c r="D4656" s="30"/>
      <c r="E4656" s="30"/>
      <c r="F4656" s="10"/>
      <c r="G4656" s="10"/>
      <c r="H4656" s="15"/>
      <c r="I4656" s="15"/>
      <c r="J4656" s="15"/>
      <c r="K4656" s="15"/>
      <c r="L4656" s="15"/>
      <c r="M4656" s="15"/>
      <c r="N4656" s="15"/>
      <c r="O4656" s="15"/>
      <c r="P4656" s="15"/>
      <c r="Q4656" s="71"/>
      <c r="R4656" s="84"/>
      <c r="S4656" s="10"/>
      <c r="T4656" s="10"/>
      <c r="U4656" s="10"/>
      <c r="V4656" s="10"/>
      <c r="W4656" s="138"/>
      <c r="Y4656"/>
      <c r="Z4656"/>
      <c r="AA4656"/>
      <c r="AB4656"/>
      <c r="AC4656"/>
      <c r="AD4656"/>
      <c r="AE4656"/>
      <c r="AF4656"/>
      <c r="AG4656"/>
      <c r="AH4656"/>
      <c r="AI4656"/>
      <c r="AJ4656"/>
      <c r="AK4656"/>
      <c r="AL4656"/>
      <c r="AM4656"/>
      <c r="AN4656"/>
      <c r="AO4656"/>
    </row>
    <row r="4657" spans="1:41" ht="15">
      <c r="A4657"/>
      <c r="B4657"/>
      <c r="C4657" s="137"/>
      <c r="D4657" s="30"/>
      <c r="E4657" s="30"/>
      <c r="F4657" s="10"/>
      <c r="G4657" s="10"/>
      <c r="H4657" s="15"/>
      <c r="I4657" s="15"/>
      <c r="J4657" s="15"/>
      <c r="K4657" s="15"/>
      <c r="L4657" s="15"/>
      <c r="M4657" s="15"/>
      <c r="N4657" s="15"/>
      <c r="O4657" s="15"/>
      <c r="P4657" s="15"/>
      <c r="Q4657" s="71"/>
      <c r="R4657" s="84"/>
      <c r="S4657" s="10"/>
      <c r="T4657" s="10"/>
      <c r="U4657" s="10"/>
      <c r="V4657" s="10"/>
      <c r="W4657" s="138"/>
      <c r="Y4657"/>
      <c r="Z4657"/>
      <c r="AA4657"/>
      <c r="AB4657"/>
      <c r="AC4657"/>
      <c r="AD4657"/>
      <c r="AE4657"/>
      <c r="AF4657"/>
      <c r="AG4657"/>
      <c r="AH4657"/>
      <c r="AI4657"/>
      <c r="AJ4657"/>
      <c r="AK4657"/>
      <c r="AL4657"/>
      <c r="AM4657"/>
      <c r="AN4657"/>
      <c r="AO4657"/>
    </row>
    <row r="4658" spans="1:41" ht="15">
      <c r="A4658"/>
      <c r="B4658"/>
      <c r="C4658" s="137"/>
      <c r="D4658" s="30"/>
      <c r="E4658" s="30"/>
      <c r="F4658" s="10"/>
      <c r="G4658" s="10"/>
      <c r="H4658" s="15"/>
      <c r="I4658" s="15"/>
      <c r="J4658" s="15"/>
      <c r="K4658" s="15"/>
      <c r="L4658" s="15"/>
      <c r="M4658" s="15"/>
      <c r="N4658" s="15"/>
      <c r="O4658" s="15"/>
      <c r="P4658" s="15"/>
      <c r="Q4658" s="71"/>
      <c r="R4658" s="84"/>
      <c r="S4658" s="10"/>
      <c r="T4658" s="10"/>
      <c r="U4658" s="10"/>
      <c r="V4658" s="10"/>
      <c r="W4658" s="138"/>
      <c r="Y4658"/>
      <c r="Z4658"/>
      <c r="AA4658"/>
      <c r="AB4658"/>
      <c r="AC4658"/>
      <c r="AD4658"/>
      <c r="AE4658"/>
      <c r="AF4658"/>
      <c r="AG4658"/>
      <c r="AH4658"/>
      <c r="AI4658"/>
      <c r="AJ4658"/>
      <c r="AK4658"/>
      <c r="AL4658"/>
      <c r="AM4658"/>
      <c r="AN4658"/>
      <c r="AO4658"/>
    </row>
    <row r="4659" spans="1:41" ht="15">
      <c r="A4659"/>
      <c r="B4659"/>
      <c r="C4659" s="137"/>
      <c r="D4659" s="30"/>
      <c r="E4659" s="30"/>
      <c r="F4659" s="10"/>
      <c r="G4659" s="10"/>
      <c r="H4659" s="15"/>
      <c r="I4659" s="15"/>
      <c r="J4659" s="15"/>
      <c r="K4659" s="15"/>
      <c r="L4659" s="15"/>
      <c r="M4659" s="15"/>
      <c r="N4659" s="15"/>
      <c r="O4659" s="15"/>
      <c r="P4659" s="15"/>
      <c r="Q4659" s="71"/>
      <c r="R4659" s="84"/>
      <c r="S4659" s="10"/>
      <c r="T4659" s="10"/>
      <c r="U4659" s="10"/>
      <c r="V4659" s="10"/>
      <c r="W4659" s="138"/>
      <c r="Y4659"/>
      <c r="Z4659"/>
      <c r="AA4659"/>
      <c r="AB4659"/>
      <c r="AC4659"/>
      <c r="AD4659"/>
      <c r="AE4659"/>
      <c r="AF4659"/>
      <c r="AG4659"/>
      <c r="AH4659"/>
      <c r="AI4659"/>
      <c r="AJ4659"/>
      <c r="AK4659"/>
      <c r="AL4659"/>
      <c r="AM4659"/>
      <c r="AN4659"/>
      <c r="AO4659"/>
    </row>
    <row r="4660" spans="1:41" ht="15">
      <c r="A4660"/>
      <c r="B4660"/>
      <c r="C4660" s="137"/>
      <c r="D4660" s="30"/>
      <c r="E4660" s="30"/>
      <c r="F4660" s="10"/>
      <c r="G4660" s="10"/>
      <c r="H4660" s="15"/>
      <c r="I4660" s="15"/>
      <c r="J4660" s="15"/>
      <c r="K4660" s="15"/>
      <c r="L4660" s="15"/>
      <c r="M4660" s="15"/>
      <c r="N4660" s="15"/>
      <c r="O4660" s="15"/>
      <c r="P4660" s="15"/>
      <c r="Q4660" s="71"/>
      <c r="R4660" s="84"/>
      <c r="S4660" s="10"/>
      <c r="T4660" s="10"/>
      <c r="U4660" s="10"/>
      <c r="V4660" s="10"/>
      <c r="W4660" s="138"/>
      <c r="Y4660"/>
      <c r="Z4660"/>
      <c r="AA4660"/>
      <c r="AB4660"/>
      <c r="AC4660"/>
      <c r="AD4660"/>
      <c r="AE4660"/>
      <c r="AF4660"/>
      <c r="AG4660"/>
      <c r="AH4660"/>
      <c r="AI4660"/>
      <c r="AJ4660"/>
      <c r="AK4660"/>
      <c r="AL4660"/>
      <c r="AM4660"/>
      <c r="AN4660"/>
      <c r="AO4660"/>
    </row>
    <row r="4661" spans="1:41" ht="15">
      <c r="A4661"/>
      <c r="B4661"/>
      <c r="C4661" s="137"/>
      <c r="D4661" s="30"/>
      <c r="E4661" s="30"/>
      <c r="F4661" s="10"/>
      <c r="G4661" s="10"/>
      <c r="H4661" s="15"/>
      <c r="I4661" s="15"/>
      <c r="J4661" s="15"/>
      <c r="K4661" s="15"/>
      <c r="L4661" s="15"/>
      <c r="M4661" s="15"/>
      <c r="N4661" s="15"/>
      <c r="O4661" s="15"/>
      <c r="P4661" s="15"/>
      <c r="Q4661" s="71"/>
      <c r="R4661" s="84"/>
      <c r="S4661" s="10"/>
      <c r="T4661" s="10"/>
      <c r="U4661" s="10"/>
      <c r="V4661" s="10"/>
      <c r="W4661" s="138"/>
      <c r="Y4661"/>
      <c r="Z4661"/>
      <c r="AA4661"/>
      <c r="AB4661"/>
      <c r="AC4661"/>
      <c r="AD4661"/>
      <c r="AE4661"/>
      <c r="AF4661"/>
      <c r="AG4661"/>
      <c r="AH4661"/>
      <c r="AI4661"/>
      <c r="AJ4661"/>
      <c r="AK4661"/>
      <c r="AL4661"/>
      <c r="AM4661"/>
      <c r="AN4661"/>
      <c r="AO4661"/>
    </row>
    <row r="4662" spans="1:41" ht="15">
      <c r="A4662"/>
      <c r="B4662"/>
      <c r="C4662" s="137"/>
      <c r="D4662" s="30"/>
      <c r="E4662" s="30"/>
      <c r="F4662" s="10"/>
      <c r="G4662" s="10"/>
      <c r="H4662" s="15"/>
      <c r="I4662" s="15"/>
      <c r="J4662" s="15"/>
      <c r="K4662" s="15"/>
      <c r="L4662" s="15"/>
      <c r="M4662" s="15"/>
      <c r="N4662" s="15"/>
      <c r="O4662" s="15"/>
      <c r="P4662" s="15"/>
      <c r="Q4662" s="71"/>
      <c r="R4662" s="84"/>
      <c r="S4662" s="10"/>
      <c r="T4662" s="10"/>
      <c r="U4662" s="10"/>
      <c r="V4662" s="10"/>
      <c r="W4662" s="138"/>
      <c r="Y4662"/>
      <c r="Z4662"/>
      <c r="AA4662"/>
      <c r="AB4662"/>
      <c r="AC4662"/>
      <c r="AD4662"/>
      <c r="AE4662"/>
      <c r="AF4662"/>
      <c r="AG4662"/>
      <c r="AH4662"/>
      <c r="AI4662"/>
      <c r="AJ4662"/>
      <c r="AK4662"/>
      <c r="AL4662"/>
      <c r="AM4662"/>
      <c r="AN4662"/>
      <c r="AO4662"/>
    </row>
    <row r="4663" spans="1:41" ht="15">
      <c r="A4663"/>
      <c r="B4663"/>
      <c r="C4663" s="137"/>
      <c r="D4663" s="30"/>
      <c r="E4663" s="30"/>
      <c r="F4663" s="10"/>
      <c r="G4663" s="10"/>
      <c r="H4663" s="15"/>
      <c r="I4663" s="15"/>
      <c r="J4663" s="15"/>
      <c r="K4663" s="15"/>
      <c r="L4663" s="15"/>
      <c r="M4663" s="15"/>
      <c r="N4663" s="15"/>
      <c r="O4663" s="15"/>
      <c r="P4663" s="15"/>
      <c r="Q4663" s="71"/>
      <c r="R4663" s="84"/>
      <c r="S4663" s="10"/>
      <c r="T4663" s="10"/>
      <c r="U4663" s="10"/>
      <c r="V4663" s="10"/>
      <c r="W4663" s="138"/>
      <c r="Y4663"/>
      <c r="Z4663"/>
      <c r="AA4663"/>
      <c r="AB4663"/>
      <c r="AC4663"/>
      <c r="AD4663"/>
      <c r="AE4663"/>
      <c r="AF4663"/>
      <c r="AG4663"/>
      <c r="AH4663"/>
      <c r="AI4663"/>
      <c r="AJ4663"/>
      <c r="AK4663"/>
      <c r="AL4663"/>
      <c r="AM4663"/>
      <c r="AN4663"/>
      <c r="AO4663"/>
    </row>
    <row r="4664" spans="1:41" ht="15">
      <c r="A4664"/>
      <c r="B4664"/>
      <c r="C4664" s="137"/>
      <c r="D4664" s="30"/>
      <c r="E4664" s="30"/>
      <c r="F4664" s="10"/>
      <c r="G4664" s="10"/>
      <c r="H4664" s="15"/>
      <c r="I4664" s="15"/>
      <c r="J4664" s="15"/>
      <c r="K4664" s="15"/>
      <c r="L4664" s="15"/>
      <c r="M4664" s="15"/>
      <c r="N4664" s="15"/>
      <c r="O4664" s="15"/>
      <c r="P4664" s="15"/>
      <c r="Q4664" s="71"/>
      <c r="R4664" s="84"/>
      <c r="S4664" s="10"/>
      <c r="T4664" s="10"/>
      <c r="U4664" s="10"/>
      <c r="V4664" s="10"/>
      <c r="W4664" s="138"/>
      <c r="Y4664"/>
      <c r="Z4664"/>
      <c r="AA4664"/>
      <c r="AB4664"/>
      <c r="AC4664"/>
      <c r="AD4664"/>
      <c r="AE4664"/>
      <c r="AF4664"/>
      <c r="AG4664"/>
      <c r="AH4664"/>
      <c r="AI4664"/>
      <c r="AJ4664"/>
      <c r="AK4664"/>
      <c r="AL4664"/>
      <c r="AM4664"/>
      <c r="AN4664"/>
      <c r="AO4664"/>
    </row>
    <row r="4665" spans="1:41" ht="15">
      <c r="A4665"/>
      <c r="B4665"/>
      <c r="C4665" s="137"/>
      <c r="D4665" s="30"/>
      <c r="E4665" s="30"/>
      <c r="F4665" s="10"/>
      <c r="G4665" s="10"/>
      <c r="H4665" s="15"/>
      <c r="I4665" s="15"/>
      <c r="J4665" s="15"/>
      <c r="K4665" s="15"/>
      <c r="L4665" s="15"/>
      <c r="M4665" s="15"/>
      <c r="N4665" s="15"/>
      <c r="O4665" s="15"/>
      <c r="P4665" s="15"/>
      <c r="Q4665" s="71"/>
      <c r="R4665" s="84"/>
      <c r="S4665" s="10"/>
      <c r="T4665" s="10"/>
      <c r="U4665" s="10"/>
      <c r="V4665" s="10"/>
      <c r="W4665" s="138"/>
      <c r="Y4665"/>
      <c r="Z4665"/>
      <c r="AA4665"/>
      <c r="AB4665"/>
      <c r="AC4665"/>
      <c r="AD4665"/>
      <c r="AE4665"/>
      <c r="AF4665"/>
      <c r="AG4665"/>
      <c r="AH4665"/>
      <c r="AI4665"/>
      <c r="AJ4665"/>
      <c r="AK4665"/>
      <c r="AL4665"/>
      <c r="AM4665"/>
      <c r="AN4665"/>
      <c r="AO4665"/>
    </row>
    <row r="4666" spans="1:41" ht="15">
      <c r="A4666"/>
      <c r="B4666"/>
      <c r="C4666" s="137"/>
      <c r="D4666" s="30"/>
      <c r="E4666" s="30"/>
      <c r="F4666" s="10"/>
      <c r="G4666" s="10"/>
      <c r="H4666" s="15"/>
      <c r="I4666" s="15"/>
      <c r="J4666" s="15"/>
      <c r="K4666" s="15"/>
      <c r="L4666" s="15"/>
      <c r="M4666" s="15"/>
      <c r="N4666" s="15"/>
      <c r="O4666" s="15"/>
      <c r="P4666" s="15"/>
      <c r="Q4666" s="71"/>
      <c r="R4666" s="84"/>
      <c r="S4666" s="10"/>
      <c r="T4666" s="10"/>
      <c r="U4666" s="10"/>
      <c r="V4666" s="10"/>
      <c r="W4666" s="138"/>
      <c r="Y4666"/>
      <c r="Z4666"/>
      <c r="AA4666"/>
      <c r="AB4666"/>
      <c r="AC4666"/>
      <c r="AD4666"/>
      <c r="AE4666"/>
      <c r="AF4666"/>
      <c r="AG4666"/>
      <c r="AH4666"/>
      <c r="AI4666"/>
      <c r="AJ4666"/>
      <c r="AK4666"/>
      <c r="AL4666"/>
      <c r="AM4666"/>
      <c r="AN4666"/>
      <c r="AO4666"/>
    </row>
    <row r="4667" spans="1:41" ht="15">
      <c r="A4667"/>
      <c r="B4667"/>
      <c r="C4667" s="137"/>
      <c r="D4667" s="30"/>
      <c r="E4667" s="30"/>
      <c r="F4667" s="10"/>
      <c r="G4667" s="10"/>
      <c r="H4667" s="15"/>
      <c r="I4667" s="15"/>
      <c r="J4667" s="15"/>
      <c r="K4667" s="15"/>
      <c r="L4667" s="15"/>
      <c r="M4667" s="15"/>
      <c r="N4667" s="15"/>
      <c r="O4667" s="15"/>
      <c r="P4667" s="15"/>
      <c r="Q4667" s="71"/>
      <c r="R4667" s="84"/>
      <c r="S4667" s="10"/>
      <c r="T4667" s="10"/>
      <c r="U4667" s="10"/>
      <c r="V4667" s="10"/>
      <c r="W4667" s="138"/>
      <c r="Y4667"/>
      <c r="Z4667"/>
      <c r="AA4667"/>
      <c r="AB4667"/>
      <c r="AC4667"/>
      <c r="AD4667"/>
      <c r="AE4667"/>
      <c r="AF4667"/>
      <c r="AG4667"/>
      <c r="AH4667"/>
      <c r="AI4667"/>
      <c r="AJ4667"/>
      <c r="AK4667"/>
      <c r="AL4667"/>
      <c r="AM4667"/>
      <c r="AN4667"/>
      <c r="AO4667"/>
    </row>
    <row r="4668" spans="1:41" ht="15">
      <c r="A4668"/>
      <c r="B4668"/>
      <c r="C4668" s="137"/>
      <c r="D4668" s="30"/>
      <c r="E4668" s="30"/>
      <c r="F4668" s="10"/>
      <c r="G4668" s="10"/>
      <c r="H4668" s="15"/>
      <c r="I4668" s="15"/>
      <c r="J4668" s="15"/>
      <c r="K4668" s="15"/>
      <c r="L4668" s="15"/>
      <c r="M4668" s="15"/>
      <c r="N4668" s="15"/>
      <c r="O4668" s="15"/>
      <c r="P4668" s="15"/>
      <c r="Q4668" s="71"/>
      <c r="R4668" s="84"/>
      <c r="S4668" s="10"/>
      <c r="T4668" s="10"/>
      <c r="U4668" s="10"/>
      <c r="V4668" s="10"/>
      <c r="W4668" s="138"/>
      <c r="Y4668"/>
      <c r="Z4668"/>
      <c r="AA4668"/>
      <c r="AB4668"/>
      <c r="AC4668"/>
      <c r="AD4668"/>
      <c r="AE4668"/>
      <c r="AF4668"/>
      <c r="AG4668"/>
      <c r="AH4668"/>
      <c r="AI4668"/>
      <c r="AJ4668"/>
      <c r="AK4668"/>
      <c r="AL4668"/>
      <c r="AM4668"/>
      <c r="AN4668"/>
      <c r="AO4668"/>
    </row>
    <row r="4669" spans="1:41" ht="15">
      <c r="A4669"/>
      <c r="B4669"/>
      <c r="C4669" s="137"/>
      <c r="D4669" s="30"/>
      <c r="E4669" s="30"/>
      <c r="F4669" s="10"/>
      <c r="G4669" s="10"/>
      <c r="H4669" s="15"/>
      <c r="I4669" s="15"/>
      <c r="J4669" s="15"/>
      <c r="K4669" s="15"/>
      <c r="L4669" s="15"/>
      <c r="M4669" s="15"/>
      <c r="N4669" s="15"/>
      <c r="O4669" s="15"/>
      <c r="P4669" s="15"/>
      <c r="Q4669" s="71"/>
      <c r="R4669" s="84"/>
      <c r="S4669" s="10"/>
      <c r="T4669" s="10"/>
      <c r="U4669" s="10"/>
      <c r="V4669" s="10"/>
      <c r="W4669" s="138"/>
      <c r="Y4669"/>
      <c r="Z4669"/>
      <c r="AA4669"/>
      <c r="AB4669"/>
      <c r="AC4669"/>
      <c r="AD4669"/>
      <c r="AE4669"/>
      <c r="AF4669"/>
      <c r="AG4669"/>
      <c r="AH4669"/>
      <c r="AI4669"/>
      <c r="AJ4669"/>
      <c r="AK4669"/>
      <c r="AL4669"/>
      <c r="AM4669"/>
      <c r="AN4669"/>
      <c r="AO4669"/>
    </row>
    <row r="4670" spans="1:41" ht="15">
      <c r="A4670"/>
      <c r="B4670"/>
      <c r="C4670" s="137"/>
      <c r="D4670" s="30"/>
      <c r="E4670" s="30"/>
      <c r="F4670" s="10"/>
      <c r="G4670" s="10"/>
      <c r="H4670" s="15"/>
      <c r="I4670" s="15"/>
      <c r="J4670" s="15"/>
      <c r="K4670" s="15"/>
      <c r="L4670" s="15"/>
      <c r="M4670" s="15"/>
      <c r="N4670" s="15"/>
      <c r="O4670" s="15"/>
      <c r="P4670" s="15"/>
      <c r="Q4670" s="71"/>
      <c r="R4670" s="84"/>
      <c r="S4670" s="10"/>
      <c r="T4670" s="10"/>
      <c r="U4670" s="10"/>
      <c r="V4670" s="10"/>
      <c r="W4670" s="138"/>
      <c r="Y4670"/>
      <c r="Z4670"/>
      <c r="AA4670"/>
      <c r="AB4670"/>
      <c r="AC4670"/>
      <c r="AD4670"/>
      <c r="AE4670"/>
      <c r="AF4670"/>
      <c r="AG4670"/>
      <c r="AH4670"/>
      <c r="AI4670"/>
      <c r="AJ4670"/>
      <c r="AK4670"/>
      <c r="AL4670"/>
      <c r="AM4670"/>
      <c r="AN4670"/>
      <c r="AO4670"/>
    </row>
    <row r="4671" spans="1:41" ht="15">
      <c r="A4671"/>
      <c r="B4671"/>
      <c r="C4671" s="137"/>
      <c r="D4671" s="30"/>
      <c r="E4671" s="30"/>
      <c r="F4671" s="10"/>
      <c r="G4671" s="10"/>
      <c r="H4671" s="15"/>
      <c r="I4671" s="15"/>
      <c r="J4671" s="15"/>
      <c r="K4671" s="15"/>
      <c r="L4671" s="15"/>
      <c r="M4671" s="15"/>
      <c r="N4671" s="15"/>
      <c r="O4671" s="15"/>
      <c r="P4671" s="15"/>
      <c r="Q4671" s="71"/>
      <c r="R4671" s="84"/>
      <c r="S4671" s="10"/>
      <c r="T4671" s="10"/>
      <c r="U4671" s="10"/>
      <c r="V4671" s="10"/>
      <c r="W4671" s="138"/>
      <c r="Y4671"/>
      <c r="Z4671"/>
      <c r="AA4671"/>
      <c r="AB4671"/>
      <c r="AC4671"/>
      <c r="AD4671"/>
      <c r="AE4671"/>
      <c r="AF4671"/>
      <c r="AG4671"/>
      <c r="AH4671"/>
      <c r="AI4671"/>
      <c r="AJ4671"/>
      <c r="AK4671"/>
      <c r="AL4671"/>
      <c r="AM4671"/>
      <c r="AN4671"/>
      <c r="AO4671"/>
    </row>
    <row r="4672" spans="1:41" ht="15">
      <c r="A4672"/>
      <c r="B4672"/>
      <c r="C4672" s="137"/>
      <c r="D4672" s="30"/>
      <c r="E4672" s="30"/>
      <c r="F4672" s="10"/>
      <c r="G4672" s="10"/>
      <c r="H4672" s="15"/>
      <c r="I4672" s="15"/>
      <c r="J4672" s="15"/>
      <c r="K4672" s="15"/>
      <c r="L4672" s="15"/>
      <c r="M4672" s="15"/>
      <c r="N4672" s="15"/>
      <c r="O4672" s="15"/>
      <c r="P4672" s="15"/>
      <c r="Q4672" s="71"/>
      <c r="R4672" s="84"/>
      <c r="S4672" s="10"/>
      <c r="T4672" s="10"/>
      <c r="U4672" s="10"/>
      <c r="V4672" s="10"/>
      <c r="W4672" s="138"/>
      <c r="Y4672"/>
      <c r="Z4672"/>
      <c r="AA4672"/>
      <c r="AB4672"/>
      <c r="AC4672"/>
      <c r="AD4672"/>
      <c r="AE4672"/>
      <c r="AF4672"/>
      <c r="AG4672"/>
      <c r="AH4672"/>
      <c r="AI4672"/>
      <c r="AJ4672"/>
      <c r="AK4672"/>
      <c r="AL4672"/>
      <c r="AM4672"/>
      <c r="AN4672"/>
      <c r="AO4672"/>
    </row>
    <row r="4673" spans="1:41" ht="15">
      <c r="A4673"/>
      <c r="B4673"/>
      <c r="C4673" s="137"/>
      <c r="D4673" s="30"/>
      <c r="E4673" s="30"/>
      <c r="F4673" s="10"/>
      <c r="G4673" s="10"/>
      <c r="H4673" s="15"/>
      <c r="I4673" s="15"/>
      <c r="J4673" s="15"/>
      <c r="K4673" s="15"/>
      <c r="L4673" s="15"/>
      <c r="M4673" s="15"/>
      <c r="N4673" s="15"/>
      <c r="O4673" s="15"/>
      <c r="P4673" s="15"/>
      <c r="Q4673" s="71"/>
      <c r="R4673" s="84"/>
      <c r="S4673" s="10"/>
      <c r="T4673" s="10"/>
      <c r="U4673" s="10"/>
      <c r="V4673" s="10"/>
      <c r="W4673" s="138"/>
      <c r="Y4673"/>
      <c r="Z4673"/>
      <c r="AA4673"/>
      <c r="AB4673"/>
      <c r="AC4673"/>
      <c r="AD4673"/>
      <c r="AE4673"/>
      <c r="AF4673"/>
      <c r="AG4673"/>
      <c r="AH4673"/>
      <c r="AI4673"/>
      <c r="AJ4673"/>
      <c r="AK4673"/>
      <c r="AL4673"/>
      <c r="AM4673"/>
      <c r="AN4673"/>
      <c r="AO4673"/>
    </row>
    <row r="4674" spans="1:41" ht="15">
      <c r="A4674"/>
      <c r="B4674"/>
      <c r="C4674" s="137"/>
      <c r="D4674" s="30"/>
      <c r="E4674" s="30"/>
      <c r="F4674" s="10"/>
      <c r="G4674" s="10"/>
      <c r="H4674" s="15"/>
      <c r="I4674" s="15"/>
      <c r="J4674" s="15"/>
      <c r="K4674" s="15"/>
      <c r="L4674" s="15"/>
      <c r="M4674" s="15"/>
      <c r="N4674" s="15"/>
      <c r="O4674" s="15"/>
      <c r="P4674" s="15"/>
      <c r="Q4674" s="71"/>
      <c r="R4674" s="84"/>
      <c r="S4674" s="10"/>
      <c r="T4674" s="10"/>
      <c r="U4674" s="10"/>
      <c r="V4674" s="10"/>
      <c r="W4674" s="138"/>
      <c r="Y4674"/>
      <c r="Z4674"/>
      <c r="AA4674"/>
      <c r="AB4674"/>
      <c r="AC4674"/>
      <c r="AD4674"/>
      <c r="AE4674"/>
      <c r="AF4674"/>
      <c r="AG4674"/>
      <c r="AH4674"/>
      <c r="AI4674"/>
      <c r="AJ4674"/>
      <c r="AK4674"/>
      <c r="AL4674"/>
      <c r="AM4674"/>
      <c r="AN4674"/>
      <c r="AO4674"/>
    </row>
    <row r="4675" spans="1:41" ht="15">
      <c r="A4675"/>
      <c r="B4675"/>
      <c r="C4675" s="137"/>
      <c r="D4675" s="30"/>
      <c r="E4675" s="30"/>
      <c r="F4675" s="10"/>
      <c r="G4675" s="10"/>
      <c r="H4675" s="15"/>
      <c r="I4675" s="15"/>
      <c r="J4675" s="15"/>
      <c r="K4675" s="15"/>
      <c r="L4675" s="15"/>
      <c r="M4675" s="15"/>
      <c r="N4675" s="15"/>
      <c r="O4675" s="15"/>
      <c r="P4675" s="15"/>
      <c r="Q4675" s="71"/>
      <c r="R4675" s="84"/>
      <c r="S4675" s="10"/>
      <c r="T4675" s="10"/>
      <c r="U4675" s="10"/>
      <c r="V4675" s="10"/>
      <c r="W4675" s="138"/>
      <c r="Y4675"/>
      <c r="Z4675"/>
      <c r="AA4675"/>
      <c r="AB4675"/>
      <c r="AC4675"/>
      <c r="AD4675"/>
      <c r="AE4675"/>
      <c r="AF4675"/>
      <c r="AG4675"/>
      <c r="AH4675"/>
      <c r="AI4675"/>
      <c r="AJ4675"/>
      <c r="AK4675"/>
      <c r="AL4675"/>
      <c r="AM4675"/>
      <c r="AN4675"/>
      <c r="AO4675"/>
    </row>
    <row r="4676" spans="1:41" ht="15">
      <c r="A4676"/>
      <c r="B4676"/>
      <c r="C4676" s="137"/>
      <c r="D4676" s="30"/>
      <c r="E4676" s="30"/>
      <c r="F4676" s="10"/>
      <c r="G4676" s="10"/>
      <c r="H4676" s="15"/>
      <c r="I4676" s="15"/>
      <c r="J4676" s="15"/>
      <c r="K4676" s="15"/>
      <c r="L4676" s="15"/>
      <c r="M4676" s="15"/>
      <c r="N4676" s="15"/>
      <c r="O4676" s="15"/>
      <c r="P4676" s="15"/>
      <c r="Q4676" s="71"/>
      <c r="R4676" s="84"/>
      <c r="S4676" s="10"/>
      <c r="T4676" s="10"/>
      <c r="U4676" s="10"/>
      <c r="V4676" s="10"/>
      <c r="W4676" s="138"/>
      <c r="Y4676"/>
      <c r="Z4676"/>
      <c r="AA4676"/>
      <c r="AB4676"/>
      <c r="AC4676"/>
      <c r="AD4676"/>
      <c r="AE4676"/>
      <c r="AF4676"/>
      <c r="AG4676"/>
      <c r="AH4676"/>
      <c r="AI4676"/>
      <c r="AJ4676"/>
      <c r="AK4676"/>
      <c r="AL4676"/>
      <c r="AM4676"/>
      <c r="AN4676"/>
      <c r="AO4676"/>
    </row>
    <row r="4677" spans="1:41" ht="15">
      <c r="A4677"/>
      <c r="B4677"/>
      <c r="C4677" s="137"/>
      <c r="D4677" s="30"/>
      <c r="E4677" s="30"/>
      <c r="F4677" s="10"/>
      <c r="G4677" s="10"/>
      <c r="H4677" s="15"/>
      <c r="I4677" s="15"/>
      <c r="J4677" s="15"/>
      <c r="K4677" s="15"/>
      <c r="L4677" s="15"/>
      <c r="M4677" s="15"/>
      <c r="N4677" s="15"/>
      <c r="O4677" s="15"/>
      <c r="P4677" s="15"/>
      <c r="Q4677" s="71"/>
      <c r="R4677" s="84"/>
      <c r="S4677" s="10"/>
      <c r="T4677" s="10"/>
      <c r="U4677" s="10"/>
      <c r="V4677" s="10"/>
      <c r="W4677" s="138"/>
      <c r="Y4677"/>
      <c r="Z4677"/>
      <c r="AA4677"/>
      <c r="AB4677"/>
      <c r="AC4677"/>
      <c r="AD4677"/>
      <c r="AE4677"/>
      <c r="AF4677"/>
      <c r="AG4677"/>
      <c r="AH4677"/>
      <c r="AI4677"/>
      <c r="AJ4677"/>
      <c r="AK4677"/>
      <c r="AL4677"/>
      <c r="AM4677"/>
      <c r="AN4677"/>
      <c r="AO4677"/>
    </row>
    <row r="4678" spans="1:41" ht="15">
      <c r="A4678"/>
      <c r="B4678"/>
      <c r="C4678" s="137"/>
      <c r="D4678" s="30"/>
      <c r="E4678" s="30"/>
      <c r="F4678" s="10"/>
      <c r="G4678" s="10"/>
      <c r="H4678" s="15"/>
      <c r="I4678" s="15"/>
      <c r="J4678" s="15"/>
      <c r="K4678" s="15"/>
      <c r="L4678" s="15"/>
      <c r="M4678" s="15"/>
      <c r="N4678" s="15"/>
      <c r="O4678" s="15"/>
      <c r="P4678" s="15"/>
      <c r="Q4678" s="71"/>
      <c r="R4678" s="84"/>
      <c r="S4678" s="10"/>
      <c r="T4678" s="10"/>
      <c r="U4678" s="10"/>
      <c r="V4678" s="10"/>
      <c r="W4678" s="138"/>
      <c r="Y4678"/>
      <c r="Z4678"/>
      <c r="AA4678"/>
      <c r="AB4678"/>
      <c r="AC4678"/>
      <c r="AD4678"/>
      <c r="AE4678"/>
      <c r="AF4678"/>
      <c r="AG4678"/>
      <c r="AH4678"/>
      <c r="AI4678"/>
      <c r="AJ4678"/>
      <c r="AK4678"/>
      <c r="AL4678"/>
      <c r="AM4678"/>
      <c r="AN4678"/>
      <c r="AO4678"/>
    </row>
    <row r="4679" spans="1:41" ht="15">
      <c r="A4679"/>
      <c r="B4679"/>
      <c r="C4679" s="137"/>
      <c r="D4679" s="30"/>
      <c r="E4679" s="30"/>
      <c r="F4679" s="10"/>
      <c r="G4679" s="10"/>
      <c r="H4679" s="15"/>
      <c r="I4679" s="15"/>
      <c r="J4679" s="15"/>
      <c r="K4679" s="15"/>
      <c r="L4679" s="15"/>
      <c r="M4679" s="15"/>
      <c r="N4679" s="15"/>
      <c r="O4679" s="15"/>
      <c r="P4679" s="15"/>
      <c r="Q4679" s="71"/>
      <c r="R4679" s="84"/>
      <c r="S4679" s="10"/>
      <c r="T4679" s="10"/>
      <c r="U4679" s="10"/>
      <c r="V4679" s="10"/>
      <c r="W4679" s="138"/>
      <c r="Y4679"/>
      <c r="Z4679"/>
      <c r="AA4679"/>
      <c r="AB4679"/>
      <c r="AC4679"/>
      <c r="AD4679"/>
      <c r="AE4679"/>
      <c r="AF4679"/>
      <c r="AG4679"/>
      <c r="AH4679"/>
      <c r="AI4679"/>
      <c r="AJ4679"/>
      <c r="AK4679"/>
      <c r="AL4679"/>
      <c r="AM4679"/>
      <c r="AN4679"/>
      <c r="AO4679"/>
    </row>
    <row r="4680" spans="1:41" ht="15">
      <c r="A4680"/>
      <c r="B4680"/>
      <c r="C4680" s="137"/>
      <c r="D4680" s="30"/>
      <c r="E4680" s="30"/>
      <c r="F4680" s="10"/>
      <c r="G4680" s="10"/>
      <c r="H4680" s="15"/>
      <c r="I4680" s="15"/>
      <c r="J4680" s="15"/>
      <c r="K4680" s="15"/>
      <c r="L4680" s="15"/>
      <c r="M4680" s="15"/>
      <c r="N4680" s="15"/>
      <c r="O4680" s="15"/>
      <c r="P4680" s="15"/>
      <c r="Q4680" s="71"/>
      <c r="R4680" s="84"/>
      <c r="S4680" s="10"/>
      <c r="T4680" s="10"/>
      <c r="U4680" s="10"/>
      <c r="V4680" s="10"/>
      <c r="W4680" s="138"/>
      <c r="Y4680"/>
      <c r="Z4680"/>
      <c r="AA4680"/>
      <c r="AB4680"/>
      <c r="AC4680"/>
      <c r="AD4680"/>
      <c r="AE4680"/>
      <c r="AF4680"/>
      <c r="AG4680"/>
      <c r="AH4680"/>
      <c r="AI4680"/>
      <c r="AJ4680"/>
      <c r="AK4680"/>
      <c r="AL4680"/>
      <c r="AM4680"/>
      <c r="AN4680"/>
      <c r="AO4680"/>
    </row>
    <row r="4681" spans="1:41" ht="15">
      <c r="A4681"/>
      <c r="B4681"/>
      <c r="C4681" s="137"/>
      <c r="D4681" s="30"/>
      <c r="E4681" s="30"/>
      <c r="F4681" s="10"/>
      <c r="G4681" s="10"/>
      <c r="H4681" s="15"/>
      <c r="I4681" s="15"/>
      <c r="J4681" s="15"/>
      <c r="K4681" s="15"/>
      <c r="L4681" s="15"/>
      <c r="M4681" s="15"/>
      <c r="N4681" s="15"/>
      <c r="O4681" s="15"/>
      <c r="P4681" s="15"/>
      <c r="Q4681" s="71"/>
      <c r="R4681" s="84"/>
      <c r="S4681" s="10"/>
      <c r="T4681" s="10"/>
      <c r="U4681" s="10"/>
      <c r="V4681" s="10"/>
      <c r="W4681" s="138"/>
      <c r="Y4681"/>
      <c r="Z4681"/>
      <c r="AA4681"/>
      <c r="AB4681"/>
      <c r="AC4681"/>
      <c r="AD4681"/>
      <c r="AE4681"/>
      <c r="AF4681"/>
      <c r="AG4681"/>
      <c r="AH4681"/>
      <c r="AI4681"/>
      <c r="AJ4681"/>
      <c r="AK4681"/>
      <c r="AL4681"/>
      <c r="AM4681"/>
      <c r="AN4681"/>
      <c r="AO4681"/>
    </row>
    <row r="4682" spans="1:41" ht="15">
      <c r="A4682"/>
      <c r="B4682"/>
      <c r="C4682" s="137"/>
      <c r="D4682" s="30"/>
      <c r="E4682" s="30"/>
      <c r="F4682" s="10"/>
      <c r="G4682" s="10"/>
      <c r="H4682" s="15"/>
      <c r="I4682" s="15"/>
      <c r="J4682" s="15"/>
      <c r="K4682" s="15"/>
      <c r="L4682" s="15"/>
      <c r="M4682" s="15"/>
      <c r="N4682" s="15"/>
      <c r="O4682" s="15"/>
      <c r="P4682" s="15"/>
      <c r="Q4682" s="71"/>
      <c r="R4682" s="84"/>
      <c r="S4682" s="10"/>
      <c r="T4682" s="10"/>
      <c r="U4682" s="10"/>
      <c r="V4682" s="10"/>
      <c r="W4682" s="138"/>
      <c r="Y4682"/>
      <c r="Z4682"/>
      <c r="AA4682"/>
      <c r="AB4682"/>
      <c r="AC4682"/>
      <c r="AD4682"/>
      <c r="AE4682"/>
      <c r="AF4682"/>
      <c r="AG4682"/>
      <c r="AH4682"/>
      <c r="AI4682"/>
      <c r="AJ4682"/>
      <c r="AK4682"/>
      <c r="AL4682"/>
      <c r="AM4682"/>
      <c r="AN4682"/>
      <c r="AO4682"/>
    </row>
    <row r="4683" spans="1:41" ht="15">
      <c r="A4683"/>
      <c r="B4683"/>
      <c r="C4683" s="137"/>
      <c r="D4683" s="30"/>
      <c r="E4683" s="30"/>
      <c r="F4683" s="10"/>
      <c r="G4683" s="10"/>
      <c r="H4683" s="15"/>
      <c r="I4683" s="15"/>
      <c r="J4683" s="15"/>
      <c r="K4683" s="15"/>
      <c r="L4683" s="15"/>
      <c r="M4683" s="15"/>
      <c r="N4683" s="15"/>
      <c r="O4683" s="15"/>
      <c r="P4683" s="15"/>
      <c r="Q4683" s="71"/>
      <c r="R4683" s="84"/>
      <c r="S4683" s="10"/>
      <c r="T4683" s="10"/>
      <c r="U4683" s="10"/>
      <c r="V4683" s="10"/>
      <c r="W4683" s="138"/>
      <c r="Y4683"/>
      <c r="Z4683"/>
      <c r="AA4683"/>
      <c r="AB4683"/>
      <c r="AC4683"/>
      <c r="AD4683"/>
      <c r="AE4683"/>
      <c r="AF4683"/>
      <c r="AG4683"/>
      <c r="AH4683"/>
      <c r="AI4683"/>
      <c r="AJ4683"/>
      <c r="AK4683"/>
      <c r="AL4683"/>
      <c r="AM4683"/>
      <c r="AN4683"/>
      <c r="AO4683"/>
    </row>
    <row r="4684" spans="1:41" ht="15">
      <c r="A4684"/>
      <c r="B4684"/>
      <c r="C4684" s="137"/>
      <c r="D4684" s="30"/>
      <c r="E4684" s="30"/>
      <c r="F4684" s="10"/>
      <c r="G4684" s="10"/>
      <c r="H4684" s="15"/>
      <c r="I4684" s="15"/>
      <c r="J4684" s="15"/>
      <c r="K4684" s="15"/>
      <c r="L4684" s="15"/>
      <c r="M4684" s="15"/>
      <c r="N4684" s="15"/>
      <c r="O4684" s="15"/>
      <c r="P4684" s="15"/>
      <c r="Q4684" s="71"/>
      <c r="R4684" s="84"/>
      <c r="S4684" s="10"/>
      <c r="T4684" s="10"/>
      <c r="U4684" s="10"/>
      <c r="V4684" s="10"/>
      <c r="W4684" s="138"/>
      <c r="Y4684"/>
      <c r="Z4684"/>
      <c r="AA4684"/>
      <c r="AB4684"/>
      <c r="AC4684"/>
      <c r="AD4684"/>
      <c r="AE4684"/>
      <c r="AF4684"/>
      <c r="AG4684"/>
      <c r="AH4684"/>
      <c r="AI4684"/>
      <c r="AJ4684"/>
      <c r="AK4684"/>
      <c r="AL4684"/>
      <c r="AM4684"/>
      <c r="AN4684"/>
      <c r="AO4684"/>
    </row>
    <row r="4685" spans="1:41" ht="15">
      <c r="A4685"/>
      <c r="B4685"/>
      <c r="C4685" s="137"/>
      <c r="D4685" s="30"/>
      <c r="E4685" s="30"/>
      <c r="F4685" s="10"/>
      <c r="G4685" s="10"/>
      <c r="H4685" s="15"/>
      <c r="I4685" s="15"/>
      <c r="J4685" s="15"/>
      <c r="K4685" s="15"/>
      <c r="L4685" s="15"/>
      <c r="M4685" s="15"/>
      <c r="N4685" s="15"/>
      <c r="O4685" s="15"/>
      <c r="P4685" s="15"/>
      <c r="Q4685" s="71"/>
      <c r="R4685" s="84"/>
      <c r="S4685" s="10"/>
      <c r="T4685" s="10"/>
      <c r="U4685" s="10"/>
      <c r="V4685" s="10"/>
      <c r="W4685" s="138"/>
      <c r="Y4685"/>
      <c r="Z4685"/>
      <c r="AA4685"/>
      <c r="AB4685"/>
      <c r="AC4685"/>
      <c r="AD4685"/>
      <c r="AE4685"/>
      <c r="AF4685"/>
      <c r="AG4685"/>
      <c r="AH4685"/>
      <c r="AI4685"/>
      <c r="AJ4685"/>
      <c r="AK4685"/>
      <c r="AL4685"/>
      <c r="AM4685"/>
      <c r="AN4685"/>
      <c r="AO4685"/>
    </row>
    <row r="4686" spans="1:41" ht="15">
      <c r="A4686"/>
      <c r="B4686"/>
      <c r="C4686" s="137"/>
      <c r="D4686" s="30"/>
      <c r="E4686" s="30"/>
      <c r="F4686" s="10"/>
      <c r="G4686" s="10"/>
      <c r="H4686" s="15"/>
      <c r="I4686" s="15"/>
      <c r="J4686" s="15"/>
      <c r="K4686" s="15"/>
      <c r="L4686" s="15"/>
      <c r="M4686" s="15"/>
      <c r="N4686" s="15"/>
      <c r="O4686" s="15"/>
      <c r="P4686" s="15"/>
      <c r="Q4686" s="71"/>
      <c r="R4686" s="84"/>
      <c r="S4686" s="10"/>
      <c r="T4686" s="10"/>
      <c r="U4686" s="10"/>
      <c r="V4686" s="10"/>
      <c r="W4686" s="138"/>
      <c r="Y4686"/>
      <c r="Z4686"/>
      <c r="AA4686"/>
      <c r="AB4686"/>
      <c r="AC4686"/>
      <c r="AD4686"/>
      <c r="AE4686"/>
      <c r="AF4686"/>
      <c r="AG4686"/>
      <c r="AH4686"/>
      <c r="AI4686"/>
      <c r="AJ4686"/>
      <c r="AK4686"/>
      <c r="AL4686"/>
      <c r="AM4686"/>
      <c r="AN4686"/>
      <c r="AO4686"/>
    </row>
    <row r="4687" spans="1:41" ht="15">
      <c r="A4687"/>
      <c r="B4687"/>
      <c r="C4687" s="137"/>
      <c r="D4687" s="30"/>
      <c r="E4687" s="30"/>
      <c r="F4687" s="10"/>
      <c r="G4687" s="10"/>
      <c r="H4687" s="15"/>
      <c r="I4687" s="15"/>
      <c r="J4687" s="15"/>
      <c r="K4687" s="15"/>
      <c r="L4687" s="15"/>
      <c r="M4687" s="15"/>
      <c r="N4687" s="15"/>
      <c r="O4687" s="15"/>
      <c r="P4687" s="15"/>
      <c r="Q4687" s="71"/>
      <c r="R4687" s="84"/>
      <c r="S4687" s="10"/>
      <c r="T4687" s="10"/>
      <c r="U4687" s="10"/>
      <c r="V4687" s="10"/>
      <c r="W4687" s="138"/>
      <c r="Y4687"/>
      <c r="Z4687"/>
      <c r="AA4687"/>
      <c r="AB4687"/>
      <c r="AC4687"/>
      <c r="AD4687"/>
      <c r="AE4687"/>
      <c r="AF4687"/>
      <c r="AG4687"/>
      <c r="AH4687"/>
      <c r="AI4687"/>
      <c r="AJ4687"/>
      <c r="AK4687"/>
      <c r="AL4687"/>
      <c r="AM4687"/>
      <c r="AN4687"/>
      <c r="AO4687"/>
    </row>
    <row r="4688" spans="1:41" ht="15">
      <c r="A4688"/>
      <c r="B4688"/>
      <c r="C4688" s="137"/>
      <c r="D4688" s="30"/>
      <c r="E4688" s="30"/>
      <c r="F4688" s="10"/>
      <c r="G4688" s="10"/>
      <c r="H4688" s="15"/>
      <c r="I4688" s="15"/>
      <c r="J4688" s="15"/>
      <c r="K4688" s="15"/>
      <c r="L4688" s="15"/>
      <c r="M4688" s="15"/>
      <c r="N4688" s="15"/>
      <c r="O4688" s="15"/>
      <c r="P4688" s="15"/>
      <c r="Q4688" s="71"/>
      <c r="R4688" s="84"/>
      <c r="S4688" s="10"/>
      <c r="T4688" s="10"/>
      <c r="U4688" s="10"/>
      <c r="V4688" s="10"/>
      <c r="W4688" s="138"/>
      <c r="Y4688"/>
      <c r="Z4688"/>
      <c r="AA4688"/>
      <c r="AB4688"/>
      <c r="AC4688"/>
      <c r="AD4688"/>
      <c r="AE4688"/>
      <c r="AF4688"/>
      <c r="AG4688"/>
      <c r="AH4688"/>
      <c r="AI4688"/>
      <c r="AJ4688"/>
      <c r="AK4688"/>
      <c r="AL4688"/>
      <c r="AM4688"/>
      <c r="AN4688"/>
      <c r="AO4688"/>
    </row>
    <row r="4689" spans="1:41" ht="15">
      <c r="A4689"/>
      <c r="B4689"/>
      <c r="C4689" s="137"/>
      <c r="D4689" s="30"/>
      <c r="E4689" s="30"/>
      <c r="F4689" s="10"/>
      <c r="G4689" s="10"/>
      <c r="H4689" s="15"/>
      <c r="I4689" s="15"/>
      <c r="J4689" s="15"/>
      <c r="K4689" s="15"/>
      <c r="L4689" s="15"/>
      <c r="M4689" s="15"/>
      <c r="N4689" s="15"/>
      <c r="O4689" s="15"/>
      <c r="P4689" s="15"/>
      <c r="Q4689" s="71"/>
      <c r="R4689" s="84"/>
      <c r="S4689" s="10"/>
      <c r="T4689" s="10"/>
      <c r="U4689" s="10"/>
      <c r="V4689" s="10"/>
      <c r="W4689" s="138"/>
      <c r="Y4689"/>
      <c r="Z4689"/>
      <c r="AA4689"/>
      <c r="AB4689"/>
      <c r="AC4689"/>
      <c r="AD4689"/>
      <c r="AE4689"/>
      <c r="AF4689"/>
      <c r="AG4689"/>
      <c r="AH4689"/>
      <c r="AI4689"/>
      <c r="AJ4689"/>
      <c r="AK4689"/>
      <c r="AL4689"/>
      <c r="AM4689"/>
      <c r="AN4689"/>
      <c r="AO4689"/>
    </row>
    <row r="4690" spans="1:41" ht="15">
      <c r="A4690"/>
      <c r="B4690"/>
      <c r="C4690" s="137"/>
      <c r="D4690" s="30"/>
      <c r="E4690" s="30"/>
      <c r="F4690" s="10"/>
      <c r="G4690" s="10"/>
      <c r="H4690" s="15"/>
      <c r="I4690" s="15"/>
      <c r="J4690" s="15"/>
      <c r="K4690" s="15"/>
      <c r="L4690" s="15"/>
      <c r="M4690" s="15"/>
      <c r="N4690" s="15"/>
      <c r="O4690" s="15"/>
      <c r="P4690" s="15"/>
      <c r="Q4690" s="71"/>
      <c r="R4690" s="84"/>
      <c r="S4690" s="10"/>
      <c r="T4690" s="10"/>
      <c r="U4690" s="10"/>
      <c r="V4690" s="10"/>
      <c r="W4690" s="138"/>
      <c r="Y4690"/>
      <c r="Z4690"/>
      <c r="AA4690"/>
      <c r="AB4690"/>
      <c r="AC4690"/>
      <c r="AD4690"/>
      <c r="AE4690"/>
      <c r="AF4690"/>
      <c r="AG4690"/>
      <c r="AH4690"/>
      <c r="AI4690"/>
      <c r="AJ4690"/>
      <c r="AK4690"/>
      <c r="AL4690"/>
      <c r="AM4690"/>
      <c r="AN4690"/>
      <c r="AO4690"/>
    </row>
    <row r="4691" spans="1:41" ht="15">
      <c r="A4691"/>
      <c r="B4691"/>
      <c r="C4691" s="137"/>
      <c r="D4691" s="30"/>
      <c r="E4691" s="30"/>
      <c r="F4691" s="10"/>
      <c r="G4691" s="10"/>
      <c r="H4691" s="15"/>
      <c r="I4691" s="15"/>
      <c r="J4691" s="15"/>
      <c r="K4691" s="15"/>
      <c r="L4691" s="15"/>
      <c r="M4691" s="15"/>
      <c r="N4691" s="15"/>
      <c r="O4691" s="15"/>
      <c r="P4691" s="15"/>
      <c r="Q4691" s="71"/>
      <c r="R4691" s="84"/>
      <c r="S4691" s="10"/>
      <c r="T4691" s="10"/>
      <c r="U4691" s="10"/>
      <c r="V4691" s="10"/>
      <c r="W4691" s="138"/>
      <c r="Y4691"/>
      <c r="Z4691"/>
      <c r="AA4691"/>
      <c r="AB4691"/>
      <c r="AC4691"/>
      <c r="AD4691"/>
      <c r="AE4691"/>
      <c r="AF4691"/>
      <c r="AG4691"/>
      <c r="AH4691"/>
      <c r="AI4691"/>
      <c r="AJ4691"/>
      <c r="AK4691"/>
      <c r="AL4691"/>
      <c r="AM4691"/>
      <c r="AN4691"/>
      <c r="AO4691"/>
    </row>
    <row r="4692" spans="1:41" ht="15">
      <c r="A4692"/>
      <c r="B4692"/>
      <c r="C4692" s="137"/>
      <c r="D4692" s="30"/>
      <c r="E4692" s="30"/>
      <c r="F4692" s="10"/>
      <c r="G4692" s="10"/>
      <c r="H4692" s="15"/>
      <c r="I4692" s="15"/>
      <c r="J4692" s="15"/>
      <c r="K4692" s="15"/>
      <c r="L4692" s="15"/>
      <c r="M4692" s="15"/>
      <c r="N4692" s="15"/>
      <c r="O4692" s="15"/>
      <c r="P4692" s="15"/>
      <c r="Q4692" s="71"/>
      <c r="R4692" s="84"/>
      <c r="S4692" s="10"/>
      <c r="T4692" s="10"/>
      <c r="U4692" s="10"/>
      <c r="V4692" s="10"/>
      <c r="W4692" s="138"/>
      <c r="Y4692"/>
      <c r="Z4692"/>
      <c r="AA4692"/>
      <c r="AB4692"/>
      <c r="AC4692"/>
      <c r="AD4692"/>
      <c r="AE4692"/>
      <c r="AF4692"/>
      <c r="AG4692"/>
      <c r="AH4692"/>
      <c r="AI4692"/>
      <c r="AJ4692"/>
      <c r="AK4692"/>
      <c r="AL4692"/>
      <c r="AM4692"/>
      <c r="AN4692"/>
      <c r="AO4692"/>
    </row>
    <row r="4693" spans="1:41" ht="15">
      <c r="A4693"/>
      <c r="B4693"/>
      <c r="C4693" s="137"/>
      <c r="D4693" s="30"/>
      <c r="E4693" s="30"/>
      <c r="F4693" s="10"/>
      <c r="G4693" s="10"/>
      <c r="H4693" s="15"/>
      <c r="I4693" s="15"/>
      <c r="J4693" s="15"/>
      <c r="K4693" s="15"/>
      <c r="L4693" s="15"/>
      <c r="M4693" s="15"/>
      <c r="N4693" s="15"/>
      <c r="O4693" s="15"/>
      <c r="P4693" s="15"/>
      <c r="Q4693" s="71"/>
      <c r="R4693" s="84"/>
      <c r="S4693" s="10"/>
      <c r="T4693" s="10"/>
      <c r="U4693" s="10"/>
      <c r="V4693" s="10"/>
      <c r="W4693" s="138"/>
      <c r="Y4693"/>
      <c r="Z4693"/>
      <c r="AA4693"/>
      <c r="AB4693"/>
      <c r="AC4693"/>
      <c r="AD4693"/>
      <c r="AE4693"/>
      <c r="AF4693"/>
      <c r="AG4693"/>
      <c r="AH4693"/>
      <c r="AI4693"/>
      <c r="AJ4693"/>
      <c r="AK4693"/>
      <c r="AL4693"/>
      <c r="AM4693"/>
      <c r="AN4693"/>
      <c r="AO4693"/>
    </row>
    <row r="4694" spans="1:41" ht="15">
      <c r="A4694"/>
      <c r="B4694"/>
      <c r="C4694" s="137"/>
      <c r="D4694" s="30"/>
      <c r="E4694" s="30"/>
      <c r="F4694" s="10"/>
      <c r="G4694" s="10"/>
      <c r="H4694" s="15"/>
      <c r="I4694" s="15"/>
      <c r="J4694" s="15"/>
      <c r="K4694" s="15"/>
      <c r="L4694" s="15"/>
      <c r="M4694" s="15"/>
      <c r="N4694" s="15"/>
      <c r="O4694" s="15"/>
      <c r="P4694" s="15"/>
      <c r="Q4694" s="71"/>
      <c r="R4694" s="84"/>
      <c r="S4694" s="10"/>
      <c r="T4694" s="10"/>
      <c r="U4694" s="10"/>
      <c r="V4694" s="10"/>
      <c r="W4694" s="138"/>
      <c r="Y4694"/>
      <c r="Z4694"/>
      <c r="AA4694"/>
      <c r="AB4694"/>
      <c r="AC4694"/>
      <c r="AD4694"/>
      <c r="AE4694"/>
      <c r="AF4694"/>
      <c r="AG4694"/>
      <c r="AH4694"/>
      <c r="AI4694"/>
      <c r="AJ4694"/>
      <c r="AK4694"/>
      <c r="AL4694"/>
      <c r="AM4694"/>
      <c r="AN4694"/>
      <c r="AO4694"/>
    </row>
    <row r="4695" spans="1:41" ht="15">
      <c r="A4695"/>
      <c r="B4695"/>
      <c r="C4695" s="137"/>
      <c r="D4695" s="30"/>
      <c r="E4695" s="30"/>
      <c r="F4695" s="10"/>
      <c r="G4695" s="10"/>
      <c r="H4695" s="15"/>
      <c r="I4695" s="15"/>
      <c r="J4695" s="15"/>
      <c r="K4695" s="15"/>
      <c r="L4695" s="15"/>
      <c r="M4695" s="15"/>
      <c r="N4695" s="15"/>
      <c r="O4695" s="15"/>
      <c r="P4695" s="15"/>
      <c r="Q4695" s="71"/>
      <c r="R4695" s="84"/>
      <c r="S4695" s="10"/>
      <c r="T4695" s="10"/>
      <c r="U4695" s="10"/>
      <c r="V4695" s="10"/>
      <c r="W4695" s="138"/>
      <c r="Y4695"/>
      <c r="Z4695"/>
      <c r="AA4695"/>
      <c r="AB4695"/>
      <c r="AC4695"/>
      <c r="AD4695"/>
      <c r="AE4695"/>
      <c r="AF4695"/>
      <c r="AG4695"/>
      <c r="AH4695"/>
      <c r="AI4695"/>
      <c r="AJ4695"/>
      <c r="AK4695"/>
      <c r="AL4695"/>
      <c r="AM4695"/>
      <c r="AN4695"/>
      <c r="AO4695"/>
    </row>
    <row r="4696" spans="1:41" ht="15">
      <c r="A4696"/>
      <c r="B4696"/>
      <c r="C4696" s="137"/>
      <c r="D4696" s="30"/>
      <c r="E4696" s="30"/>
      <c r="F4696" s="10"/>
      <c r="G4696" s="10"/>
      <c r="H4696" s="15"/>
      <c r="I4696" s="15"/>
      <c r="J4696" s="15"/>
      <c r="K4696" s="15"/>
      <c r="L4696" s="15"/>
      <c r="M4696" s="15"/>
      <c r="N4696" s="15"/>
      <c r="O4696" s="15"/>
      <c r="P4696" s="15"/>
      <c r="Q4696" s="71"/>
      <c r="R4696" s="84"/>
      <c r="S4696" s="10"/>
      <c r="T4696" s="10"/>
      <c r="U4696" s="10"/>
      <c r="V4696" s="10"/>
      <c r="W4696" s="138"/>
      <c r="Y4696"/>
      <c r="Z4696"/>
      <c r="AA4696"/>
      <c r="AB4696"/>
      <c r="AC4696"/>
      <c r="AD4696"/>
      <c r="AE4696"/>
      <c r="AF4696"/>
      <c r="AG4696"/>
      <c r="AH4696"/>
      <c r="AI4696"/>
      <c r="AJ4696"/>
      <c r="AK4696"/>
      <c r="AL4696"/>
      <c r="AM4696"/>
      <c r="AN4696"/>
      <c r="AO4696"/>
    </row>
    <row r="4697" spans="1:41" ht="15">
      <c r="A4697"/>
      <c r="B4697"/>
      <c r="C4697" s="137"/>
      <c r="D4697" s="30"/>
      <c r="E4697" s="30"/>
      <c r="F4697" s="10"/>
      <c r="G4697" s="10"/>
      <c r="H4697" s="15"/>
      <c r="I4697" s="15"/>
      <c r="J4697" s="15"/>
      <c r="K4697" s="15"/>
      <c r="L4697" s="15"/>
      <c r="M4697" s="15"/>
      <c r="N4697" s="15"/>
      <c r="O4697" s="15"/>
      <c r="P4697" s="15"/>
      <c r="Q4697" s="71"/>
      <c r="R4697" s="84"/>
      <c r="S4697" s="10"/>
      <c r="T4697" s="10"/>
      <c r="U4697" s="10"/>
      <c r="V4697" s="10"/>
      <c r="W4697" s="138"/>
      <c r="Y4697"/>
      <c r="Z4697"/>
      <c r="AA4697"/>
      <c r="AB4697"/>
      <c r="AC4697"/>
      <c r="AD4697"/>
      <c r="AE4697"/>
      <c r="AF4697"/>
      <c r="AG4697"/>
      <c r="AH4697"/>
      <c r="AI4697"/>
      <c r="AJ4697"/>
      <c r="AK4697"/>
      <c r="AL4697"/>
      <c r="AM4697"/>
      <c r="AN4697"/>
      <c r="AO4697"/>
    </row>
    <row r="4698" spans="1:41" ht="15">
      <c r="A4698"/>
      <c r="B4698"/>
      <c r="C4698" s="137"/>
      <c r="D4698" s="30"/>
      <c r="E4698" s="30"/>
      <c r="F4698" s="10"/>
      <c r="G4698" s="10"/>
      <c r="H4698" s="15"/>
      <c r="I4698" s="15"/>
      <c r="J4698" s="15"/>
      <c r="K4698" s="15"/>
      <c r="L4698" s="15"/>
      <c r="M4698" s="15"/>
      <c r="N4698" s="15"/>
      <c r="O4698" s="15"/>
      <c r="P4698" s="15"/>
      <c r="Q4698" s="71"/>
      <c r="R4698" s="84"/>
      <c r="S4698" s="10"/>
      <c r="T4698" s="10"/>
      <c r="U4698" s="10"/>
      <c r="V4698" s="10"/>
      <c r="W4698" s="138"/>
      <c r="Y4698"/>
      <c r="Z4698"/>
      <c r="AA4698"/>
      <c r="AB4698"/>
      <c r="AC4698"/>
      <c r="AD4698"/>
      <c r="AE4698"/>
      <c r="AF4698"/>
      <c r="AG4698"/>
      <c r="AH4698"/>
      <c r="AI4698"/>
      <c r="AJ4698"/>
      <c r="AK4698"/>
      <c r="AL4698"/>
      <c r="AM4698"/>
      <c r="AN4698"/>
      <c r="AO4698"/>
    </row>
    <row r="4699" spans="1:41" ht="15">
      <c r="A4699"/>
      <c r="B4699"/>
      <c r="C4699" s="137"/>
      <c r="D4699" s="30"/>
      <c r="E4699" s="30"/>
      <c r="F4699" s="10"/>
      <c r="G4699" s="10"/>
      <c r="H4699" s="15"/>
      <c r="I4699" s="15"/>
      <c r="J4699" s="15"/>
      <c r="K4699" s="15"/>
      <c r="L4699" s="15"/>
      <c r="M4699" s="15"/>
      <c r="N4699" s="15"/>
      <c r="O4699" s="15"/>
      <c r="P4699" s="15"/>
      <c r="Q4699" s="71"/>
      <c r="R4699" s="84"/>
      <c r="S4699" s="10"/>
      <c r="T4699" s="10"/>
      <c r="U4699" s="10"/>
      <c r="V4699" s="10"/>
      <c r="W4699" s="138"/>
      <c r="Y4699"/>
      <c r="Z4699"/>
      <c r="AA4699"/>
      <c r="AB4699"/>
      <c r="AC4699"/>
      <c r="AD4699"/>
      <c r="AE4699"/>
      <c r="AF4699"/>
      <c r="AG4699"/>
      <c r="AH4699"/>
      <c r="AI4699"/>
      <c r="AJ4699"/>
      <c r="AK4699"/>
      <c r="AL4699"/>
      <c r="AM4699"/>
      <c r="AN4699"/>
      <c r="AO4699"/>
    </row>
    <row r="4700" spans="1:41" ht="15">
      <c r="A4700"/>
      <c r="B4700"/>
      <c r="C4700" s="137"/>
      <c r="D4700" s="30"/>
      <c r="E4700" s="30"/>
      <c r="F4700" s="10"/>
      <c r="G4700" s="10"/>
      <c r="H4700" s="15"/>
      <c r="I4700" s="15"/>
      <c r="J4700" s="15"/>
      <c r="K4700" s="15"/>
      <c r="L4700" s="15"/>
      <c r="M4700" s="15"/>
      <c r="N4700" s="15"/>
      <c r="O4700" s="15"/>
      <c r="P4700" s="15"/>
      <c r="Q4700" s="71"/>
      <c r="R4700" s="84"/>
      <c r="S4700" s="10"/>
      <c r="T4700" s="10"/>
      <c r="U4700" s="10"/>
      <c r="V4700" s="10"/>
      <c r="W4700" s="138"/>
      <c r="Y4700"/>
      <c r="Z4700"/>
      <c r="AA4700"/>
      <c r="AB4700"/>
      <c r="AC4700"/>
      <c r="AD4700"/>
      <c r="AE4700"/>
      <c r="AF4700"/>
      <c r="AG4700"/>
      <c r="AH4700"/>
      <c r="AI4700"/>
      <c r="AJ4700"/>
      <c r="AK4700"/>
      <c r="AL4700"/>
      <c r="AM4700"/>
      <c r="AN4700"/>
      <c r="AO4700"/>
    </row>
    <row r="4701" spans="1:41" ht="15">
      <c r="A4701"/>
      <c r="B4701"/>
      <c r="C4701" s="137"/>
      <c r="D4701" s="30"/>
      <c r="E4701" s="30"/>
      <c r="F4701" s="10"/>
      <c r="G4701" s="10"/>
      <c r="H4701" s="15"/>
      <c r="I4701" s="15"/>
      <c r="J4701" s="15"/>
      <c r="K4701" s="15"/>
      <c r="L4701" s="15"/>
      <c r="M4701" s="15"/>
      <c r="N4701" s="15"/>
      <c r="O4701" s="15"/>
      <c r="P4701" s="15"/>
      <c r="Q4701" s="71"/>
      <c r="R4701" s="84"/>
      <c r="S4701" s="10"/>
      <c r="T4701" s="10"/>
      <c r="U4701" s="10"/>
      <c r="V4701" s="10"/>
      <c r="W4701" s="138"/>
      <c r="Y4701"/>
      <c r="Z4701"/>
      <c r="AA4701"/>
      <c r="AB4701"/>
      <c r="AC4701"/>
      <c r="AD4701"/>
      <c r="AE4701"/>
      <c r="AF4701"/>
      <c r="AG4701"/>
      <c r="AH4701"/>
      <c r="AI4701"/>
      <c r="AJ4701"/>
      <c r="AK4701"/>
      <c r="AL4701"/>
      <c r="AM4701"/>
      <c r="AN4701"/>
      <c r="AO4701"/>
    </row>
    <row r="4702" spans="1:41" ht="15">
      <c r="A4702"/>
      <c r="B4702"/>
      <c r="C4702" s="137"/>
      <c r="D4702" s="30"/>
      <c r="E4702" s="30"/>
      <c r="F4702" s="10"/>
      <c r="G4702" s="10"/>
      <c r="H4702" s="15"/>
      <c r="I4702" s="15"/>
      <c r="J4702" s="15"/>
      <c r="K4702" s="15"/>
      <c r="L4702" s="15"/>
      <c r="M4702" s="15"/>
      <c r="N4702" s="15"/>
      <c r="O4702" s="15"/>
      <c r="P4702" s="15"/>
      <c r="Q4702" s="71"/>
      <c r="R4702" s="84"/>
      <c r="S4702" s="10"/>
      <c r="T4702" s="10"/>
      <c r="U4702" s="10"/>
      <c r="V4702" s="10"/>
      <c r="W4702" s="138"/>
      <c r="Y4702"/>
      <c r="Z4702"/>
      <c r="AA4702"/>
      <c r="AB4702"/>
      <c r="AC4702"/>
      <c r="AD4702"/>
      <c r="AE4702"/>
      <c r="AF4702"/>
      <c r="AG4702"/>
      <c r="AH4702"/>
      <c r="AI4702"/>
      <c r="AJ4702"/>
      <c r="AK4702"/>
      <c r="AL4702"/>
      <c r="AM4702"/>
      <c r="AN4702"/>
      <c r="AO4702"/>
    </row>
    <row r="4703" spans="1:41" ht="15">
      <c r="A4703"/>
      <c r="B4703"/>
      <c r="C4703" s="137"/>
      <c r="D4703" s="30"/>
      <c r="E4703" s="30"/>
      <c r="F4703" s="10"/>
      <c r="G4703" s="10"/>
      <c r="H4703" s="15"/>
      <c r="I4703" s="15"/>
      <c r="J4703" s="15"/>
      <c r="K4703" s="15"/>
      <c r="L4703" s="15"/>
      <c r="M4703" s="15"/>
      <c r="N4703" s="15"/>
      <c r="O4703" s="15"/>
      <c r="P4703" s="15"/>
      <c r="Q4703" s="71"/>
      <c r="R4703" s="84"/>
      <c r="S4703" s="10"/>
      <c r="T4703" s="10"/>
      <c r="U4703" s="10"/>
      <c r="V4703" s="10"/>
      <c r="W4703" s="138"/>
      <c r="Y4703"/>
      <c r="Z4703"/>
      <c r="AA4703"/>
      <c r="AB4703"/>
      <c r="AC4703"/>
      <c r="AD4703"/>
      <c r="AE4703"/>
      <c r="AF4703"/>
      <c r="AG4703"/>
      <c r="AH4703"/>
      <c r="AI4703"/>
      <c r="AJ4703"/>
      <c r="AK4703"/>
      <c r="AL4703"/>
      <c r="AM4703"/>
      <c r="AN4703"/>
      <c r="AO4703"/>
    </row>
    <row r="4704" spans="1:41" ht="15">
      <c r="A4704"/>
      <c r="B4704"/>
      <c r="C4704" s="137"/>
      <c r="D4704" s="30"/>
      <c r="E4704" s="30"/>
      <c r="F4704" s="10"/>
      <c r="G4704" s="10"/>
      <c r="H4704" s="15"/>
      <c r="I4704" s="15"/>
      <c r="J4704" s="15"/>
      <c r="K4704" s="15"/>
      <c r="L4704" s="15"/>
      <c r="M4704" s="15"/>
      <c r="N4704" s="15"/>
      <c r="O4704" s="15"/>
      <c r="P4704" s="15"/>
      <c r="Q4704" s="71"/>
      <c r="R4704" s="84"/>
      <c r="S4704" s="10"/>
      <c r="T4704" s="10"/>
      <c r="U4704" s="10"/>
      <c r="V4704" s="10"/>
      <c r="W4704" s="138"/>
      <c r="Y4704"/>
      <c r="Z4704"/>
      <c r="AA4704"/>
      <c r="AB4704"/>
      <c r="AC4704"/>
      <c r="AD4704"/>
      <c r="AE4704"/>
      <c r="AF4704"/>
      <c r="AG4704"/>
      <c r="AH4704"/>
      <c r="AI4704"/>
      <c r="AJ4704"/>
      <c r="AK4704"/>
      <c r="AL4704"/>
      <c r="AM4704"/>
      <c r="AN4704"/>
      <c r="AO4704"/>
    </row>
    <row r="4705" spans="1:41" ht="15">
      <c r="A4705"/>
      <c r="B4705"/>
      <c r="C4705" s="137"/>
      <c r="D4705" s="30"/>
      <c r="E4705" s="30"/>
      <c r="F4705" s="10"/>
      <c r="G4705" s="10"/>
      <c r="H4705" s="15"/>
      <c r="I4705" s="15"/>
      <c r="J4705" s="15"/>
      <c r="K4705" s="15"/>
      <c r="L4705" s="15"/>
      <c r="M4705" s="15"/>
      <c r="N4705" s="15"/>
      <c r="O4705" s="15"/>
      <c r="P4705" s="15"/>
      <c r="Q4705" s="71"/>
      <c r="R4705" s="84"/>
      <c r="S4705" s="10"/>
      <c r="T4705" s="10"/>
      <c r="U4705" s="10"/>
      <c r="V4705" s="10"/>
      <c r="W4705" s="138"/>
      <c r="Y4705"/>
      <c r="Z4705"/>
      <c r="AA4705"/>
      <c r="AB4705"/>
      <c r="AC4705"/>
      <c r="AD4705"/>
      <c r="AE4705"/>
      <c r="AF4705"/>
      <c r="AG4705"/>
      <c r="AH4705"/>
      <c r="AI4705"/>
      <c r="AJ4705"/>
      <c r="AK4705"/>
      <c r="AL4705"/>
      <c r="AM4705"/>
      <c r="AN4705"/>
      <c r="AO4705"/>
    </row>
    <row r="4706" spans="1:41" ht="15">
      <c r="A4706"/>
      <c r="B4706"/>
      <c r="C4706" s="137"/>
      <c r="D4706" s="30"/>
      <c r="E4706" s="30"/>
      <c r="F4706" s="10"/>
      <c r="G4706" s="10"/>
      <c r="H4706" s="15"/>
      <c r="I4706" s="15"/>
      <c r="J4706" s="15"/>
      <c r="K4706" s="15"/>
      <c r="L4706" s="15"/>
      <c r="M4706" s="15"/>
      <c r="N4706" s="15"/>
      <c r="O4706" s="15"/>
      <c r="P4706" s="15"/>
      <c r="Q4706" s="71"/>
      <c r="R4706" s="84"/>
      <c r="S4706" s="10"/>
      <c r="T4706" s="10"/>
      <c r="U4706" s="10"/>
      <c r="V4706" s="10"/>
      <c r="W4706" s="138"/>
      <c r="Y4706"/>
      <c r="Z4706"/>
      <c r="AA4706"/>
      <c r="AB4706"/>
      <c r="AC4706"/>
      <c r="AD4706"/>
      <c r="AE4706"/>
      <c r="AF4706"/>
      <c r="AG4706"/>
      <c r="AH4706"/>
      <c r="AI4706"/>
      <c r="AJ4706"/>
      <c r="AK4706"/>
      <c r="AL4706"/>
      <c r="AM4706"/>
      <c r="AN4706"/>
      <c r="AO4706"/>
    </row>
    <row r="4707" spans="1:41" ht="15">
      <c r="A4707"/>
      <c r="B4707"/>
      <c r="C4707" s="137"/>
      <c r="D4707" s="30"/>
      <c r="E4707" s="30"/>
      <c r="F4707" s="10"/>
      <c r="G4707" s="10"/>
      <c r="H4707" s="15"/>
      <c r="I4707" s="15"/>
      <c r="J4707" s="15"/>
      <c r="K4707" s="15"/>
      <c r="L4707" s="15"/>
      <c r="M4707" s="15"/>
      <c r="N4707" s="15"/>
      <c r="O4707" s="15"/>
      <c r="P4707" s="15"/>
      <c r="Q4707" s="71"/>
      <c r="R4707" s="84"/>
      <c r="S4707" s="10"/>
      <c r="T4707" s="10"/>
      <c r="U4707" s="10"/>
      <c r="V4707" s="10"/>
      <c r="W4707" s="138"/>
      <c r="Y4707"/>
      <c r="Z4707"/>
      <c r="AA4707"/>
      <c r="AB4707"/>
      <c r="AC4707"/>
      <c r="AD4707"/>
      <c r="AE4707"/>
      <c r="AF4707"/>
      <c r="AG4707"/>
      <c r="AH4707"/>
      <c r="AI4707"/>
      <c r="AJ4707"/>
      <c r="AK4707"/>
      <c r="AL4707"/>
      <c r="AM4707"/>
      <c r="AN4707"/>
      <c r="AO4707"/>
    </row>
    <row r="4708" spans="1:41" ht="15">
      <c r="A4708"/>
      <c r="B4708"/>
      <c r="C4708" s="137"/>
      <c r="D4708" s="30"/>
      <c r="E4708" s="30"/>
      <c r="F4708" s="10"/>
      <c r="G4708" s="10"/>
      <c r="H4708" s="15"/>
      <c r="I4708" s="15"/>
      <c r="J4708" s="15"/>
      <c r="K4708" s="15"/>
      <c r="L4708" s="15"/>
      <c r="M4708" s="15"/>
      <c r="N4708" s="15"/>
      <c r="O4708" s="15"/>
      <c r="P4708" s="15"/>
      <c r="Q4708" s="71"/>
      <c r="R4708" s="84"/>
      <c r="S4708" s="10"/>
      <c r="T4708" s="10"/>
      <c r="U4708" s="10"/>
      <c r="V4708" s="10"/>
      <c r="W4708" s="138"/>
      <c r="Y4708"/>
      <c r="Z4708"/>
      <c r="AA4708"/>
      <c r="AB4708"/>
      <c r="AC4708"/>
      <c r="AD4708"/>
      <c r="AE4708"/>
      <c r="AF4708"/>
      <c r="AG4708"/>
      <c r="AH4708"/>
      <c r="AI4708"/>
      <c r="AJ4708"/>
      <c r="AK4708"/>
      <c r="AL4708"/>
      <c r="AM4708"/>
      <c r="AN4708"/>
      <c r="AO4708"/>
    </row>
    <row r="4709" spans="1:41" ht="15">
      <c r="A4709"/>
      <c r="B4709"/>
      <c r="C4709" s="137"/>
      <c r="D4709" s="30"/>
      <c r="E4709" s="30"/>
      <c r="F4709" s="10"/>
      <c r="G4709" s="10"/>
      <c r="H4709" s="15"/>
      <c r="I4709" s="15"/>
      <c r="J4709" s="15"/>
      <c r="K4709" s="15"/>
      <c r="L4709" s="15"/>
      <c r="M4709" s="15"/>
      <c r="N4709" s="15"/>
      <c r="O4709" s="15"/>
      <c r="P4709" s="15"/>
      <c r="Q4709" s="71"/>
      <c r="R4709" s="84"/>
      <c r="S4709" s="10"/>
      <c r="T4709" s="10"/>
      <c r="U4709" s="10"/>
      <c r="V4709" s="10"/>
      <c r="W4709" s="138"/>
      <c r="Y4709"/>
      <c r="Z4709"/>
      <c r="AA4709"/>
      <c r="AB4709"/>
      <c r="AC4709"/>
      <c r="AD4709"/>
      <c r="AE4709"/>
      <c r="AF4709"/>
      <c r="AG4709"/>
      <c r="AH4709"/>
      <c r="AI4709"/>
      <c r="AJ4709"/>
      <c r="AK4709"/>
      <c r="AL4709"/>
      <c r="AM4709"/>
      <c r="AN4709"/>
      <c r="AO4709"/>
    </row>
    <row r="4710" spans="1:41" ht="15">
      <c r="A4710"/>
      <c r="B4710"/>
      <c r="C4710" s="137"/>
      <c r="D4710" s="30"/>
      <c r="E4710" s="30"/>
      <c r="F4710" s="10"/>
      <c r="G4710" s="10"/>
      <c r="H4710" s="15"/>
      <c r="I4710" s="15"/>
      <c r="J4710" s="15"/>
      <c r="K4710" s="15"/>
      <c r="L4710" s="15"/>
      <c r="M4710" s="15"/>
      <c r="N4710" s="15"/>
      <c r="O4710" s="15"/>
      <c r="P4710" s="15"/>
      <c r="Q4710" s="71"/>
      <c r="R4710" s="84"/>
      <c r="S4710" s="10"/>
      <c r="T4710" s="10"/>
      <c r="U4710" s="10"/>
      <c r="V4710" s="10"/>
      <c r="W4710" s="138"/>
      <c r="Y4710"/>
      <c r="Z4710"/>
      <c r="AA4710"/>
      <c r="AB4710"/>
      <c r="AC4710"/>
      <c r="AD4710"/>
      <c r="AE4710"/>
      <c r="AF4710"/>
      <c r="AG4710"/>
      <c r="AH4710"/>
      <c r="AI4710"/>
      <c r="AJ4710"/>
      <c r="AK4710"/>
      <c r="AL4710"/>
      <c r="AM4710"/>
      <c r="AN4710"/>
      <c r="AO4710"/>
    </row>
    <row r="4711" spans="1:41" ht="15">
      <c r="A4711"/>
      <c r="B4711"/>
      <c r="C4711" s="137"/>
      <c r="D4711" s="30"/>
      <c r="E4711" s="30"/>
      <c r="F4711" s="10"/>
      <c r="G4711" s="10"/>
      <c r="H4711" s="15"/>
      <c r="I4711" s="15"/>
      <c r="J4711" s="15"/>
      <c r="K4711" s="15"/>
      <c r="L4711" s="15"/>
      <c r="M4711" s="15"/>
      <c r="N4711" s="15"/>
      <c r="O4711" s="15"/>
      <c r="P4711" s="15"/>
      <c r="Q4711" s="71"/>
      <c r="R4711" s="84"/>
      <c r="S4711" s="10"/>
      <c r="T4711" s="10"/>
      <c r="U4711" s="10"/>
      <c r="V4711" s="10"/>
      <c r="W4711" s="138"/>
      <c r="Y4711"/>
      <c r="Z4711"/>
      <c r="AA4711"/>
      <c r="AB4711"/>
      <c r="AC4711"/>
      <c r="AD4711"/>
      <c r="AE4711"/>
      <c r="AF4711"/>
      <c r="AG4711"/>
      <c r="AH4711"/>
      <c r="AI4711"/>
      <c r="AJ4711"/>
      <c r="AK4711"/>
      <c r="AL4711"/>
      <c r="AM4711"/>
      <c r="AN4711"/>
      <c r="AO4711"/>
    </row>
    <row r="4712" spans="1:41" ht="15">
      <c r="A4712"/>
      <c r="B4712"/>
      <c r="C4712" s="137"/>
      <c r="D4712" s="30"/>
      <c r="E4712" s="30"/>
      <c r="F4712" s="10"/>
      <c r="G4712" s="10"/>
      <c r="H4712" s="15"/>
      <c r="I4712" s="15"/>
      <c r="J4712" s="15"/>
      <c r="K4712" s="15"/>
      <c r="L4712" s="15"/>
      <c r="M4712" s="15"/>
      <c r="N4712" s="15"/>
      <c r="O4712" s="15"/>
      <c r="P4712" s="15"/>
      <c r="Q4712" s="71"/>
      <c r="R4712" s="84"/>
      <c r="S4712" s="10"/>
      <c r="T4712" s="10"/>
      <c r="U4712" s="10"/>
      <c r="V4712" s="10"/>
      <c r="W4712" s="138"/>
      <c r="Y4712"/>
      <c r="Z4712"/>
      <c r="AA4712"/>
      <c r="AB4712"/>
      <c r="AC4712"/>
      <c r="AD4712"/>
      <c r="AE4712"/>
      <c r="AF4712"/>
      <c r="AG4712"/>
      <c r="AH4712"/>
      <c r="AI4712"/>
      <c r="AJ4712"/>
      <c r="AK4712"/>
      <c r="AL4712"/>
      <c r="AM4712"/>
      <c r="AN4712"/>
      <c r="AO4712"/>
    </row>
    <row r="4713" spans="1:41" ht="15">
      <c r="A4713"/>
      <c r="B4713"/>
      <c r="C4713" s="137"/>
      <c r="D4713" s="30"/>
      <c r="E4713" s="30"/>
      <c r="F4713" s="10"/>
      <c r="G4713" s="10"/>
      <c r="H4713" s="15"/>
      <c r="I4713" s="15"/>
      <c r="J4713" s="15"/>
      <c r="K4713" s="15"/>
      <c r="L4713" s="15"/>
      <c r="M4713" s="15"/>
      <c r="N4713" s="15"/>
      <c r="O4713" s="15"/>
      <c r="P4713" s="15"/>
      <c r="Q4713" s="71"/>
      <c r="R4713" s="84"/>
      <c r="S4713" s="10"/>
      <c r="T4713" s="10"/>
      <c r="U4713" s="10"/>
      <c r="V4713" s="10"/>
      <c r="W4713" s="138"/>
      <c r="Y4713"/>
      <c r="Z4713"/>
      <c r="AA4713"/>
      <c r="AB4713"/>
      <c r="AC4713"/>
      <c r="AD4713"/>
      <c r="AE4713"/>
      <c r="AF4713"/>
      <c r="AG4713"/>
      <c r="AH4713"/>
      <c r="AI4713"/>
      <c r="AJ4713"/>
      <c r="AK4713"/>
      <c r="AL4713"/>
      <c r="AM4713"/>
      <c r="AN4713"/>
      <c r="AO4713"/>
    </row>
    <row r="4714" spans="1:41" ht="15">
      <c r="A4714"/>
      <c r="B4714"/>
      <c r="C4714" s="137"/>
      <c r="D4714" s="30"/>
      <c r="E4714" s="30"/>
      <c r="F4714" s="10"/>
      <c r="G4714" s="10"/>
      <c r="H4714" s="15"/>
      <c r="I4714" s="15"/>
      <c r="J4714" s="15"/>
      <c r="K4714" s="15"/>
      <c r="L4714" s="15"/>
      <c r="M4714" s="15"/>
      <c r="N4714" s="15"/>
      <c r="O4714" s="15"/>
      <c r="P4714" s="15"/>
      <c r="Q4714" s="71"/>
      <c r="R4714" s="84"/>
      <c r="S4714" s="10"/>
      <c r="T4714" s="10"/>
      <c r="U4714" s="10"/>
      <c r="V4714" s="10"/>
      <c r="W4714" s="138"/>
      <c r="Y4714"/>
      <c r="Z4714"/>
      <c r="AA4714"/>
      <c r="AB4714"/>
      <c r="AC4714"/>
      <c r="AD4714"/>
      <c r="AE4714"/>
      <c r="AF4714"/>
      <c r="AG4714"/>
      <c r="AH4714"/>
      <c r="AI4714"/>
      <c r="AJ4714"/>
      <c r="AK4714"/>
      <c r="AL4714"/>
      <c r="AM4714"/>
      <c r="AN4714"/>
      <c r="AO4714"/>
    </row>
    <row r="4715" spans="1:41" ht="15">
      <c r="A4715"/>
      <c r="B4715"/>
      <c r="C4715" s="137"/>
      <c r="D4715" s="30"/>
      <c r="E4715" s="30"/>
      <c r="F4715" s="10"/>
      <c r="G4715" s="10"/>
      <c r="H4715" s="15"/>
      <c r="I4715" s="15"/>
      <c r="J4715" s="15"/>
      <c r="K4715" s="15"/>
      <c r="L4715" s="15"/>
      <c r="M4715" s="15"/>
      <c r="N4715" s="15"/>
      <c r="O4715" s="15"/>
      <c r="P4715" s="15"/>
      <c r="Q4715" s="71"/>
      <c r="R4715" s="84"/>
      <c r="S4715" s="10"/>
      <c r="T4715" s="10"/>
      <c r="U4715" s="10"/>
      <c r="V4715" s="10"/>
      <c r="W4715" s="138"/>
      <c r="Y4715"/>
      <c r="Z4715"/>
      <c r="AA4715"/>
      <c r="AB4715"/>
      <c r="AC4715"/>
      <c r="AD4715"/>
      <c r="AE4715"/>
      <c r="AF4715"/>
      <c r="AG4715"/>
      <c r="AH4715"/>
      <c r="AI4715"/>
      <c r="AJ4715"/>
      <c r="AK4715"/>
      <c r="AL4715"/>
      <c r="AM4715"/>
      <c r="AN4715"/>
      <c r="AO4715"/>
    </row>
    <row r="4716" spans="1:41" ht="15">
      <c r="A4716"/>
      <c r="B4716"/>
      <c r="C4716" s="137"/>
      <c r="D4716" s="30"/>
      <c r="E4716" s="30"/>
      <c r="F4716" s="10"/>
      <c r="G4716" s="10"/>
      <c r="H4716" s="15"/>
      <c r="I4716" s="15"/>
      <c r="J4716" s="15"/>
      <c r="K4716" s="15"/>
      <c r="L4716" s="15"/>
      <c r="M4716" s="15"/>
      <c r="N4716" s="15"/>
      <c r="O4716" s="15"/>
      <c r="P4716" s="15"/>
      <c r="Q4716" s="71"/>
      <c r="R4716" s="84"/>
      <c r="S4716" s="10"/>
      <c r="T4716" s="10"/>
      <c r="U4716" s="10"/>
      <c r="V4716" s="10"/>
      <c r="W4716" s="138"/>
      <c r="Y4716"/>
      <c r="Z4716"/>
      <c r="AA4716"/>
      <c r="AB4716"/>
      <c r="AC4716"/>
      <c r="AD4716"/>
      <c r="AE4716"/>
      <c r="AF4716"/>
      <c r="AG4716"/>
      <c r="AH4716"/>
      <c r="AI4716"/>
      <c r="AJ4716"/>
      <c r="AK4716"/>
      <c r="AL4716"/>
      <c r="AM4716"/>
      <c r="AN4716"/>
      <c r="AO4716"/>
    </row>
    <row r="4717" spans="1:41" ht="15">
      <c r="A4717"/>
      <c r="B4717"/>
      <c r="C4717" s="137"/>
      <c r="D4717" s="30"/>
      <c r="E4717" s="30"/>
      <c r="F4717" s="10"/>
      <c r="G4717" s="10"/>
      <c r="H4717" s="15"/>
      <c r="I4717" s="15"/>
      <c r="J4717" s="15"/>
      <c r="K4717" s="15"/>
      <c r="L4717" s="15"/>
      <c r="M4717" s="15"/>
      <c r="N4717" s="15"/>
      <c r="O4717" s="15"/>
      <c r="P4717" s="15"/>
      <c r="Q4717" s="71"/>
      <c r="R4717" s="84"/>
      <c r="S4717" s="10"/>
      <c r="T4717" s="10"/>
      <c r="U4717" s="10"/>
      <c r="V4717" s="10"/>
      <c r="W4717" s="138"/>
      <c r="Y4717"/>
      <c r="Z4717"/>
      <c r="AA4717"/>
      <c r="AB4717"/>
      <c r="AC4717"/>
      <c r="AD4717"/>
      <c r="AE4717"/>
      <c r="AF4717"/>
      <c r="AG4717"/>
      <c r="AH4717"/>
      <c r="AI4717"/>
      <c r="AJ4717"/>
      <c r="AK4717"/>
      <c r="AL4717"/>
      <c r="AM4717"/>
      <c r="AN4717"/>
      <c r="AO4717"/>
    </row>
    <row r="4718" spans="1:41" ht="15">
      <c r="A4718"/>
      <c r="B4718"/>
      <c r="C4718" s="137"/>
      <c r="D4718" s="30"/>
      <c r="E4718" s="30"/>
      <c r="F4718" s="10"/>
      <c r="G4718" s="10"/>
      <c r="H4718" s="15"/>
      <c r="I4718" s="15"/>
      <c r="J4718" s="15"/>
      <c r="K4718" s="15"/>
      <c r="L4718" s="15"/>
      <c r="M4718" s="15"/>
      <c r="N4718" s="15"/>
      <c r="O4718" s="15"/>
      <c r="P4718" s="15"/>
      <c r="Q4718" s="71"/>
      <c r="R4718" s="84"/>
      <c r="S4718" s="10"/>
      <c r="T4718" s="10"/>
      <c r="U4718" s="10"/>
      <c r="V4718" s="10"/>
      <c r="W4718" s="138"/>
      <c r="Y4718"/>
      <c r="Z4718"/>
      <c r="AA4718"/>
      <c r="AB4718"/>
      <c r="AC4718"/>
      <c r="AD4718"/>
      <c r="AE4718"/>
      <c r="AF4718"/>
      <c r="AG4718"/>
      <c r="AH4718"/>
      <c r="AI4718"/>
      <c r="AJ4718"/>
      <c r="AK4718"/>
      <c r="AL4718"/>
      <c r="AM4718"/>
      <c r="AN4718"/>
      <c r="AO4718"/>
    </row>
    <row r="4719" spans="1:41" ht="15">
      <c r="A4719"/>
      <c r="B4719"/>
      <c r="C4719" s="137"/>
      <c r="D4719" s="30"/>
      <c r="E4719" s="30"/>
      <c r="F4719" s="10"/>
      <c r="G4719" s="10"/>
      <c r="H4719" s="15"/>
      <c r="I4719" s="15"/>
      <c r="J4719" s="15"/>
      <c r="K4719" s="15"/>
      <c r="L4719" s="15"/>
      <c r="M4719" s="15"/>
      <c r="N4719" s="15"/>
      <c r="O4719" s="15"/>
      <c r="P4719" s="15"/>
      <c r="Q4719" s="71"/>
      <c r="R4719" s="84"/>
      <c r="S4719" s="10"/>
      <c r="T4719" s="10"/>
      <c r="U4719" s="10"/>
      <c r="V4719" s="10"/>
      <c r="W4719" s="138"/>
      <c r="Y4719"/>
      <c r="Z4719"/>
      <c r="AA4719"/>
      <c r="AB4719"/>
      <c r="AC4719"/>
      <c r="AD4719"/>
      <c r="AE4719"/>
      <c r="AF4719"/>
      <c r="AG4719"/>
      <c r="AH4719"/>
      <c r="AI4719"/>
      <c r="AJ4719"/>
      <c r="AK4719"/>
      <c r="AL4719"/>
      <c r="AM4719"/>
      <c r="AN4719"/>
      <c r="AO4719"/>
    </row>
    <row r="4720" spans="1:41" ht="15">
      <c r="A4720"/>
      <c r="B4720"/>
      <c r="C4720" s="137"/>
      <c r="D4720" s="30"/>
      <c r="E4720" s="30"/>
      <c r="F4720" s="10"/>
      <c r="G4720" s="10"/>
      <c r="H4720" s="15"/>
      <c r="I4720" s="15"/>
      <c r="J4720" s="15"/>
      <c r="K4720" s="15"/>
      <c r="L4720" s="15"/>
      <c r="M4720" s="15"/>
      <c r="N4720" s="15"/>
      <c r="O4720" s="15"/>
      <c r="P4720" s="15"/>
      <c r="Q4720" s="71"/>
      <c r="R4720" s="84"/>
      <c r="S4720" s="10"/>
      <c r="T4720" s="10"/>
      <c r="U4720" s="10"/>
      <c r="V4720" s="10"/>
      <c r="W4720" s="138"/>
      <c r="Y4720"/>
      <c r="Z4720"/>
      <c r="AA4720"/>
      <c r="AB4720"/>
      <c r="AC4720"/>
      <c r="AD4720"/>
      <c r="AE4720"/>
      <c r="AF4720"/>
      <c r="AG4720"/>
      <c r="AH4720"/>
      <c r="AI4720"/>
      <c r="AJ4720"/>
      <c r="AK4720"/>
      <c r="AL4720"/>
      <c r="AM4720"/>
      <c r="AN4720"/>
      <c r="AO4720"/>
    </row>
    <row r="4721" spans="1:41" ht="15">
      <c r="A4721"/>
      <c r="B4721"/>
      <c r="C4721" s="137"/>
      <c r="D4721" s="30"/>
      <c r="E4721" s="30"/>
      <c r="F4721" s="10"/>
      <c r="G4721" s="10"/>
      <c r="H4721" s="15"/>
      <c r="I4721" s="15"/>
      <c r="J4721" s="15"/>
      <c r="K4721" s="15"/>
      <c r="L4721" s="15"/>
      <c r="M4721" s="15"/>
      <c r="N4721" s="15"/>
      <c r="O4721" s="15"/>
      <c r="P4721" s="15"/>
      <c r="Q4721" s="71"/>
      <c r="R4721" s="84"/>
      <c r="S4721" s="10"/>
      <c r="T4721" s="10"/>
      <c r="U4721" s="10"/>
      <c r="V4721" s="10"/>
      <c r="W4721" s="138"/>
      <c r="Y4721"/>
      <c r="Z4721"/>
      <c r="AA4721"/>
      <c r="AB4721"/>
      <c r="AC4721"/>
      <c r="AD4721"/>
      <c r="AE4721"/>
      <c r="AF4721"/>
      <c r="AG4721"/>
      <c r="AH4721"/>
      <c r="AI4721"/>
      <c r="AJ4721"/>
      <c r="AK4721"/>
      <c r="AL4721"/>
      <c r="AM4721"/>
      <c r="AN4721"/>
      <c r="AO4721"/>
    </row>
    <row r="4722" spans="1:41" ht="15">
      <c r="A4722"/>
      <c r="B4722"/>
      <c r="C4722" s="137"/>
      <c r="D4722" s="30"/>
      <c r="E4722" s="30"/>
      <c r="F4722" s="10"/>
      <c r="G4722" s="10"/>
      <c r="H4722" s="15"/>
      <c r="I4722" s="15"/>
      <c r="J4722" s="15"/>
      <c r="K4722" s="15"/>
      <c r="L4722" s="15"/>
      <c r="M4722" s="15"/>
      <c r="N4722" s="15"/>
      <c r="O4722" s="15"/>
      <c r="P4722" s="15"/>
      <c r="Q4722" s="71"/>
      <c r="R4722" s="84"/>
      <c r="S4722" s="10"/>
      <c r="T4722" s="10"/>
      <c r="U4722" s="10"/>
      <c r="V4722" s="10"/>
      <c r="W4722" s="138"/>
      <c r="Y4722"/>
      <c r="Z4722"/>
      <c r="AA4722"/>
      <c r="AB4722"/>
      <c r="AC4722"/>
      <c r="AD4722"/>
      <c r="AE4722"/>
      <c r="AF4722"/>
      <c r="AG4722"/>
      <c r="AH4722"/>
      <c r="AI4722"/>
      <c r="AJ4722"/>
      <c r="AK4722"/>
      <c r="AL4722"/>
      <c r="AM4722"/>
      <c r="AN4722"/>
      <c r="AO4722"/>
    </row>
    <row r="4723" spans="1:41" ht="15">
      <c r="A4723"/>
      <c r="B4723"/>
      <c r="C4723" s="137"/>
      <c r="D4723" s="30"/>
      <c r="E4723" s="30"/>
      <c r="F4723" s="10"/>
      <c r="G4723" s="10"/>
      <c r="H4723" s="15"/>
      <c r="I4723" s="15"/>
      <c r="J4723" s="15"/>
      <c r="K4723" s="15"/>
      <c r="L4723" s="15"/>
      <c r="M4723" s="15"/>
      <c r="N4723" s="15"/>
      <c r="O4723" s="15"/>
      <c r="P4723" s="15"/>
      <c r="Q4723" s="71"/>
      <c r="R4723" s="84"/>
      <c r="S4723" s="10"/>
      <c r="T4723" s="10"/>
      <c r="U4723" s="10"/>
      <c r="V4723" s="10"/>
      <c r="W4723" s="138"/>
      <c r="Y4723"/>
      <c r="Z4723"/>
      <c r="AA4723"/>
      <c r="AB4723"/>
      <c r="AC4723"/>
      <c r="AD4723"/>
      <c r="AE4723"/>
      <c r="AF4723"/>
      <c r="AG4723"/>
      <c r="AH4723"/>
      <c r="AI4723"/>
      <c r="AJ4723"/>
      <c r="AK4723"/>
      <c r="AL4723"/>
      <c r="AM4723"/>
      <c r="AN4723"/>
      <c r="AO4723"/>
    </row>
    <row r="4724" spans="1:41" ht="15">
      <c r="A4724"/>
      <c r="B4724"/>
      <c r="C4724" s="137"/>
      <c r="D4724" s="30"/>
      <c r="E4724" s="30"/>
      <c r="F4724" s="10"/>
      <c r="G4724" s="10"/>
      <c r="H4724" s="15"/>
      <c r="I4724" s="15"/>
      <c r="J4724" s="15"/>
      <c r="K4724" s="15"/>
      <c r="L4724" s="15"/>
      <c r="M4724" s="15"/>
      <c r="N4724" s="15"/>
      <c r="O4724" s="15"/>
      <c r="P4724" s="15"/>
      <c r="Q4724" s="71"/>
      <c r="R4724" s="84"/>
      <c r="S4724" s="10"/>
      <c r="T4724" s="10"/>
      <c r="U4724" s="10"/>
      <c r="V4724" s="10"/>
      <c r="W4724" s="138"/>
      <c r="Y4724"/>
      <c r="Z4724"/>
      <c r="AA4724"/>
      <c r="AB4724"/>
      <c r="AC4724"/>
      <c r="AD4724"/>
      <c r="AE4724"/>
      <c r="AF4724"/>
      <c r="AG4724"/>
      <c r="AH4724"/>
      <c r="AI4724"/>
      <c r="AJ4724"/>
      <c r="AK4724"/>
      <c r="AL4724"/>
      <c r="AM4724"/>
      <c r="AN4724"/>
      <c r="AO4724"/>
    </row>
    <row r="4725" spans="1:41" ht="15">
      <c r="A4725"/>
      <c r="B4725"/>
      <c r="C4725" s="137"/>
      <c r="D4725" s="30"/>
      <c r="E4725" s="30"/>
      <c r="F4725" s="10"/>
      <c r="G4725" s="10"/>
      <c r="H4725" s="15"/>
      <c r="I4725" s="15"/>
      <c r="J4725" s="15"/>
      <c r="K4725" s="15"/>
      <c r="L4725" s="15"/>
      <c r="M4725" s="15"/>
      <c r="N4725" s="15"/>
      <c r="O4725" s="15"/>
      <c r="P4725" s="15"/>
      <c r="Q4725" s="71"/>
      <c r="R4725" s="84"/>
      <c r="S4725" s="10"/>
      <c r="T4725" s="10"/>
      <c r="U4725" s="10"/>
      <c r="V4725" s="10"/>
      <c r="W4725" s="138"/>
      <c r="Y4725"/>
      <c r="Z4725"/>
      <c r="AA4725"/>
      <c r="AB4725"/>
      <c r="AC4725"/>
      <c r="AD4725"/>
      <c r="AE4725"/>
      <c r="AF4725"/>
      <c r="AG4725"/>
      <c r="AH4725"/>
      <c r="AI4725"/>
      <c r="AJ4725"/>
      <c r="AK4725"/>
      <c r="AL4725"/>
      <c r="AM4725"/>
      <c r="AN4725"/>
      <c r="AO4725"/>
    </row>
    <row r="4726" spans="1:41" ht="15">
      <c r="A4726"/>
      <c r="B4726"/>
      <c r="C4726" s="137"/>
      <c r="D4726" s="30"/>
      <c r="E4726" s="30"/>
      <c r="F4726" s="10"/>
      <c r="G4726" s="10"/>
      <c r="H4726" s="15"/>
      <c r="I4726" s="15"/>
      <c r="J4726" s="15"/>
      <c r="K4726" s="15"/>
      <c r="L4726" s="15"/>
      <c r="M4726" s="15"/>
      <c r="N4726" s="15"/>
      <c r="O4726" s="15"/>
      <c r="P4726" s="15"/>
      <c r="Q4726" s="71"/>
      <c r="R4726" s="84"/>
      <c r="S4726" s="10"/>
      <c r="T4726" s="10"/>
      <c r="U4726" s="10"/>
      <c r="V4726" s="10"/>
      <c r="W4726" s="138"/>
      <c r="Y4726"/>
      <c r="Z4726"/>
      <c r="AA4726"/>
      <c r="AB4726"/>
      <c r="AC4726"/>
      <c r="AD4726"/>
      <c r="AE4726"/>
      <c r="AF4726"/>
      <c r="AG4726"/>
      <c r="AH4726"/>
      <c r="AI4726"/>
      <c r="AJ4726"/>
      <c r="AK4726"/>
      <c r="AL4726"/>
      <c r="AM4726"/>
      <c r="AN4726"/>
      <c r="AO4726"/>
    </row>
    <row r="4727" spans="1:41" ht="15">
      <c r="A4727"/>
      <c r="B4727"/>
      <c r="C4727" s="137"/>
      <c r="D4727" s="30"/>
      <c r="E4727" s="30"/>
      <c r="F4727" s="10"/>
      <c r="G4727" s="10"/>
      <c r="H4727" s="15"/>
      <c r="I4727" s="15"/>
      <c r="J4727" s="15"/>
      <c r="K4727" s="15"/>
      <c r="L4727" s="15"/>
      <c r="M4727" s="15"/>
      <c r="N4727" s="15"/>
      <c r="O4727" s="15"/>
      <c r="P4727" s="15"/>
      <c r="Q4727" s="71"/>
      <c r="R4727" s="84"/>
      <c r="S4727" s="10"/>
      <c r="T4727" s="10"/>
      <c r="U4727" s="10"/>
      <c r="V4727" s="10"/>
      <c r="W4727" s="138"/>
      <c r="Y4727"/>
      <c r="Z4727"/>
      <c r="AA4727"/>
      <c r="AB4727"/>
      <c r="AC4727"/>
      <c r="AD4727"/>
      <c r="AE4727"/>
      <c r="AF4727"/>
      <c r="AG4727"/>
      <c r="AH4727"/>
      <c r="AI4727"/>
      <c r="AJ4727"/>
      <c r="AK4727"/>
      <c r="AL4727"/>
      <c r="AM4727"/>
      <c r="AN4727"/>
      <c r="AO4727"/>
    </row>
    <row r="4728" spans="1:41" ht="15">
      <c r="A4728"/>
      <c r="B4728"/>
      <c r="C4728" s="137"/>
      <c r="D4728" s="30"/>
      <c r="E4728" s="30"/>
      <c r="F4728" s="10"/>
      <c r="G4728" s="10"/>
      <c r="H4728" s="15"/>
      <c r="I4728" s="15"/>
      <c r="J4728" s="15"/>
      <c r="K4728" s="15"/>
      <c r="L4728" s="15"/>
      <c r="M4728" s="15"/>
      <c r="N4728" s="15"/>
      <c r="O4728" s="15"/>
      <c r="P4728" s="15"/>
      <c r="Q4728" s="71"/>
      <c r="R4728" s="84"/>
      <c r="S4728" s="10"/>
      <c r="T4728" s="10"/>
      <c r="U4728" s="10"/>
      <c r="V4728" s="10"/>
      <c r="W4728" s="138"/>
      <c r="Y4728"/>
      <c r="Z4728"/>
      <c r="AA4728"/>
      <c r="AB4728"/>
      <c r="AC4728"/>
      <c r="AD4728"/>
      <c r="AE4728"/>
      <c r="AF4728"/>
      <c r="AG4728"/>
      <c r="AH4728"/>
      <c r="AI4728"/>
      <c r="AJ4728"/>
      <c r="AK4728"/>
      <c r="AL4728"/>
      <c r="AM4728"/>
      <c r="AN4728"/>
      <c r="AO4728"/>
    </row>
    <row r="4729" spans="1:41" ht="15">
      <c r="A4729"/>
      <c r="B4729"/>
      <c r="C4729" s="137"/>
      <c r="D4729" s="30"/>
      <c r="E4729" s="30"/>
      <c r="F4729" s="10"/>
      <c r="G4729" s="10"/>
      <c r="H4729" s="15"/>
      <c r="I4729" s="15"/>
      <c r="J4729" s="15"/>
      <c r="K4729" s="15"/>
      <c r="L4729" s="15"/>
      <c r="M4729" s="15"/>
      <c r="N4729" s="15"/>
      <c r="O4729" s="15"/>
      <c r="P4729" s="15"/>
      <c r="Q4729" s="71"/>
      <c r="R4729" s="84"/>
      <c r="S4729" s="10"/>
      <c r="T4729" s="10"/>
      <c r="U4729" s="10"/>
      <c r="V4729" s="10"/>
      <c r="W4729" s="138"/>
      <c r="Y4729"/>
      <c r="Z4729"/>
      <c r="AA4729"/>
      <c r="AB4729"/>
      <c r="AC4729"/>
      <c r="AD4729"/>
      <c r="AE4729"/>
      <c r="AF4729"/>
      <c r="AG4729"/>
      <c r="AH4729"/>
      <c r="AI4729"/>
      <c r="AJ4729"/>
      <c r="AK4729"/>
      <c r="AL4729"/>
      <c r="AM4729"/>
      <c r="AN4729"/>
      <c r="AO4729"/>
    </row>
    <row r="4730" spans="1:41" ht="15">
      <c r="A4730"/>
      <c r="B4730"/>
      <c r="C4730" s="137"/>
      <c r="D4730" s="30"/>
      <c r="E4730" s="30"/>
      <c r="F4730" s="10"/>
      <c r="G4730" s="10"/>
      <c r="H4730" s="15"/>
      <c r="I4730" s="15"/>
      <c r="J4730" s="15"/>
      <c r="K4730" s="15"/>
      <c r="L4730" s="15"/>
      <c r="M4730" s="15"/>
      <c r="N4730" s="15"/>
      <c r="O4730" s="15"/>
      <c r="P4730" s="15"/>
      <c r="Q4730" s="71"/>
      <c r="R4730" s="84"/>
      <c r="S4730" s="10"/>
      <c r="T4730" s="10"/>
      <c r="U4730" s="10"/>
      <c r="V4730" s="10"/>
      <c r="W4730" s="138"/>
      <c r="Y4730"/>
      <c r="Z4730"/>
      <c r="AA4730"/>
      <c r="AB4730"/>
      <c r="AC4730"/>
      <c r="AD4730"/>
      <c r="AE4730"/>
      <c r="AF4730"/>
      <c r="AG4730"/>
      <c r="AH4730"/>
      <c r="AI4730"/>
      <c r="AJ4730"/>
      <c r="AK4730"/>
      <c r="AL4730"/>
      <c r="AM4730"/>
      <c r="AN4730"/>
      <c r="AO4730"/>
    </row>
    <row r="4731" spans="1:41" ht="15">
      <c r="A4731"/>
      <c r="B4731"/>
      <c r="C4731" s="137"/>
      <c r="D4731" s="30"/>
      <c r="E4731" s="30"/>
      <c r="F4731" s="10"/>
      <c r="G4731" s="10"/>
      <c r="H4731" s="15"/>
      <c r="I4731" s="15"/>
      <c r="J4731" s="15"/>
      <c r="K4731" s="15"/>
      <c r="L4731" s="15"/>
      <c r="M4731" s="15"/>
      <c r="N4731" s="15"/>
      <c r="O4731" s="15"/>
      <c r="P4731" s="15"/>
      <c r="Q4731" s="71"/>
      <c r="R4731" s="84"/>
      <c r="S4731" s="10"/>
      <c r="T4731" s="10"/>
      <c r="U4731" s="10"/>
      <c r="V4731" s="10"/>
      <c r="W4731" s="138"/>
      <c r="Y4731"/>
      <c r="Z4731"/>
      <c r="AA4731"/>
      <c r="AB4731"/>
      <c r="AC4731"/>
      <c r="AD4731"/>
      <c r="AE4731"/>
      <c r="AF4731"/>
      <c r="AG4731"/>
      <c r="AH4731"/>
      <c r="AI4731"/>
      <c r="AJ4731"/>
      <c r="AK4731"/>
      <c r="AL4731"/>
      <c r="AM4731"/>
      <c r="AN4731"/>
      <c r="AO4731"/>
    </row>
    <row r="4732" spans="1:41" ht="15">
      <c r="A4732"/>
      <c r="B4732"/>
      <c r="C4732" s="137"/>
      <c r="D4732" s="30"/>
      <c r="E4732" s="30"/>
      <c r="F4732" s="10"/>
      <c r="G4732" s="10"/>
      <c r="H4732" s="15"/>
      <c r="I4732" s="15"/>
      <c r="J4732" s="15"/>
      <c r="K4732" s="15"/>
      <c r="L4732" s="15"/>
      <c r="M4732" s="15"/>
      <c r="N4732" s="15"/>
      <c r="O4732" s="15"/>
      <c r="P4732" s="15"/>
      <c r="Q4732" s="71"/>
      <c r="R4732" s="84"/>
      <c r="S4732" s="10"/>
      <c r="T4732" s="10"/>
      <c r="U4732" s="10"/>
      <c r="V4732" s="10"/>
      <c r="W4732" s="138"/>
      <c r="Y4732"/>
      <c r="Z4732"/>
      <c r="AA4732"/>
      <c r="AB4732"/>
      <c r="AC4732"/>
      <c r="AD4732"/>
      <c r="AE4732"/>
      <c r="AF4732"/>
      <c r="AG4732"/>
      <c r="AH4732"/>
      <c r="AI4732"/>
      <c r="AJ4732"/>
      <c r="AK4732"/>
      <c r="AL4732"/>
      <c r="AM4732"/>
      <c r="AN4732"/>
      <c r="AO4732"/>
    </row>
    <row r="4733" spans="1:41" ht="15">
      <c r="A4733"/>
      <c r="B4733"/>
      <c r="C4733" s="137"/>
      <c r="D4733" s="30"/>
      <c r="E4733" s="30"/>
      <c r="F4733" s="10"/>
      <c r="G4733" s="10"/>
      <c r="H4733" s="15"/>
      <c r="I4733" s="15"/>
      <c r="J4733" s="15"/>
      <c r="K4733" s="15"/>
      <c r="L4733" s="15"/>
      <c r="M4733" s="15"/>
      <c r="N4733" s="15"/>
      <c r="O4733" s="15"/>
      <c r="P4733" s="15"/>
      <c r="Q4733" s="71"/>
      <c r="R4733" s="84"/>
      <c r="S4733" s="10"/>
      <c r="T4733" s="10"/>
      <c r="U4733" s="10"/>
      <c r="V4733" s="10"/>
      <c r="W4733" s="138"/>
      <c r="Y4733"/>
      <c r="Z4733"/>
      <c r="AA4733"/>
      <c r="AB4733"/>
      <c r="AC4733"/>
      <c r="AD4733"/>
      <c r="AE4733"/>
      <c r="AF4733"/>
      <c r="AG4733"/>
      <c r="AH4733"/>
      <c r="AI4733"/>
      <c r="AJ4733"/>
      <c r="AK4733"/>
      <c r="AL4733"/>
      <c r="AM4733"/>
      <c r="AN4733"/>
      <c r="AO4733"/>
    </row>
    <row r="4734" spans="1:41" ht="15">
      <c r="A4734"/>
      <c r="B4734"/>
      <c r="C4734" s="137"/>
      <c r="D4734" s="30"/>
      <c r="E4734" s="30"/>
      <c r="F4734" s="10"/>
      <c r="G4734" s="10"/>
      <c r="H4734" s="15"/>
      <c r="I4734" s="15"/>
      <c r="J4734" s="15"/>
      <c r="K4734" s="15"/>
      <c r="L4734" s="15"/>
      <c r="M4734" s="15"/>
      <c r="N4734" s="15"/>
      <c r="O4734" s="15"/>
      <c r="P4734" s="15"/>
      <c r="Q4734" s="71"/>
      <c r="R4734" s="84"/>
      <c r="S4734" s="10"/>
      <c r="T4734" s="10"/>
      <c r="U4734" s="10"/>
      <c r="V4734" s="10"/>
      <c r="W4734" s="138"/>
      <c r="Y4734"/>
      <c r="Z4734"/>
      <c r="AA4734"/>
      <c r="AB4734"/>
      <c r="AC4734"/>
      <c r="AD4734"/>
      <c r="AE4734"/>
      <c r="AF4734"/>
      <c r="AG4734"/>
      <c r="AH4734"/>
      <c r="AI4734"/>
      <c r="AJ4734"/>
      <c r="AK4734"/>
      <c r="AL4734"/>
      <c r="AM4734"/>
      <c r="AN4734"/>
      <c r="AO4734"/>
    </row>
    <row r="4735" spans="1:41" ht="15">
      <c r="A4735"/>
      <c r="B4735"/>
      <c r="C4735" s="137"/>
      <c r="D4735" s="30"/>
      <c r="E4735" s="30"/>
      <c r="F4735" s="10"/>
      <c r="G4735" s="10"/>
      <c r="H4735" s="15"/>
      <c r="I4735" s="15"/>
      <c r="J4735" s="15"/>
      <c r="K4735" s="15"/>
      <c r="L4735" s="15"/>
      <c r="M4735" s="15"/>
      <c r="N4735" s="15"/>
      <c r="O4735" s="15"/>
      <c r="P4735" s="15"/>
      <c r="Q4735" s="71"/>
      <c r="R4735" s="84"/>
      <c r="S4735" s="10"/>
      <c r="T4735" s="10"/>
      <c r="U4735" s="10"/>
      <c r="V4735" s="10"/>
      <c r="W4735" s="138"/>
      <c r="Y4735"/>
      <c r="Z4735"/>
      <c r="AA4735"/>
      <c r="AB4735"/>
      <c r="AC4735"/>
      <c r="AD4735"/>
      <c r="AE4735"/>
      <c r="AF4735"/>
      <c r="AG4735"/>
      <c r="AH4735"/>
      <c r="AI4735"/>
      <c r="AJ4735"/>
      <c r="AK4735"/>
      <c r="AL4735"/>
      <c r="AM4735"/>
      <c r="AN4735"/>
      <c r="AO4735"/>
    </row>
    <row r="4736" spans="1:41" ht="15">
      <c r="A4736"/>
      <c r="B4736"/>
      <c r="C4736" s="137"/>
      <c r="D4736" s="30"/>
      <c r="E4736" s="30"/>
      <c r="F4736" s="10"/>
      <c r="G4736" s="10"/>
      <c r="H4736" s="15"/>
      <c r="I4736" s="15"/>
      <c r="J4736" s="15"/>
      <c r="K4736" s="15"/>
      <c r="L4736" s="15"/>
      <c r="M4736" s="15"/>
      <c r="N4736" s="15"/>
      <c r="O4736" s="15"/>
      <c r="P4736" s="15"/>
      <c r="Q4736" s="71"/>
      <c r="R4736" s="84"/>
      <c r="S4736" s="10"/>
      <c r="T4736" s="10"/>
      <c r="U4736" s="10"/>
      <c r="V4736" s="10"/>
      <c r="W4736" s="138"/>
      <c r="Y4736"/>
      <c r="Z4736"/>
      <c r="AA4736"/>
      <c r="AB4736"/>
      <c r="AC4736"/>
      <c r="AD4736"/>
      <c r="AE4736"/>
      <c r="AF4736"/>
      <c r="AG4736"/>
      <c r="AH4736"/>
      <c r="AI4736"/>
      <c r="AJ4736"/>
      <c r="AK4736"/>
      <c r="AL4736"/>
      <c r="AM4736"/>
      <c r="AN4736"/>
      <c r="AO4736"/>
    </row>
    <row r="4737" spans="1:41" ht="15">
      <c r="A4737"/>
      <c r="B4737"/>
      <c r="C4737" s="137"/>
      <c r="D4737" s="30"/>
      <c r="E4737" s="30"/>
      <c r="F4737" s="10"/>
      <c r="G4737" s="10"/>
      <c r="H4737" s="15"/>
      <c r="I4737" s="15"/>
      <c r="J4737" s="15"/>
      <c r="K4737" s="15"/>
      <c r="L4737" s="15"/>
      <c r="M4737" s="15"/>
      <c r="N4737" s="15"/>
      <c r="O4737" s="15"/>
      <c r="P4737" s="15"/>
      <c r="Q4737" s="71"/>
      <c r="R4737" s="84"/>
      <c r="S4737" s="10"/>
      <c r="T4737" s="10"/>
      <c r="U4737" s="10"/>
      <c r="V4737" s="10"/>
      <c r="W4737" s="138"/>
      <c r="Y4737"/>
      <c r="Z4737"/>
      <c r="AA4737"/>
      <c r="AB4737"/>
      <c r="AC4737"/>
      <c r="AD4737"/>
      <c r="AE4737"/>
      <c r="AF4737"/>
      <c r="AG4737"/>
      <c r="AH4737"/>
      <c r="AI4737"/>
      <c r="AJ4737"/>
      <c r="AK4737"/>
      <c r="AL4737"/>
      <c r="AM4737"/>
      <c r="AN4737"/>
      <c r="AO4737"/>
    </row>
    <row r="4738" spans="1:41" ht="15">
      <c r="A4738"/>
      <c r="B4738"/>
      <c r="C4738" s="137"/>
      <c r="D4738" s="30"/>
      <c r="E4738" s="30"/>
      <c r="F4738" s="10"/>
      <c r="G4738" s="10"/>
      <c r="H4738" s="15"/>
      <c r="I4738" s="15"/>
      <c r="J4738" s="15"/>
      <c r="K4738" s="15"/>
      <c r="L4738" s="15"/>
      <c r="M4738" s="15"/>
      <c r="N4738" s="15"/>
      <c r="O4738" s="15"/>
      <c r="P4738" s="15"/>
      <c r="Q4738" s="71"/>
      <c r="R4738" s="84"/>
      <c r="S4738" s="10"/>
      <c r="T4738" s="10"/>
      <c r="U4738" s="10"/>
      <c r="V4738" s="10"/>
      <c r="W4738" s="138"/>
      <c r="Y4738"/>
      <c r="Z4738"/>
      <c r="AA4738"/>
      <c r="AB4738"/>
      <c r="AC4738"/>
      <c r="AD4738"/>
      <c r="AE4738"/>
      <c r="AF4738"/>
      <c r="AG4738"/>
      <c r="AH4738"/>
      <c r="AI4738"/>
      <c r="AJ4738"/>
      <c r="AK4738"/>
      <c r="AL4738"/>
      <c r="AM4738"/>
      <c r="AN4738"/>
      <c r="AO4738"/>
    </row>
    <row r="4739" spans="1:41" ht="15">
      <c r="A4739"/>
      <c r="B4739"/>
      <c r="C4739" s="137"/>
      <c r="D4739" s="30"/>
      <c r="E4739" s="30"/>
      <c r="F4739" s="10"/>
      <c r="G4739" s="10"/>
      <c r="H4739" s="15"/>
      <c r="I4739" s="15"/>
      <c r="J4739" s="15"/>
      <c r="K4739" s="15"/>
      <c r="L4739" s="15"/>
      <c r="M4739" s="15"/>
      <c r="N4739" s="15"/>
      <c r="O4739" s="15"/>
      <c r="P4739" s="15"/>
      <c r="Q4739" s="71"/>
      <c r="R4739" s="84"/>
      <c r="S4739" s="10"/>
      <c r="T4739" s="10"/>
      <c r="U4739" s="10"/>
      <c r="V4739" s="10"/>
      <c r="W4739" s="138"/>
      <c r="Y4739"/>
      <c r="Z4739"/>
      <c r="AA4739"/>
      <c r="AB4739"/>
      <c r="AC4739"/>
      <c r="AD4739"/>
      <c r="AE4739"/>
      <c r="AF4739"/>
      <c r="AG4739"/>
      <c r="AH4739"/>
      <c r="AI4739"/>
      <c r="AJ4739"/>
      <c r="AK4739"/>
      <c r="AL4739"/>
      <c r="AM4739"/>
      <c r="AN4739"/>
      <c r="AO4739"/>
    </row>
    <row r="4740" spans="1:41" ht="15">
      <c r="A4740"/>
      <c r="B4740"/>
      <c r="C4740" s="137"/>
      <c r="D4740" s="30"/>
      <c r="E4740" s="30"/>
      <c r="F4740" s="10"/>
      <c r="G4740" s="10"/>
      <c r="H4740" s="15"/>
      <c r="I4740" s="15"/>
      <c r="J4740" s="15"/>
      <c r="K4740" s="15"/>
      <c r="L4740" s="15"/>
      <c r="M4740" s="15"/>
      <c r="N4740" s="15"/>
      <c r="O4740" s="15"/>
      <c r="P4740" s="15"/>
      <c r="Q4740" s="71"/>
      <c r="R4740" s="84"/>
      <c r="S4740" s="10"/>
      <c r="T4740" s="10"/>
      <c r="U4740" s="10"/>
      <c r="V4740" s="10"/>
      <c r="W4740" s="138"/>
      <c r="Y4740"/>
      <c r="Z4740"/>
      <c r="AA4740"/>
      <c r="AB4740"/>
      <c r="AC4740"/>
      <c r="AD4740"/>
      <c r="AE4740"/>
      <c r="AF4740"/>
      <c r="AG4740"/>
      <c r="AH4740"/>
      <c r="AI4740"/>
      <c r="AJ4740"/>
      <c r="AK4740"/>
      <c r="AL4740"/>
      <c r="AM4740"/>
      <c r="AN4740"/>
      <c r="AO4740"/>
    </row>
    <row r="4741" spans="1:41" ht="15">
      <c r="A4741"/>
      <c r="B4741"/>
      <c r="C4741" s="137"/>
      <c r="D4741" s="30"/>
      <c r="E4741" s="30"/>
      <c r="F4741" s="10"/>
      <c r="G4741" s="10"/>
      <c r="H4741" s="15"/>
      <c r="I4741" s="15"/>
      <c r="J4741" s="15"/>
      <c r="K4741" s="15"/>
      <c r="L4741" s="15"/>
      <c r="M4741" s="15"/>
      <c r="N4741" s="15"/>
      <c r="O4741" s="15"/>
      <c r="P4741" s="15"/>
      <c r="Q4741" s="71"/>
      <c r="R4741" s="84"/>
      <c r="S4741" s="10"/>
      <c r="T4741" s="10"/>
      <c r="U4741" s="10"/>
      <c r="V4741" s="10"/>
      <c r="W4741" s="138"/>
      <c r="Y4741"/>
      <c r="Z4741"/>
      <c r="AA4741"/>
      <c r="AB4741"/>
      <c r="AC4741"/>
      <c r="AD4741"/>
      <c r="AE4741"/>
      <c r="AF4741"/>
      <c r="AG4741"/>
      <c r="AH4741"/>
      <c r="AI4741"/>
      <c r="AJ4741"/>
      <c r="AK4741"/>
      <c r="AL4741"/>
      <c r="AM4741"/>
      <c r="AN4741"/>
      <c r="AO4741"/>
    </row>
    <row r="4742" spans="1:41" ht="15">
      <c r="A4742"/>
      <c r="B4742"/>
      <c r="C4742" s="137"/>
      <c r="D4742" s="30"/>
      <c r="E4742" s="30"/>
      <c r="F4742" s="10"/>
      <c r="G4742" s="10"/>
      <c r="H4742" s="15"/>
      <c r="I4742" s="15"/>
      <c r="J4742" s="15"/>
      <c r="K4742" s="15"/>
      <c r="L4742" s="15"/>
      <c r="M4742" s="15"/>
      <c r="N4742" s="15"/>
      <c r="O4742" s="15"/>
      <c r="P4742" s="15"/>
      <c r="Q4742" s="71"/>
      <c r="R4742" s="84"/>
      <c r="S4742" s="10"/>
      <c r="T4742" s="10"/>
      <c r="U4742" s="10"/>
      <c r="V4742" s="10"/>
      <c r="W4742" s="138"/>
      <c r="Y4742"/>
      <c r="Z4742"/>
      <c r="AA4742"/>
      <c r="AB4742"/>
      <c r="AC4742"/>
      <c r="AD4742"/>
      <c r="AE4742"/>
      <c r="AF4742"/>
      <c r="AG4742"/>
      <c r="AH4742"/>
      <c r="AI4742"/>
      <c r="AJ4742"/>
      <c r="AK4742"/>
      <c r="AL4742"/>
      <c r="AM4742"/>
      <c r="AN4742"/>
      <c r="AO4742"/>
    </row>
    <row r="4743" spans="1:41" ht="15">
      <c r="A4743"/>
      <c r="B4743"/>
      <c r="C4743" s="137"/>
      <c r="D4743" s="30"/>
      <c r="E4743" s="30"/>
      <c r="F4743" s="10"/>
      <c r="G4743" s="10"/>
      <c r="H4743" s="15"/>
      <c r="I4743" s="15"/>
      <c r="J4743" s="15"/>
      <c r="K4743" s="15"/>
      <c r="L4743" s="15"/>
      <c r="M4743" s="15"/>
      <c r="N4743" s="15"/>
      <c r="O4743" s="15"/>
      <c r="P4743" s="15"/>
      <c r="Q4743" s="71"/>
      <c r="R4743" s="84"/>
      <c r="S4743" s="10"/>
      <c r="T4743" s="10"/>
      <c r="U4743" s="10"/>
      <c r="V4743" s="10"/>
      <c r="W4743" s="138"/>
      <c r="Y4743"/>
      <c r="Z4743"/>
      <c r="AA4743"/>
      <c r="AB4743"/>
      <c r="AC4743"/>
      <c r="AD4743"/>
      <c r="AE4743"/>
      <c r="AF4743"/>
      <c r="AG4743"/>
      <c r="AH4743"/>
      <c r="AI4743"/>
      <c r="AJ4743"/>
      <c r="AK4743"/>
      <c r="AL4743"/>
      <c r="AM4743"/>
      <c r="AN4743"/>
      <c r="AO4743"/>
    </row>
    <row r="4744" spans="1:41" ht="15">
      <c r="A4744"/>
      <c r="B4744"/>
      <c r="C4744" s="137"/>
      <c r="D4744" s="30"/>
      <c r="E4744" s="30"/>
      <c r="F4744" s="10"/>
      <c r="G4744" s="10"/>
      <c r="H4744" s="15"/>
      <c r="I4744" s="15"/>
      <c r="J4744" s="15"/>
      <c r="K4744" s="15"/>
      <c r="L4744" s="15"/>
      <c r="M4744" s="15"/>
      <c r="N4744" s="15"/>
      <c r="O4744" s="15"/>
      <c r="P4744" s="15"/>
      <c r="Q4744" s="71"/>
      <c r="R4744" s="84"/>
      <c r="S4744" s="10"/>
      <c r="T4744" s="10"/>
      <c r="U4744" s="10"/>
      <c r="V4744" s="10"/>
      <c r="W4744" s="138"/>
      <c r="Y4744"/>
      <c r="Z4744"/>
      <c r="AA4744"/>
      <c r="AB4744"/>
      <c r="AC4744"/>
      <c r="AD4744"/>
      <c r="AE4744"/>
      <c r="AF4744"/>
      <c r="AG4744"/>
      <c r="AH4744"/>
      <c r="AI4744"/>
      <c r="AJ4744"/>
      <c r="AK4744"/>
      <c r="AL4744"/>
      <c r="AM4744"/>
      <c r="AN4744"/>
      <c r="AO4744"/>
    </row>
    <row r="4745" spans="1:41" ht="15">
      <c r="A4745"/>
      <c r="B4745"/>
      <c r="C4745" s="137"/>
      <c r="D4745" s="30"/>
      <c r="E4745" s="30"/>
      <c r="F4745" s="10"/>
      <c r="G4745" s="10"/>
      <c r="H4745" s="15"/>
      <c r="I4745" s="15"/>
      <c r="J4745" s="15"/>
      <c r="K4745" s="15"/>
      <c r="L4745" s="15"/>
      <c r="M4745" s="15"/>
      <c r="N4745" s="15"/>
      <c r="O4745" s="15"/>
      <c r="P4745" s="15"/>
      <c r="Q4745" s="71"/>
      <c r="R4745" s="84"/>
      <c r="S4745" s="10"/>
      <c r="T4745" s="10"/>
      <c r="U4745" s="10"/>
      <c r="V4745" s="10"/>
      <c r="W4745" s="138"/>
      <c r="Y4745"/>
      <c r="Z4745"/>
      <c r="AA4745"/>
      <c r="AB4745"/>
      <c r="AC4745"/>
      <c r="AD4745"/>
      <c r="AE4745"/>
      <c r="AF4745"/>
      <c r="AG4745"/>
      <c r="AH4745"/>
      <c r="AI4745"/>
      <c r="AJ4745"/>
      <c r="AK4745"/>
      <c r="AL4745"/>
      <c r="AM4745"/>
      <c r="AN4745"/>
      <c r="AO4745"/>
    </row>
    <row r="4746" spans="1:41" ht="15">
      <c r="A4746"/>
      <c r="B4746"/>
      <c r="C4746" s="137"/>
      <c r="D4746" s="30"/>
      <c r="E4746" s="30"/>
      <c r="F4746" s="10"/>
      <c r="G4746" s="10"/>
      <c r="H4746" s="15"/>
      <c r="I4746" s="15"/>
      <c r="J4746" s="15"/>
      <c r="K4746" s="15"/>
      <c r="L4746" s="15"/>
      <c r="M4746" s="15"/>
      <c r="N4746" s="15"/>
      <c r="O4746" s="15"/>
      <c r="P4746" s="15"/>
      <c r="Q4746" s="71"/>
      <c r="R4746" s="84"/>
      <c r="S4746" s="10"/>
      <c r="T4746" s="10"/>
      <c r="U4746" s="10"/>
      <c r="V4746" s="10"/>
      <c r="W4746" s="138"/>
      <c r="Y4746"/>
      <c r="Z4746"/>
      <c r="AA4746"/>
      <c r="AB4746"/>
      <c r="AC4746"/>
      <c r="AD4746"/>
      <c r="AE4746"/>
      <c r="AF4746"/>
      <c r="AG4746"/>
      <c r="AH4746"/>
      <c r="AI4746"/>
      <c r="AJ4746"/>
      <c r="AK4746"/>
      <c r="AL4746"/>
      <c r="AM4746"/>
      <c r="AN4746"/>
      <c r="AO4746"/>
    </row>
    <row r="4747" spans="1:41" ht="15">
      <c r="A4747"/>
      <c r="B4747"/>
      <c r="C4747" s="137"/>
      <c r="D4747" s="30"/>
      <c r="E4747" s="30"/>
      <c r="F4747" s="10"/>
      <c r="G4747" s="10"/>
      <c r="H4747" s="15"/>
      <c r="I4747" s="15"/>
      <c r="J4747" s="15"/>
      <c r="K4747" s="15"/>
      <c r="L4747" s="15"/>
      <c r="M4747" s="15"/>
      <c r="N4747" s="15"/>
      <c r="O4747" s="15"/>
      <c r="P4747" s="15"/>
      <c r="Q4747" s="71"/>
      <c r="R4747" s="84"/>
      <c r="S4747" s="10"/>
      <c r="T4747" s="10"/>
      <c r="U4747" s="10"/>
      <c r="V4747" s="10"/>
      <c r="W4747" s="138"/>
      <c r="Y4747"/>
      <c r="Z4747"/>
      <c r="AA4747"/>
      <c r="AB4747"/>
      <c r="AC4747"/>
      <c r="AD4747"/>
      <c r="AE4747"/>
      <c r="AF4747"/>
      <c r="AG4747"/>
      <c r="AH4747"/>
      <c r="AI4747"/>
      <c r="AJ4747"/>
      <c r="AK4747"/>
      <c r="AL4747"/>
      <c r="AM4747"/>
      <c r="AN4747"/>
      <c r="AO4747"/>
    </row>
    <row r="4748" spans="1:41" ht="15">
      <c r="A4748"/>
      <c r="B4748"/>
      <c r="C4748" s="137"/>
      <c r="D4748" s="30"/>
      <c r="E4748" s="30"/>
      <c r="F4748" s="10"/>
      <c r="G4748" s="10"/>
      <c r="H4748" s="15"/>
      <c r="I4748" s="15"/>
      <c r="J4748" s="15"/>
      <c r="K4748" s="15"/>
      <c r="L4748" s="15"/>
      <c r="M4748" s="15"/>
      <c r="N4748" s="15"/>
      <c r="O4748" s="15"/>
      <c r="P4748" s="15"/>
      <c r="Q4748" s="71"/>
      <c r="R4748" s="84"/>
      <c r="S4748" s="10"/>
      <c r="T4748" s="10"/>
      <c r="U4748" s="10"/>
      <c r="V4748" s="10"/>
      <c r="W4748" s="138"/>
      <c r="Y4748"/>
      <c r="Z4748"/>
      <c r="AA4748"/>
      <c r="AB4748"/>
      <c r="AC4748"/>
      <c r="AD4748"/>
      <c r="AE4748"/>
      <c r="AF4748"/>
      <c r="AG4748"/>
      <c r="AH4748"/>
      <c r="AI4748"/>
      <c r="AJ4748"/>
      <c r="AK4748"/>
      <c r="AL4748"/>
      <c r="AM4748"/>
      <c r="AN4748"/>
      <c r="AO4748"/>
    </row>
    <row r="4749" spans="1:41" ht="15">
      <c r="A4749"/>
      <c r="B4749"/>
      <c r="C4749" s="137"/>
      <c r="D4749" s="30"/>
      <c r="E4749" s="30"/>
      <c r="F4749" s="10"/>
      <c r="G4749" s="10"/>
      <c r="H4749" s="15"/>
      <c r="I4749" s="15"/>
      <c r="J4749" s="15"/>
      <c r="K4749" s="15"/>
      <c r="L4749" s="15"/>
      <c r="M4749" s="15"/>
      <c r="N4749" s="15"/>
      <c r="O4749" s="15"/>
      <c r="P4749" s="15"/>
      <c r="Q4749" s="71"/>
      <c r="R4749" s="84"/>
      <c r="S4749" s="10"/>
      <c r="T4749" s="10"/>
      <c r="U4749" s="10"/>
      <c r="V4749" s="10"/>
      <c r="W4749" s="138"/>
      <c r="Y4749"/>
      <c r="Z4749"/>
      <c r="AA4749"/>
      <c r="AB4749"/>
      <c r="AC4749"/>
      <c r="AD4749"/>
      <c r="AE4749"/>
      <c r="AF4749"/>
      <c r="AG4749"/>
      <c r="AH4749"/>
      <c r="AI4749"/>
      <c r="AJ4749"/>
      <c r="AK4749"/>
      <c r="AL4749"/>
      <c r="AM4749"/>
      <c r="AN4749"/>
      <c r="AO4749"/>
    </row>
    <row r="4750" spans="1:41" ht="15">
      <c r="A4750"/>
      <c r="B4750"/>
      <c r="C4750" s="137"/>
      <c r="D4750" s="30"/>
      <c r="E4750" s="30"/>
      <c r="F4750" s="10"/>
      <c r="G4750" s="10"/>
      <c r="H4750" s="15"/>
      <c r="I4750" s="15"/>
      <c r="J4750" s="15"/>
      <c r="K4750" s="15"/>
      <c r="L4750" s="15"/>
      <c r="M4750" s="15"/>
      <c r="N4750" s="15"/>
      <c r="O4750" s="15"/>
      <c r="P4750" s="15"/>
      <c r="Q4750" s="71"/>
      <c r="R4750" s="84"/>
      <c r="S4750" s="10"/>
      <c r="T4750" s="10"/>
      <c r="U4750" s="10"/>
      <c r="V4750" s="10"/>
      <c r="W4750" s="138"/>
      <c r="Y4750"/>
      <c r="Z4750"/>
      <c r="AA4750"/>
      <c r="AB4750"/>
      <c r="AC4750"/>
      <c r="AD4750"/>
      <c r="AE4750"/>
      <c r="AF4750"/>
      <c r="AG4750"/>
      <c r="AH4750"/>
      <c r="AI4750"/>
      <c r="AJ4750"/>
      <c r="AK4750"/>
      <c r="AL4750"/>
      <c r="AM4750"/>
      <c r="AN4750"/>
      <c r="AO4750"/>
    </row>
    <row r="4751" spans="1:41" ht="15">
      <c r="A4751"/>
      <c r="B4751"/>
      <c r="C4751" s="137"/>
      <c r="D4751" s="30"/>
      <c r="E4751" s="30"/>
      <c r="F4751" s="10"/>
      <c r="G4751" s="10"/>
      <c r="H4751" s="15"/>
      <c r="I4751" s="15"/>
      <c r="J4751" s="15"/>
      <c r="K4751" s="15"/>
      <c r="L4751" s="15"/>
      <c r="M4751" s="15"/>
      <c r="N4751" s="15"/>
      <c r="O4751" s="15"/>
      <c r="P4751" s="15"/>
      <c r="Q4751" s="71"/>
      <c r="R4751" s="84"/>
      <c r="S4751" s="10"/>
      <c r="T4751" s="10"/>
      <c r="U4751" s="10"/>
      <c r="V4751" s="10"/>
      <c r="W4751" s="138"/>
      <c r="Y4751"/>
      <c r="Z4751"/>
      <c r="AA4751"/>
      <c r="AB4751"/>
      <c r="AC4751"/>
      <c r="AD4751"/>
      <c r="AE4751"/>
      <c r="AF4751"/>
      <c r="AG4751"/>
      <c r="AH4751"/>
      <c r="AI4751"/>
      <c r="AJ4751"/>
      <c r="AK4751"/>
      <c r="AL4751"/>
      <c r="AM4751"/>
      <c r="AN4751"/>
      <c r="AO4751"/>
    </row>
    <row r="4752" spans="1:41" ht="15">
      <c r="A4752"/>
      <c r="B4752"/>
      <c r="C4752" s="137"/>
      <c r="D4752" s="30"/>
      <c r="E4752" s="30"/>
      <c r="F4752" s="10"/>
      <c r="G4752" s="10"/>
      <c r="H4752" s="15"/>
      <c r="I4752" s="15"/>
      <c r="J4752" s="15"/>
      <c r="K4752" s="15"/>
      <c r="L4752" s="15"/>
      <c r="M4752" s="15"/>
      <c r="N4752" s="15"/>
      <c r="O4752" s="15"/>
      <c r="P4752" s="15"/>
      <c r="Q4752" s="71"/>
      <c r="R4752" s="84"/>
      <c r="S4752" s="10"/>
      <c r="T4752" s="10"/>
      <c r="U4752" s="10"/>
      <c r="V4752" s="10"/>
      <c r="W4752" s="138"/>
      <c r="Y4752"/>
      <c r="Z4752"/>
      <c r="AA4752"/>
      <c r="AB4752"/>
      <c r="AC4752"/>
      <c r="AD4752"/>
      <c r="AE4752"/>
      <c r="AF4752"/>
      <c r="AG4752"/>
      <c r="AH4752"/>
      <c r="AI4752"/>
      <c r="AJ4752"/>
      <c r="AK4752"/>
      <c r="AL4752"/>
      <c r="AM4752"/>
      <c r="AN4752"/>
      <c r="AO4752"/>
    </row>
    <row r="4753" spans="1:41" ht="15">
      <c r="A4753"/>
      <c r="B4753"/>
      <c r="C4753" s="137"/>
      <c r="D4753" s="30"/>
      <c r="E4753" s="30"/>
      <c r="F4753" s="10"/>
      <c r="G4753" s="10"/>
      <c r="H4753" s="15"/>
      <c r="I4753" s="15"/>
      <c r="J4753" s="15"/>
      <c r="K4753" s="15"/>
      <c r="L4753" s="15"/>
      <c r="M4753" s="15"/>
      <c r="N4753" s="15"/>
      <c r="O4753" s="15"/>
      <c r="P4753" s="15"/>
      <c r="Q4753" s="71"/>
      <c r="R4753" s="84"/>
      <c r="S4753" s="10"/>
      <c r="T4753" s="10"/>
      <c r="U4753" s="10"/>
      <c r="V4753" s="10"/>
      <c r="W4753" s="138"/>
      <c r="Y4753"/>
      <c r="Z4753"/>
      <c r="AA4753"/>
      <c r="AB4753"/>
      <c r="AC4753"/>
      <c r="AD4753"/>
      <c r="AE4753"/>
      <c r="AF4753"/>
      <c r="AG4753"/>
      <c r="AH4753"/>
      <c r="AI4753"/>
      <c r="AJ4753"/>
      <c r="AK4753"/>
      <c r="AL4753"/>
      <c r="AM4753"/>
      <c r="AN4753"/>
      <c r="AO4753"/>
    </row>
    <row r="4754" spans="1:41" ht="15">
      <c r="A4754"/>
      <c r="B4754"/>
      <c r="C4754" s="137"/>
      <c r="D4754" s="30"/>
      <c r="E4754" s="30"/>
      <c r="F4754" s="10"/>
      <c r="G4754" s="10"/>
      <c r="H4754" s="15"/>
      <c r="I4754" s="15"/>
      <c r="J4754" s="15"/>
      <c r="K4754" s="15"/>
      <c r="L4754" s="15"/>
      <c r="M4754" s="15"/>
      <c r="N4754" s="15"/>
      <c r="O4754" s="15"/>
      <c r="P4754" s="15"/>
      <c r="Q4754" s="71"/>
      <c r="R4754" s="84"/>
      <c r="S4754" s="10"/>
      <c r="T4754" s="10"/>
      <c r="U4754" s="10"/>
      <c r="V4754" s="10"/>
      <c r="W4754" s="138"/>
      <c r="Y4754"/>
      <c r="Z4754"/>
      <c r="AA4754"/>
      <c r="AB4754"/>
      <c r="AC4754"/>
      <c r="AD4754"/>
      <c r="AE4754"/>
      <c r="AF4754"/>
      <c r="AG4754"/>
      <c r="AH4754"/>
      <c r="AI4754"/>
      <c r="AJ4754"/>
      <c r="AK4754"/>
      <c r="AL4754"/>
      <c r="AM4754"/>
      <c r="AN4754"/>
      <c r="AO4754"/>
    </row>
    <row r="4755" spans="1:41" ht="15">
      <c r="A4755"/>
      <c r="B4755"/>
      <c r="C4755" s="137"/>
      <c r="D4755" s="30"/>
      <c r="E4755" s="30"/>
      <c r="F4755" s="10"/>
      <c r="G4755" s="10"/>
      <c r="H4755" s="15"/>
      <c r="I4755" s="15"/>
      <c r="J4755" s="15"/>
      <c r="K4755" s="15"/>
      <c r="L4755" s="15"/>
      <c r="M4755" s="15"/>
      <c r="N4755" s="15"/>
      <c r="O4755" s="15"/>
      <c r="P4755" s="15"/>
      <c r="Q4755" s="71"/>
      <c r="R4755" s="84"/>
      <c r="S4755" s="10"/>
      <c r="T4755" s="10"/>
      <c r="U4755" s="10"/>
      <c r="V4755" s="10"/>
      <c r="W4755" s="138"/>
      <c r="Y4755"/>
      <c r="Z4755"/>
      <c r="AA4755"/>
      <c r="AB4755"/>
      <c r="AC4755"/>
      <c r="AD4755"/>
      <c r="AE4755"/>
      <c r="AF4755"/>
      <c r="AG4755"/>
      <c r="AH4755"/>
      <c r="AI4755"/>
      <c r="AJ4755"/>
      <c r="AK4755"/>
      <c r="AL4755"/>
      <c r="AM4755"/>
      <c r="AN4755"/>
      <c r="AO4755"/>
    </row>
    <row r="4756" spans="1:41" ht="15">
      <c r="A4756"/>
      <c r="B4756"/>
      <c r="C4756" s="137"/>
      <c r="D4756" s="30"/>
      <c r="E4756" s="30"/>
      <c r="F4756" s="10"/>
      <c r="G4756" s="10"/>
      <c r="H4756" s="15"/>
      <c r="I4756" s="15"/>
      <c r="J4756" s="15"/>
      <c r="K4756" s="15"/>
      <c r="L4756" s="15"/>
      <c r="M4756" s="15"/>
      <c r="N4756" s="15"/>
      <c r="O4756" s="15"/>
      <c r="P4756" s="15"/>
      <c r="Q4756" s="71"/>
      <c r="R4756" s="84"/>
      <c r="S4756" s="10"/>
      <c r="T4756" s="10"/>
      <c r="U4756" s="10"/>
      <c r="V4756" s="10"/>
      <c r="W4756" s="138"/>
      <c r="Y4756"/>
      <c r="Z4756"/>
      <c r="AA4756"/>
      <c r="AB4756"/>
      <c r="AC4756"/>
      <c r="AD4756"/>
      <c r="AE4756"/>
      <c r="AF4756"/>
      <c r="AG4756"/>
      <c r="AH4756"/>
      <c r="AI4756"/>
      <c r="AJ4756"/>
      <c r="AK4756"/>
      <c r="AL4756"/>
      <c r="AM4756"/>
      <c r="AN4756"/>
      <c r="AO4756"/>
    </row>
    <row r="4757" spans="1:41" ht="15">
      <c r="A4757"/>
      <c r="B4757"/>
      <c r="C4757" s="137"/>
      <c r="D4757" s="30"/>
      <c r="E4757" s="30"/>
      <c r="F4757" s="10"/>
      <c r="G4757" s="10"/>
      <c r="H4757" s="15"/>
      <c r="I4757" s="15"/>
      <c r="J4757" s="15"/>
      <c r="K4757" s="15"/>
      <c r="L4757" s="15"/>
      <c r="M4757" s="15"/>
      <c r="N4757" s="15"/>
      <c r="O4757" s="15"/>
      <c r="P4757" s="15"/>
      <c r="Q4757" s="71"/>
      <c r="R4757" s="84"/>
      <c r="S4757" s="10"/>
      <c r="T4757" s="10"/>
      <c r="U4757" s="10"/>
      <c r="V4757" s="10"/>
      <c r="W4757" s="138"/>
      <c r="Y4757"/>
      <c r="Z4757"/>
      <c r="AA4757"/>
      <c r="AB4757"/>
      <c r="AC4757"/>
      <c r="AD4757"/>
      <c r="AE4757"/>
      <c r="AF4757"/>
      <c r="AG4757"/>
      <c r="AH4757"/>
      <c r="AI4757"/>
      <c r="AJ4757"/>
      <c r="AK4757"/>
      <c r="AL4757"/>
      <c r="AM4757"/>
      <c r="AN4757"/>
      <c r="AO4757"/>
    </row>
    <row r="4758" spans="1:41" ht="15">
      <c r="A4758"/>
      <c r="B4758"/>
      <c r="C4758" s="137"/>
      <c r="D4758" s="30"/>
      <c r="E4758" s="30"/>
      <c r="F4758" s="10"/>
      <c r="G4758" s="10"/>
      <c r="H4758" s="15"/>
      <c r="I4758" s="15"/>
      <c r="J4758" s="15"/>
      <c r="K4758" s="15"/>
      <c r="L4758" s="15"/>
      <c r="M4758" s="15"/>
      <c r="N4758" s="15"/>
      <c r="O4758" s="15"/>
      <c r="P4758" s="15"/>
      <c r="Q4758" s="71"/>
      <c r="R4758" s="84"/>
      <c r="S4758" s="10"/>
      <c r="T4758" s="10"/>
      <c r="U4758" s="10"/>
      <c r="V4758" s="10"/>
      <c r="W4758" s="138"/>
      <c r="Y4758"/>
      <c r="Z4758"/>
      <c r="AA4758"/>
      <c r="AB4758"/>
      <c r="AC4758"/>
      <c r="AD4758"/>
      <c r="AE4758"/>
      <c r="AF4758"/>
      <c r="AG4758"/>
      <c r="AH4758"/>
      <c r="AI4758"/>
      <c r="AJ4758"/>
      <c r="AK4758"/>
      <c r="AL4758"/>
      <c r="AM4758"/>
      <c r="AN4758"/>
      <c r="AO4758"/>
    </row>
    <row r="4759" spans="1:41" ht="15">
      <c r="A4759"/>
      <c r="B4759"/>
      <c r="C4759" s="137"/>
      <c r="D4759" s="30"/>
      <c r="E4759" s="30"/>
      <c r="F4759" s="10"/>
      <c r="G4759" s="10"/>
      <c r="H4759" s="15"/>
      <c r="I4759" s="15"/>
      <c r="J4759" s="15"/>
      <c r="K4759" s="15"/>
      <c r="L4759" s="15"/>
      <c r="M4759" s="15"/>
      <c r="N4759" s="15"/>
      <c r="O4759" s="15"/>
      <c r="P4759" s="15"/>
      <c r="Q4759" s="71"/>
      <c r="R4759" s="84"/>
      <c r="S4759" s="10"/>
      <c r="T4759" s="10"/>
      <c r="U4759" s="10"/>
      <c r="V4759" s="10"/>
      <c r="W4759" s="138"/>
      <c r="Y4759"/>
      <c r="Z4759"/>
      <c r="AA4759"/>
      <c r="AB4759"/>
      <c r="AC4759"/>
      <c r="AD4759"/>
      <c r="AE4759"/>
      <c r="AF4759"/>
      <c r="AG4759"/>
      <c r="AH4759"/>
      <c r="AI4759"/>
      <c r="AJ4759"/>
      <c r="AK4759"/>
      <c r="AL4759"/>
      <c r="AM4759"/>
      <c r="AN4759"/>
      <c r="AO4759"/>
    </row>
    <row r="4760" spans="1:41" ht="15">
      <c r="A4760"/>
      <c r="B4760"/>
      <c r="C4760" s="137"/>
      <c r="D4760" s="30"/>
      <c r="E4760" s="30"/>
      <c r="F4760" s="10"/>
      <c r="G4760" s="10"/>
      <c r="H4760" s="15"/>
      <c r="I4760" s="15"/>
      <c r="J4760" s="15"/>
      <c r="K4760" s="15"/>
      <c r="L4760" s="15"/>
      <c r="M4760" s="15"/>
      <c r="N4760" s="15"/>
      <c r="O4760" s="15"/>
      <c r="P4760" s="15"/>
      <c r="Q4760" s="71"/>
      <c r="R4760" s="84"/>
      <c r="S4760" s="10"/>
      <c r="T4760" s="10"/>
      <c r="U4760" s="10"/>
      <c r="V4760" s="10"/>
      <c r="W4760" s="138"/>
      <c r="Y4760"/>
      <c r="Z4760"/>
      <c r="AA4760"/>
      <c r="AB4760"/>
      <c r="AC4760"/>
      <c r="AD4760"/>
      <c r="AE4760"/>
      <c r="AF4760"/>
      <c r="AG4760"/>
      <c r="AH4760"/>
      <c r="AI4760"/>
      <c r="AJ4760"/>
      <c r="AK4760"/>
      <c r="AL4760"/>
      <c r="AM4760"/>
      <c r="AN4760"/>
      <c r="AO4760"/>
    </row>
    <row r="4761" spans="1:41" ht="15">
      <c r="A4761"/>
      <c r="B4761"/>
      <c r="C4761" s="137"/>
      <c r="D4761" s="30"/>
      <c r="E4761" s="30"/>
      <c r="F4761" s="10"/>
      <c r="G4761" s="10"/>
      <c r="H4761" s="15"/>
      <c r="I4761" s="15"/>
      <c r="J4761" s="15"/>
      <c r="K4761" s="15"/>
      <c r="L4761" s="15"/>
      <c r="M4761" s="15"/>
      <c r="N4761" s="15"/>
      <c r="O4761" s="15"/>
      <c r="P4761" s="15"/>
      <c r="Q4761" s="71"/>
      <c r="R4761" s="84"/>
      <c r="S4761" s="10"/>
      <c r="T4761" s="10"/>
      <c r="U4761" s="10"/>
      <c r="V4761" s="10"/>
      <c r="W4761" s="138"/>
      <c r="Y4761"/>
      <c r="Z4761"/>
      <c r="AA4761"/>
      <c r="AB4761"/>
      <c r="AC4761"/>
      <c r="AD4761"/>
      <c r="AE4761"/>
      <c r="AF4761"/>
      <c r="AG4761"/>
      <c r="AH4761"/>
      <c r="AI4761"/>
      <c r="AJ4761"/>
      <c r="AK4761"/>
      <c r="AL4761"/>
      <c r="AM4761"/>
      <c r="AN4761"/>
      <c r="AO4761"/>
    </row>
    <row r="4762" spans="1:41" ht="15">
      <c r="A4762"/>
      <c r="B4762"/>
      <c r="C4762" s="137"/>
      <c r="D4762" s="30"/>
      <c r="E4762" s="30"/>
      <c r="F4762" s="10"/>
      <c r="G4762" s="10"/>
      <c r="H4762" s="15"/>
      <c r="I4762" s="15"/>
      <c r="J4762" s="15"/>
      <c r="K4762" s="15"/>
      <c r="L4762" s="15"/>
      <c r="M4762" s="15"/>
      <c r="N4762" s="15"/>
      <c r="O4762" s="15"/>
      <c r="P4762" s="15"/>
      <c r="Q4762" s="71"/>
      <c r="R4762" s="84"/>
      <c r="S4762" s="10"/>
      <c r="T4762" s="10"/>
      <c r="U4762" s="10"/>
      <c r="V4762" s="10"/>
      <c r="W4762" s="138"/>
      <c r="Y4762"/>
      <c r="Z4762"/>
      <c r="AA4762"/>
      <c r="AB4762"/>
      <c r="AC4762"/>
      <c r="AD4762"/>
      <c r="AE4762"/>
      <c r="AF4762"/>
      <c r="AG4762"/>
      <c r="AH4762"/>
      <c r="AI4762"/>
      <c r="AJ4762"/>
      <c r="AK4762"/>
      <c r="AL4762"/>
      <c r="AM4762"/>
      <c r="AN4762"/>
      <c r="AO4762"/>
    </row>
    <row r="4763" spans="1:41" ht="15">
      <c r="A4763"/>
      <c r="B4763"/>
      <c r="C4763" s="137"/>
      <c r="D4763" s="30"/>
      <c r="E4763" s="30"/>
      <c r="F4763" s="10"/>
      <c r="G4763" s="10"/>
      <c r="H4763" s="15"/>
      <c r="I4763" s="15"/>
      <c r="J4763" s="15"/>
      <c r="K4763" s="15"/>
      <c r="L4763" s="15"/>
      <c r="M4763" s="15"/>
      <c r="N4763" s="15"/>
      <c r="O4763" s="15"/>
      <c r="P4763" s="15"/>
      <c r="Q4763" s="71"/>
      <c r="R4763" s="84"/>
      <c r="S4763" s="10"/>
      <c r="T4763" s="10"/>
      <c r="U4763" s="10"/>
      <c r="V4763" s="10"/>
      <c r="W4763" s="138"/>
      <c r="Y4763"/>
      <c r="Z4763"/>
      <c r="AA4763"/>
      <c r="AB4763"/>
      <c r="AC4763"/>
      <c r="AD4763"/>
      <c r="AE4763"/>
      <c r="AF4763"/>
      <c r="AG4763"/>
      <c r="AH4763"/>
      <c r="AI4763"/>
      <c r="AJ4763"/>
      <c r="AK4763"/>
      <c r="AL4763"/>
      <c r="AM4763"/>
      <c r="AN4763"/>
      <c r="AO4763"/>
    </row>
    <row r="4764" spans="1:41" ht="15">
      <c r="A4764"/>
      <c r="B4764"/>
      <c r="C4764" s="137"/>
      <c r="D4764" s="30"/>
      <c r="E4764" s="30"/>
      <c r="F4764" s="10"/>
      <c r="G4764" s="10"/>
      <c r="H4764" s="15"/>
      <c r="I4764" s="15"/>
      <c r="J4764" s="15"/>
      <c r="K4764" s="15"/>
      <c r="L4764" s="15"/>
      <c r="M4764" s="15"/>
      <c r="N4764" s="15"/>
      <c r="O4764" s="15"/>
      <c r="P4764" s="15"/>
      <c r="Q4764" s="71"/>
      <c r="R4764" s="84"/>
      <c r="S4764" s="10"/>
      <c r="T4764" s="10"/>
      <c r="U4764" s="10"/>
      <c r="V4764" s="10"/>
      <c r="W4764" s="138"/>
      <c r="Y4764"/>
      <c r="Z4764"/>
      <c r="AA4764"/>
      <c r="AB4764"/>
      <c r="AC4764"/>
      <c r="AD4764"/>
      <c r="AE4764"/>
      <c r="AF4764"/>
      <c r="AG4764"/>
      <c r="AH4764"/>
      <c r="AI4764"/>
      <c r="AJ4764"/>
      <c r="AK4764"/>
      <c r="AL4764"/>
      <c r="AM4764"/>
      <c r="AN4764"/>
      <c r="AO4764"/>
    </row>
    <row r="4765" spans="1:41" ht="15">
      <c r="A4765"/>
      <c r="B4765"/>
      <c r="C4765" s="137"/>
      <c r="D4765" s="30"/>
      <c r="E4765" s="30"/>
      <c r="F4765" s="10"/>
      <c r="G4765" s="10"/>
      <c r="H4765" s="15"/>
      <c r="I4765" s="15"/>
      <c r="J4765" s="15"/>
      <c r="K4765" s="15"/>
      <c r="L4765" s="15"/>
      <c r="M4765" s="15"/>
      <c r="N4765" s="15"/>
      <c r="O4765" s="15"/>
      <c r="P4765" s="15"/>
      <c r="Q4765" s="71"/>
      <c r="R4765" s="84"/>
      <c r="S4765" s="10"/>
      <c r="T4765" s="10"/>
      <c r="U4765" s="10"/>
      <c r="V4765" s="10"/>
      <c r="W4765" s="138"/>
      <c r="Y4765"/>
      <c r="Z4765"/>
      <c r="AA4765"/>
      <c r="AB4765"/>
      <c r="AC4765"/>
      <c r="AD4765"/>
      <c r="AE4765"/>
      <c r="AF4765"/>
      <c r="AG4765"/>
      <c r="AH4765"/>
      <c r="AI4765"/>
      <c r="AJ4765"/>
      <c r="AK4765"/>
      <c r="AL4765"/>
      <c r="AM4765"/>
      <c r="AN4765"/>
      <c r="AO4765"/>
    </row>
    <row r="4766" spans="1:41" ht="15">
      <c r="A4766"/>
      <c r="B4766"/>
      <c r="C4766" s="137"/>
      <c r="D4766" s="30"/>
      <c r="E4766" s="30"/>
      <c r="F4766" s="10"/>
      <c r="G4766" s="10"/>
      <c r="H4766" s="15"/>
      <c r="I4766" s="15"/>
      <c r="J4766" s="15"/>
      <c r="K4766" s="15"/>
      <c r="L4766" s="15"/>
      <c r="M4766" s="15"/>
      <c r="N4766" s="15"/>
      <c r="O4766" s="15"/>
      <c r="P4766" s="15"/>
      <c r="Q4766" s="71"/>
      <c r="R4766" s="84"/>
      <c r="S4766" s="10"/>
      <c r="T4766" s="10"/>
      <c r="U4766" s="10"/>
      <c r="V4766" s="10"/>
      <c r="W4766" s="138"/>
      <c r="Y4766"/>
      <c r="Z4766"/>
      <c r="AA4766"/>
      <c r="AB4766"/>
      <c r="AC4766"/>
      <c r="AD4766"/>
      <c r="AE4766"/>
      <c r="AF4766"/>
      <c r="AG4766"/>
      <c r="AH4766"/>
      <c r="AI4766"/>
      <c r="AJ4766"/>
      <c r="AK4766"/>
      <c r="AL4766"/>
      <c r="AM4766"/>
      <c r="AN4766"/>
      <c r="AO4766"/>
    </row>
    <row r="4767" spans="1:41" ht="15">
      <c r="A4767"/>
      <c r="B4767"/>
      <c r="C4767" s="137"/>
      <c r="D4767" s="30"/>
      <c r="E4767" s="30"/>
      <c r="F4767" s="10"/>
      <c r="G4767" s="10"/>
      <c r="H4767" s="15"/>
      <c r="I4767" s="15"/>
      <c r="J4767" s="15"/>
      <c r="K4767" s="15"/>
      <c r="L4767" s="15"/>
      <c r="M4767" s="15"/>
      <c r="N4767" s="15"/>
      <c r="O4767" s="15"/>
      <c r="P4767" s="15"/>
      <c r="Q4767" s="71"/>
      <c r="R4767" s="84"/>
      <c r="S4767" s="10"/>
      <c r="T4767" s="10"/>
      <c r="U4767" s="10"/>
      <c r="V4767" s="10"/>
      <c r="W4767" s="138"/>
      <c r="Y4767"/>
      <c r="Z4767"/>
      <c r="AA4767"/>
      <c r="AB4767"/>
      <c r="AC4767"/>
      <c r="AD4767"/>
      <c r="AE4767"/>
      <c r="AF4767"/>
      <c r="AG4767"/>
      <c r="AH4767"/>
      <c r="AI4767"/>
      <c r="AJ4767"/>
      <c r="AK4767"/>
      <c r="AL4767"/>
      <c r="AM4767"/>
      <c r="AN4767"/>
      <c r="AO4767"/>
    </row>
    <row r="4768" spans="1:41" ht="15">
      <c r="A4768"/>
      <c r="B4768"/>
      <c r="C4768" s="137"/>
      <c r="D4768" s="30"/>
      <c r="E4768" s="30"/>
      <c r="F4768" s="10"/>
      <c r="G4768" s="10"/>
      <c r="H4768" s="15"/>
      <c r="I4768" s="15"/>
      <c r="J4768" s="15"/>
      <c r="K4768" s="15"/>
      <c r="L4768" s="15"/>
      <c r="M4768" s="15"/>
      <c r="N4768" s="15"/>
      <c r="O4768" s="15"/>
      <c r="P4768" s="15"/>
      <c r="Q4768" s="71"/>
      <c r="R4768" s="84"/>
      <c r="S4768" s="10"/>
      <c r="T4768" s="10"/>
      <c r="U4768" s="10"/>
      <c r="V4768" s="10"/>
      <c r="W4768" s="138"/>
      <c r="Y4768"/>
      <c r="Z4768"/>
      <c r="AA4768"/>
      <c r="AB4768"/>
      <c r="AC4768"/>
      <c r="AD4768"/>
      <c r="AE4768"/>
      <c r="AF4768"/>
      <c r="AG4768"/>
      <c r="AH4768"/>
      <c r="AI4768"/>
      <c r="AJ4768"/>
      <c r="AK4768"/>
      <c r="AL4768"/>
      <c r="AM4768"/>
      <c r="AN4768"/>
      <c r="AO4768"/>
    </row>
    <row r="4769" spans="1:41" ht="15">
      <c r="A4769"/>
      <c r="B4769"/>
      <c r="C4769" s="137"/>
      <c r="D4769" s="30"/>
      <c r="E4769" s="30"/>
      <c r="F4769" s="10"/>
      <c r="G4769" s="10"/>
      <c r="H4769" s="15"/>
      <c r="I4769" s="15"/>
      <c r="J4769" s="15"/>
      <c r="K4769" s="15"/>
      <c r="L4769" s="15"/>
      <c r="M4769" s="15"/>
      <c r="N4769" s="15"/>
      <c r="O4769" s="15"/>
      <c r="P4769" s="15"/>
      <c r="Q4769" s="71"/>
      <c r="R4769" s="84"/>
      <c r="S4769" s="10"/>
      <c r="T4769" s="10"/>
      <c r="U4769" s="10"/>
      <c r="V4769" s="10"/>
      <c r="W4769" s="138"/>
      <c r="Y4769"/>
      <c r="Z4769"/>
      <c r="AA4769"/>
      <c r="AB4769"/>
      <c r="AC4769"/>
      <c r="AD4769"/>
      <c r="AE4769"/>
      <c r="AF4769"/>
      <c r="AG4769"/>
      <c r="AH4769"/>
      <c r="AI4769"/>
      <c r="AJ4769"/>
      <c r="AK4769"/>
      <c r="AL4769"/>
      <c r="AM4769"/>
      <c r="AN4769"/>
      <c r="AO4769"/>
    </row>
    <row r="4770" spans="1:41" ht="15">
      <c r="A4770"/>
      <c r="B4770"/>
      <c r="C4770" s="137"/>
      <c r="D4770" s="30"/>
      <c r="E4770" s="30"/>
      <c r="F4770" s="10"/>
      <c r="G4770" s="10"/>
      <c r="H4770" s="15"/>
      <c r="I4770" s="15"/>
      <c r="J4770" s="15"/>
      <c r="K4770" s="15"/>
      <c r="L4770" s="15"/>
      <c r="M4770" s="15"/>
      <c r="N4770" s="15"/>
      <c r="O4770" s="15"/>
      <c r="P4770" s="15"/>
      <c r="Q4770" s="71"/>
      <c r="R4770" s="84"/>
      <c r="S4770" s="10"/>
      <c r="T4770" s="10"/>
      <c r="U4770" s="10"/>
      <c r="V4770" s="10"/>
      <c r="W4770" s="138"/>
      <c r="Y4770"/>
      <c r="Z4770"/>
      <c r="AA4770"/>
      <c r="AB4770"/>
      <c r="AC4770"/>
      <c r="AD4770"/>
      <c r="AE4770"/>
      <c r="AF4770"/>
      <c r="AG4770"/>
      <c r="AH4770"/>
      <c r="AI4770"/>
      <c r="AJ4770"/>
      <c r="AK4770"/>
      <c r="AL4770"/>
      <c r="AM4770"/>
      <c r="AN4770"/>
      <c r="AO4770"/>
    </row>
    <row r="4771" spans="1:41" ht="15">
      <c r="A4771"/>
      <c r="B4771"/>
      <c r="C4771" s="137"/>
      <c r="D4771" s="30"/>
      <c r="E4771" s="30"/>
      <c r="F4771" s="10"/>
      <c r="G4771" s="10"/>
      <c r="H4771" s="15"/>
      <c r="I4771" s="15"/>
      <c r="J4771" s="15"/>
      <c r="K4771" s="15"/>
      <c r="L4771" s="15"/>
      <c r="M4771" s="15"/>
      <c r="N4771" s="15"/>
      <c r="O4771" s="15"/>
      <c r="P4771" s="15"/>
      <c r="Q4771" s="71"/>
      <c r="R4771" s="84"/>
      <c r="S4771" s="10"/>
      <c r="T4771" s="10"/>
      <c r="U4771" s="10"/>
      <c r="V4771" s="10"/>
      <c r="W4771" s="138"/>
      <c r="Y4771"/>
      <c r="Z4771"/>
      <c r="AA4771"/>
      <c r="AB4771"/>
      <c r="AC4771"/>
      <c r="AD4771"/>
      <c r="AE4771"/>
      <c r="AF4771"/>
      <c r="AG4771"/>
      <c r="AH4771"/>
      <c r="AI4771"/>
      <c r="AJ4771"/>
      <c r="AK4771"/>
      <c r="AL4771"/>
      <c r="AM4771"/>
      <c r="AN4771"/>
      <c r="AO4771"/>
    </row>
    <row r="4772" spans="1:41" ht="15">
      <c r="A4772"/>
      <c r="B4772"/>
      <c r="C4772" s="137"/>
      <c r="D4772" s="30"/>
      <c r="E4772" s="30"/>
      <c r="F4772" s="10"/>
      <c r="G4772" s="10"/>
      <c r="H4772" s="15"/>
      <c r="I4772" s="15"/>
      <c r="J4772" s="15"/>
      <c r="K4772" s="15"/>
      <c r="L4772" s="15"/>
      <c r="M4772" s="15"/>
      <c r="N4772" s="15"/>
      <c r="O4772" s="15"/>
      <c r="P4772" s="15"/>
      <c r="Q4772" s="71"/>
      <c r="R4772" s="84"/>
      <c r="S4772" s="10"/>
      <c r="T4772" s="10"/>
      <c r="U4772" s="10"/>
      <c r="V4772" s="10"/>
      <c r="W4772" s="138"/>
      <c r="Y4772"/>
      <c r="Z4772"/>
      <c r="AA4772"/>
      <c r="AB4772"/>
      <c r="AC4772"/>
      <c r="AD4772"/>
      <c r="AE4772"/>
      <c r="AF4772"/>
      <c r="AG4772"/>
      <c r="AH4772"/>
      <c r="AI4772"/>
      <c r="AJ4772"/>
      <c r="AK4772"/>
      <c r="AL4772"/>
      <c r="AM4772"/>
      <c r="AN4772"/>
      <c r="AO4772"/>
    </row>
    <row r="4773" spans="1:41" ht="15">
      <c r="A4773"/>
      <c r="B4773"/>
      <c r="C4773" s="137"/>
      <c r="D4773" s="30"/>
      <c r="E4773" s="30"/>
      <c r="F4773" s="10"/>
      <c r="G4773" s="10"/>
      <c r="H4773" s="15"/>
      <c r="I4773" s="15"/>
      <c r="J4773" s="15"/>
      <c r="K4773" s="15"/>
      <c r="L4773" s="15"/>
      <c r="M4773" s="15"/>
      <c r="N4773" s="15"/>
      <c r="O4773" s="15"/>
      <c r="P4773" s="15"/>
      <c r="Q4773" s="71"/>
      <c r="R4773" s="84"/>
      <c r="S4773" s="10"/>
      <c r="T4773" s="10"/>
      <c r="U4773" s="10"/>
      <c r="V4773" s="10"/>
      <c r="W4773" s="138"/>
      <c r="Y4773"/>
      <c r="Z4773"/>
      <c r="AA4773"/>
      <c r="AB4773"/>
      <c r="AC4773"/>
      <c r="AD4773"/>
      <c r="AE4773"/>
      <c r="AF4773"/>
      <c r="AG4773"/>
      <c r="AH4773"/>
      <c r="AI4773"/>
      <c r="AJ4773"/>
      <c r="AK4773"/>
      <c r="AL4773"/>
      <c r="AM4773"/>
      <c r="AN4773"/>
      <c r="AO4773"/>
    </row>
    <row r="4774" spans="1:41" ht="15">
      <c r="A4774"/>
      <c r="B4774"/>
      <c r="C4774" s="137"/>
      <c r="D4774" s="30"/>
      <c r="E4774" s="30"/>
      <c r="F4774" s="10"/>
      <c r="G4774" s="10"/>
      <c r="H4774" s="15"/>
      <c r="I4774" s="15"/>
      <c r="J4774" s="15"/>
      <c r="K4774" s="15"/>
      <c r="L4774" s="15"/>
      <c r="M4774" s="15"/>
      <c r="N4774" s="15"/>
      <c r="O4774" s="15"/>
      <c r="P4774" s="15"/>
      <c r="Q4774" s="71"/>
      <c r="R4774" s="84"/>
      <c r="S4774" s="10"/>
      <c r="T4774" s="10"/>
      <c r="U4774" s="10"/>
      <c r="V4774" s="10"/>
      <c r="W4774" s="138"/>
      <c r="Y4774"/>
      <c r="Z4774"/>
      <c r="AA4774"/>
      <c r="AB4774"/>
      <c r="AC4774"/>
      <c r="AD4774"/>
      <c r="AE4774"/>
      <c r="AF4774"/>
      <c r="AG4774"/>
      <c r="AH4774"/>
      <c r="AI4774"/>
      <c r="AJ4774"/>
      <c r="AK4774"/>
      <c r="AL4774"/>
      <c r="AM4774"/>
      <c r="AN4774"/>
      <c r="AO4774"/>
    </row>
    <row r="4775" spans="1:41" ht="15">
      <c r="A4775"/>
      <c r="B4775"/>
      <c r="C4775" s="137"/>
      <c r="D4775" s="30"/>
      <c r="E4775" s="30"/>
      <c r="F4775" s="10"/>
      <c r="G4775" s="10"/>
      <c r="H4775" s="15"/>
      <c r="I4775" s="15"/>
      <c r="J4775" s="15"/>
      <c r="K4775" s="15"/>
      <c r="L4775" s="15"/>
      <c r="M4775" s="15"/>
      <c r="N4775" s="15"/>
      <c r="O4775" s="15"/>
      <c r="P4775" s="15"/>
      <c r="Q4775" s="71"/>
      <c r="R4775" s="84"/>
      <c r="S4775" s="10"/>
      <c r="T4775" s="10"/>
      <c r="U4775" s="10"/>
      <c r="V4775" s="10"/>
      <c r="W4775" s="138"/>
      <c r="Y4775"/>
      <c r="Z4775"/>
      <c r="AA4775"/>
      <c r="AB4775"/>
      <c r="AC4775"/>
      <c r="AD4775"/>
      <c r="AE4775"/>
      <c r="AF4775"/>
      <c r="AG4775"/>
      <c r="AH4775"/>
      <c r="AI4775"/>
      <c r="AJ4775"/>
      <c r="AK4775"/>
      <c r="AL4775"/>
      <c r="AM4775"/>
      <c r="AN4775"/>
      <c r="AO4775"/>
    </row>
    <row r="4776" spans="1:41" ht="15">
      <c r="A4776"/>
      <c r="B4776"/>
      <c r="C4776" s="137"/>
      <c r="D4776" s="30"/>
      <c r="E4776" s="30"/>
      <c r="F4776" s="10"/>
      <c r="G4776" s="10"/>
      <c r="H4776" s="15"/>
      <c r="I4776" s="15"/>
      <c r="J4776" s="15"/>
      <c r="K4776" s="15"/>
      <c r="L4776" s="15"/>
      <c r="M4776" s="15"/>
      <c r="N4776" s="15"/>
      <c r="O4776" s="15"/>
      <c r="P4776" s="15"/>
      <c r="Q4776" s="71"/>
      <c r="R4776" s="84"/>
      <c r="S4776" s="10"/>
      <c r="T4776" s="10"/>
      <c r="U4776" s="10"/>
      <c r="V4776" s="10"/>
      <c r="W4776" s="138"/>
      <c r="Y4776"/>
      <c r="Z4776"/>
      <c r="AA4776"/>
      <c r="AB4776"/>
      <c r="AC4776"/>
      <c r="AD4776"/>
      <c r="AE4776"/>
      <c r="AF4776"/>
      <c r="AG4776"/>
      <c r="AH4776"/>
      <c r="AI4776"/>
      <c r="AJ4776"/>
      <c r="AK4776"/>
      <c r="AL4776"/>
      <c r="AM4776"/>
      <c r="AN4776"/>
      <c r="AO4776"/>
    </row>
    <row r="4777" spans="1:41" ht="15">
      <c r="A4777"/>
      <c r="B4777"/>
      <c r="C4777" s="137"/>
      <c r="D4777" s="30"/>
      <c r="E4777" s="30"/>
      <c r="F4777" s="10"/>
      <c r="G4777" s="10"/>
      <c r="H4777" s="15"/>
      <c r="I4777" s="15"/>
      <c r="J4777" s="15"/>
      <c r="K4777" s="15"/>
      <c r="L4777" s="15"/>
      <c r="M4777" s="15"/>
      <c r="N4777" s="15"/>
      <c r="O4777" s="15"/>
      <c r="P4777" s="15"/>
      <c r="Q4777" s="71"/>
      <c r="R4777" s="84"/>
      <c r="S4777" s="10"/>
      <c r="T4777" s="10"/>
      <c r="U4777" s="10"/>
      <c r="V4777" s="10"/>
      <c r="W4777" s="138"/>
      <c r="Y4777"/>
      <c r="Z4777"/>
      <c r="AA4777"/>
      <c r="AB4777"/>
      <c r="AC4777"/>
      <c r="AD4777"/>
      <c r="AE4777"/>
      <c r="AF4777"/>
      <c r="AG4777"/>
      <c r="AH4777"/>
      <c r="AI4777"/>
      <c r="AJ4777"/>
      <c r="AK4777"/>
      <c r="AL4777"/>
      <c r="AM4777"/>
      <c r="AN4777"/>
      <c r="AO4777"/>
    </row>
    <row r="4778" spans="1:41" ht="15">
      <c r="A4778"/>
      <c r="B4778"/>
      <c r="C4778" s="137"/>
      <c r="D4778" s="30"/>
      <c r="E4778" s="30"/>
      <c r="F4778" s="10"/>
      <c r="G4778" s="10"/>
      <c r="H4778" s="15"/>
      <c r="I4778" s="15"/>
      <c r="J4778" s="15"/>
      <c r="K4778" s="15"/>
      <c r="L4778" s="15"/>
      <c r="M4778" s="15"/>
      <c r="N4778" s="15"/>
      <c r="O4778" s="15"/>
      <c r="P4778" s="15"/>
      <c r="Q4778" s="71"/>
      <c r="R4778" s="84"/>
      <c r="S4778" s="10"/>
      <c r="T4778" s="10"/>
      <c r="U4778" s="10"/>
      <c r="V4778" s="10"/>
      <c r="W4778" s="138"/>
      <c r="Y4778"/>
      <c r="Z4778"/>
      <c r="AA4778"/>
      <c r="AB4778"/>
      <c r="AC4778"/>
      <c r="AD4778"/>
      <c r="AE4778"/>
      <c r="AF4778"/>
      <c r="AG4778"/>
      <c r="AH4778"/>
      <c r="AI4778"/>
      <c r="AJ4778"/>
      <c r="AK4778"/>
      <c r="AL4778"/>
      <c r="AM4778"/>
      <c r="AN4778"/>
      <c r="AO4778"/>
    </row>
    <row r="4779" spans="1:41" ht="15">
      <c r="A4779"/>
      <c r="B4779"/>
      <c r="C4779" s="137"/>
      <c r="D4779" s="30"/>
      <c r="E4779" s="30"/>
      <c r="F4779" s="10"/>
      <c r="G4779" s="10"/>
      <c r="H4779" s="15"/>
      <c r="I4779" s="15"/>
      <c r="J4779" s="15"/>
      <c r="K4779" s="15"/>
      <c r="L4779" s="15"/>
      <c r="M4779" s="15"/>
      <c r="N4779" s="15"/>
      <c r="O4779" s="15"/>
      <c r="P4779" s="15"/>
      <c r="Q4779" s="71"/>
      <c r="R4779" s="84"/>
      <c r="S4779" s="10"/>
      <c r="T4779" s="10"/>
      <c r="U4779" s="10"/>
      <c r="V4779" s="10"/>
      <c r="W4779" s="138"/>
      <c r="Y4779"/>
      <c r="Z4779"/>
      <c r="AA4779"/>
      <c r="AB4779"/>
      <c r="AC4779"/>
      <c r="AD4779"/>
      <c r="AE4779"/>
      <c r="AF4779"/>
      <c r="AG4779"/>
      <c r="AH4779"/>
      <c r="AI4779"/>
      <c r="AJ4779"/>
      <c r="AK4779"/>
      <c r="AL4779"/>
      <c r="AM4779"/>
      <c r="AN4779"/>
      <c r="AO4779"/>
    </row>
    <row r="4780" spans="1:41" ht="15">
      <c r="A4780"/>
      <c r="B4780"/>
      <c r="C4780" s="137"/>
      <c r="D4780" s="30"/>
      <c r="E4780" s="30"/>
      <c r="F4780" s="10"/>
      <c r="G4780" s="10"/>
      <c r="H4780" s="15"/>
      <c r="I4780" s="15"/>
      <c r="J4780" s="15"/>
      <c r="K4780" s="15"/>
      <c r="L4780" s="15"/>
      <c r="M4780" s="15"/>
      <c r="N4780" s="15"/>
      <c r="O4780" s="15"/>
      <c r="P4780" s="15"/>
      <c r="Q4780" s="71"/>
      <c r="R4780" s="84"/>
      <c r="S4780" s="10"/>
      <c r="T4780" s="10"/>
      <c r="U4780" s="10"/>
      <c r="V4780" s="10"/>
      <c r="W4780" s="138"/>
      <c r="Y4780"/>
      <c r="Z4780"/>
      <c r="AA4780"/>
      <c r="AB4780"/>
      <c r="AC4780"/>
      <c r="AD4780"/>
      <c r="AE4780"/>
      <c r="AF4780"/>
      <c r="AG4780"/>
      <c r="AH4780"/>
      <c r="AI4780"/>
      <c r="AJ4780"/>
      <c r="AK4780"/>
      <c r="AL4780"/>
      <c r="AM4780"/>
      <c r="AN4780"/>
      <c r="AO4780"/>
    </row>
    <row r="4781" spans="1:41" ht="15">
      <c r="A4781"/>
      <c r="B4781"/>
      <c r="C4781" s="137"/>
      <c r="D4781" s="30"/>
      <c r="E4781" s="30"/>
      <c r="F4781" s="10"/>
      <c r="G4781" s="10"/>
      <c r="H4781" s="15"/>
      <c r="I4781" s="15"/>
      <c r="J4781" s="15"/>
      <c r="K4781" s="15"/>
      <c r="L4781" s="15"/>
      <c r="M4781" s="15"/>
      <c r="N4781" s="15"/>
      <c r="O4781" s="15"/>
      <c r="P4781" s="15"/>
      <c r="Q4781" s="71"/>
      <c r="R4781" s="84"/>
      <c r="S4781" s="10"/>
      <c r="T4781" s="10"/>
      <c r="U4781" s="10"/>
      <c r="V4781" s="10"/>
      <c r="W4781" s="138"/>
      <c r="Y4781"/>
      <c r="Z4781"/>
      <c r="AA4781"/>
      <c r="AB4781"/>
      <c r="AC4781"/>
      <c r="AD4781"/>
      <c r="AE4781"/>
      <c r="AF4781"/>
      <c r="AG4781"/>
      <c r="AH4781"/>
      <c r="AI4781"/>
      <c r="AJ4781"/>
      <c r="AK4781"/>
      <c r="AL4781"/>
      <c r="AM4781"/>
      <c r="AN4781"/>
      <c r="AO4781"/>
    </row>
    <row r="4782" spans="1:41" ht="15">
      <c r="A4782"/>
      <c r="B4782"/>
      <c r="C4782" s="137"/>
      <c r="D4782" s="30"/>
      <c r="E4782" s="30"/>
      <c r="F4782" s="10"/>
      <c r="G4782" s="10"/>
      <c r="H4782" s="15"/>
      <c r="I4782" s="15"/>
      <c r="J4782" s="15"/>
      <c r="K4782" s="15"/>
      <c r="L4782" s="15"/>
      <c r="M4782" s="15"/>
      <c r="N4782" s="15"/>
      <c r="O4782" s="15"/>
      <c r="P4782" s="15"/>
      <c r="Q4782" s="71"/>
      <c r="R4782" s="84"/>
      <c r="S4782" s="10"/>
      <c r="T4782" s="10"/>
      <c r="U4782" s="10"/>
      <c r="V4782" s="10"/>
      <c r="W4782" s="138"/>
      <c r="Y4782"/>
      <c r="Z4782"/>
      <c r="AA4782"/>
      <c r="AB4782"/>
      <c r="AC4782"/>
      <c r="AD4782"/>
      <c r="AE4782"/>
      <c r="AF4782"/>
      <c r="AG4782"/>
      <c r="AH4782"/>
      <c r="AI4782"/>
      <c r="AJ4782"/>
      <c r="AK4782"/>
      <c r="AL4782"/>
      <c r="AM4782"/>
      <c r="AN4782"/>
      <c r="AO4782"/>
    </row>
    <row r="4783" spans="1:41" ht="15">
      <c r="A4783"/>
      <c r="B4783"/>
      <c r="C4783" s="137"/>
      <c r="D4783" s="30"/>
      <c r="E4783" s="30"/>
      <c r="F4783" s="10"/>
      <c r="G4783" s="10"/>
      <c r="H4783" s="15"/>
      <c r="I4783" s="15"/>
      <c r="J4783" s="15"/>
      <c r="K4783" s="15"/>
      <c r="L4783" s="15"/>
      <c r="M4783" s="15"/>
      <c r="N4783" s="15"/>
      <c r="O4783" s="15"/>
      <c r="P4783" s="15"/>
      <c r="Q4783" s="71"/>
      <c r="R4783" s="84"/>
      <c r="S4783" s="10"/>
      <c r="T4783" s="10"/>
      <c r="U4783" s="10"/>
      <c r="V4783" s="10"/>
      <c r="W4783" s="138"/>
      <c r="Y4783"/>
      <c r="Z4783"/>
      <c r="AA4783"/>
      <c r="AB4783"/>
      <c r="AC4783"/>
      <c r="AD4783"/>
      <c r="AE4783"/>
      <c r="AF4783"/>
      <c r="AG4783"/>
      <c r="AH4783"/>
      <c r="AI4783"/>
      <c r="AJ4783"/>
      <c r="AK4783"/>
      <c r="AL4783"/>
      <c r="AM4783"/>
      <c r="AN4783"/>
      <c r="AO4783"/>
    </row>
    <row r="4784" spans="1:41" ht="15">
      <c r="A4784"/>
      <c r="B4784"/>
      <c r="C4784" s="137"/>
      <c r="D4784" s="30"/>
      <c r="E4784" s="30"/>
      <c r="F4784" s="10"/>
      <c r="G4784" s="10"/>
      <c r="H4784" s="15"/>
      <c r="I4784" s="15"/>
      <c r="J4784" s="15"/>
      <c r="K4784" s="15"/>
      <c r="L4784" s="15"/>
      <c r="M4784" s="15"/>
      <c r="N4784" s="15"/>
      <c r="O4784" s="15"/>
      <c r="P4784" s="15"/>
      <c r="Q4784" s="71"/>
      <c r="R4784" s="84"/>
      <c r="S4784" s="10"/>
      <c r="T4784" s="10"/>
      <c r="U4784" s="10"/>
      <c r="V4784" s="10"/>
      <c r="W4784" s="138"/>
      <c r="Y4784"/>
      <c r="Z4784"/>
      <c r="AA4784"/>
      <c r="AB4784"/>
      <c r="AC4784"/>
      <c r="AD4784"/>
      <c r="AE4784"/>
      <c r="AF4784"/>
      <c r="AG4784"/>
      <c r="AH4784"/>
      <c r="AI4784"/>
      <c r="AJ4784"/>
      <c r="AK4784"/>
      <c r="AL4784"/>
      <c r="AM4784"/>
      <c r="AN4784"/>
      <c r="AO4784"/>
    </row>
    <row r="4785" spans="1:41" ht="15">
      <c r="A4785"/>
      <c r="B4785"/>
      <c r="C4785" s="137"/>
      <c r="D4785" s="30"/>
      <c r="E4785" s="30"/>
      <c r="F4785" s="10"/>
      <c r="G4785" s="10"/>
      <c r="H4785" s="15"/>
      <c r="I4785" s="15"/>
      <c r="J4785" s="15"/>
      <c r="K4785" s="15"/>
      <c r="L4785" s="15"/>
      <c r="M4785" s="15"/>
      <c r="N4785" s="15"/>
      <c r="O4785" s="15"/>
      <c r="P4785" s="15"/>
      <c r="Q4785" s="71"/>
      <c r="R4785" s="84"/>
      <c r="S4785" s="10"/>
      <c r="T4785" s="10"/>
      <c r="U4785" s="10"/>
      <c r="V4785" s="10"/>
      <c r="W4785" s="138"/>
      <c r="Y4785"/>
      <c r="Z4785"/>
      <c r="AA4785"/>
      <c r="AB4785"/>
      <c r="AC4785"/>
      <c r="AD4785"/>
      <c r="AE4785"/>
      <c r="AF4785"/>
      <c r="AG4785"/>
      <c r="AH4785"/>
      <c r="AI4785"/>
      <c r="AJ4785"/>
      <c r="AK4785"/>
      <c r="AL4785"/>
      <c r="AM4785"/>
      <c r="AN4785"/>
      <c r="AO4785"/>
    </row>
    <row r="4786" spans="1:41" ht="15">
      <c r="A4786"/>
      <c r="B4786"/>
      <c r="C4786" s="137"/>
      <c r="D4786" s="30"/>
      <c r="E4786" s="30"/>
      <c r="F4786" s="10"/>
      <c r="G4786" s="10"/>
      <c r="H4786" s="15"/>
      <c r="I4786" s="15"/>
      <c r="J4786" s="15"/>
      <c r="K4786" s="15"/>
      <c r="L4786" s="15"/>
      <c r="M4786" s="15"/>
      <c r="N4786" s="15"/>
      <c r="O4786" s="15"/>
      <c r="P4786" s="15"/>
      <c r="Q4786" s="71"/>
      <c r="R4786" s="84"/>
      <c r="S4786" s="10"/>
      <c r="T4786" s="10"/>
      <c r="U4786" s="10"/>
      <c r="V4786" s="10"/>
      <c r="W4786" s="138"/>
      <c r="Y4786"/>
      <c r="Z4786"/>
      <c r="AA4786"/>
      <c r="AB4786"/>
      <c r="AC4786"/>
      <c r="AD4786"/>
      <c r="AE4786"/>
      <c r="AF4786"/>
      <c r="AG4786"/>
      <c r="AH4786"/>
      <c r="AI4786"/>
      <c r="AJ4786"/>
      <c r="AK4786"/>
      <c r="AL4786"/>
      <c r="AM4786"/>
      <c r="AN4786"/>
      <c r="AO4786"/>
    </row>
    <row r="4787" spans="1:41" ht="15">
      <c r="A4787"/>
      <c r="B4787"/>
      <c r="C4787" s="137"/>
      <c r="D4787" s="30"/>
      <c r="E4787" s="30"/>
      <c r="F4787" s="10"/>
      <c r="G4787" s="10"/>
      <c r="H4787" s="15"/>
      <c r="I4787" s="15"/>
      <c r="J4787" s="15"/>
      <c r="K4787" s="15"/>
      <c r="L4787" s="15"/>
      <c r="M4787" s="15"/>
      <c r="N4787" s="15"/>
      <c r="O4787" s="15"/>
      <c r="P4787" s="15"/>
      <c r="Q4787" s="71"/>
      <c r="R4787" s="84"/>
      <c r="S4787" s="10"/>
      <c r="T4787" s="10"/>
      <c r="U4787" s="10"/>
      <c r="V4787" s="10"/>
      <c r="W4787" s="138"/>
      <c r="Y4787"/>
      <c r="Z4787"/>
      <c r="AA4787"/>
      <c r="AB4787"/>
      <c r="AC4787"/>
      <c r="AD4787"/>
      <c r="AE4787"/>
      <c r="AF4787"/>
      <c r="AG4787"/>
      <c r="AH4787"/>
      <c r="AI4787"/>
      <c r="AJ4787"/>
      <c r="AK4787"/>
      <c r="AL4787"/>
      <c r="AM4787"/>
      <c r="AN4787"/>
      <c r="AO4787"/>
    </row>
    <row r="4788" spans="1:41" ht="15">
      <c r="A4788"/>
      <c r="B4788"/>
      <c r="C4788" s="137"/>
      <c r="D4788" s="30"/>
      <c r="E4788" s="30"/>
      <c r="F4788" s="10"/>
      <c r="G4788" s="10"/>
      <c r="H4788" s="15"/>
      <c r="I4788" s="15"/>
      <c r="J4788" s="15"/>
      <c r="K4788" s="15"/>
      <c r="L4788" s="15"/>
      <c r="M4788" s="15"/>
      <c r="N4788" s="15"/>
      <c r="O4788" s="15"/>
      <c r="P4788" s="15"/>
      <c r="Q4788" s="71"/>
      <c r="R4788" s="84"/>
      <c r="S4788" s="10"/>
      <c r="T4788" s="10"/>
      <c r="U4788" s="10"/>
      <c r="V4788" s="10"/>
      <c r="W4788" s="138"/>
      <c r="Y4788"/>
      <c r="Z4788"/>
      <c r="AA4788"/>
      <c r="AB4788"/>
      <c r="AC4788"/>
      <c r="AD4788"/>
      <c r="AE4788"/>
      <c r="AF4788"/>
      <c r="AG4788"/>
      <c r="AH4788"/>
      <c r="AI4788"/>
      <c r="AJ4788"/>
      <c r="AK4788"/>
      <c r="AL4788"/>
      <c r="AM4788"/>
      <c r="AN4788"/>
      <c r="AO4788"/>
    </row>
    <row r="4789" spans="1:41" ht="15">
      <c r="A4789"/>
      <c r="B4789"/>
      <c r="C4789" s="137"/>
      <c r="D4789" s="30"/>
      <c r="E4789" s="30"/>
      <c r="F4789" s="10"/>
      <c r="G4789" s="10"/>
      <c r="H4789" s="15"/>
      <c r="I4789" s="15"/>
      <c r="J4789" s="15"/>
      <c r="K4789" s="15"/>
      <c r="L4789" s="15"/>
      <c r="M4789" s="15"/>
      <c r="N4789" s="15"/>
      <c r="O4789" s="15"/>
      <c r="P4789" s="15"/>
      <c r="Q4789" s="71"/>
      <c r="R4789" s="84"/>
      <c r="S4789" s="10"/>
      <c r="T4789" s="10"/>
      <c r="U4789" s="10"/>
      <c r="V4789" s="10"/>
      <c r="W4789" s="138"/>
      <c r="Y4789"/>
      <c r="Z4789"/>
      <c r="AA4789"/>
      <c r="AB4789"/>
      <c r="AC4789"/>
      <c r="AD4789"/>
      <c r="AE4789"/>
      <c r="AF4789"/>
      <c r="AG4789"/>
      <c r="AH4789"/>
      <c r="AI4789"/>
      <c r="AJ4789"/>
      <c r="AK4789"/>
      <c r="AL4789"/>
      <c r="AM4789"/>
      <c r="AN4789"/>
      <c r="AO4789"/>
    </row>
    <row r="4790" spans="1:41" ht="15">
      <c r="A4790"/>
      <c r="B4790"/>
      <c r="C4790" s="137"/>
      <c r="D4790" s="30"/>
      <c r="E4790" s="30"/>
      <c r="F4790" s="10"/>
      <c r="G4790" s="10"/>
      <c r="H4790" s="15"/>
      <c r="I4790" s="15"/>
      <c r="J4790" s="15"/>
      <c r="K4790" s="15"/>
      <c r="L4790" s="15"/>
      <c r="M4790" s="15"/>
      <c r="N4790" s="15"/>
      <c r="O4790" s="15"/>
      <c r="P4790" s="15"/>
      <c r="Q4790" s="71"/>
      <c r="R4790" s="84"/>
      <c r="S4790" s="10"/>
      <c r="T4790" s="10"/>
      <c r="U4790" s="10"/>
      <c r="V4790" s="10"/>
      <c r="W4790" s="138"/>
      <c r="Y4790"/>
      <c r="Z4790"/>
      <c r="AA4790"/>
      <c r="AB4790"/>
      <c r="AC4790"/>
      <c r="AD4790"/>
      <c r="AE4790"/>
      <c r="AF4790"/>
      <c r="AG4790"/>
      <c r="AH4790"/>
      <c r="AI4790"/>
      <c r="AJ4790"/>
      <c r="AK4790"/>
      <c r="AL4790"/>
      <c r="AM4790"/>
      <c r="AN4790"/>
      <c r="AO4790"/>
    </row>
    <row r="4791" spans="1:41" ht="15">
      <c r="A4791"/>
      <c r="B4791"/>
      <c r="C4791" s="137"/>
      <c r="D4791" s="30"/>
      <c r="E4791" s="30"/>
      <c r="F4791" s="10"/>
      <c r="G4791" s="10"/>
      <c r="H4791" s="15"/>
      <c r="I4791" s="15"/>
      <c r="J4791" s="15"/>
      <c r="K4791" s="15"/>
      <c r="L4791" s="15"/>
      <c r="M4791" s="15"/>
      <c r="N4791" s="15"/>
      <c r="O4791" s="15"/>
      <c r="P4791" s="15"/>
      <c r="Q4791" s="71"/>
      <c r="R4791" s="84"/>
      <c r="S4791" s="10"/>
      <c r="T4791" s="10"/>
      <c r="U4791" s="10"/>
      <c r="V4791" s="10"/>
      <c r="W4791" s="138"/>
      <c r="Y4791"/>
      <c r="Z4791"/>
      <c r="AA4791"/>
      <c r="AB4791"/>
      <c r="AC4791"/>
      <c r="AD4791"/>
      <c r="AE4791"/>
      <c r="AF4791"/>
      <c r="AG4791"/>
      <c r="AH4791"/>
      <c r="AI4791"/>
      <c r="AJ4791"/>
      <c r="AK4791"/>
      <c r="AL4791"/>
      <c r="AM4791"/>
      <c r="AN4791"/>
      <c r="AO4791"/>
    </row>
    <row r="4792" spans="1:41" ht="15">
      <c r="A4792"/>
      <c r="B4792"/>
      <c r="C4792" s="137"/>
      <c r="D4792" s="30"/>
      <c r="E4792" s="30"/>
      <c r="F4792" s="10"/>
      <c r="G4792" s="10"/>
      <c r="H4792" s="15"/>
      <c r="I4792" s="15"/>
      <c r="J4792" s="15"/>
      <c r="K4792" s="15"/>
      <c r="L4792" s="15"/>
      <c r="M4792" s="15"/>
      <c r="N4792" s="15"/>
      <c r="O4792" s="15"/>
      <c r="P4792" s="15"/>
      <c r="Q4792" s="71"/>
      <c r="R4792" s="84"/>
      <c r="S4792" s="10"/>
      <c r="T4792" s="10"/>
      <c r="U4792" s="10"/>
      <c r="V4792" s="10"/>
      <c r="W4792" s="138"/>
      <c r="Y4792"/>
      <c r="Z4792"/>
      <c r="AA4792"/>
      <c r="AB4792"/>
      <c r="AC4792"/>
      <c r="AD4792"/>
      <c r="AE4792"/>
      <c r="AF4792"/>
      <c r="AG4792"/>
      <c r="AH4792"/>
      <c r="AI4792"/>
      <c r="AJ4792"/>
      <c r="AK4792"/>
      <c r="AL4792"/>
      <c r="AM4792"/>
      <c r="AN4792"/>
      <c r="AO4792"/>
    </row>
    <row r="4793" spans="1:41" ht="15">
      <c r="A4793"/>
      <c r="B4793"/>
      <c r="C4793" s="137"/>
      <c r="D4793" s="30"/>
      <c r="E4793" s="30"/>
      <c r="F4793" s="10"/>
      <c r="G4793" s="10"/>
      <c r="H4793" s="15"/>
      <c r="I4793" s="15"/>
      <c r="J4793" s="15"/>
      <c r="K4793" s="15"/>
      <c r="L4793" s="15"/>
      <c r="M4793" s="15"/>
      <c r="N4793" s="15"/>
      <c r="O4793" s="15"/>
      <c r="P4793" s="15"/>
      <c r="Q4793" s="71"/>
      <c r="R4793" s="84"/>
      <c r="S4793" s="10"/>
      <c r="T4793" s="10"/>
      <c r="U4793" s="10"/>
      <c r="V4793" s="10"/>
      <c r="W4793" s="138"/>
      <c r="Y4793"/>
      <c r="Z4793"/>
      <c r="AA4793"/>
      <c r="AB4793"/>
      <c r="AC4793"/>
      <c r="AD4793"/>
      <c r="AE4793"/>
      <c r="AF4793"/>
      <c r="AG4793"/>
      <c r="AH4793"/>
      <c r="AI4793"/>
      <c r="AJ4793"/>
      <c r="AK4793"/>
      <c r="AL4793"/>
      <c r="AM4793"/>
      <c r="AN4793"/>
      <c r="AO4793"/>
    </row>
    <row r="4794" spans="1:41" ht="15">
      <c r="A4794"/>
      <c r="B4794"/>
      <c r="C4794" s="137"/>
      <c r="D4794" s="30"/>
      <c r="E4794" s="30"/>
      <c r="F4794" s="10"/>
      <c r="G4794" s="10"/>
      <c r="H4794" s="15"/>
      <c r="I4794" s="15"/>
      <c r="J4794" s="15"/>
      <c r="K4794" s="15"/>
      <c r="L4794" s="15"/>
      <c r="M4794" s="15"/>
      <c r="N4794" s="15"/>
      <c r="O4794" s="15"/>
      <c r="P4794" s="15"/>
      <c r="Q4794" s="71"/>
      <c r="R4794" s="84"/>
      <c r="S4794" s="10"/>
      <c r="T4794" s="10"/>
      <c r="U4794" s="10"/>
      <c r="V4794" s="10"/>
      <c r="W4794" s="138"/>
      <c r="Y4794"/>
      <c r="Z4794"/>
      <c r="AA4794"/>
      <c r="AB4794"/>
      <c r="AC4794"/>
      <c r="AD4794"/>
      <c r="AE4794"/>
      <c r="AF4794"/>
      <c r="AG4794"/>
      <c r="AH4794"/>
      <c r="AI4794"/>
      <c r="AJ4794"/>
      <c r="AK4794"/>
      <c r="AL4794"/>
      <c r="AM4794"/>
      <c r="AN4794"/>
      <c r="AO4794"/>
    </row>
    <row r="4795" spans="1:41" ht="15">
      <c r="A4795"/>
      <c r="B4795"/>
      <c r="C4795" s="137"/>
      <c r="D4795" s="30"/>
      <c r="E4795" s="30"/>
      <c r="F4795" s="10"/>
      <c r="G4795" s="10"/>
      <c r="H4795" s="15"/>
      <c r="I4795" s="15"/>
      <c r="J4795" s="15"/>
      <c r="K4795" s="15"/>
      <c r="L4795" s="15"/>
      <c r="M4795" s="15"/>
      <c r="N4795" s="15"/>
      <c r="O4795" s="15"/>
      <c r="P4795" s="15"/>
      <c r="Q4795" s="71"/>
      <c r="R4795" s="84"/>
      <c r="S4795" s="10"/>
      <c r="T4795" s="10"/>
      <c r="U4795" s="10"/>
      <c r="V4795" s="10"/>
      <c r="W4795" s="138"/>
      <c r="Y4795"/>
      <c r="Z4795"/>
      <c r="AA4795"/>
      <c r="AB4795"/>
      <c r="AC4795"/>
      <c r="AD4795"/>
      <c r="AE4795"/>
      <c r="AF4795"/>
      <c r="AG4795"/>
      <c r="AH4795"/>
      <c r="AI4795"/>
      <c r="AJ4795"/>
      <c r="AK4795"/>
      <c r="AL4795"/>
      <c r="AM4795"/>
      <c r="AN4795"/>
      <c r="AO4795"/>
    </row>
    <row r="4796" spans="1:41" ht="15">
      <c r="A4796"/>
      <c r="B4796"/>
      <c r="C4796" s="137"/>
      <c r="D4796" s="30"/>
      <c r="E4796" s="30"/>
      <c r="F4796" s="10"/>
      <c r="G4796" s="10"/>
      <c r="H4796" s="15"/>
      <c r="I4796" s="15"/>
      <c r="J4796" s="15"/>
      <c r="K4796" s="15"/>
      <c r="L4796" s="15"/>
      <c r="M4796" s="15"/>
      <c r="N4796" s="15"/>
      <c r="O4796" s="15"/>
      <c r="P4796" s="15"/>
      <c r="Q4796" s="71"/>
      <c r="R4796" s="84"/>
      <c r="S4796" s="10"/>
      <c r="T4796" s="10"/>
      <c r="U4796" s="10"/>
      <c r="V4796" s="10"/>
      <c r="W4796" s="138"/>
      <c r="Y4796"/>
      <c r="Z4796"/>
      <c r="AA4796"/>
      <c r="AB4796"/>
      <c r="AC4796"/>
      <c r="AD4796"/>
      <c r="AE4796"/>
      <c r="AF4796"/>
      <c r="AG4796"/>
      <c r="AH4796"/>
      <c r="AI4796"/>
      <c r="AJ4796"/>
      <c r="AK4796"/>
      <c r="AL4796"/>
      <c r="AM4796"/>
      <c r="AN4796"/>
      <c r="AO4796"/>
    </row>
    <row r="4797" spans="1:41" ht="15">
      <c r="A4797"/>
      <c r="B4797"/>
      <c r="C4797" s="137"/>
      <c r="D4797" s="30"/>
      <c r="E4797" s="30"/>
      <c r="F4797" s="10"/>
      <c r="G4797" s="10"/>
      <c r="H4797" s="15"/>
      <c r="I4797" s="15"/>
      <c r="J4797" s="15"/>
      <c r="K4797" s="15"/>
      <c r="L4797" s="15"/>
      <c r="M4797" s="15"/>
      <c r="N4797" s="15"/>
      <c r="O4797" s="15"/>
      <c r="P4797" s="15"/>
      <c r="Q4797" s="71"/>
      <c r="R4797" s="84"/>
      <c r="S4797" s="10"/>
      <c r="T4797" s="10"/>
      <c r="U4797" s="10"/>
      <c r="V4797" s="10"/>
      <c r="W4797" s="138"/>
      <c r="Y4797"/>
      <c r="Z4797"/>
      <c r="AA4797"/>
      <c r="AB4797"/>
      <c r="AC4797"/>
      <c r="AD4797"/>
      <c r="AE4797"/>
      <c r="AF4797"/>
      <c r="AG4797"/>
      <c r="AH4797"/>
      <c r="AI4797"/>
      <c r="AJ4797"/>
      <c r="AK4797"/>
      <c r="AL4797"/>
      <c r="AM4797"/>
      <c r="AN4797"/>
      <c r="AO4797"/>
    </row>
    <row r="4798" spans="1:41" ht="15">
      <c r="A4798"/>
      <c r="B4798"/>
      <c r="C4798" s="137"/>
      <c r="D4798" s="30"/>
      <c r="E4798" s="30"/>
      <c r="F4798" s="10"/>
      <c r="G4798" s="10"/>
      <c r="H4798" s="15"/>
      <c r="I4798" s="15"/>
      <c r="J4798" s="15"/>
      <c r="K4798" s="15"/>
      <c r="L4798" s="15"/>
      <c r="M4798" s="15"/>
      <c r="N4798" s="15"/>
      <c r="O4798" s="15"/>
      <c r="P4798" s="15"/>
      <c r="Q4798" s="71"/>
      <c r="R4798" s="84"/>
      <c r="S4798" s="10"/>
      <c r="T4798" s="10"/>
      <c r="U4798" s="10"/>
      <c r="V4798" s="10"/>
      <c r="W4798" s="138"/>
      <c r="Y4798"/>
      <c r="Z4798"/>
      <c r="AA4798"/>
      <c r="AB4798"/>
      <c r="AC4798"/>
      <c r="AD4798"/>
      <c r="AE4798"/>
      <c r="AF4798"/>
      <c r="AG4798"/>
      <c r="AH4798"/>
      <c r="AI4798"/>
      <c r="AJ4798"/>
      <c r="AK4798"/>
      <c r="AL4798"/>
      <c r="AM4798"/>
      <c r="AN4798"/>
      <c r="AO4798"/>
    </row>
    <row r="4799" spans="1:41" ht="15">
      <c r="A4799"/>
      <c r="B4799"/>
      <c r="C4799" s="137"/>
      <c r="D4799" s="30"/>
      <c r="E4799" s="30"/>
      <c r="F4799" s="10"/>
      <c r="G4799" s="10"/>
      <c r="H4799" s="15"/>
      <c r="I4799" s="15"/>
      <c r="J4799" s="15"/>
      <c r="K4799" s="15"/>
      <c r="L4799" s="15"/>
      <c r="M4799" s="15"/>
      <c r="N4799" s="15"/>
      <c r="O4799" s="15"/>
      <c r="P4799" s="15"/>
      <c r="Q4799" s="71"/>
      <c r="R4799" s="84"/>
      <c r="S4799" s="10"/>
      <c r="T4799" s="10"/>
      <c r="U4799" s="10"/>
      <c r="V4799" s="10"/>
      <c r="W4799" s="138"/>
      <c r="Y4799"/>
      <c r="Z4799"/>
      <c r="AA4799"/>
      <c r="AB4799"/>
      <c r="AC4799"/>
      <c r="AD4799"/>
      <c r="AE4799"/>
      <c r="AF4799"/>
      <c r="AG4799"/>
      <c r="AH4799"/>
      <c r="AI4799"/>
      <c r="AJ4799"/>
      <c r="AK4799"/>
      <c r="AL4799"/>
      <c r="AM4799"/>
      <c r="AN4799"/>
      <c r="AO4799"/>
    </row>
    <row r="4800" spans="1:41" ht="15">
      <c r="A4800"/>
      <c r="B4800"/>
      <c r="C4800" s="137"/>
      <c r="D4800" s="30"/>
      <c r="E4800" s="30"/>
      <c r="F4800" s="10"/>
      <c r="G4800" s="10"/>
      <c r="H4800" s="15"/>
      <c r="I4800" s="15"/>
      <c r="J4800" s="15"/>
      <c r="K4800" s="15"/>
      <c r="L4800" s="15"/>
      <c r="M4800" s="15"/>
      <c r="N4800" s="15"/>
      <c r="O4800" s="15"/>
      <c r="P4800" s="15"/>
      <c r="Q4800" s="71"/>
      <c r="R4800" s="84"/>
      <c r="S4800" s="10"/>
      <c r="T4800" s="10"/>
      <c r="U4800" s="10"/>
      <c r="V4800" s="10"/>
      <c r="W4800" s="138"/>
      <c r="Y4800"/>
      <c r="Z4800"/>
      <c r="AA4800"/>
      <c r="AB4800"/>
      <c r="AC4800"/>
      <c r="AD4800"/>
      <c r="AE4800"/>
      <c r="AF4800"/>
      <c r="AG4800"/>
      <c r="AH4800"/>
      <c r="AI4800"/>
      <c r="AJ4800"/>
      <c r="AK4800"/>
      <c r="AL4800"/>
      <c r="AM4800"/>
      <c r="AN4800"/>
      <c r="AO4800"/>
    </row>
    <row r="4801" spans="1:41" ht="15">
      <c r="A4801"/>
      <c r="B4801"/>
      <c r="C4801" s="137"/>
      <c r="D4801" s="30"/>
      <c r="E4801" s="30"/>
      <c r="F4801" s="10"/>
      <c r="G4801" s="10"/>
      <c r="H4801" s="15"/>
      <c r="I4801" s="15"/>
      <c r="J4801" s="15"/>
      <c r="K4801" s="15"/>
      <c r="L4801" s="15"/>
      <c r="M4801" s="15"/>
      <c r="N4801" s="15"/>
      <c r="O4801" s="15"/>
      <c r="P4801" s="15"/>
      <c r="Q4801" s="71"/>
      <c r="R4801" s="84"/>
      <c r="S4801" s="10"/>
      <c r="T4801" s="10"/>
      <c r="U4801" s="10"/>
      <c r="V4801" s="10"/>
      <c r="W4801" s="138"/>
      <c r="Y4801"/>
      <c r="Z4801"/>
      <c r="AA4801"/>
      <c r="AB4801"/>
      <c r="AC4801"/>
      <c r="AD4801"/>
      <c r="AE4801"/>
      <c r="AF4801"/>
      <c r="AG4801"/>
      <c r="AH4801"/>
      <c r="AI4801"/>
      <c r="AJ4801"/>
      <c r="AK4801"/>
      <c r="AL4801"/>
      <c r="AM4801"/>
      <c r="AN4801"/>
      <c r="AO4801"/>
    </row>
    <row r="4802" spans="1:41" ht="15">
      <c r="A4802"/>
      <c r="B4802"/>
      <c r="C4802" s="137"/>
      <c r="D4802" s="30"/>
      <c r="E4802" s="30"/>
      <c r="F4802" s="10"/>
      <c r="G4802" s="10"/>
      <c r="H4802" s="15"/>
      <c r="I4802" s="15"/>
      <c r="J4802" s="15"/>
      <c r="K4802" s="15"/>
      <c r="L4802" s="15"/>
      <c r="M4802" s="15"/>
      <c r="N4802" s="15"/>
      <c r="O4802" s="15"/>
      <c r="P4802" s="15"/>
      <c r="Q4802" s="71"/>
      <c r="R4802" s="84"/>
      <c r="S4802" s="10"/>
      <c r="T4802" s="10"/>
      <c r="U4802" s="10"/>
      <c r="V4802" s="10"/>
      <c r="W4802" s="138"/>
      <c r="Y4802"/>
      <c r="Z4802"/>
      <c r="AA4802"/>
      <c r="AB4802"/>
      <c r="AC4802"/>
      <c r="AD4802"/>
      <c r="AE4802"/>
      <c r="AF4802"/>
      <c r="AG4802"/>
      <c r="AH4802"/>
      <c r="AI4802"/>
      <c r="AJ4802"/>
      <c r="AK4802"/>
      <c r="AL4802"/>
      <c r="AM4802"/>
      <c r="AN4802"/>
      <c r="AO4802"/>
    </row>
    <row r="4803" spans="1:41" ht="15">
      <c r="A4803"/>
      <c r="B4803"/>
      <c r="C4803" s="137"/>
      <c r="D4803" s="30"/>
      <c r="E4803" s="30"/>
      <c r="F4803" s="10"/>
      <c r="G4803" s="10"/>
      <c r="H4803" s="15"/>
      <c r="I4803" s="15"/>
      <c r="J4803" s="15"/>
      <c r="K4803" s="15"/>
      <c r="L4803" s="15"/>
      <c r="M4803" s="15"/>
      <c r="N4803" s="15"/>
      <c r="O4803" s="15"/>
      <c r="P4803" s="15"/>
      <c r="Q4803" s="71"/>
      <c r="R4803" s="84"/>
      <c r="S4803" s="10"/>
      <c r="T4803" s="10"/>
      <c r="U4803" s="10"/>
      <c r="V4803" s="10"/>
      <c r="W4803" s="138"/>
      <c r="Y4803"/>
      <c r="Z4803"/>
      <c r="AA4803"/>
      <c r="AB4803"/>
      <c r="AC4803"/>
      <c r="AD4803"/>
      <c r="AE4803"/>
      <c r="AF4803"/>
      <c r="AG4803"/>
      <c r="AH4803"/>
      <c r="AI4803"/>
      <c r="AJ4803"/>
      <c r="AK4803"/>
      <c r="AL4803"/>
      <c r="AM4803"/>
      <c r="AN4803"/>
      <c r="AO4803"/>
    </row>
    <row r="4804" spans="1:41" ht="15">
      <c r="A4804"/>
      <c r="B4804"/>
      <c r="C4804" s="137"/>
      <c r="D4804" s="30"/>
      <c r="E4804" s="30"/>
      <c r="F4804" s="10"/>
      <c r="G4804" s="10"/>
      <c r="H4804" s="15"/>
      <c r="I4804" s="15"/>
      <c r="J4804" s="15"/>
      <c r="K4804" s="15"/>
      <c r="L4804" s="15"/>
      <c r="M4804" s="15"/>
      <c r="N4804" s="15"/>
      <c r="O4804" s="15"/>
      <c r="P4804" s="15"/>
      <c r="Q4804" s="71"/>
      <c r="R4804" s="84"/>
      <c r="S4804" s="10"/>
      <c r="T4804" s="10"/>
      <c r="U4804" s="10"/>
      <c r="V4804" s="10"/>
      <c r="W4804" s="138"/>
      <c r="Y4804"/>
      <c r="Z4804"/>
      <c r="AA4804"/>
      <c r="AB4804"/>
      <c r="AC4804"/>
      <c r="AD4804"/>
      <c r="AE4804"/>
      <c r="AF4804"/>
      <c r="AG4804"/>
      <c r="AH4804"/>
      <c r="AI4804"/>
      <c r="AJ4804"/>
      <c r="AK4804"/>
      <c r="AL4804"/>
      <c r="AM4804"/>
      <c r="AN4804"/>
      <c r="AO4804"/>
    </row>
    <row r="4805" spans="1:41" ht="15">
      <c r="A4805"/>
      <c r="B4805"/>
      <c r="C4805" s="137"/>
      <c r="D4805" s="30"/>
      <c r="E4805" s="30"/>
      <c r="F4805" s="10"/>
      <c r="G4805" s="10"/>
      <c r="H4805" s="15"/>
      <c r="I4805" s="15"/>
      <c r="J4805" s="15"/>
      <c r="K4805" s="15"/>
      <c r="L4805" s="15"/>
      <c r="M4805" s="15"/>
      <c r="N4805" s="15"/>
      <c r="O4805" s="15"/>
      <c r="P4805" s="15"/>
      <c r="Q4805" s="71"/>
      <c r="R4805" s="84"/>
      <c r="S4805" s="10"/>
      <c r="T4805" s="10"/>
      <c r="U4805" s="10"/>
      <c r="V4805" s="10"/>
      <c r="W4805" s="138"/>
      <c r="Y4805"/>
      <c r="Z4805"/>
      <c r="AA4805"/>
      <c r="AB4805"/>
      <c r="AC4805"/>
      <c r="AD4805"/>
      <c r="AE4805"/>
      <c r="AF4805"/>
      <c r="AG4805"/>
      <c r="AH4805"/>
      <c r="AI4805"/>
      <c r="AJ4805"/>
      <c r="AK4805"/>
      <c r="AL4805"/>
      <c r="AM4805"/>
      <c r="AN4805"/>
      <c r="AO4805"/>
    </row>
    <row r="4806" spans="1:41" ht="15">
      <c r="A4806"/>
      <c r="B4806"/>
      <c r="C4806" s="137"/>
      <c r="D4806" s="30"/>
      <c r="E4806" s="30"/>
      <c r="F4806" s="10"/>
      <c r="G4806" s="10"/>
      <c r="H4806" s="15"/>
      <c r="I4806" s="15"/>
      <c r="J4806" s="15"/>
      <c r="K4806" s="15"/>
      <c r="L4806" s="15"/>
      <c r="M4806" s="15"/>
      <c r="N4806" s="15"/>
      <c r="O4806" s="15"/>
      <c r="P4806" s="15"/>
      <c r="Q4806" s="71"/>
      <c r="R4806" s="84"/>
      <c r="S4806" s="10"/>
      <c r="T4806" s="10"/>
      <c r="U4806" s="10"/>
      <c r="V4806" s="10"/>
      <c r="W4806" s="138"/>
      <c r="Y4806"/>
      <c r="Z4806"/>
      <c r="AA4806"/>
      <c r="AB4806"/>
      <c r="AC4806"/>
      <c r="AD4806"/>
      <c r="AE4806"/>
      <c r="AF4806"/>
      <c r="AG4806"/>
      <c r="AH4806"/>
      <c r="AI4806"/>
      <c r="AJ4806"/>
      <c r="AK4806"/>
      <c r="AL4806"/>
      <c r="AM4806"/>
      <c r="AN4806"/>
      <c r="AO4806"/>
    </row>
    <row r="4807" spans="1:41" ht="15">
      <c r="A4807"/>
      <c r="B4807"/>
      <c r="C4807" s="137"/>
      <c r="D4807" s="30"/>
      <c r="E4807" s="30"/>
      <c r="F4807" s="10"/>
      <c r="G4807" s="10"/>
      <c r="H4807" s="15"/>
      <c r="I4807" s="15"/>
      <c r="J4807" s="15"/>
      <c r="K4807" s="15"/>
      <c r="L4807" s="15"/>
      <c r="M4807" s="15"/>
      <c r="N4807" s="15"/>
      <c r="O4807" s="15"/>
      <c r="P4807" s="15"/>
      <c r="Q4807" s="71"/>
      <c r="R4807" s="84"/>
      <c r="S4807" s="10"/>
      <c r="T4807" s="10"/>
      <c r="U4807" s="10"/>
      <c r="V4807" s="10"/>
      <c r="W4807" s="138"/>
      <c r="Y4807"/>
      <c r="Z4807"/>
      <c r="AA4807"/>
      <c r="AB4807"/>
      <c r="AC4807"/>
      <c r="AD4807"/>
      <c r="AE4807"/>
      <c r="AF4807"/>
      <c r="AG4807"/>
      <c r="AH4807"/>
      <c r="AI4807"/>
      <c r="AJ4807"/>
      <c r="AK4807"/>
      <c r="AL4807"/>
      <c r="AM4807"/>
      <c r="AN4807"/>
      <c r="AO4807"/>
    </row>
    <row r="4808" spans="1:41" ht="15">
      <c r="A4808"/>
      <c r="B4808"/>
      <c r="C4808" s="137"/>
      <c r="D4808" s="30"/>
      <c r="E4808" s="30"/>
      <c r="F4808" s="10"/>
      <c r="G4808" s="10"/>
      <c r="H4808" s="15"/>
      <c r="I4808" s="15"/>
      <c r="J4808" s="15"/>
      <c r="K4808" s="15"/>
      <c r="L4808" s="15"/>
      <c r="M4808" s="15"/>
      <c r="N4808" s="15"/>
      <c r="O4808" s="15"/>
      <c r="P4808" s="15"/>
      <c r="Q4808" s="71"/>
      <c r="R4808" s="84"/>
      <c r="S4808" s="10"/>
      <c r="T4808" s="10"/>
      <c r="U4808" s="10"/>
      <c r="V4808" s="10"/>
      <c r="W4808" s="138"/>
      <c r="Y4808"/>
      <c r="Z4808"/>
      <c r="AA4808"/>
      <c r="AB4808"/>
      <c r="AC4808"/>
      <c r="AD4808"/>
      <c r="AE4808"/>
      <c r="AF4808"/>
      <c r="AG4808"/>
      <c r="AH4808"/>
      <c r="AI4808"/>
      <c r="AJ4808"/>
      <c r="AK4808"/>
      <c r="AL4808"/>
      <c r="AM4808"/>
      <c r="AN4808"/>
      <c r="AO4808"/>
    </row>
    <row r="4809" spans="1:41" ht="15">
      <c r="A4809"/>
      <c r="B4809"/>
      <c r="C4809" s="137"/>
      <c r="D4809" s="30"/>
      <c r="E4809" s="30"/>
      <c r="F4809" s="10"/>
      <c r="G4809" s="10"/>
      <c r="H4809" s="15"/>
      <c r="I4809" s="15"/>
      <c r="J4809" s="15"/>
      <c r="K4809" s="15"/>
      <c r="L4809" s="15"/>
      <c r="M4809" s="15"/>
      <c r="N4809" s="15"/>
      <c r="O4809" s="15"/>
      <c r="P4809" s="15"/>
      <c r="Q4809" s="71"/>
      <c r="R4809" s="84"/>
      <c r="S4809" s="10"/>
      <c r="T4809" s="10"/>
      <c r="U4809" s="10"/>
      <c r="V4809" s="10"/>
      <c r="W4809" s="138"/>
      <c r="Y4809"/>
      <c r="Z4809"/>
      <c r="AA4809"/>
      <c r="AB4809"/>
      <c r="AC4809"/>
      <c r="AD4809"/>
      <c r="AE4809"/>
      <c r="AF4809"/>
      <c r="AG4809"/>
      <c r="AH4809"/>
      <c r="AI4809"/>
      <c r="AJ4809"/>
      <c r="AK4809"/>
      <c r="AL4809"/>
      <c r="AM4809"/>
      <c r="AN4809"/>
      <c r="AO4809"/>
    </row>
    <row r="4810" spans="1:41" ht="15">
      <c r="A4810"/>
      <c r="B4810"/>
      <c r="C4810" s="137"/>
      <c r="D4810" s="30"/>
      <c r="E4810" s="30"/>
      <c r="F4810" s="10"/>
      <c r="G4810" s="10"/>
      <c r="H4810" s="15"/>
      <c r="I4810" s="15"/>
      <c r="J4810" s="15"/>
      <c r="K4810" s="15"/>
      <c r="L4810" s="15"/>
      <c r="M4810" s="15"/>
      <c r="N4810" s="15"/>
      <c r="O4810" s="15"/>
      <c r="P4810" s="15"/>
      <c r="Q4810" s="71"/>
      <c r="R4810" s="84"/>
      <c r="S4810" s="10"/>
      <c r="T4810" s="10"/>
      <c r="U4810" s="10"/>
      <c r="V4810" s="10"/>
      <c r="W4810" s="138"/>
      <c r="Y4810"/>
      <c r="Z4810"/>
      <c r="AA4810"/>
      <c r="AB4810"/>
      <c r="AC4810"/>
      <c r="AD4810"/>
      <c r="AE4810"/>
      <c r="AF4810"/>
      <c r="AG4810"/>
      <c r="AH4810"/>
      <c r="AI4810"/>
      <c r="AJ4810"/>
      <c r="AK4810"/>
      <c r="AL4810"/>
      <c r="AM4810"/>
      <c r="AN4810"/>
      <c r="AO4810"/>
    </row>
    <row r="4811" spans="1:41" ht="15">
      <c r="A4811"/>
      <c r="B4811"/>
      <c r="C4811" s="137"/>
      <c r="D4811" s="30"/>
      <c r="E4811" s="30"/>
      <c r="F4811" s="10"/>
      <c r="G4811" s="10"/>
      <c r="H4811" s="15"/>
      <c r="I4811" s="15"/>
      <c r="J4811" s="15"/>
      <c r="K4811" s="15"/>
      <c r="L4811" s="15"/>
      <c r="M4811" s="15"/>
      <c r="N4811" s="15"/>
      <c r="O4811" s="15"/>
      <c r="P4811" s="15"/>
      <c r="Q4811" s="71"/>
      <c r="R4811" s="84"/>
      <c r="S4811" s="10"/>
      <c r="T4811" s="10"/>
      <c r="U4811" s="10"/>
      <c r="V4811" s="10"/>
      <c r="W4811" s="138"/>
      <c r="Y4811"/>
      <c r="Z4811"/>
      <c r="AA4811"/>
      <c r="AB4811"/>
      <c r="AC4811"/>
      <c r="AD4811"/>
      <c r="AE4811"/>
      <c r="AF4811"/>
      <c r="AG4811"/>
      <c r="AH4811"/>
      <c r="AI4811"/>
      <c r="AJ4811"/>
      <c r="AK4811"/>
      <c r="AL4811"/>
      <c r="AM4811"/>
      <c r="AN4811"/>
      <c r="AO4811"/>
    </row>
    <row r="4812" spans="1:41" ht="15">
      <c r="A4812"/>
      <c r="B4812"/>
      <c r="C4812" s="137"/>
      <c r="D4812" s="30"/>
      <c r="E4812" s="30"/>
      <c r="F4812" s="10"/>
      <c r="G4812" s="10"/>
      <c r="H4812" s="15"/>
      <c r="I4812" s="15"/>
      <c r="J4812" s="15"/>
      <c r="K4812" s="15"/>
      <c r="L4812" s="15"/>
      <c r="M4812" s="15"/>
      <c r="N4812" s="15"/>
      <c r="O4812" s="15"/>
      <c r="P4812" s="15"/>
      <c r="Q4812" s="71"/>
      <c r="R4812" s="84"/>
      <c r="S4812" s="10"/>
      <c r="T4812" s="10"/>
      <c r="U4812" s="10"/>
      <c r="V4812" s="10"/>
      <c r="W4812" s="138"/>
      <c r="Y4812"/>
      <c r="Z4812"/>
      <c r="AA4812"/>
      <c r="AB4812"/>
      <c r="AC4812"/>
      <c r="AD4812"/>
      <c r="AE4812"/>
      <c r="AF4812"/>
      <c r="AG4812"/>
      <c r="AH4812"/>
      <c r="AI4812"/>
      <c r="AJ4812"/>
      <c r="AK4812"/>
      <c r="AL4812"/>
      <c r="AM4812"/>
      <c r="AN4812"/>
      <c r="AO4812"/>
    </row>
    <row r="4813" spans="1:41" ht="15">
      <c r="A4813"/>
      <c r="B4813"/>
      <c r="C4813" s="137"/>
      <c r="D4813" s="30"/>
      <c r="E4813" s="30"/>
      <c r="F4813" s="10"/>
      <c r="G4813" s="10"/>
      <c r="H4813" s="15"/>
      <c r="I4813" s="15"/>
      <c r="J4813" s="15"/>
      <c r="K4813" s="15"/>
      <c r="L4813" s="15"/>
      <c r="M4813" s="15"/>
      <c r="N4813" s="15"/>
      <c r="O4813" s="15"/>
      <c r="P4813" s="15"/>
      <c r="Q4813" s="71"/>
      <c r="R4813" s="84"/>
      <c r="S4813" s="10"/>
      <c r="T4813" s="10"/>
      <c r="U4813" s="10"/>
      <c r="V4813" s="10"/>
      <c r="W4813" s="138"/>
      <c r="Y4813"/>
      <c r="Z4813"/>
      <c r="AA4813"/>
      <c r="AB4813"/>
      <c r="AC4813"/>
      <c r="AD4813"/>
      <c r="AE4813"/>
      <c r="AF4813"/>
      <c r="AG4813"/>
      <c r="AH4813"/>
      <c r="AI4813"/>
      <c r="AJ4813"/>
      <c r="AK4813"/>
      <c r="AL4813"/>
      <c r="AM4813"/>
      <c r="AN4813"/>
      <c r="AO4813"/>
    </row>
    <row r="4814" spans="1:41" ht="15">
      <c r="A4814"/>
      <c r="B4814"/>
      <c r="C4814" s="137"/>
      <c r="D4814" s="30"/>
      <c r="E4814" s="30"/>
      <c r="F4814" s="10"/>
      <c r="G4814" s="10"/>
      <c r="H4814" s="15"/>
      <c r="I4814" s="15"/>
      <c r="J4814" s="15"/>
      <c r="K4814" s="15"/>
      <c r="L4814" s="15"/>
      <c r="M4814" s="15"/>
      <c r="N4814" s="15"/>
      <c r="O4814" s="15"/>
      <c r="P4814" s="15"/>
      <c r="Q4814" s="71"/>
      <c r="R4814" s="84"/>
      <c r="S4814" s="10"/>
      <c r="T4814" s="10"/>
      <c r="U4814" s="10"/>
      <c r="V4814" s="10"/>
      <c r="W4814" s="138"/>
      <c r="Y4814"/>
      <c r="Z4814"/>
      <c r="AA4814"/>
      <c r="AB4814"/>
      <c r="AC4814"/>
      <c r="AD4814"/>
      <c r="AE4814"/>
      <c r="AF4814"/>
      <c r="AG4814"/>
      <c r="AH4814"/>
      <c r="AI4814"/>
      <c r="AJ4814"/>
      <c r="AK4814"/>
      <c r="AL4814"/>
      <c r="AM4814"/>
      <c r="AN4814"/>
      <c r="AO4814"/>
    </row>
    <row r="4815" spans="1:41" ht="15">
      <c r="A4815"/>
      <c r="B4815"/>
      <c r="C4815" s="137"/>
      <c r="D4815" s="30"/>
      <c r="E4815" s="30"/>
      <c r="F4815" s="10"/>
      <c r="G4815" s="10"/>
      <c r="H4815" s="15"/>
      <c r="I4815" s="15"/>
      <c r="J4815" s="15"/>
      <c r="K4815" s="15"/>
      <c r="L4815" s="15"/>
      <c r="M4815" s="15"/>
      <c r="N4815" s="15"/>
      <c r="O4815" s="15"/>
      <c r="P4815" s="15"/>
      <c r="Q4815" s="71"/>
      <c r="R4815" s="84"/>
      <c r="S4815" s="10"/>
      <c r="T4815" s="10"/>
      <c r="U4815" s="10"/>
      <c r="V4815" s="10"/>
      <c r="W4815" s="138"/>
      <c r="Y4815"/>
      <c r="Z4815"/>
      <c r="AA4815"/>
      <c r="AB4815"/>
      <c r="AC4815"/>
      <c r="AD4815"/>
      <c r="AE4815"/>
      <c r="AF4815"/>
      <c r="AG4815"/>
      <c r="AH4815"/>
      <c r="AI4815"/>
      <c r="AJ4815"/>
      <c r="AK4815"/>
      <c r="AL4815"/>
      <c r="AM4815"/>
      <c r="AN4815"/>
      <c r="AO4815"/>
    </row>
    <row r="4816" spans="1:41" ht="15">
      <c r="A4816"/>
      <c r="B4816"/>
      <c r="C4816" s="137"/>
      <c r="D4816" s="30"/>
      <c r="E4816" s="30"/>
      <c r="F4816" s="10"/>
      <c r="G4816" s="10"/>
      <c r="H4816" s="15"/>
      <c r="I4816" s="15"/>
      <c r="J4816" s="15"/>
      <c r="K4816" s="15"/>
      <c r="L4816" s="15"/>
      <c r="M4816" s="15"/>
      <c r="N4816" s="15"/>
      <c r="O4816" s="15"/>
      <c r="P4816" s="15"/>
      <c r="Q4816" s="71"/>
      <c r="R4816" s="84"/>
      <c r="S4816" s="10"/>
      <c r="T4816" s="10"/>
      <c r="U4816" s="10"/>
      <c r="V4816" s="10"/>
      <c r="W4816" s="138"/>
      <c r="Y4816"/>
      <c r="Z4816"/>
      <c r="AA4816"/>
      <c r="AB4816"/>
      <c r="AC4816"/>
      <c r="AD4816"/>
      <c r="AE4816"/>
      <c r="AF4816"/>
      <c r="AG4816"/>
      <c r="AH4816"/>
      <c r="AI4816"/>
      <c r="AJ4816"/>
      <c r="AK4816"/>
      <c r="AL4816"/>
      <c r="AM4816"/>
      <c r="AN4816"/>
      <c r="AO4816"/>
    </row>
    <row r="4817" spans="1:41" ht="15">
      <c r="A4817"/>
      <c r="B4817"/>
      <c r="C4817" s="137"/>
      <c r="D4817" s="30"/>
      <c r="E4817" s="30"/>
      <c r="F4817" s="10"/>
      <c r="G4817" s="10"/>
      <c r="H4817" s="15"/>
      <c r="I4817" s="15"/>
      <c r="J4817" s="15"/>
      <c r="K4817" s="15"/>
      <c r="L4817" s="15"/>
      <c r="M4817" s="15"/>
      <c r="N4817" s="15"/>
      <c r="O4817" s="15"/>
      <c r="P4817" s="15"/>
      <c r="Q4817" s="71"/>
      <c r="R4817" s="84"/>
      <c r="S4817" s="10"/>
      <c r="T4817" s="10"/>
      <c r="U4817" s="10"/>
      <c r="V4817" s="10"/>
      <c r="W4817" s="138"/>
      <c r="Y4817"/>
      <c r="Z4817"/>
      <c r="AA4817"/>
      <c r="AB4817"/>
      <c r="AC4817"/>
      <c r="AD4817"/>
      <c r="AE4817"/>
      <c r="AF4817"/>
      <c r="AG4817"/>
      <c r="AH4817"/>
      <c r="AI4817"/>
      <c r="AJ4817"/>
      <c r="AK4817"/>
      <c r="AL4817"/>
      <c r="AM4817"/>
      <c r="AN4817"/>
      <c r="AO4817"/>
    </row>
    <row r="4818" spans="1:41" ht="15">
      <c r="A4818"/>
      <c r="B4818"/>
      <c r="C4818" s="137"/>
      <c r="D4818" s="30"/>
      <c r="E4818" s="30"/>
      <c r="F4818" s="10"/>
      <c r="G4818" s="10"/>
      <c r="H4818" s="15"/>
      <c r="I4818" s="15"/>
      <c r="J4818" s="15"/>
      <c r="K4818" s="15"/>
      <c r="L4818" s="15"/>
      <c r="M4818" s="15"/>
      <c r="N4818" s="15"/>
      <c r="O4818" s="15"/>
      <c r="P4818" s="15"/>
      <c r="Q4818" s="71"/>
      <c r="R4818" s="84"/>
      <c r="S4818" s="10"/>
      <c r="T4818" s="10"/>
      <c r="U4818" s="10"/>
      <c r="V4818" s="10"/>
      <c r="W4818" s="138"/>
      <c r="Y4818"/>
      <c r="Z4818"/>
      <c r="AA4818"/>
      <c r="AB4818"/>
      <c r="AC4818"/>
      <c r="AD4818"/>
      <c r="AE4818"/>
      <c r="AF4818"/>
      <c r="AG4818"/>
      <c r="AH4818"/>
      <c r="AI4818"/>
      <c r="AJ4818"/>
      <c r="AK4818"/>
      <c r="AL4818"/>
      <c r="AM4818"/>
      <c r="AN4818"/>
      <c r="AO4818"/>
    </row>
    <row r="4819" spans="1:41" ht="15">
      <c r="A4819"/>
      <c r="B4819"/>
      <c r="C4819" s="137"/>
      <c r="D4819" s="30"/>
      <c r="E4819" s="30"/>
      <c r="F4819" s="10"/>
      <c r="G4819" s="10"/>
      <c r="H4819" s="15"/>
      <c r="I4819" s="15"/>
      <c r="J4819" s="15"/>
      <c r="K4819" s="15"/>
      <c r="L4819" s="15"/>
      <c r="M4819" s="15"/>
      <c r="N4819" s="15"/>
      <c r="O4819" s="15"/>
      <c r="P4819" s="15"/>
      <c r="Q4819" s="71"/>
      <c r="R4819" s="84"/>
      <c r="S4819" s="10"/>
      <c r="T4819" s="10"/>
      <c r="U4819" s="10"/>
      <c r="V4819" s="10"/>
      <c r="W4819" s="138"/>
      <c r="Y4819"/>
      <c r="Z4819"/>
      <c r="AA4819"/>
      <c r="AB4819"/>
      <c r="AC4819"/>
      <c r="AD4819"/>
      <c r="AE4819"/>
      <c r="AF4819"/>
      <c r="AG4819"/>
      <c r="AH4819"/>
      <c r="AI4819"/>
      <c r="AJ4819"/>
      <c r="AK4819"/>
      <c r="AL4819"/>
      <c r="AM4819"/>
      <c r="AN4819"/>
      <c r="AO4819"/>
    </row>
    <row r="4820" spans="1:41" ht="15">
      <c r="A4820"/>
      <c r="B4820"/>
      <c r="C4820" s="137"/>
      <c r="D4820" s="30"/>
      <c r="E4820" s="30"/>
      <c r="F4820" s="10"/>
      <c r="G4820" s="10"/>
      <c r="H4820" s="15"/>
      <c r="I4820" s="15"/>
      <c r="J4820" s="15"/>
      <c r="K4820" s="15"/>
      <c r="L4820" s="15"/>
      <c r="M4820" s="15"/>
      <c r="N4820" s="15"/>
      <c r="O4820" s="15"/>
      <c r="P4820" s="15"/>
      <c r="Q4820" s="71"/>
      <c r="R4820" s="84"/>
      <c r="S4820" s="10"/>
      <c r="T4820" s="10"/>
      <c r="U4820" s="10"/>
      <c r="V4820" s="10"/>
      <c r="W4820" s="138"/>
      <c r="Y4820"/>
      <c r="Z4820"/>
      <c r="AA4820"/>
      <c r="AB4820"/>
      <c r="AC4820"/>
      <c r="AD4820"/>
      <c r="AE4820"/>
      <c r="AF4820"/>
      <c r="AG4820"/>
      <c r="AH4820"/>
      <c r="AI4820"/>
      <c r="AJ4820"/>
      <c r="AK4820"/>
      <c r="AL4820"/>
      <c r="AM4820"/>
      <c r="AN4820"/>
      <c r="AO4820"/>
    </row>
    <row r="4821" spans="1:41" ht="15">
      <c r="A4821"/>
      <c r="B4821"/>
      <c r="C4821" s="137"/>
      <c r="D4821" s="30"/>
      <c r="E4821" s="30"/>
      <c r="F4821" s="10"/>
      <c r="G4821" s="10"/>
      <c r="H4821" s="15"/>
      <c r="I4821" s="15"/>
      <c r="J4821" s="15"/>
      <c r="K4821" s="15"/>
      <c r="L4821" s="15"/>
      <c r="M4821" s="15"/>
      <c r="N4821" s="15"/>
      <c r="O4821" s="15"/>
      <c r="P4821" s="15"/>
      <c r="Q4821" s="71"/>
      <c r="R4821" s="84"/>
      <c r="S4821" s="10"/>
      <c r="T4821" s="10"/>
      <c r="U4821" s="10"/>
      <c r="V4821" s="10"/>
      <c r="W4821" s="138"/>
      <c r="Y4821"/>
      <c r="Z4821"/>
      <c r="AA4821"/>
      <c r="AB4821"/>
      <c r="AC4821"/>
      <c r="AD4821"/>
      <c r="AE4821"/>
      <c r="AF4821"/>
      <c r="AG4821"/>
      <c r="AH4821"/>
      <c r="AI4821"/>
      <c r="AJ4821"/>
      <c r="AK4821"/>
      <c r="AL4821"/>
      <c r="AM4821"/>
      <c r="AN4821"/>
      <c r="AO4821"/>
    </row>
    <row r="4822" spans="1:41" ht="15">
      <c r="A4822"/>
      <c r="B4822"/>
      <c r="C4822" s="137"/>
      <c r="D4822" s="30"/>
      <c r="E4822" s="30"/>
      <c r="F4822" s="10"/>
      <c r="G4822" s="10"/>
      <c r="H4822" s="15"/>
      <c r="I4822" s="15"/>
      <c r="J4822" s="15"/>
      <c r="K4822" s="15"/>
      <c r="L4822" s="15"/>
      <c r="M4822" s="15"/>
      <c r="N4822" s="15"/>
      <c r="O4822" s="15"/>
      <c r="P4822" s="15"/>
      <c r="Q4822" s="71"/>
      <c r="R4822" s="84"/>
      <c r="S4822" s="10"/>
      <c r="T4822" s="10"/>
      <c r="U4822" s="10"/>
      <c r="V4822" s="10"/>
      <c r="W4822" s="138"/>
      <c r="Y4822"/>
      <c r="Z4822"/>
      <c r="AA4822"/>
      <c r="AB4822"/>
      <c r="AC4822"/>
      <c r="AD4822"/>
      <c r="AE4822"/>
      <c r="AF4822"/>
      <c r="AG4822"/>
      <c r="AH4822"/>
      <c r="AI4822"/>
      <c r="AJ4822"/>
      <c r="AK4822"/>
      <c r="AL4822"/>
      <c r="AM4822"/>
      <c r="AN4822"/>
      <c r="AO4822"/>
    </row>
    <row r="4823" spans="1:41" ht="15">
      <c r="A4823"/>
      <c r="B4823"/>
      <c r="C4823" s="137"/>
      <c r="D4823" s="30"/>
      <c r="E4823" s="30"/>
      <c r="F4823" s="10"/>
      <c r="G4823" s="10"/>
      <c r="H4823" s="15"/>
      <c r="I4823" s="15"/>
      <c r="J4823" s="15"/>
      <c r="K4823" s="15"/>
      <c r="L4823" s="15"/>
      <c r="M4823" s="15"/>
      <c r="N4823" s="15"/>
      <c r="O4823" s="15"/>
      <c r="P4823" s="15"/>
      <c r="Q4823" s="71"/>
      <c r="R4823" s="84"/>
      <c r="S4823" s="10"/>
      <c r="T4823" s="10"/>
      <c r="U4823" s="10"/>
      <c r="V4823" s="10"/>
      <c r="W4823" s="138"/>
      <c r="Y4823"/>
      <c r="Z4823"/>
      <c r="AA4823"/>
      <c r="AB4823"/>
      <c r="AC4823"/>
      <c r="AD4823"/>
      <c r="AE4823"/>
      <c r="AF4823"/>
      <c r="AG4823"/>
      <c r="AH4823"/>
      <c r="AI4823"/>
      <c r="AJ4823"/>
      <c r="AK4823"/>
      <c r="AL4823"/>
      <c r="AM4823"/>
      <c r="AN4823"/>
      <c r="AO4823"/>
    </row>
    <row r="4824" spans="1:41" ht="15">
      <c r="A4824"/>
      <c r="B4824"/>
      <c r="C4824" s="137"/>
      <c r="D4824" s="30"/>
      <c r="E4824" s="30"/>
      <c r="F4824" s="10"/>
      <c r="G4824" s="10"/>
      <c r="H4824" s="15"/>
      <c r="I4824" s="15"/>
      <c r="J4824" s="15"/>
      <c r="K4824" s="15"/>
      <c r="L4824" s="15"/>
      <c r="M4824" s="15"/>
      <c r="N4824" s="15"/>
      <c r="O4824" s="15"/>
      <c r="P4824" s="15"/>
      <c r="Q4824" s="71"/>
      <c r="R4824" s="84"/>
      <c r="S4824" s="10"/>
      <c r="T4824" s="10"/>
      <c r="U4824" s="10"/>
      <c r="V4824" s="10"/>
      <c r="W4824" s="138"/>
      <c r="Y4824"/>
      <c r="Z4824"/>
      <c r="AA4824"/>
      <c r="AB4824"/>
      <c r="AC4824"/>
      <c r="AD4824"/>
      <c r="AE4824"/>
      <c r="AF4824"/>
      <c r="AG4824"/>
      <c r="AH4824"/>
      <c r="AI4824"/>
      <c r="AJ4824"/>
      <c r="AK4824"/>
      <c r="AL4824"/>
      <c r="AM4824"/>
      <c r="AN4824"/>
      <c r="AO4824"/>
    </row>
    <row r="4825" spans="1:41" ht="15">
      <c r="A4825"/>
      <c r="B4825"/>
      <c r="C4825" s="137"/>
      <c r="D4825" s="30"/>
      <c r="E4825" s="30"/>
      <c r="F4825" s="10"/>
      <c r="G4825" s="10"/>
      <c r="H4825" s="15"/>
      <c r="I4825" s="15"/>
      <c r="J4825" s="15"/>
      <c r="K4825" s="15"/>
      <c r="L4825" s="15"/>
      <c r="M4825" s="15"/>
      <c r="N4825" s="15"/>
      <c r="O4825" s="15"/>
      <c r="P4825" s="15"/>
      <c r="Q4825" s="71"/>
      <c r="R4825" s="84"/>
      <c r="S4825" s="10"/>
      <c r="T4825" s="10"/>
      <c r="U4825" s="10"/>
      <c r="V4825" s="10"/>
      <c r="W4825" s="138"/>
      <c r="Y4825"/>
      <c r="Z4825"/>
      <c r="AA4825"/>
      <c r="AB4825"/>
      <c r="AC4825"/>
      <c r="AD4825"/>
      <c r="AE4825"/>
      <c r="AF4825"/>
      <c r="AG4825"/>
      <c r="AH4825"/>
      <c r="AI4825"/>
      <c r="AJ4825"/>
      <c r="AK4825"/>
      <c r="AL4825"/>
      <c r="AM4825"/>
      <c r="AN4825"/>
      <c r="AO4825"/>
    </row>
    <row r="4826" spans="1:41" ht="15">
      <c r="A4826"/>
      <c r="B4826"/>
      <c r="C4826" s="137"/>
      <c r="D4826" s="30"/>
      <c r="E4826" s="30"/>
      <c r="F4826" s="10"/>
      <c r="G4826" s="10"/>
      <c r="H4826" s="15"/>
      <c r="I4826" s="15"/>
      <c r="J4826" s="15"/>
      <c r="K4826" s="15"/>
      <c r="L4826" s="15"/>
      <c r="M4826" s="15"/>
      <c r="N4826" s="15"/>
      <c r="O4826" s="15"/>
      <c r="P4826" s="15"/>
      <c r="Q4826" s="71"/>
      <c r="R4826" s="84"/>
      <c r="S4826" s="10"/>
      <c r="T4826" s="10"/>
      <c r="U4826" s="10"/>
      <c r="V4826" s="10"/>
      <c r="W4826" s="138"/>
      <c r="Y4826"/>
      <c r="Z4826"/>
      <c r="AA4826"/>
      <c r="AB4826"/>
      <c r="AC4826"/>
      <c r="AD4826"/>
      <c r="AE4826"/>
      <c r="AF4826"/>
      <c r="AG4826"/>
      <c r="AH4826"/>
      <c r="AI4826"/>
      <c r="AJ4826"/>
      <c r="AK4826"/>
      <c r="AL4826"/>
      <c r="AM4826"/>
      <c r="AN4826"/>
      <c r="AO4826"/>
    </row>
    <row r="4827" spans="1:41" ht="15">
      <c r="A4827"/>
      <c r="B4827"/>
      <c r="C4827" s="137"/>
      <c r="D4827" s="30"/>
      <c r="E4827" s="30"/>
      <c r="F4827" s="10"/>
      <c r="G4827" s="10"/>
      <c r="H4827" s="15"/>
      <c r="I4827" s="15"/>
      <c r="J4827" s="15"/>
      <c r="K4827" s="15"/>
      <c r="L4827" s="15"/>
      <c r="M4827" s="15"/>
      <c r="N4827" s="15"/>
      <c r="O4827" s="15"/>
      <c r="P4827" s="15"/>
      <c r="Q4827" s="71"/>
      <c r="R4827" s="84"/>
      <c r="S4827" s="10"/>
      <c r="T4827" s="10"/>
      <c r="U4827" s="10"/>
      <c r="V4827" s="10"/>
      <c r="W4827" s="138"/>
      <c r="Y4827"/>
      <c r="Z4827"/>
      <c r="AA4827"/>
      <c r="AB4827"/>
      <c r="AC4827"/>
      <c r="AD4827"/>
      <c r="AE4827"/>
      <c r="AF4827"/>
      <c r="AG4827"/>
      <c r="AH4827"/>
      <c r="AI4827"/>
      <c r="AJ4827"/>
      <c r="AK4827"/>
      <c r="AL4827"/>
      <c r="AM4827"/>
      <c r="AN4827"/>
      <c r="AO4827"/>
    </row>
    <row r="4828" spans="1:41" ht="15">
      <c r="A4828"/>
      <c r="B4828"/>
      <c r="C4828" s="137"/>
      <c r="D4828" s="30"/>
      <c r="E4828" s="30"/>
      <c r="F4828" s="10"/>
      <c r="G4828" s="10"/>
      <c r="H4828" s="15"/>
      <c r="I4828" s="15"/>
      <c r="J4828" s="15"/>
      <c r="K4828" s="15"/>
      <c r="L4828" s="15"/>
      <c r="M4828" s="15"/>
      <c r="N4828" s="15"/>
      <c r="O4828" s="15"/>
      <c r="P4828" s="15"/>
      <c r="Q4828" s="71"/>
      <c r="R4828" s="84"/>
      <c r="S4828" s="10"/>
      <c r="T4828" s="10"/>
      <c r="U4828" s="10"/>
      <c r="V4828" s="10"/>
      <c r="W4828" s="138"/>
      <c r="Y4828"/>
      <c r="Z4828"/>
      <c r="AA4828"/>
      <c r="AB4828"/>
      <c r="AC4828"/>
      <c r="AD4828"/>
      <c r="AE4828"/>
      <c r="AF4828"/>
      <c r="AG4828"/>
      <c r="AH4828"/>
      <c r="AI4828"/>
      <c r="AJ4828"/>
      <c r="AK4828"/>
      <c r="AL4828"/>
      <c r="AM4828"/>
      <c r="AN4828"/>
      <c r="AO4828"/>
    </row>
    <row r="4829" spans="1:41" ht="15">
      <c r="A4829"/>
      <c r="B4829"/>
      <c r="C4829" s="137"/>
      <c r="D4829" s="30"/>
      <c r="E4829" s="30"/>
      <c r="F4829" s="10"/>
      <c r="G4829" s="10"/>
      <c r="H4829" s="15"/>
      <c r="I4829" s="15"/>
      <c r="J4829" s="15"/>
      <c r="K4829" s="15"/>
      <c r="L4829" s="15"/>
      <c r="M4829" s="15"/>
      <c r="N4829" s="15"/>
      <c r="O4829" s="15"/>
      <c r="P4829" s="15"/>
      <c r="Q4829" s="71"/>
      <c r="R4829" s="84"/>
      <c r="S4829" s="10"/>
      <c r="T4829" s="10"/>
      <c r="U4829" s="10"/>
      <c r="V4829" s="10"/>
      <c r="W4829" s="138"/>
      <c r="Y4829"/>
      <c r="Z4829"/>
      <c r="AA4829"/>
      <c r="AB4829"/>
      <c r="AC4829"/>
      <c r="AD4829"/>
      <c r="AE4829"/>
      <c r="AF4829"/>
      <c r="AG4829"/>
      <c r="AH4829"/>
      <c r="AI4829"/>
      <c r="AJ4829"/>
      <c r="AK4829"/>
      <c r="AL4829"/>
      <c r="AM4829"/>
      <c r="AN4829"/>
      <c r="AO4829"/>
    </row>
    <row r="4830" spans="1:41" ht="15">
      <c r="A4830"/>
      <c r="B4830"/>
      <c r="C4830" s="137"/>
      <c r="D4830" s="30"/>
      <c r="E4830" s="30"/>
      <c r="F4830" s="10"/>
      <c r="G4830" s="10"/>
      <c r="H4830" s="15"/>
      <c r="I4830" s="15"/>
      <c r="J4830" s="15"/>
      <c r="K4830" s="15"/>
      <c r="L4830" s="15"/>
      <c r="M4830" s="15"/>
      <c r="N4830" s="15"/>
      <c r="O4830" s="15"/>
      <c r="P4830" s="15"/>
      <c r="Q4830" s="71"/>
      <c r="R4830" s="84"/>
      <c r="S4830" s="10"/>
      <c r="T4830" s="10"/>
      <c r="U4830" s="10"/>
      <c r="V4830" s="10"/>
      <c r="W4830" s="138"/>
      <c r="Y4830"/>
      <c r="Z4830"/>
      <c r="AA4830"/>
      <c r="AB4830"/>
      <c r="AC4830"/>
      <c r="AD4830"/>
      <c r="AE4830"/>
      <c r="AF4830"/>
      <c r="AG4830"/>
      <c r="AH4830"/>
      <c r="AI4830"/>
      <c r="AJ4830"/>
      <c r="AK4830"/>
      <c r="AL4830"/>
      <c r="AM4830"/>
      <c r="AN4830"/>
      <c r="AO4830"/>
    </row>
    <row r="4831" spans="1:41" ht="15">
      <c r="A4831"/>
      <c r="B4831"/>
      <c r="C4831" s="137"/>
      <c r="D4831" s="30"/>
      <c r="E4831" s="30"/>
      <c r="F4831" s="10"/>
      <c r="G4831" s="10"/>
      <c r="H4831" s="15"/>
      <c r="I4831" s="15"/>
      <c r="J4831" s="15"/>
      <c r="K4831" s="15"/>
      <c r="L4831" s="15"/>
      <c r="M4831" s="15"/>
      <c r="N4831" s="15"/>
      <c r="O4831" s="15"/>
      <c r="P4831" s="15"/>
      <c r="Q4831" s="71"/>
      <c r="R4831" s="84"/>
      <c r="S4831" s="10"/>
      <c r="T4831" s="10"/>
      <c r="U4831" s="10"/>
      <c r="V4831" s="10"/>
      <c r="W4831" s="138"/>
      <c r="Y4831"/>
      <c r="Z4831"/>
      <c r="AA4831"/>
      <c r="AB4831"/>
      <c r="AC4831"/>
      <c r="AD4831"/>
      <c r="AE4831"/>
      <c r="AF4831"/>
      <c r="AG4831"/>
      <c r="AH4831"/>
      <c r="AI4831"/>
      <c r="AJ4831"/>
      <c r="AK4831"/>
      <c r="AL4831"/>
      <c r="AM4831"/>
      <c r="AN4831"/>
      <c r="AO4831"/>
    </row>
    <row r="4832" spans="1:41" ht="15">
      <c r="A4832"/>
      <c r="B4832"/>
      <c r="C4832" s="137"/>
      <c r="D4832" s="30"/>
      <c r="E4832" s="30"/>
      <c r="F4832" s="10"/>
      <c r="G4832" s="10"/>
      <c r="H4832" s="15"/>
      <c r="I4832" s="15"/>
      <c r="J4832" s="15"/>
      <c r="K4832" s="15"/>
      <c r="L4832" s="15"/>
      <c r="M4832" s="15"/>
      <c r="N4832" s="15"/>
      <c r="O4832" s="15"/>
      <c r="P4832" s="15"/>
      <c r="Q4832" s="71"/>
      <c r="R4832" s="84"/>
      <c r="S4832" s="10"/>
      <c r="T4832" s="10"/>
      <c r="U4832" s="10"/>
      <c r="V4832" s="10"/>
      <c r="W4832" s="138"/>
      <c r="Y4832"/>
      <c r="Z4832"/>
      <c r="AA4832"/>
      <c r="AB4832"/>
      <c r="AC4832"/>
      <c r="AD4832"/>
      <c r="AE4832"/>
      <c r="AF4832"/>
      <c r="AG4832"/>
      <c r="AH4832"/>
      <c r="AI4832"/>
      <c r="AJ4832"/>
      <c r="AK4832"/>
      <c r="AL4832"/>
      <c r="AM4832"/>
      <c r="AN4832"/>
      <c r="AO4832"/>
    </row>
    <row r="4833" spans="1:41" ht="15">
      <c r="A4833"/>
      <c r="B4833"/>
      <c r="C4833" s="137"/>
      <c r="D4833" s="30"/>
      <c r="E4833" s="30"/>
      <c r="F4833" s="10"/>
      <c r="G4833" s="10"/>
      <c r="H4833" s="15"/>
      <c r="I4833" s="15"/>
      <c r="J4833" s="15"/>
      <c r="K4833" s="15"/>
      <c r="L4833" s="15"/>
      <c r="M4833" s="15"/>
      <c r="N4833" s="15"/>
      <c r="O4833" s="15"/>
      <c r="P4833" s="15"/>
      <c r="Q4833" s="71"/>
      <c r="R4833" s="84"/>
      <c r="S4833" s="10"/>
      <c r="T4833" s="10"/>
      <c r="U4833" s="10"/>
      <c r="V4833" s="10"/>
      <c r="W4833" s="138"/>
      <c r="Y4833"/>
      <c r="Z4833"/>
      <c r="AA4833"/>
      <c r="AB4833"/>
      <c r="AC4833"/>
      <c r="AD4833"/>
      <c r="AE4833"/>
      <c r="AF4833"/>
      <c r="AG4833"/>
      <c r="AH4833"/>
      <c r="AI4833"/>
      <c r="AJ4833"/>
      <c r="AK4833"/>
      <c r="AL4833"/>
      <c r="AM4833"/>
      <c r="AN4833"/>
      <c r="AO4833"/>
    </row>
    <row r="4834" spans="1:41" ht="15">
      <c r="A4834"/>
      <c r="B4834"/>
      <c r="C4834" s="137"/>
      <c r="D4834" s="30"/>
      <c r="E4834" s="30"/>
      <c r="F4834" s="10"/>
      <c r="G4834" s="10"/>
      <c r="H4834" s="15"/>
      <c r="I4834" s="15"/>
      <c r="J4834" s="15"/>
      <c r="K4834" s="15"/>
      <c r="L4834" s="15"/>
      <c r="M4834" s="15"/>
      <c r="N4834" s="15"/>
      <c r="O4834" s="15"/>
      <c r="P4834" s="15"/>
      <c r="Q4834" s="71"/>
      <c r="R4834" s="84"/>
      <c r="S4834" s="10"/>
      <c r="T4834" s="10"/>
      <c r="U4834" s="10"/>
      <c r="V4834" s="10"/>
      <c r="W4834" s="138"/>
      <c r="Y4834"/>
      <c r="Z4834"/>
      <c r="AA4834"/>
      <c r="AB4834"/>
      <c r="AC4834"/>
      <c r="AD4834"/>
      <c r="AE4834"/>
      <c r="AF4834"/>
      <c r="AG4834"/>
      <c r="AH4834"/>
      <c r="AI4834"/>
      <c r="AJ4834"/>
      <c r="AK4834"/>
      <c r="AL4834"/>
      <c r="AM4834"/>
      <c r="AN4834"/>
      <c r="AO4834"/>
    </row>
    <row r="4835" spans="1:41" ht="15">
      <c r="A4835"/>
      <c r="B4835"/>
      <c r="C4835" s="137"/>
      <c r="D4835" s="30"/>
      <c r="E4835" s="30"/>
      <c r="F4835" s="10"/>
      <c r="G4835" s="10"/>
      <c r="H4835" s="15"/>
      <c r="I4835" s="15"/>
      <c r="J4835" s="15"/>
      <c r="K4835" s="15"/>
      <c r="L4835" s="15"/>
      <c r="M4835" s="15"/>
      <c r="N4835" s="15"/>
      <c r="O4835" s="15"/>
      <c r="P4835" s="15"/>
      <c r="Q4835" s="71"/>
      <c r="R4835" s="84"/>
      <c r="S4835" s="10"/>
      <c r="T4835" s="10"/>
      <c r="U4835" s="10"/>
      <c r="V4835" s="10"/>
      <c r="W4835" s="138"/>
      <c r="Y4835"/>
      <c r="Z4835"/>
      <c r="AA4835"/>
      <c r="AB4835"/>
      <c r="AC4835"/>
      <c r="AD4835"/>
      <c r="AE4835"/>
      <c r="AF4835"/>
      <c r="AG4835"/>
      <c r="AH4835"/>
      <c r="AI4835"/>
      <c r="AJ4835"/>
      <c r="AK4835"/>
      <c r="AL4835"/>
      <c r="AM4835"/>
      <c r="AN4835"/>
      <c r="AO4835"/>
    </row>
    <row r="4836" spans="1:41" ht="15">
      <c r="A4836"/>
      <c r="B4836"/>
      <c r="C4836" s="137"/>
      <c r="D4836" s="30"/>
      <c r="E4836" s="30"/>
      <c r="F4836" s="10"/>
      <c r="G4836" s="10"/>
      <c r="H4836" s="15"/>
      <c r="I4836" s="15"/>
      <c r="J4836" s="15"/>
      <c r="K4836" s="15"/>
      <c r="L4836" s="15"/>
      <c r="M4836" s="15"/>
      <c r="N4836" s="15"/>
      <c r="O4836" s="15"/>
      <c r="P4836" s="15"/>
      <c r="Q4836" s="71"/>
      <c r="R4836" s="84"/>
      <c r="S4836" s="10"/>
      <c r="T4836" s="10"/>
      <c r="U4836" s="10"/>
      <c r="V4836" s="10"/>
      <c r="W4836" s="138"/>
      <c r="Y4836"/>
      <c r="Z4836"/>
      <c r="AA4836"/>
      <c r="AB4836"/>
      <c r="AC4836"/>
      <c r="AD4836"/>
      <c r="AE4836"/>
      <c r="AF4836"/>
      <c r="AG4836"/>
      <c r="AH4836"/>
      <c r="AI4836"/>
      <c r="AJ4836"/>
      <c r="AK4836"/>
      <c r="AL4836"/>
      <c r="AM4836"/>
      <c r="AN4836"/>
      <c r="AO4836"/>
    </row>
    <row r="4837" spans="1:41" ht="15">
      <c r="A4837"/>
      <c r="B4837"/>
      <c r="C4837" s="137"/>
      <c r="D4837" s="30"/>
      <c r="E4837" s="30"/>
      <c r="F4837" s="10"/>
      <c r="G4837" s="10"/>
      <c r="H4837" s="15"/>
      <c r="I4837" s="15"/>
      <c r="J4837" s="15"/>
      <c r="K4837" s="15"/>
      <c r="L4837" s="15"/>
      <c r="M4837" s="15"/>
      <c r="N4837" s="15"/>
      <c r="O4837" s="15"/>
      <c r="P4837" s="15"/>
      <c r="Q4837" s="71"/>
      <c r="R4837" s="84"/>
      <c r="S4837" s="10"/>
      <c r="T4837" s="10"/>
      <c r="U4837" s="10"/>
      <c r="V4837" s="10"/>
      <c r="W4837" s="138"/>
      <c r="Y4837"/>
      <c r="Z4837"/>
      <c r="AA4837"/>
      <c r="AB4837"/>
      <c r="AC4837"/>
      <c r="AD4837"/>
      <c r="AE4837"/>
      <c r="AF4837"/>
      <c r="AG4837"/>
      <c r="AH4837"/>
      <c r="AI4837"/>
      <c r="AJ4837"/>
      <c r="AK4837"/>
      <c r="AL4837"/>
      <c r="AM4837"/>
      <c r="AN4837"/>
      <c r="AO4837"/>
    </row>
    <row r="4838" spans="1:41" ht="15">
      <c r="A4838"/>
      <c r="B4838"/>
      <c r="C4838" s="137"/>
      <c r="D4838" s="30"/>
      <c r="E4838" s="30"/>
      <c r="F4838" s="10"/>
      <c r="G4838" s="10"/>
      <c r="H4838" s="15"/>
      <c r="I4838" s="15"/>
      <c r="J4838" s="15"/>
      <c r="K4838" s="15"/>
      <c r="L4838" s="15"/>
      <c r="M4838" s="15"/>
      <c r="N4838" s="15"/>
      <c r="O4838" s="15"/>
      <c r="P4838" s="15"/>
      <c r="Q4838" s="71"/>
      <c r="R4838" s="84"/>
      <c r="S4838" s="10"/>
      <c r="T4838" s="10"/>
      <c r="U4838" s="10"/>
      <c r="V4838" s="10"/>
      <c r="W4838" s="138"/>
      <c r="Y4838"/>
      <c r="Z4838"/>
      <c r="AA4838"/>
      <c r="AB4838"/>
      <c r="AC4838"/>
      <c r="AD4838"/>
      <c r="AE4838"/>
      <c r="AF4838"/>
      <c r="AG4838"/>
      <c r="AH4838"/>
      <c r="AI4838"/>
      <c r="AJ4838"/>
      <c r="AK4838"/>
      <c r="AL4838"/>
      <c r="AM4838"/>
      <c r="AN4838"/>
      <c r="AO4838"/>
    </row>
    <row r="4839" spans="1:41" ht="15">
      <c r="A4839"/>
      <c r="B4839"/>
      <c r="C4839" s="137"/>
      <c r="D4839" s="30"/>
      <c r="E4839" s="30"/>
      <c r="F4839" s="10"/>
      <c r="G4839" s="10"/>
      <c r="H4839" s="15"/>
      <c r="I4839" s="15"/>
      <c r="J4839" s="15"/>
      <c r="K4839" s="15"/>
      <c r="L4839" s="15"/>
      <c r="M4839" s="15"/>
      <c r="N4839" s="15"/>
      <c r="O4839" s="15"/>
      <c r="P4839" s="15"/>
      <c r="Q4839" s="71"/>
      <c r="R4839" s="84"/>
      <c r="S4839" s="10"/>
      <c r="T4839" s="10"/>
      <c r="U4839" s="10"/>
      <c r="V4839" s="10"/>
      <c r="W4839" s="138"/>
      <c r="Y4839"/>
      <c r="Z4839"/>
      <c r="AA4839"/>
      <c r="AB4839"/>
      <c r="AC4839"/>
      <c r="AD4839"/>
      <c r="AE4839"/>
      <c r="AF4839"/>
      <c r="AG4839"/>
      <c r="AH4839"/>
      <c r="AI4839"/>
      <c r="AJ4839"/>
      <c r="AK4839"/>
      <c r="AL4839"/>
      <c r="AM4839"/>
      <c r="AN4839"/>
      <c r="AO4839"/>
    </row>
    <row r="4840" spans="1:41" ht="15">
      <c r="A4840"/>
      <c r="B4840"/>
      <c r="C4840" s="137"/>
      <c r="D4840" s="30"/>
      <c r="E4840" s="30"/>
      <c r="F4840" s="10"/>
      <c r="G4840" s="10"/>
      <c r="H4840" s="15"/>
      <c r="I4840" s="15"/>
      <c r="J4840" s="15"/>
      <c r="K4840" s="15"/>
      <c r="L4840" s="15"/>
      <c r="M4840" s="15"/>
      <c r="N4840" s="15"/>
      <c r="O4840" s="15"/>
      <c r="P4840" s="15"/>
      <c r="Q4840" s="71"/>
      <c r="R4840" s="84"/>
      <c r="S4840" s="10"/>
      <c r="T4840" s="10"/>
      <c r="U4840" s="10"/>
      <c r="V4840" s="10"/>
      <c r="W4840" s="138"/>
      <c r="Y4840"/>
      <c r="Z4840"/>
      <c r="AA4840"/>
      <c r="AB4840"/>
      <c r="AC4840"/>
      <c r="AD4840"/>
      <c r="AE4840"/>
      <c r="AF4840"/>
      <c r="AG4840"/>
      <c r="AH4840"/>
      <c r="AI4840"/>
      <c r="AJ4840"/>
      <c r="AK4840"/>
      <c r="AL4840"/>
      <c r="AM4840"/>
      <c r="AN4840"/>
      <c r="AO4840"/>
    </row>
    <row r="4841" spans="1:41" ht="15">
      <c r="A4841"/>
      <c r="B4841"/>
      <c r="C4841" s="137"/>
      <c r="D4841" s="30"/>
      <c r="E4841" s="30"/>
      <c r="F4841" s="10"/>
      <c r="G4841" s="10"/>
      <c r="H4841" s="15"/>
      <c r="I4841" s="15"/>
      <c r="J4841" s="15"/>
      <c r="K4841" s="15"/>
      <c r="L4841" s="15"/>
      <c r="M4841" s="15"/>
      <c r="N4841" s="15"/>
      <c r="O4841" s="15"/>
      <c r="P4841" s="15"/>
      <c r="Q4841" s="71"/>
      <c r="R4841" s="84"/>
      <c r="S4841" s="10"/>
      <c r="T4841" s="10"/>
      <c r="U4841" s="10"/>
      <c r="V4841" s="10"/>
      <c r="W4841" s="138"/>
      <c r="Y4841"/>
      <c r="Z4841"/>
      <c r="AA4841"/>
      <c r="AB4841"/>
      <c r="AC4841"/>
      <c r="AD4841"/>
      <c r="AE4841"/>
      <c r="AF4841"/>
      <c r="AG4841"/>
      <c r="AH4841"/>
      <c r="AI4841"/>
      <c r="AJ4841"/>
      <c r="AK4841"/>
      <c r="AL4841"/>
      <c r="AM4841"/>
      <c r="AN4841"/>
      <c r="AO4841"/>
    </row>
    <row r="4842" spans="1:41" ht="15">
      <c r="A4842"/>
      <c r="B4842"/>
      <c r="C4842" s="137"/>
      <c r="D4842" s="30"/>
      <c r="E4842" s="30"/>
      <c r="F4842" s="10"/>
      <c r="G4842" s="10"/>
      <c r="H4842" s="15"/>
      <c r="I4842" s="15"/>
      <c r="J4842" s="15"/>
      <c r="K4842" s="15"/>
      <c r="L4842" s="15"/>
      <c r="M4842" s="15"/>
      <c r="N4842" s="15"/>
      <c r="O4842" s="15"/>
      <c r="P4842" s="15"/>
      <c r="Q4842" s="71"/>
      <c r="R4842" s="84"/>
      <c r="S4842" s="10"/>
      <c r="T4842" s="10"/>
      <c r="U4842" s="10"/>
      <c r="V4842" s="10"/>
      <c r="W4842" s="138"/>
      <c r="Y4842"/>
      <c r="Z4842"/>
      <c r="AA4842"/>
      <c r="AB4842"/>
      <c r="AC4842"/>
      <c r="AD4842"/>
      <c r="AE4842"/>
      <c r="AF4842"/>
      <c r="AG4842"/>
      <c r="AH4842"/>
      <c r="AI4842"/>
      <c r="AJ4842"/>
      <c r="AK4842"/>
      <c r="AL4842"/>
      <c r="AM4842"/>
      <c r="AN4842"/>
      <c r="AO4842"/>
    </row>
    <row r="4843" spans="1:41" ht="15">
      <c r="A4843"/>
      <c r="B4843"/>
      <c r="C4843" s="137"/>
      <c r="D4843" s="30"/>
      <c r="E4843" s="30"/>
      <c r="F4843" s="10"/>
      <c r="G4843" s="10"/>
      <c r="H4843" s="15"/>
      <c r="I4843" s="15"/>
      <c r="J4843" s="15"/>
      <c r="K4843" s="15"/>
      <c r="L4843" s="15"/>
      <c r="M4843" s="15"/>
      <c r="N4843" s="15"/>
      <c r="O4843" s="15"/>
      <c r="P4843" s="15"/>
      <c r="Q4843" s="71"/>
      <c r="R4843" s="84"/>
      <c r="S4843" s="10"/>
      <c r="T4843" s="10"/>
      <c r="U4843" s="10"/>
      <c r="V4843" s="10"/>
      <c r="W4843" s="138"/>
      <c r="Y4843"/>
      <c r="Z4843"/>
      <c r="AA4843"/>
      <c r="AB4843"/>
      <c r="AC4843"/>
      <c r="AD4843"/>
      <c r="AE4843"/>
      <c r="AF4843"/>
      <c r="AG4843"/>
      <c r="AH4843"/>
      <c r="AI4843"/>
      <c r="AJ4843"/>
      <c r="AK4843"/>
      <c r="AL4843"/>
      <c r="AM4843"/>
      <c r="AN4843"/>
      <c r="AO4843"/>
    </row>
    <row r="4844" spans="1:41" ht="15">
      <c r="A4844"/>
      <c r="B4844"/>
      <c r="C4844" s="137"/>
      <c r="D4844" s="30"/>
      <c r="E4844" s="30"/>
      <c r="F4844" s="10"/>
      <c r="G4844" s="10"/>
      <c r="H4844" s="15"/>
      <c r="I4844" s="15"/>
      <c r="J4844" s="15"/>
      <c r="K4844" s="15"/>
      <c r="L4844" s="15"/>
      <c r="M4844" s="15"/>
      <c r="N4844" s="15"/>
      <c r="O4844" s="15"/>
      <c r="P4844" s="15"/>
      <c r="Q4844" s="71"/>
      <c r="R4844" s="84"/>
      <c r="S4844" s="10"/>
      <c r="T4844" s="10"/>
      <c r="U4844" s="10"/>
      <c r="V4844" s="10"/>
      <c r="W4844" s="138"/>
      <c r="Y4844"/>
      <c r="Z4844"/>
      <c r="AA4844"/>
      <c r="AB4844"/>
      <c r="AC4844"/>
      <c r="AD4844"/>
      <c r="AE4844"/>
      <c r="AF4844"/>
      <c r="AG4844"/>
      <c r="AH4844"/>
      <c r="AI4844"/>
      <c r="AJ4844"/>
      <c r="AK4844"/>
      <c r="AL4844"/>
      <c r="AM4844"/>
      <c r="AN4844"/>
      <c r="AO4844"/>
    </row>
    <row r="4845" spans="1:41" ht="15">
      <c r="A4845"/>
      <c r="B4845"/>
      <c r="C4845" s="137"/>
      <c r="D4845" s="30"/>
      <c r="E4845" s="30"/>
      <c r="F4845" s="10"/>
      <c r="G4845" s="10"/>
      <c r="H4845" s="15"/>
      <c r="I4845" s="15"/>
      <c r="J4845" s="15"/>
      <c r="K4845" s="15"/>
      <c r="L4845" s="15"/>
      <c r="M4845" s="15"/>
      <c r="N4845" s="15"/>
      <c r="O4845" s="15"/>
      <c r="P4845" s="15"/>
      <c r="Q4845" s="71"/>
      <c r="R4845" s="84"/>
      <c r="S4845" s="10"/>
      <c r="T4845" s="10"/>
      <c r="U4845" s="10"/>
      <c r="V4845" s="10"/>
      <c r="W4845" s="138"/>
      <c r="Y4845"/>
      <c r="Z4845"/>
      <c r="AA4845"/>
      <c r="AB4845"/>
      <c r="AC4845"/>
      <c r="AD4845"/>
      <c r="AE4845"/>
      <c r="AF4845"/>
      <c r="AG4845"/>
      <c r="AH4845"/>
      <c r="AI4845"/>
      <c r="AJ4845"/>
      <c r="AK4845"/>
      <c r="AL4845"/>
      <c r="AM4845"/>
      <c r="AN4845"/>
      <c r="AO4845"/>
    </row>
    <row r="4846" spans="1:41" ht="15">
      <c r="A4846"/>
      <c r="B4846"/>
      <c r="C4846" s="137"/>
      <c r="D4846" s="30"/>
      <c r="E4846" s="30"/>
      <c r="F4846" s="10"/>
      <c r="G4846" s="10"/>
      <c r="H4846" s="15"/>
      <c r="I4846" s="15"/>
      <c r="J4846" s="15"/>
      <c r="K4846" s="15"/>
      <c r="L4846" s="15"/>
      <c r="M4846" s="15"/>
      <c r="N4846" s="15"/>
      <c r="O4846" s="15"/>
      <c r="P4846" s="15"/>
      <c r="Q4846" s="71"/>
      <c r="R4846" s="84"/>
      <c r="S4846" s="10"/>
      <c r="T4846" s="10"/>
      <c r="U4846" s="10"/>
      <c r="V4846" s="10"/>
      <c r="W4846" s="138"/>
      <c r="Y4846"/>
      <c r="Z4846"/>
      <c r="AA4846"/>
      <c r="AB4846"/>
      <c r="AC4846"/>
      <c r="AD4846"/>
      <c r="AE4846"/>
      <c r="AF4846"/>
      <c r="AG4846"/>
      <c r="AH4846"/>
      <c r="AI4846"/>
      <c r="AJ4846"/>
      <c r="AK4846"/>
      <c r="AL4846"/>
      <c r="AM4846"/>
      <c r="AN4846"/>
      <c r="AO4846"/>
    </row>
    <row r="4847" spans="1:41" ht="15">
      <c r="A4847"/>
      <c r="B4847"/>
      <c r="C4847" s="137"/>
      <c r="D4847" s="30"/>
      <c r="E4847" s="30"/>
      <c r="F4847" s="10"/>
      <c r="G4847" s="10"/>
      <c r="H4847" s="15"/>
      <c r="I4847" s="15"/>
      <c r="J4847" s="15"/>
      <c r="K4847" s="15"/>
      <c r="L4847" s="15"/>
      <c r="M4847" s="15"/>
      <c r="N4847" s="15"/>
      <c r="O4847" s="15"/>
      <c r="P4847" s="15"/>
      <c r="Q4847" s="71"/>
      <c r="R4847" s="84"/>
      <c r="S4847" s="10"/>
      <c r="T4847" s="10"/>
      <c r="U4847" s="10"/>
      <c r="V4847" s="10"/>
      <c r="W4847" s="138"/>
      <c r="Y4847"/>
      <c r="Z4847"/>
      <c r="AA4847"/>
      <c r="AB4847"/>
      <c r="AC4847"/>
      <c r="AD4847"/>
      <c r="AE4847"/>
      <c r="AF4847"/>
      <c r="AG4847"/>
      <c r="AH4847"/>
      <c r="AI4847"/>
      <c r="AJ4847"/>
      <c r="AK4847"/>
      <c r="AL4847"/>
      <c r="AM4847"/>
      <c r="AN4847"/>
      <c r="AO4847"/>
    </row>
    <row r="4848" spans="1:41" ht="15">
      <c r="A4848"/>
      <c r="B4848"/>
      <c r="C4848" s="137"/>
      <c r="D4848" s="30"/>
      <c r="E4848" s="30"/>
      <c r="F4848" s="10"/>
      <c r="G4848" s="10"/>
      <c r="H4848" s="15"/>
      <c r="I4848" s="15"/>
      <c r="J4848" s="15"/>
      <c r="K4848" s="15"/>
      <c r="L4848" s="15"/>
      <c r="M4848" s="15"/>
      <c r="N4848" s="15"/>
      <c r="O4848" s="15"/>
      <c r="P4848" s="15"/>
      <c r="Q4848" s="71"/>
      <c r="R4848" s="84"/>
      <c r="S4848" s="10"/>
      <c r="T4848" s="10"/>
      <c r="U4848" s="10"/>
      <c r="V4848" s="10"/>
      <c r="W4848" s="138"/>
      <c r="Y4848"/>
      <c r="Z4848"/>
      <c r="AA4848"/>
      <c r="AB4848"/>
      <c r="AC4848"/>
      <c r="AD4848"/>
      <c r="AE4848"/>
      <c r="AF4848"/>
      <c r="AG4848"/>
      <c r="AH4848"/>
      <c r="AI4848"/>
      <c r="AJ4848"/>
      <c r="AK4848"/>
      <c r="AL4848"/>
      <c r="AM4848"/>
      <c r="AN4848"/>
      <c r="AO4848"/>
    </row>
    <row r="4849" spans="1:41" ht="15">
      <c r="A4849"/>
      <c r="B4849"/>
      <c r="C4849" s="137"/>
      <c r="D4849" s="30"/>
      <c r="E4849" s="30"/>
      <c r="F4849" s="10"/>
      <c r="G4849" s="10"/>
      <c r="H4849" s="15"/>
      <c r="I4849" s="15"/>
      <c r="J4849" s="15"/>
      <c r="K4849" s="15"/>
      <c r="L4849" s="15"/>
      <c r="M4849" s="15"/>
      <c r="N4849" s="15"/>
      <c r="O4849" s="15"/>
      <c r="P4849" s="15"/>
      <c r="Q4849" s="71"/>
      <c r="R4849" s="84"/>
      <c r="S4849" s="10"/>
      <c r="T4849" s="10"/>
      <c r="U4849" s="10"/>
      <c r="V4849" s="10"/>
      <c r="W4849" s="138"/>
      <c r="Y4849"/>
      <c r="Z4849"/>
      <c r="AA4849"/>
      <c r="AB4849"/>
      <c r="AC4849"/>
      <c r="AD4849"/>
      <c r="AE4849"/>
      <c r="AF4849"/>
      <c r="AG4849"/>
      <c r="AH4849"/>
      <c r="AI4849"/>
      <c r="AJ4849"/>
      <c r="AK4849"/>
      <c r="AL4849"/>
      <c r="AM4849"/>
      <c r="AN4849"/>
      <c r="AO4849"/>
    </row>
    <row r="4850" spans="1:41" ht="15">
      <c r="A4850"/>
      <c r="B4850"/>
      <c r="C4850" s="137"/>
      <c r="D4850" s="30"/>
      <c r="E4850" s="30"/>
      <c r="F4850" s="10"/>
      <c r="G4850" s="10"/>
      <c r="H4850" s="15"/>
      <c r="I4850" s="15"/>
      <c r="J4850" s="15"/>
      <c r="K4850" s="15"/>
      <c r="L4850" s="15"/>
      <c r="M4850" s="15"/>
      <c r="N4850" s="15"/>
      <c r="O4850" s="15"/>
      <c r="P4850" s="15"/>
      <c r="Q4850" s="71"/>
      <c r="R4850" s="84"/>
      <c r="S4850" s="10"/>
      <c r="T4850" s="10"/>
      <c r="U4850" s="10"/>
      <c r="V4850" s="10"/>
      <c r="W4850" s="138"/>
      <c r="Y4850"/>
      <c r="Z4850"/>
      <c r="AA4850"/>
      <c r="AB4850"/>
      <c r="AC4850"/>
      <c r="AD4850"/>
      <c r="AE4850"/>
      <c r="AF4850"/>
      <c r="AG4850"/>
      <c r="AH4850"/>
      <c r="AI4850"/>
      <c r="AJ4850"/>
      <c r="AK4850"/>
      <c r="AL4850"/>
      <c r="AM4850"/>
      <c r="AN4850"/>
      <c r="AO4850"/>
    </row>
    <row r="4851" spans="1:41" ht="15">
      <c r="A4851"/>
      <c r="B4851"/>
      <c r="C4851" s="137"/>
      <c r="D4851" s="30"/>
      <c r="E4851" s="30"/>
      <c r="F4851" s="10"/>
      <c r="G4851" s="10"/>
      <c r="H4851" s="15"/>
      <c r="I4851" s="15"/>
      <c r="J4851" s="15"/>
      <c r="K4851" s="15"/>
      <c r="L4851" s="15"/>
      <c r="M4851" s="15"/>
      <c r="N4851" s="15"/>
      <c r="O4851" s="15"/>
      <c r="P4851" s="15"/>
      <c r="Q4851" s="71"/>
      <c r="R4851" s="84"/>
      <c r="S4851" s="10"/>
      <c r="T4851" s="10"/>
      <c r="U4851" s="10"/>
      <c r="V4851" s="10"/>
      <c r="W4851" s="138"/>
      <c r="Y4851"/>
      <c r="Z4851"/>
      <c r="AA4851"/>
      <c r="AB4851"/>
      <c r="AC4851"/>
      <c r="AD4851"/>
      <c r="AE4851"/>
      <c r="AF4851"/>
      <c r="AG4851"/>
      <c r="AH4851"/>
      <c r="AI4851"/>
      <c r="AJ4851"/>
      <c r="AK4851"/>
      <c r="AL4851"/>
      <c r="AM4851"/>
      <c r="AN4851"/>
      <c r="AO4851"/>
    </row>
    <row r="4852" spans="1:41" ht="15">
      <c r="A4852"/>
      <c r="B4852"/>
      <c r="C4852" s="137"/>
      <c r="D4852" s="30"/>
      <c r="E4852" s="30"/>
      <c r="F4852" s="10"/>
      <c r="G4852" s="10"/>
      <c r="H4852" s="15"/>
      <c r="I4852" s="15"/>
      <c r="J4852" s="15"/>
      <c r="K4852" s="15"/>
      <c r="L4852" s="15"/>
      <c r="M4852" s="15"/>
      <c r="N4852" s="15"/>
      <c r="O4852" s="15"/>
      <c r="P4852" s="15"/>
      <c r="Q4852" s="71"/>
      <c r="R4852" s="84"/>
      <c r="S4852" s="10"/>
      <c r="T4852" s="10"/>
      <c r="U4852" s="10"/>
      <c r="V4852" s="10"/>
      <c r="W4852" s="138"/>
      <c r="Y4852"/>
      <c r="Z4852"/>
      <c r="AA4852"/>
      <c r="AB4852"/>
      <c r="AC4852"/>
      <c r="AD4852"/>
      <c r="AE4852"/>
      <c r="AF4852"/>
      <c r="AG4852"/>
      <c r="AH4852"/>
      <c r="AI4852"/>
      <c r="AJ4852"/>
      <c r="AK4852"/>
      <c r="AL4852"/>
      <c r="AM4852"/>
      <c r="AN4852"/>
      <c r="AO4852"/>
    </row>
    <row r="4853" spans="1:41" ht="15">
      <c r="A4853"/>
      <c r="B4853"/>
      <c r="C4853" s="137"/>
      <c r="D4853" s="30"/>
      <c r="E4853" s="30"/>
      <c r="F4853" s="10"/>
      <c r="G4853" s="10"/>
      <c r="H4853" s="15"/>
      <c r="I4853" s="15"/>
      <c r="J4853" s="15"/>
      <c r="K4853" s="15"/>
      <c r="L4853" s="15"/>
      <c r="M4853" s="15"/>
      <c r="N4853" s="15"/>
      <c r="O4853" s="15"/>
      <c r="P4853" s="15"/>
      <c r="Q4853" s="71"/>
      <c r="R4853" s="84"/>
      <c r="S4853" s="10"/>
      <c r="T4853" s="10"/>
      <c r="U4853" s="10"/>
      <c r="V4853" s="10"/>
      <c r="W4853" s="138"/>
      <c r="Y4853"/>
      <c r="Z4853"/>
      <c r="AA4853"/>
      <c r="AB4853"/>
      <c r="AC4853"/>
      <c r="AD4853"/>
      <c r="AE4853"/>
      <c r="AF4853"/>
      <c r="AG4853"/>
      <c r="AH4853"/>
      <c r="AI4853"/>
      <c r="AJ4853"/>
      <c r="AK4853"/>
      <c r="AL4853"/>
      <c r="AM4853"/>
      <c r="AN4853"/>
      <c r="AO4853"/>
    </row>
    <row r="4854" spans="1:41" ht="15">
      <c r="A4854"/>
      <c r="B4854"/>
      <c r="C4854" s="137"/>
      <c r="D4854" s="30"/>
      <c r="E4854" s="30"/>
      <c r="F4854" s="10"/>
      <c r="G4854" s="10"/>
      <c r="H4854" s="15"/>
      <c r="I4854" s="15"/>
      <c r="J4854" s="15"/>
      <c r="K4854" s="15"/>
      <c r="L4854" s="15"/>
      <c r="M4854" s="15"/>
      <c r="N4854" s="15"/>
      <c r="O4854" s="15"/>
      <c r="P4854" s="15"/>
      <c r="Q4854" s="71"/>
      <c r="R4854" s="84"/>
      <c r="S4854" s="10"/>
      <c r="T4854" s="10"/>
      <c r="U4854" s="10"/>
      <c r="V4854" s="10"/>
      <c r="W4854" s="138"/>
      <c r="Y4854"/>
      <c r="Z4854"/>
      <c r="AA4854"/>
      <c r="AB4854"/>
      <c r="AC4854"/>
      <c r="AD4854"/>
      <c r="AE4854"/>
      <c r="AF4854"/>
      <c r="AG4854"/>
      <c r="AH4854"/>
      <c r="AI4854"/>
      <c r="AJ4854"/>
      <c r="AK4854"/>
      <c r="AL4854"/>
      <c r="AM4854"/>
      <c r="AN4854"/>
      <c r="AO4854"/>
    </row>
    <row r="4855" spans="1:41" ht="15">
      <c r="A4855"/>
      <c r="B4855"/>
      <c r="C4855" s="137"/>
      <c r="D4855" s="30"/>
      <c r="E4855" s="30"/>
      <c r="F4855" s="10"/>
      <c r="G4855" s="10"/>
      <c r="H4855" s="15"/>
      <c r="I4855" s="15"/>
      <c r="J4855" s="15"/>
      <c r="K4855" s="15"/>
      <c r="L4855" s="15"/>
      <c r="M4855" s="15"/>
      <c r="N4855" s="15"/>
      <c r="O4855" s="15"/>
      <c r="P4855" s="15"/>
      <c r="Q4855" s="71"/>
      <c r="R4855" s="84"/>
      <c r="S4855" s="10"/>
      <c r="T4855" s="10"/>
      <c r="U4855" s="10"/>
      <c r="V4855" s="10"/>
      <c r="W4855" s="138"/>
      <c r="Y4855"/>
      <c r="Z4855"/>
      <c r="AA4855"/>
      <c r="AB4855"/>
      <c r="AC4855"/>
      <c r="AD4855"/>
      <c r="AE4855"/>
      <c r="AF4855"/>
      <c r="AG4855"/>
      <c r="AH4855"/>
      <c r="AI4855"/>
      <c r="AJ4855"/>
      <c r="AK4855"/>
      <c r="AL4855"/>
      <c r="AM4855"/>
      <c r="AN4855"/>
      <c r="AO4855"/>
    </row>
    <row r="4856" spans="1:41" ht="15">
      <c r="A4856"/>
      <c r="B4856"/>
      <c r="C4856" s="137"/>
      <c r="D4856" s="30"/>
      <c r="E4856" s="30"/>
      <c r="F4856" s="10"/>
      <c r="G4856" s="10"/>
      <c r="H4856" s="15"/>
      <c r="I4856" s="15"/>
      <c r="J4856" s="15"/>
      <c r="K4856" s="15"/>
      <c r="L4856" s="15"/>
      <c r="M4856" s="15"/>
      <c r="N4856" s="15"/>
      <c r="O4856" s="15"/>
      <c r="P4856" s="15"/>
      <c r="Q4856" s="71"/>
      <c r="R4856" s="84"/>
      <c r="S4856" s="10"/>
      <c r="T4856" s="10"/>
      <c r="U4856" s="10"/>
      <c r="V4856" s="10"/>
      <c r="W4856" s="138"/>
      <c r="Y4856"/>
      <c r="Z4856"/>
      <c r="AA4856"/>
      <c r="AB4856"/>
      <c r="AC4856"/>
      <c r="AD4856"/>
      <c r="AE4856"/>
      <c r="AF4856"/>
      <c r="AG4856"/>
      <c r="AH4856"/>
      <c r="AI4856"/>
      <c r="AJ4856"/>
      <c r="AK4856"/>
      <c r="AL4856"/>
      <c r="AM4856"/>
      <c r="AN4856"/>
      <c r="AO4856"/>
    </row>
    <row r="4857" spans="1:41" ht="15">
      <c r="A4857"/>
      <c r="B4857"/>
      <c r="C4857" s="137"/>
      <c r="D4857" s="30"/>
      <c r="E4857" s="30"/>
      <c r="F4857" s="10"/>
      <c r="G4857" s="10"/>
      <c r="H4857" s="15"/>
      <c r="I4857" s="15"/>
      <c r="J4857" s="15"/>
      <c r="K4857" s="15"/>
      <c r="L4857" s="15"/>
      <c r="M4857" s="15"/>
      <c r="N4857" s="15"/>
      <c r="O4857" s="15"/>
      <c r="P4857" s="15"/>
      <c r="Q4857" s="71"/>
      <c r="R4857" s="84"/>
      <c r="S4857" s="10"/>
      <c r="T4857" s="10"/>
      <c r="U4857" s="10"/>
      <c r="V4857" s="10"/>
      <c r="W4857" s="138"/>
      <c r="Y4857"/>
      <c r="Z4857"/>
      <c r="AA4857"/>
      <c r="AB4857"/>
      <c r="AC4857"/>
      <c r="AD4857"/>
      <c r="AE4857"/>
      <c r="AF4857"/>
      <c r="AG4857"/>
      <c r="AH4857"/>
      <c r="AI4857"/>
      <c r="AJ4857"/>
      <c r="AK4857"/>
      <c r="AL4857"/>
      <c r="AM4857"/>
      <c r="AN4857"/>
      <c r="AO4857"/>
    </row>
    <row r="4858" spans="1:41" ht="15">
      <c r="A4858"/>
      <c r="B4858"/>
      <c r="C4858" s="137"/>
      <c r="D4858" s="30"/>
      <c r="E4858" s="30"/>
      <c r="F4858" s="10"/>
      <c r="G4858" s="10"/>
      <c r="H4858" s="15"/>
      <c r="I4858" s="15"/>
      <c r="J4858" s="15"/>
      <c r="K4858" s="15"/>
      <c r="L4858" s="15"/>
      <c r="M4858" s="15"/>
      <c r="N4858" s="15"/>
      <c r="O4858" s="15"/>
      <c r="P4858" s="15"/>
      <c r="Q4858" s="71"/>
      <c r="R4858" s="84"/>
      <c r="S4858" s="10"/>
      <c r="T4858" s="10"/>
      <c r="U4858" s="10"/>
      <c r="V4858" s="10"/>
      <c r="W4858" s="138"/>
      <c r="Y4858"/>
      <c r="Z4858"/>
      <c r="AA4858"/>
      <c r="AB4858"/>
      <c r="AC4858"/>
      <c r="AD4858"/>
      <c r="AE4858"/>
      <c r="AF4858"/>
      <c r="AG4858"/>
      <c r="AH4858"/>
      <c r="AI4858"/>
      <c r="AJ4858"/>
      <c r="AK4858"/>
      <c r="AL4858"/>
      <c r="AM4858"/>
      <c r="AN4858"/>
      <c r="AO4858"/>
    </row>
    <row r="4859" spans="1:41" ht="15">
      <c r="A4859"/>
      <c r="B4859"/>
      <c r="C4859" s="137"/>
      <c r="D4859" s="30"/>
      <c r="E4859" s="30"/>
      <c r="F4859" s="10"/>
      <c r="G4859" s="10"/>
      <c r="H4859" s="15"/>
      <c r="I4859" s="15"/>
      <c r="J4859" s="15"/>
      <c r="K4859" s="15"/>
      <c r="L4859" s="15"/>
      <c r="M4859" s="15"/>
      <c r="N4859" s="15"/>
      <c r="O4859" s="15"/>
      <c r="P4859" s="15"/>
      <c r="Q4859" s="71"/>
      <c r="R4859" s="84"/>
      <c r="S4859" s="10"/>
      <c r="T4859" s="10"/>
      <c r="U4859" s="10"/>
      <c r="V4859" s="10"/>
      <c r="W4859" s="138"/>
      <c r="Y4859"/>
      <c r="Z4859"/>
      <c r="AA4859"/>
      <c r="AB4859"/>
      <c r="AC4859"/>
      <c r="AD4859"/>
      <c r="AE4859"/>
      <c r="AF4859"/>
      <c r="AG4859"/>
      <c r="AH4859"/>
      <c r="AI4859"/>
      <c r="AJ4859"/>
      <c r="AK4859"/>
      <c r="AL4859"/>
      <c r="AM4859"/>
      <c r="AN4859"/>
      <c r="AO4859"/>
    </row>
    <row r="4860" spans="1:41" ht="15">
      <c r="A4860"/>
      <c r="B4860"/>
      <c r="C4860" s="137"/>
      <c r="D4860" s="30"/>
      <c r="E4860" s="30"/>
      <c r="F4860" s="10"/>
      <c r="G4860" s="10"/>
      <c r="H4860" s="15"/>
      <c r="I4860" s="15"/>
      <c r="J4860" s="15"/>
      <c r="K4860" s="15"/>
      <c r="L4860" s="15"/>
      <c r="M4860" s="15"/>
      <c r="N4860" s="15"/>
      <c r="O4860" s="15"/>
      <c r="P4860" s="15"/>
      <c r="Q4860" s="71"/>
      <c r="R4860" s="84"/>
      <c r="S4860" s="10"/>
      <c r="T4860" s="10"/>
      <c r="U4860" s="10"/>
      <c r="V4860" s="10"/>
      <c r="W4860" s="138"/>
      <c r="Y4860"/>
      <c r="Z4860"/>
      <c r="AA4860"/>
      <c r="AB4860"/>
      <c r="AC4860"/>
      <c r="AD4860"/>
      <c r="AE4860"/>
      <c r="AF4860"/>
      <c r="AG4860"/>
      <c r="AH4860"/>
      <c r="AI4860"/>
      <c r="AJ4860"/>
      <c r="AK4860"/>
      <c r="AL4860"/>
      <c r="AM4860"/>
      <c r="AN4860"/>
      <c r="AO4860"/>
    </row>
    <row r="4861" spans="1:41" ht="15">
      <c r="A4861"/>
      <c r="B4861"/>
      <c r="C4861" s="137"/>
      <c r="D4861" s="30"/>
      <c r="E4861" s="30"/>
      <c r="F4861" s="10"/>
      <c r="G4861" s="10"/>
      <c r="H4861" s="15"/>
      <c r="I4861" s="15"/>
      <c r="J4861" s="15"/>
      <c r="K4861" s="15"/>
      <c r="L4861" s="15"/>
      <c r="M4861" s="15"/>
      <c r="N4861" s="15"/>
      <c r="O4861" s="15"/>
      <c r="P4861" s="15"/>
      <c r="Q4861" s="71"/>
      <c r="R4861" s="84"/>
      <c r="S4861" s="10"/>
      <c r="T4861" s="10"/>
      <c r="U4861" s="10"/>
      <c r="V4861" s="10"/>
      <c r="W4861" s="138"/>
      <c r="Y4861"/>
      <c r="Z4861"/>
      <c r="AA4861"/>
      <c r="AB4861"/>
      <c r="AC4861"/>
      <c r="AD4861"/>
      <c r="AE4861"/>
      <c r="AF4861"/>
      <c r="AG4861"/>
      <c r="AH4861"/>
      <c r="AI4861"/>
      <c r="AJ4861"/>
      <c r="AK4861"/>
      <c r="AL4861"/>
      <c r="AM4861"/>
      <c r="AN4861"/>
      <c r="AO4861"/>
    </row>
    <row r="4862" spans="1:41" ht="15">
      <c r="A4862"/>
      <c r="B4862"/>
      <c r="C4862" s="137"/>
      <c r="D4862" s="30"/>
      <c r="E4862" s="30"/>
      <c r="F4862" s="10"/>
      <c r="G4862" s="10"/>
      <c r="H4862" s="15"/>
      <c r="I4862" s="15"/>
      <c r="J4862" s="15"/>
      <c r="K4862" s="15"/>
      <c r="L4862" s="15"/>
      <c r="M4862" s="15"/>
      <c r="N4862" s="15"/>
      <c r="O4862" s="15"/>
      <c r="P4862" s="15"/>
      <c r="Q4862" s="71"/>
      <c r="R4862" s="84"/>
      <c r="S4862" s="10"/>
      <c r="T4862" s="10"/>
      <c r="U4862" s="10"/>
      <c r="V4862" s="10"/>
      <c r="W4862" s="138"/>
      <c r="Y4862"/>
      <c r="Z4862"/>
      <c r="AA4862"/>
      <c r="AB4862"/>
      <c r="AC4862"/>
      <c r="AD4862"/>
      <c r="AE4862"/>
      <c r="AF4862"/>
      <c r="AG4862"/>
      <c r="AH4862"/>
      <c r="AI4862"/>
      <c r="AJ4862"/>
      <c r="AK4862"/>
      <c r="AL4862"/>
      <c r="AM4862"/>
      <c r="AN4862"/>
      <c r="AO4862"/>
    </row>
    <row r="4863" spans="1:41" ht="15">
      <c r="A4863"/>
      <c r="B4863"/>
      <c r="C4863" s="137"/>
      <c r="D4863" s="30"/>
      <c r="E4863" s="30"/>
      <c r="F4863" s="10"/>
      <c r="G4863" s="10"/>
      <c r="H4863" s="15"/>
      <c r="I4863" s="15"/>
      <c r="J4863" s="15"/>
      <c r="K4863" s="15"/>
      <c r="L4863" s="15"/>
      <c r="M4863" s="15"/>
      <c r="N4863" s="15"/>
      <c r="O4863" s="15"/>
      <c r="P4863" s="15"/>
      <c r="Q4863" s="71"/>
      <c r="R4863" s="84"/>
      <c r="S4863" s="10"/>
      <c r="T4863" s="10"/>
      <c r="U4863" s="10"/>
      <c r="V4863" s="10"/>
      <c r="W4863" s="138"/>
      <c r="Y4863"/>
      <c r="Z4863"/>
      <c r="AA4863"/>
      <c r="AB4863"/>
      <c r="AC4863"/>
      <c r="AD4863"/>
      <c r="AE4863"/>
      <c r="AF4863"/>
      <c r="AG4863"/>
      <c r="AH4863"/>
      <c r="AI4863"/>
      <c r="AJ4863"/>
      <c r="AK4863"/>
      <c r="AL4863"/>
      <c r="AM4863"/>
      <c r="AN4863"/>
      <c r="AO4863"/>
    </row>
    <row r="4864" spans="1:41" ht="15">
      <c r="A4864"/>
      <c r="B4864"/>
      <c r="C4864" s="137"/>
      <c r="D4864" s="30"/>
      <c r="E4864" s="30"/>
      <c r="F4864" s="10"/>
      <c r="G4864" s="10"/>
      <c r="H4864" s="15"/>
      <c r="I4864" s="15"/>
      <c r="J4864" s="15"/>
      <c r="K4864" s="15"/>
      <c r="L4864" s="15"/>
      <c r="M4864" s="15"/>
      <c r="N4864" s="15"/>
      <c r="O4864" s="15"/>
      <c r="P4864" s="15"/>
      <c r="Q4864" s="71"/>
      <c r="R4864" s="84"/>
      <c r="S4864" s="10"/>
      <c r="T4864" s="10"/>
      <c r="U4864" s="10"/>
      <c r="V4864" s="10"/>
      <c r="W4864" s="138"/>
      <c r="Y4864"/>
      <c r="Z4864"/>
      <c r="AA4864"/>
      <c r="AB4864"/>
      <c r="AC4864"/>
      <c r="AD4864"/>
      <c r="AE4864"/>
      <c r="AF4864"/>
      <c r="AG4864"/>
      <c r="AH4864"/>
      <c r="AI4864"/>
      <c r="AJ4864"/>
      <c r="AK4864"/>
      <c r="AL4864"/>
      <c r="AM4864"/>
      <c r="AN4864"/>
      <c r="AO4864"/>
    </row>
    <row r="4865" spans="1:41" ht="15">
      <c r="A4865"/>
      <c r="B4865"/>
      <c r="C4865" s="137"/>
      <c r="D4865" s="30"/>
      <c r="E4865" s="30"/>
      <c r="F4865" s="10"/>
      <c r="G4865" s="10"/>
      <c r="H4865" s="15"/>
      <c r="I4865" s="15"/>
      <c r="J4865" s="15"/>
      <c r="K4865" s="15"/>
      <c r="L4865" s="15"/>
      <c r="M4865" s="15"/>
      <c r="N4865" s="15"/>
      <c r="O4865" s="15"/>
      <c r="P4865" s="15"/>
      <c r="Q4865" s="71"/>
      <c r="R4865" s="84"/>
      <c r="S4865" s="10"/>
      <c r="T4865" s="10"/>
      <c r="U4865" s="10"/>
      <c r="V4865" s="10"/>
      <c r="W4865" s="138"/>
      <c r="Y4865"/>
      <c r="Z4865"/>
      <c r="AA4865"/>
      <c r="AB4865"/>
      <c r="AC4865"/>
      <c r="AD4865"/>
      <c r="AE4865"/>
      <c r="AF4865"/>
      <c r="AG4865"/>
      <c r="AH4865"/>
      <c r="AI4865"/>
      <c r="AJ4865"/>
      <c r="AK4865"/>
      <c r="AL4865"/>
      <c r="AM4865"/>
      <c r="AN4865"/>
      <c r="AO4865"/>
    </row>
    <row r="4866" spans="1:41" ht="15">
      <c r="A4866"/>
      <c r="B4866"/>
      <c r="C4866" s="137"/>
      <c r="D4866" s="30"/>
      <c r="E4866" s="30"/>
      <c r="F4866" s="10"/>
      <c r="G4866" s="10"/>
      <c r="H4866" s="15"/>
      <c r="I4866" s="15"/>
      <c r="J4866" s="15"/>
      <c r="K4866" s="15"/>
      <c r="L4866" s="15"/>
      <c r="M4866" s="15"/>
      <c r="N4866" s="15"/>
      <c r="O4866" s="15"/>
      <c r="P4866" s="15"/>
      <c r="Q4866" s="71"/>
      <c r="R4866" s="84"/>
      <c r="S4866" s="10"/>
      <c r="T4866" s="10"/>
      <c r="U4866" s="10"/>
      <c r="V4866" s="10"/>
      <c r="W4866" s="138"/>
      <c r="Y4866"/>
      <c r="Z4866"/>
      <c r="AA4866"/>
      <c r="AB4866"/>
      <c r="AC4866"/>
      <c r="AD4866"/>
      <c r="AE4866"/>
      <c r="AF4866"/>
      <c r="AG4866"/>
      <c r="AH4866"/>
      <c r="AI4866"/>
      <c r="AJ4866"/>
      <c r="AK4866"/>
      <c r="AL4866"/>
      <c r="AM4866"/>
      <c r="AN4866"/>
      <c r="AO4866"/>
    </row>
    <row r="4867" spans="1:41" ht="15">
      <c r="A4867"/>
      <c r="B4867"/>
      <c r="C4867" s="137"/>
      <c r="D4867" s="30"/>
      <c r="E4867" s="30"/>
      <c r="F4867" s="10"/>
      <c r="G4867" s="10"/>
      <c r="H4867" s="15"/>
      <c r="I4867" s="15"/>
      <c r="J4867" s="15"/>
      <c r="K4867" s="15"/>
      <c r="L4867" s="15"/>
      <c r="M4867" s="15"/>
      <c r="N4867" s="15"/>
      <c r="O4867" s="15"/>
      <c r="P4867" s="15"/>
      <c r="Q4867" s="71"/>
      <c r="R4867" s="84"/>
      <c r="S4867" s="10"/>
      <c r="T4867" s="10"/>
      <c r="U4867" s="10"/>
      <c r="V4867" s="10"/>
      <c r="W4867" s="138"/>
      <c r="Y4867"/>
      <c r="Z4867"/>
      <c r="AA4867"/>
      <c r="AB4867"/>
      <c r="AC4867"/>
      <c r="AD4867"/>
      <c r="AE4867"/>
      <c r="AF4867"/>
      <c r="AG4867"/>
      <c r="AH4867"/>
      <c r="AI4867"/>
      <c r="AJ4867"/>
      <c r="AK4867"/>
      <c r="AL4867"/>
      <c r="AM4867"/>
      <c r="AN4867"/>
      <c r="AO4867"/>
    </row>
    <row r="4868" spans="1:41" ht="15">
      <c r="A4868"/>
      <c r="B4868"/>
      <c r="C4868" s="137"/>
      <c r="D4868" s="30"/>
      <c r="E4868" s="30"/>
      <c r="F4868" s="10"/>
      <c r="G4868" s="10"/>
      <c r="H4868" s="15"/>
      <c r="I4868" s="15"/>
      <c r="J4868" s="15"/>
      <c r="K4868" s="15"/>
      <c r="L4868" s="15"/>
      <c r="M4868" s="15"/>
      <c r="N4868" s="15"/>
      <c r="O4868" s="15"/>
      <c r="P4868" s="15"/>
      <c r="Q4868" s="71"/>
      <c r="R4868" s="84"/>
      <c r="S4868" s="10"/>
      <c r="T4868" s="10"/>
      <c r="U4868" s="10"/>
      <c r="V4868" s="10"/>
      <c r="W4868" s="138"/>
      <c r="Y4868"/>
      <c r="Z4868"/>
      <c r="AA4868"/>
      <c r="AB4868"/>
      <c r="AC4868"/>
      <c r="AD4868"/>
      <c r="AE4868"/>
      <c r="AF4868"/>
      <c r="AG4868"/>
      <c r="AH4868"/>
      <c r="AI4868"/>
      <c r="AJ4868"/>
      <c r="AK4868"/>
      <c r="AL4868"/>
      <c r="AM4868"/>
      <c r="AN4868"/>
      <c r="AO4868"/>
    </row>
    <row r="4869" spans="1:41" ht="15">
      <c r="A4869"/>
      <c r="B4869"/>
      <c r="C4869" s="137"/>
      <c r="D4869" s="30"/>
      <c r="E4869" s="30"/>
      <c r="F4869" s="10"/>
      <c r="G4869" s="10"/>
      <c r="H4869" s="15"/>
      <c r="I4869" s="15"/>
      <c r="J4869" s="15"/>
      <c r="K4869" s="15"/>
      <c r="L4869" s="15"/>
      <c r="M4869" s="15"/>
      <c r="N4869" s="15"/>
      <c r="O4869" s="15"/>
      <c r="P4869" s="15"/>
      <c r="Q4869" s="71"/>
      <c r="R4869" s="84"/>
      <c r="S4869" s="10"/>
      <c r="T4869" s="10"/>
      <c r="U4869" s="10"/>
      <c r="V4869" s="10"/>
      <c r="W4869" s="138"/>
      <c r="Y4869"/>
      <c r="Z4869"/>
      <c r="AA4869"/>
      <c r="AB4869"/>
      <c r="AC4869"/>
      <c r="AD4869"/>
      <c r="AE4869"/>
      <c r="AF4869"/>
      <c r="AG4869"/>
      <c r="AH4869"/>
      <c r="AI4869"/>
      <c r="AJ4869"/>
      <c r="AK4869"/>
      <c r="AL4869"/>
      <c r="AM4869"/>
      <c r="AN4869"/>
      <c r="AO4869"/>
    </row>
    <row r="4870" spans="1:41" ht="15">
      <c r="A4870"/>
      <c r="B4870"/>
      <c r="C4870" s="137"/>
      <c r="D4870" s="30"/>
      <c r="E4870" s="30"/>
      <c r="F4870" s="10"/>
      <c r="G4870" s="10"/>
      <c r="H4870" s="15"/>
      <c r="I4870" s="15"/>
      <c r="J4870" s="15"/>
      <c r="K4870" s="15"/>
      <c r="L4870" s="15"/>
      <c r="M4870" s="15"/>
      <c r="N4870" s="15"/>
      <c r="O4870" s="15"/>
      <c r="P4870" s="15"/>
      <c r="Q4870" s="71"/>
      <c r="R4870" s="84"/>
      <c r="S4870" s="10"/>
      <c r="T4870" s="10"/>
      <c r="U4870" s="10"/>
      <c r="V4870" s="10"/>
      <c r="W4870" s="138"/>
      <c r="Y4870"/>
      <c r="Z4870"/>
      <c r="AA4870"/>
      <c r="AB4870"/>
      <c r="AC4870"/>
      <c r="AD4870"/>
      <c r="AE4870"/>
      <c r="AF4870"/>
      <c r="AG4870"/>
      <c r="AH4870"/>
      <c r="AI4870"/>
      <c r="AJ4870"/>
      <c r="AK4870"/>
      <c r="AL4870"/>
      <c r="AM4870"/>
      <c r="AN4870"/>
      <c r="AO4870"/>
    </row>
    <row r="4871" spans="1:41" ht="15">
      <c r="A4871"/>
      <c r="B4871"/>
      <c r="C4871" s="137"/>
      <c r="D4871" s="30"/>
      <c r="E4871" s="30"/>
      <c r="F4871" s="10"/>
      <c r="G4871" s="10"/>
      <c r="H4871" s="15"/>
      <c r="I4871" s="15"/>
      <c r="J4871" s="15"/>
      <c r="K4871" s="15"/>
      <c r="L4871" s="15"/>
      <c r="M4871" s="15"/>
      <c r="N4871" s="15"/>
      <c r="O4871" s="15"/>
      <c r="P4871" s="15"/>
      <c r="Q4871" s="71"/>
      <c r="R4871" s="84"/>
      <c r="S4871" s="10"/>
      <c r="T4871" s="10"/>
      <c r="U4871" s="10"/>
      <c r="V4871" s="10"/>
      <c r="W4871" s="138"/>
      <c r="Y4871"/>
      <c r="Z4871"/>
      <c r="AA4871"/>
      <c r="AB4871"/>
      <c r="AC4871"/>
      <c r="AD4871"/>
      <c r="AE4871"/>
      <c r="AF4871"/>
      <c r="AG4871"/>
      <c r="AH4871"/>
      <c r="AI4871"/>
      <c r="AJ4871"/>
      <c r="AK4871"/>
      <c r="AL4871"/>
      <c r="AM4871"/>
      <c r="AN4871"/>
      <c r="AO4871"/>
    </row>
    <row r="4872" spans="1:41" ht="15">
      <c r="A4872"/>
      <c r="B4872"/>
      <c r="C4872" s="137"/>
      <c r="D4872" s="30"/>
      <c r="E4872" s="30"/>
      <c r="F4872" s="10"/>
      <c r="G4872" s="10"/>
      <c r="H4872" s="15"/>
      <c r="I4872" s="15"/>
      <c r="J4872" s="15"/>
      <c r="K4872" s="15"/>
      <c r="L4872" s="15"/>
      <c r="M4872" s="15"/>
      <c r="N4872" s="15"/>
      <c r="O4872" s="15"/>
      <c r="P4872" s="15"/>
      <c r="Q4872" s="71"/>
      <c r="R4872" s="84"/>
      <c r="S4872" s="10"/>
      <c r="T4872" s="10"/>
      <c r="U4872" s="10"/>
      <c r="V4872" s="10"/>
      <c r="W4872" s="138"/>
      <c r="Y4872"/>
      <c r="Z4872"/>
      <c r="AA4872"/>
      <c r="AB4872"/>
      <c r="AC4872"/>
      <c r="AD4872"/>
      <c r="AE4872"/>
      <c r="AF4872"/>
      <c r="AG4872"/>
      <c r="AH4872"/>
      <c r="AI4872"/>
      <c r="AJ4872"/>
      <c r="AK4872"/>
      <c r="AL4872"/>
      <c r="AM4872"/>
      <c r="AN4872"/>
      <c r="AO4872"/>
    </row>
    <row r="4873" spans="1:41" ht="15">
      <c r="A4873"/>
      <c r="B4873"/>
      <c r="C4873" s="137"/>
      <c r="D4873" s="30"/>
      <c r="E4873" s="30"/>
      <c r="F4873" s="10"/>
      <c r="G4873" s="10"/>
      <c r="H4873" s="15"/>
      <c r="I4873" s="15"/>
      <c r="J4873" s="15"/>
      <c r="K4873" s="15"/>
      <c r="L4873" s="15"/>
      <c r="M4873" s="15"/>
      <c r="N4873" s="15"/>
      <c r="O4873" s="15"/>
      <c r="P4873" s="15"/>
      <c r="Q4873" s="71"/>
      <c r="R4873" s="84"/>
      <c r="S4873" s="10"/>
      <c r="T4873" s="10"/>
      <c r="U4873" s="10"/>
      <c r="V4873" s="10"/>
      <c r="W4873" s="138"/>
      <c r="Y4873"/>
      <c r="Z4873"/>
      <c r="AA4873"/>
      <c r="AB4873"/>
      <c r="AC4873"/>
      <c r="AD4873"/>
      <c r="AE4873"/>
      <c r="AF4873"/>
      <c r="AG4873"/>
      <c r="AH4873"/>
      <c r="AI4873"/>
      <c r="AJ4873"/>
      <c r="AK4873"/>
      <c r="AL4873"/>
      <c r="AM4873"/>
      <c r="AN4873"/>
      <c r="AO4873"/>
    </row>
    <row r="4874" spans="1:41" ht="15">
      <c r="A4874"/>
      <c r="B4874"/>
      <c r="C4874" s="137"/>
      <c r="D4874" s="30"/>
      <c r="E4874" s="30"/>
      <c r="F4874" s="10"/>
      <c r="G4874" s="10"/>
      <c r="H4874" s="15"/>
      <c r="I4874" s="15"/>
      <c r="J4874" s="15"/>
      <c r="K4874" s="15"/>
      <c r="L4874" s="15"/>
      <c r="M4874" s="15"/>
      <c r="N4874" s="15"/>
      <c r="O4874" s="15"/>
      <c r="P4874" s="15"/>
      <c r="Q4874" s="71"/>
      <c r="R4874" s="84"/>
      <c r="S4874" s="10"/>
      <c r="T4874" s="10"/>
      <c r="U4874" s="10"/>
      <c r="V4874" s="10"/>
      <c r="W4874" s="138"/>
      <c r="Y4874"/>
      <c r="Z4874"/>
      <c r="AA4874"/>
      <c r="AB4874"/>
      <c r="AC4874"/>
      <c r="AD4874"/>
      <c r="AE4874"/>
      <c r="AF4874"/>
      <c r="AG4874"/>
      <c r="AH4874"/>
      <c r="AI4874"/>
      <c r="AJ4874"/>
      <c r="AK4874"/>
      <c r="AL4874"/>
      <c r="AM4874"/>
      <c r="AN4874"/>
      <c r="AO4874"/>
    </row>
    <row r="4875" spans="1:41" ht="15">
      <c r="A4875"/>
      <c r="B4875"/>
      <c r="C4875" s="137"/>
      <c r="D4875" s="30"/>
      <c r="E4875" s="30"/>
      <c r="F4875" s="10"/>
      <c r="G4875" s="10"/>
      <c r="H4875" s="15"/>
      <c r="I4875" s="15"/>
      <c r="J4875" s="15"/>
      <c r="K4875" s="15"/>
      <c r="L4875" s="15"/>
      <c r="M4875" s="15"/>
      <c r="N4875" s="15"/>
      <c r="O4875" s="15"/>
      <c r="P4875" s="15"/>
      <c r="Q4875" s="71"/>
      <c r="R4875" s="84"/>
      <c r="S4875" s="10"/>
      <c r="T4875" s="10"/>
      <c r="U4875" s="10"/>
      <c r="V4875" s="10"/>
      <c r="W4875" s="138"/>
      <c r="Y4875"/>
      <c r="Z4875"/>
      <c r="AA4875"/>
      <c r="AB4875"/>
      <c r="AC4875"/>
      <c r="AD4875"/>
      <c r="AE4875"/>
      <c r="AF4875"/>
      <c r="AG4875"/>
      <c r="AH4875"/>
      <c r="AI4875"/>
      <c r="AJ4875"/>
      <c r="AK4875"/>
      <c r="AL4875"/>
      <c r="AM4875"/>
      <c r="AN4875"/>
      <c r="AO4875"/>
    </row>
    <row r="4876" spans="1:41" ht="15">
      <c r="A4876"/>
      <c r="B4876"/>
      <c r="C4876" s="137"/>
      <c r="D4876" s="30"/>
      <c r="E4876" s="30"/>
      <c r="F4876" s="10"/>
      <c r="G4876" s="10"/>
      <c r="H4876" s="15"/>
      <c r="I4876" s="15"/>
      <c r="J4876" s="15"/>
      <c r="K4876" s="15"/>
      <c r="L4876" s="15"/>
      <c r="M4876" s="15"/>
      <c r="N4876" s="15"/>
      <c r="O4876" s="15"/>
      <c r="P4876" s="15"/>
      <c r="Q4876" s="71"/>
      <c r="R4876" s="84"/>
      <c r="S4876" s="10"/>
      <c r="T4876" s="10"/>
      <c r="U4876" s="10"/>
      <c r="V4876" s="10"/>
      <c r="W4876" s="138"/>
      <c r="Y4876"/>
      <c r="Z4876"/>
      <c r="AA4876"/>
      <c r="AB4876"/>
      <c r="AC4876"/>
      <c r="AD4876"/>
      <c r="AE4876"/>
      <c r="AF4876"/>
      <c r="AG4876"/>
      <c r="AH4876"/>
      <c r="AI4876"/>
      <c r="AJ4876"/>
      <c r="AK4876"/>
      <c r="AL4876"/>
      <c r="AM4876"/>
      <c r="AN4876"/>
      <c r="AO4876"/>
    </row>
    <row r="4877" spans="1:41" ht="15">
      <c r="A4877"/>
      <c r="B4877"/>
      <c r="C4877" s="137"/>
      <c r="D4877" s="30"/>
      <c r="E4877" s="30"/>
      <c r="F4877" s="10"/>
      <c r="G4877" s="10"/>
      <c r="H4877" s="15"/>
      <c r="I4877" s="15"/>
      <c r="J4877" s="15"/>
      <c r="K4877" s="15"/>
      <c r="L4877" s="15"/>
      <c r="M4877" s="15"/>
      <c r="N4877" s="15"/>
      <c r="O4877" s="15"/>
      <c r="P4877" s="15"/>
      <c r="Q4877" s="71"/>
      <c r="R4877" s="84"/>
      <c r="S4877" s="10"/>
      <c r="T4877" s="10"/>
      <c r="U4877" s="10"/>
      <c r="V4877" s="10"/>
      <c r="W4877" s="138"/>
      <c r="Y4877"/>
      <c r="Z4877"/>
      <c r="AA4877"/>
      <c r="AB4877"/>
      <c r="AC4877"/>
      <c r="AD4877"/>
      <c r="AE4877"/>
      <c r="AF4877"/>
      <c r="AG4877"/>
      <c r="AH4877"/>
      <c r="AI4877"/>
      <c r="AJ4877"/>
      <c r="AK4877"/>
      <c r="AL4877"/>
      <c r="AM4877"/>
      <c r="AN4877"/>
      <c r="AO4877"/>
    </row>
    <row r="4878" spans="1:41" ht="15">
      <c r="A4878"/>
      <c r="B4878"/>
      <c r="C4878" s="137"/>
      <c r="D4878" s="30"/>
      <c r="E4878" s="30"/>
      <c r="F4878" s="10"/>
      <c r="G4878" s="10"/>
      <c r="H4878" s="15"/>
      <c r="I4878" s="15"/>
      <c r="J4878" s="15"/>
      <c r="K4878" s="15"/>
      <c r="L4878" s="15"/>
      <c r="M4878" s="15"/>
      <c r="N4878" s="15"/>
      <c r="O4878" s="15"/>
      <c r="P4878" s="15"/>
      <c r="Q4878" s="71"/>
      <c r="R4878" s="84"/>
      <c r="S4878" s="10"/>
      <c r="T4878" s="10"/>
      <c r="U4878" s="10"/>
      <c r="V4878" s="10"/>
      <c r="W4878" s="138"/>
      <c r="Y4878"/>
      <c r="Z4878"/>
      <c r="AA4878"/>
      <c r="AB4878"/>
      <c r="AC4878"/>
      <c r="AD4878"/>
      <c r="AE4878"/>
      <c r="AF4878"/>
      <c r="AG4878"/>
      <c r="AH4878"/>
      <c r="AI4878"/>
      <c r="AJ4878"/>
      <c r="AK4878"/>
      <c r="AL4878"/>
      <c r="AM4878"/>
      <c r="AN4878"/>
      <c r="AO4878"/>
    </row>
    <row r="4879" spans="1:41" ht="15">
      <c r="A4879"/>
      <c r="B4879"/>
      <c r="C4879" s="137"/>
      <c r="D4879" s="30"/>
      <c r="E4879" s="30"/>
      <c r="F4879" s="10"/>
      <c r="G4879" s="10"/>
      <c r="H4879" s="15"/>
      <c r="I4879" s="15"/>
      <c r="J4879" s="15"/>
      <c r="K4879" s="15"/>
      <c r="L4879" s="15"/>
      <c r="M4879" s="15"/>
      <c r="N4879" s="15"/>
      <c r="O4879" s="15"/>
      <c r="P4879" s="15"/>
      <c r="Q4879" s="71"/>
      <c r="R4879" s="84"/>
      <c r="S4879" s="10"/>
      <c r="T4879" s="10"/>
      <c r="U4879" s="10"/>
      <c r="V4879" s="10"/>
      <c r="W4879" s="138"/>
      <c r="Y4879"/>
      <c r="Z4879"/>
      <c r="AA4879"/>
      <c r="AB4879"/>
      <c r="AC4879"/>
      <c r="AD4879"/>
      <c r="AE4879"/>
      <c r="AF4879"/>
      <c r="AG4879"/>
      <c r="AH4879"/>
      <c r="AI4879"/>
      <c r="AJ4879"/>
      <c r="AK4879"/>
      <c r="AL4879"/>
      <c r="AM4879"/>
      <c r="AN4879"/>
      <c r="AO4879"/>
    </row>
    <row r="4880" spans="1:41" ht="15">
      <c r="A4880"/>
      <c r="B4880"/>
      <c r="C4880" s="137"/>
      <c r="D4880" s="30"/>
      <c r="E4880" s="30"/>
      <c r="F4880" s="10"/>
      <c r="G4880" s="10"/>
      <c r="H4880" s="15"/>
      <c r="I4880" s="15"/>
      <c r="J4880" s="15"/>
      <c r="K4880" s="15"/>
      <c r="L4880" s="15"/>
      <c r="M4880" s="15"/>
      <c r="N4880" s="15"/>
      <c r="O4880" s="15"/>
      <c r="P4880" s="15"/>
      <c r="Q4880" s="71"/>
      <c r="R4880" s="84"/>
      <c r="S4880" s="10"/>
      <c r="T4880" s="10"/>
      <c r="U4880" s="10"/>
      <c r="V4880" s="10"/>
      <c r="W4880" s="138"/>
      <c r="Y4880"/>
      <c r="Z4880"/>
      <c r="AA4880"/>
      <c r="AB4880"/>
      <c r="AC4880"/>
      <c r="AD4880"/>
      <c r="AE4880"/>
      <c r="AF4880"/>
      <c r="AG4880"/>
      <c r="AH4880"/>
      <c r="AI4880"/>
      <c r="AJ4880"/>
      <c r="AK4880"/>
      <c r="AL4880"/>
      <c r="AM4880"/>
      <c r="AN4880"/>
      <c r="AO4880"/>
    </row>
    <row r="4881" spans="1:41" ht="15">
      <c r="A4881"/>
      <c r="B4881"/>
      <c r="C4881" s="137"/>
      <c r="D4881" s="30"/>
      <c r="E4881" s="30"/>
      <c r="F4881" s="10"/>
      <c r="G4881" s="10"/>
      <c r="H4881" s="15"/>
      <c r="I4881" s="15"/>
      <c r="J4881" s="15"/>
      <c r="K4881" s="15"/>
      <c r="L4881" s="15"/>
      <c r="M4881" s="15"/>
      <c r="N4881" s="15"/>
      <c r="O4881" s="15"/>
      <c r="P4881" s="15"/>
      <c r="Q4881" s="71"/>
      <c r="R4881" s="84"/>
      <c r="S4881" s="10"/>
      <c r="T4881" s="10"/>
      <c r="U4881" s="10"/>
      <c r="V4881" s="10"/>
      <c r="W4881" s="138"/>
      <c r="Y4881"/>
      <c r="Z4881"/>
      <c r="AA4881"/>
      <c r="AB4881"/>
      <c r="AC4881"/>
      <c r="AD4881"/>
      <c r="AE4881"/>
      <c r="AF4881"/>
      <c r="AG4881"/>
      <c r="AH4881"/>
      <c r="AI4881"/>
      <c r="AJ4881"/>
      <c r="AK4881"/>
      <c r="AL4881"/>
      <c r="AM4881"/>
      <c r="AN4881"/>
      <c r="AO4881"/>
    </row>
    <row r="4882" spans="1:41" ht="15">
      <c r="A4882"/>
      <c r="B4882"/>
      <c r="C4882" s="137"/>
      <c r="D4882" s="30"/>
      <c r="E4882" s="30"/>
      <c r="F4882" s="10"/>
      <c r="G4882" s="10"/>
      <c r="H4882" s="15"/>
      <c r="I4882" s="15"/>
      <c r="J4882" s="15"/>
      <c r="K4882" s="15"/>
      <c r="L4882" s="15"/>
      <c r="M4882" s="15"/>
      <c r="N4882" s="15"/>
      <c r="O4882" s="15"/>
      <c r="P4882" s="15"/>
      <c r="Q4882" s="71"/>
      <c r="R4882" s="84"/>
      <c r="S4882" s="10"/>
      <c r="T4882" s="10"/>
      <c r="U4882" s="10"/>
      <c r="V4882" s="10"/>
      <c r="W4882" s="138"/>
      <c r="Y4882"/>
      <c r="Z4882"/>
      <c r="AA4882"/>
      <c r="AB4882"/>
      <c r="AC4882"/>
      <c r="AD4882"/>
      <c r="AE4882"/>
      <c r="AF4882"/>
      <c r="AG4882"/>
      <c r="AH4882"/>
      <c r="AI4882"/>
      <c r="AJ4882"/>
      <c r="AK4882"/>
      <c r="AL4882"/>
      <c r="AM4882"/>
      <c r="AN4882"/>
      <c r="AO4882"/>
    </row>
    <row r="4883" spans="1:41" ht="15">
      <c r="A4883"/>
      <c r="B4883"/>
      <c r="C4883" s="137"/>
      <c r="D4883" s="30"/>
      <c r="E4883" s="30"/>
      <c r="F4883" s="10"/>
      <c r="G4883" s="10"/>
      <c r="H4883" s="15"/>
      <c r="I4883" s="15"/>
      <c r="J4883" s="15"/>
      <c r="K4883" s="15"/>
      <c r="L4883" s="15"/>
      <c r="M4883" s="15"/>
      <c r="N4883" s="15"/>
      <c r="O4883" s="15"/>
      <c r="P4883" s="15"/>
      <c r="Q4883" s="71"/>
      <c r="R4883" s="84"/>
      <c r="S4883" s="10"/>
      <c r="T4883" s="10"/>
      <c r="U4883" s="10"/>
      <c r="V4883" s="10"/>
      <c r="W4883" s="138"/>
      <c r="Y4883"/>
      <c r="Z4883"/>
      <c r="AA4883"/>
      <c r="AB4883"/>
      <c r="AC4883"/>
      <c r="AD4883"/>
      <c r="AE4883"/>
      <c r="AF4883"/>
      <c r="AG4883"/>
      <c r="AH4883"/>
      <c r="AI4883"/>
      <c r="AJ4883"/>
      <c r="AK4883"/>
      <c r="AL4883"/>
      <c r="AM4883"/>
      <c r="AN4883"/>
      <c r="AO4883"/>
    </row>
    <row r="4884" spans="1:41" ht="15">
      <c r="A4884"/>
      <c r="B4884"/>
      <c r="C4884" s="137"/>
      <c r="D4884" s="30"/>
      <c r="E4884" s="30"/>
      <c r="F4884" s="10"/>
      <c r="G4884" s="10"/>
      <c r="H4884" s="15"/>
      <c r="I4884" s="15"/>
      <c r="J4884" s="15"/>
      <c r="K4884" s="15"/>
      <c r="L4884" s="15"/>
      <c r="M4884" s="15"/>
      <c r="N4884" s="15"/>
      <c r="O4884" s="15"/>
      <c r="P4884" s="15"/>
      <c r="Q4884" s="71"/>
      <c r="R4884" s="84"/>
      <c r="S4884" s="10"/>
      <c r="T4884" s="10"/>
      <c r="U4884" s="10"/>
      <c r="V4884" s="10"/>
      <c r="W4884" s="138"/>
      <c r="Y4884"/>
      <c r="Z4884"/>
      <c r="AA4884"/>
      <c r="AB4884"/>
      <c r="AC4884"/>
      <c r="AD4884"/>
      <c r="AE4884"/>
      <c r="AF4884"/>
      <c r="AG4884"/>
      <c r="AH4884"/>
      <c r="AI4884"/>
      <c r="AJ4884"/>
      <c r="AK4884"/>
      <c r="AL4884"/>
      <c r="AM4884"/>
      <c r="AN4884"/>
      <c r="AO4884"/>
    </row>
    <row r="4885" spans="1:41" ht="15">
      <c r="A4885"/>
      <c r="B4885"/>
      <c r="C4885" s="137"/>
      <c r="D4885" s="30"/>
      <c r="E4885" s="30"/>
      <c r="F4885" s="10"/>
      <c r="G4885" s="10"/>
      <c r="H4885" s="15"/>
      <c r="I4885" s="15"/>
      <c r="J4885" s="15"/>
      <c r="K4885" s="15"/>
      <c r="L4885" s="15"/>
      <c r="M4885" s="15"/>
      <c r="N4885" s="15"/>
      <c r="O4885" s="15"/>
      <c r="P4885" s="15"/>
      <c r="Q4885" s="71"/>
      <c r="R4885" s="84"/>
      <c r="S4885" s="10"/>
      <c r="T4885" s="10"/>
      <c r="U4885" s="10"/>
      <c r="V4885" s="10"/>
      <c r="W4885" s="138"/>
      <c r="Y4885"/>
      <c r="Z4885"/>
      <c r="AA4885"/>
      <c r="AB4885"/>
      <c r="AC4885"/>
      <c r="AD4885"/>
      <c r="AE4885"/>
      <c r="AF4885"/>
      <c r="AG4885"/>
      <c r="AH4885"/>
      <c r="AI4885"/>
      <c r="AJ4885"/>
      <c r="AK4885"/>
      <c r="AL4885"/>
      <c r="AM4885"/>
      <c r="AN4885"/>
      <c r="AO4885"/>
    </row>
    <row r="4886" spans="1:41" ht="15">
      <c r="A4886"/>
      <c r="B4886"/>
      <c r="C4886" s="137"/>
      <c r="D4886" s="30"/>
      <c r="E4886" s="30"/>
      <c r="F4886" s="10"/>
      <c r="G4886" s="10"/>
      <c r="H4886" s="15"/>
      <c r="I4886" s="15"/>
      <c r="J4886" s="15"/>
      <c r="K4886" s="15"/>
      <c r="L4886" s="15"/>
      <c r="M4886" s="15"/>
      <c r="N4886" s="15"/>
      <c r="O4886" s="15"/>
      <c r="P4886" s="15"/>
      <c r="Q4886" s="71"/>
      <c r="R4886" s="84"/>
      <c r="S4886" s="10"/>
      <c r="T4886" s="10"/>
      <c r="U4886" s="10"/>
      <c r="V4886" s="10"/>
      <c r="W4886" s="138"/>
      <c r="Y4886"/>
      <c r="Z4886"/>
      <c r="AA4886"/>
      <c r="AB4886"/>
      <c r="AC4886"/>
      <c r="AD4886"/>
      <c r="AE4886"/>
      <c r="AF4886"/>
      <c r="AG4886"/>
      <c r="AH4886"/>
      <c r="AI4886"/>
      <c r="AJ4886"/>
      <c r="AK4886"/>
      <c r="AL4886"/>
      <c r="AM4886"/>
      <c r="AN4886"/>
      <c r="AO4886"/>
    </row>
    <row r="4887" spans="1:41" ht="15">
      <c r="A4887"/>
      <c r="B4887"/>
      <c r="C4887" s="137"/>
      <c r="D4887" s="30"/>
      <c r="E4887" s="30"/>
      <c r="F4887" s="10"/>
      <c r="G4887" s="10"/>
      <c r="H4887" s="15"/>
      <c r="I4887" s="15"/>
      <c r="J4887" s="15"/>
      <c r="K4887" s="15"/>
      <c r="L4887" s="15"/>
      <c r="M4887" s="15"/>
      <c r="N4887" s="15"/>
      <c r="O4887" s="15"/>
      <c r="P4887" s="15"/>
      <c r="Q4887" s="71"/>
      <c r="R4887" s="84"/>
      <c r="S4887" s="10"/>
      <c r="T4887" s="10"/>
      <c r="U4887" s="10"/>
      <c r="V4887" s="10"/>
      <c r="W4887" s="138"/>
      <c r="Y4887"/>
      <c r="Z4887"/>
      <c r="AA4887"/>
      <c r="AB4887"/>
      <c r="AC4887"/>
      <c r="AD4887"/>
      <c r="AE4887"/>
      <c r="AF4887"/>
      <c r="AG4887"/>
      <c r="AH4887"/>
      <c r="AI4887"/>
      <c r="AJ4887"/>
      <c r="AK4887"/>
      <c r="AL4887"/>
      <c r="AM4887"/>
      <c r="AN4887"/>
      <c r="AO4887"/>
    </row>
    <row r="4888" spans="1:41" ht="15">
      <c r="A4888"/>
      <c r="B4888"/>
      <c r="C4888" s="137"/>
      <c r="D4888" s="30"/>
      <c r="E4888" s="30"/>
      <c r="F4888" s="10"/>
      <c r="G4888" s="10"/>
      <c r="H4888" s="15"/>
      <c r="I4888" s="15"/>
      <c r="J4888" s="15"/>
      <c r="K4888" s="15"/>
      <c r="L4888" s="15"/>
      <c r="M4888" s="15"/>
      <c r="N4888" s="15"/>
      <c r="O4888" s="15"/>
      <c r="P4888" s="15"/>
      <c r="Q4888" s="71"/>
      <c r="R4888" s="84"/>
      <c r="S4888" s="10"/>
      <c r="T4888" s="10"/>
      <c r="U4888" s="10"/>
      <c r="V4888" s="10"/>
      <c r="W4888" s="138"/>
      <c r="Y4888"/>
      <c r="Z4888"/>
      <c r="AA4888"/>
      <c r="AB4888"/>
      <c r="AC4888"/>
      <c r="AD4888"/>
      <c r="AE4888"/>
      <c r="AF4888"/>
      <c r="AG4888"/>
      <c r="AH4888"/>
      <c r="AI4888"/>
      <c r="AJ4888"/>
      <c r="AK4888"/>
      <c r="AL4888"/>
      <c r="AM4888"/>
      <c r="AN4888"/>
      <c r="AO4888"/>
    </row>
    <row r="4889" spans="1:41" ht="15">
      <c r="A4889"/>
      <c r="B4889"/>
      <c r="C4889" s="137"/>
      <c r="D4889" s="30"/>
      <c r="E4889" s="30"/>
      <c r="F4889" s="10"/>
      <c r="G4889" s="10"/>
      <c r="H4889" s="15"/>
      <c r="I4889" s="15"/>
      <c r="J4889" s="15"/>
      <c r="K4889" s="15"/>
      <c r="L4889" s="15"/>
      <c r="M4889" s="15"/>
      <c r="N4889" s="15"/>
      <c r="O4889" s="15"/>
      <c r="P4889" s="15"/>
      <c r="Q4889" s="71"/>
      <c r="R4889" s="84"/>
      <c r="S4889" s="10"/>
      <c r="T4889" s="10"/>
      <c r="U4889" s="10"/>
      <c r="V4889" s="10"/>
      <c r="W4889" s="138"/>
      <c r="Y4889"/>
      <c r="Z4889"/>
      <c r="AA4889"/>
      <c r="AB4889"/>
      <c r="AC4889"/>
      <c r="AD4889"/>
      <c r="AE4889"/>
      <c r="AF4889"/>
      <c r="AG4889"/>
      <c r="AH4889"/>
      <c r="AI4889"/>
      <c r="AJ4889"/>
      <c r="AK4889"/>
      <c r="AL4889"/>
      <c r="AM4889"/>
      <c r="AN4889"/>
      <c r="AO4889"/>
    </row>
    <row r="4890" spans="1:41" ht="15">
      <c r="A4890"/>
      <c r="B4890"/>
      <c r="C4890" s="137"/>
      <c r="D4890" s="30"/>
      <c r="E4890" s="30"/>
      <c r="F4890" s="10"/>
      <c r="G4890" s="10"/>
      <c r="H4890" s="15"/>
      <c r="I4890" s="15"/>
      <c r="J4890" s="15"/>
      <c r="K4890" s="15"/>
      <c r="L4890" s="15"/>
      <c r="M4890" s="15"/>
      <c r="N4890" s="15"/>
      <c r="O4890" s="15"/>
      <c r="P4890" s="15"/>
      <c r="Q4890" s="71"/>
      <c r="R4890" s="84"/>
      <c r="S4890" s="10"/>
      <c r="T4890" s="10"/>
      <c r="U4890" s="10"/>
      <c r="V4890" s="10"/>
      <c r="W4890" s="138"/>
      <c r="Y4890"/>
      <c r="Z4890"/>
      <c r="AA4890"/>
      <c r="AB4890"/>
      <c r="AC4890"/>
      <c r="AD4890"/>
      <c r="AE4890"/>
      <c r="AF4890"/>
      <c r="AG4890"/>
      <c r="AH4890"/>
      <c r="AI4890"/>
      <c r="AJ4890"/>
      <c r="AK4890"/>
      <c r="AL4890"/>
      <c r="AM4890"/>
      <c r="AN4890"/>
      <c r="AO4890"/>
    </row>
    <row r="4891" spans="1:41" ht="15">
      <c r="A4891"/>
      <c r="B4891"/>
      <c r="C4891" s="137"/>
      <c r="D4891" s="30"/>
      <c r="E4891" s="30"/>
      <c r="F4891" s="10"/>
      <c r="G4891" s="10"/>
      <c r="H4891" s="15"/>
      <c r="I4891" s="15"/>
      <c r="J4891" s="15"/>
      <c r="K4891" s="15"/>
      <c r="L4891" s="15"/>
      <c r="M4891" s="15"/>
      <c r="N4891" s="15"/>
      <c r="O4891" s="15"/>
      <c r="P4891" s="15"/>
      <c r="Q4891" s="71"/>
      <c r="R4891" s="84"/>
      <c r="S4891" s="10"/>
      <c r="T4891" s="10"/>
      <c r="U4891" s="10"/>
      <c r="V4891" s="10"/>
      <c r="W4891" s="138"/>
      <c r="Y4891"/>
      <c r="Z4891"/>
      <c r="AA4891"/>
      <c r="AB4891"/>
      <c r="AC4891"/>
      <c r="AD4891"/>
      <c r="AE4891"/>
      <c r="AF4891"/>
      <c r="AG4891"/>
      <c r="AH4891"/>
      <c r="AI4891"/>
      <c r="AJ4891"/>
      <c r="AK4891"/>
      <c r="AL4891"/>
      <c r="AM4891"/>
      <c r="AN4891"/>
      <c r="AO4891"/>
    </row>
    <row r="4892" spans="1:41" ht="15">
      <c r="A4892"/>
      <c r="B4892"/>
      <c r="C4892" s="137"/>
      <c r="D4892" s="30"/>
      <c r="E4892" s="30"/>
      <c r="F4892" s="10"/>
      <c r="G4892" s="10"/>
      <c r="H4892" s="15"/>
      <c r="I4892" s="15"/>
      <c r="J4892" s="15"/>
      <c r="K4892" s="15"/>
      <c r="L4892" s="15"/>
      <c r="M4892" s="15"/>
      <c r="N4892" s="15"/>
      <c r="O4892" s="15"/>
      <c r="P4892" s="15"/>
      <c r="Q4892" s="71"/>
      <c r="R4892" s="84"/>
      <c r="S4892" s="10"/>
      <c r="T4892" s="10"/>
      <c r="U4892" s="10"/>
      <c r="V4892" s="10"/>
      <c r="W4892" s="138"/>
      <c r="Y4892"/>
      <c r="Z4892"/>
      <c r="AA4892"/>
      <c r="AB4892"/>
      <c r="AC4892"/>
      <c r="AD4892"/>
      <c r="AE4892"/>
      <c r="AF4892"/>
      <c r="AG4892"/>
      <c r="AH4892"/>
      <c r="AI4892"/>
      <c r="AJ4892"/>
      <c r="AK4892"/>
      <c r="AL4892"/>
      <c r="AM4892"/>
      <c r="AN4892"/>
      <c r="AO4892"/>
    </row>
    <row r="4893" spans="1:41" ht="15">
      <c r="A4893"/>
      <c r="B4893"/>
      <c r="C4893" s="137"/>
      <c r="D4893" s="30"/>
      <c r="E4893" s="30"/>
      <c r="F4893" s="10"/>
      <c r="G4893" s="10"/>
      <c r="H4893" s="15"/>
      <c r="I4893" s="15"/>
      <c r="J4893" s="15"/>
      <c r="K4893" s="15"/>
      <c r="L4893" s="15"/>
      <c r="M4893" s="15"/>
      <c r="N4893" s="15"/>
      <c r="O4893" s="15"/>
      <c r="P4893" s="15"/>
      <c r="Q4893" s="71"/>
      <c r="R4893" s="84"/>
      <c r="S4893" s="10"/>
      <c r="T4893" s="10"/>
      <c r="U4893" s="10"/>
      <c r="V4893" s="10"/>
      <c r="W4893" s="138"/>
      <c r="Y4893"/>
      <c r="Z4893"/>
      <c r="AA4893"/>
      <c r="AB4893"/>
      <c r="AC4893"/>
      <c r="AD4893"/>
      <c r="AE4893"/>
      <c r="AF4893"/>
      <c r="AG4893"/>
      <c r="AH4893"/>
      <c r="AI4893"/>
      <c r="AJ4893"/>
      <c r="AK4893"/>
      <c r="AL4893"/>
      <c r="AM4893"/>
      <c r="AN4893"/>
      <c r="AO4893"/>
    </row>
    <row r="4894" spans="1:41" ht="15">
      <c r="A4894"/>
      <c r="B4894"/>
      <c r="C4894" s="137"/>
      <c r="D4894" s="30"/>
      <c r="E4894" s="30"/>
      <c r="F4894" s="10"/>
      <c r="G4894" s="10"/>
      <c r="H4894" s="15"/>
      <c r="I4894" s="15"/>
      <c r="J4894" s="15"/>
      <c r="K4894" s="15"/>
      <c r="L4894" s="15"/>
      <c r="M4894" s="15"/>
      <c r="N4894" s="15"/>
      <c r="O4894" s="15"/>
      <c r="P4894" s="15"/>
      <c r="Q4894" s="71"/>
      <c r="R4894" s="84"/>
      <c r="S4894" s="10"/>
      <c r="T4894" s="10"/>
      <c r="U4894" s="10"/>
      <c r="V4894" s="10"/>
      <c r="W4894" s="138"/>
      <c r="Y4894"/>
      <c r="Z4894"/>
      <c r="AA4894"/>
      <c r="AB4894"/>
      <c r="AC4894"/>
      <c r="AD4894"/>
      <c r="AE4894"/>
      <c r="AF4894"/>
      <c r="AG4894"/>
      <c r="AH4894"/>
      <c r="AI4894"/>
      <c r="AJ4894"/>
      <c r="AK4894"/>
      <c r="AL4894"/>
      <c r="AM4894"/>
      <c r="AN4894"/>
      <c r="AO4894"/>
    </row>
    <row r="4895" spans="1:41" ht="15">
      <c r="A4895"/>
      <c r="B4895"/>
      <c r="C4895" s="137"/>
      <c r="D4895" s="30"/>
      <c r="E4895" s="30"/>
      <c r="F4895" s="10"/>
      <c r="G4895" s="10"/>
      <c r="H4895" s="15"/>
      <c r="I4895" s="15"/>
      <c r="J4895" s="15"/>
      <c r="K4895" s="15"/>
      <c r="L4895" s="15"/>
      <c r="M4895" s="15"/>
      <c r="N4895" s="15"/>
      <c r="O4895" s="15"/>
      <c r="P4895" s="15"/>
      <c r="Q4895" s="71"/>
      <c r="R4895" s="84"/>
      <c r="S4895" s="10"/>
      <c r="T4895" s="10"/>
      <c r="U4895" s="10"/>
      <c r="V4895" s="10"/>
      <c r="W4895" s="138"/>
      <c r="Y4895"/>
      <c r="Z4895"/>
      <c r="AA4895"/>
      <c r="AB4895"/>
      <c r="AC4895"/>
      <c r="AD4895"/>
      <c r="AE4895"/>
      <c r="AF4895"/>
      <c r="AG4895"/>
      <c r="AH4895"/>
      <c r="AI4895"/>
      <c r="AJ4895"/>
      <c r="AK4895"/>
      <c r="AL4895"/>
      <c r="AM4895"/>
      <c r="AN4895"/>
      <c r="AO4895"/>
    </row>
    <row r="4896" spans="1:41" ht="15">
      <c r="A4896"/>
      <c r="B4896"/>
      <c r="C4896" s="137"/>
      <c r="D4896" s="30"/>
      <c r="E4896" s="30"/>
      <c r="F4896" s="10"/>
      <c r="G4896" s="10"/>
      <c r="H4896" s="15"/>
      <c r="I4896" s="15"/>
      <c r="J4896" s="15"/>
      <c r="K4896" s="15"/>
      <c r="L4896" s="15"/>
      <c r="M4896" s="15"/>
      <c r="N4896" s="15"/>
      <c r="O4896" s="15"/>
      <c r="P4896" s="15"/>
      <c r="Q4896" s="71"/>
      <c r="R4896" s="84"/>
      <c r="S4896" s="10"/>
      <c r="T4896" s="10"/>
      <c r="U4896" s="10"/>
      <c r="V4896" s="10"/>
      <c r="W4896" s="138"/>
      <c r="Y4896"/>
      <c r="Z4896"/>
      <c r="AA4896"/>
      <c r="AB4896"/>
      <c r="AC4896"/>
      <c r="AD4896"/>
      <c r="AE4896"/>
      <c r="AF4896"/>
      <c r="AG4896"/>
      <c r="AH4896"/>
      <c r="AI4896"/>
      <c r="AJ4896"/>
      <c r="AK4896"/>
      <c r="AL4896"/>
      <c r="AM4896"/>
      <c r="AN4896"/>
      <c r="AO4896"/>
    </row>
    <row r="4897" spans="1:41" ht="15">
      <c r="A4897"/>
      <c r="B4897"/>
      <c r="C4897" s="137"/>
      <c r="D4897" s="30"/>
      <c r="E4897" s="30"/>
      <c r="F4897" s="10"/>
      <c r="G4897" s="10"/>
      <c r="H4897" s="15"/>
      <c r="I4897" s="15"/>
      <c r="J4897" s="15"/>
      <c r="K4897" s="15"/>
      <c r="L4897" s="15"/>
      <c r="M4897" s="15"/>
      <c r="N4897" s="15"/>
      <c r="O4897" s="15"/>
      <c r="P4897" s="15"/>
      <c r="Q4897" s="71"/>
      <c r="R4897" s="84"/>
      <c r="S4897" s="10"/>
      <c r="T4897" s="10"/>
      <c r="U4897" s="10"/>
      <c r="V4897" s="10"/>
      <c r="W4897" s="138"/>
      <c r="Y4897"/>
      <c r="Z4897"/>
      <c r="AA4897"/>
      <c r="AB4897"/>
      <c r="AC4897"/>
      <c r="AD4897"/>
      <c r="AE4897"/>
      <c r="AF4897"/>
      <c r="AG4897"/>
      <c r="AH4897"/>
      <c r="AI4897"/>
      <c r="AJ4897"/>
      <c r="AK4897"/>
      <c r="AL4897"/>
      <c r="AM4897"/>
      <c r="AN4897"/>
      <c r="AO4897"/>
    </row>
    <row r="4898" spans="1:41" ht="15">
      <c r="A4898"/>
      <c r="B4898"/>
      <c r="C4898" s="137"/>
      <c r="D4898" s="30"/>
      <c r="E4898" s="30"/>
      <c r="F4898" s="10"/>
      <c r="G4898" s="10"/>
      <c r="H4898" s="15"/>
      <c r="I4898" s="15"/>
      <c r="J4898" s="15"/>
      <c r="K4898" s="15"/>
      <c r="L4898" s="15"/>
      <c r="M4898" s="15"/>
      <c r="N4898" s="15"/>
      <c r="O4898" s="15"/>
      <c r="P4898" s="15"/>
      <c r="Q4898" s="71"/>
      <c r="R4898" s="84"/>
      <c r="S4898" s="10"/>
      <c r="T4898" s="10"/>
      <c r="U4898" s="10"/>
      <c r="V4898" s="10"/>
      <c r="W4898" s="138"/>
      <c r="Y4898"/>
      <c r="Z4898"/>
      <c r="AA4898"/>
      <c r="AB4898"/>
      <c r="AC4898"/>
      <c r="AD4898"/>
      <c r="AE4898"/>
      <c r="AF4898"/>
      <c r="AG4898"/>
      <c r="AH4898"/>
      <c r="AI4898"/>
      <c r="AJ4898"/>
      <c r="AK4898"/>
      <c r="AL4898"/>
      <c r="AM4898"/>
      <c r="AN4898"/>
      <c r="AO4898"/>
    </row>
    <row r="4899" spans="1:41" ht="15">
      <c r="A4899"/>
      <c r="B4899"/>
      <c r="C4899" s="137"/>
      <c r="D4899" s="30"/>
      <c r="E4899" s="30"/>
      <c r="F4899" s="10"/>
      <c r="G4899" s="10"/>
      <c r="H4899" s="15"/>
      <c r="I4899" s="15"/>
      <c r="J4899" s="15"/>
      <c r="K4899" s="15"/>
      <c r="L4899" s="15"/>
      <c r="M4899" s="15"/>
      <c r="N4899" s="15"/>
      <c r="O4899" s="15"/>
      <c r="P4899" s="15"/>
      <c r="Q4899" s="71"/>
      <c r="R4899" s="84"/>
      <c r="S4899" s="10"/>
      <c r="T4899" s="10"/>
      <c r="U4899" s="10"/>
      <c r="V4899" s="10"/>
      <c r="W4899" s="138"/>
      <c r="Y4899"/>
      <c r="Z4899"/>
      <c r="AA4899"/>
      <c r="AB4899"/>
      <c r="AC4899"/>
      <c r="AD4899"/>
      <c r="AE4899"/>
      <c r="AF4899"/>
      <c r="AG4899"/>
      <c r="AH4899"/>
      <c r="AI4899"/>
      <c r="AJ4899"/>
      <c r="AK4899"/>
      <c r="AL4899"/>
      <c r="AM4899"/>
      <c r="AN4899"/>
      <c r="AO4899"/>
    </row>
    <row r="4900" spans="1:41" ht="15">
      <c r="A4900"/>
      <c r="B4900"/>
      <c r="C4900" s="137"/>
      <c r="D4900" s="30"/>
      <c r="E4900" s="30"/>
      <c r="F4900" s="10"/>
      <c r="G4900" s="10"/>
      <c r="H4900" s="15"/>
      <c r="I4900" s="15"/>
      <c r="J4900" s="15"/>
      <c r="K4900" s="15"/>
      <c r="L4900" s="15"/>
      <c r="M4900" s="15"/>
      <c r="N4900" s="15"/>
      <c r="O4900" s="15"/>
      <c r="P4900" s="15"/>
      <c r="Q4900" s="71"/>
      <c r="R4900" s="84"/>
      <c r="S4900" s="10"/>
      <c r="T4900" s="10"/>
      <c r="U4900" s="10"/>
      <c r="V4900" s="10"/>
      <c r="W4900" s="138"/>
      <c r="Y4900"/>
      <c r="Z4900"/>
      <c r="AA4900"/>
      <c r="AB4900"/>
      <c r="AC4900"/>
      <c r="AD4900"/>
      <c r="AE4900"/>
      <c r="AF4900"/>
      <c r="AG4900"/>
      <c r="AH4900"/>
      <c r="AI4900"/>
      <c r="AJ4900"/>
      <c r="AK4900"/>
      <c r="AL4900"/>
      <c r="AM4900"/>
      <c r="AN4900"/>
      <c r="AO4900"/>
    </row>
    <row r="4901" spans="1:41" ht="15">
      <c r="A4901"/>
      <c r="B4901"/>
      <c r="C4901" s="137"/>
      <c r="D4901" s="30"/>
      <c r="E4901" s="30"/>
      <c r="F4901" s="10"/>
      <c r="G4901" s="10"/>
      <c r="H4901" s="15"/>
      <c r="I4901" s="15"/>
      <c r="J4901" s="15"/>
      <c r="K4901" s="15"/>
      <c r="L4901" s="15"/>
      <c r="M4901" s="15"/>
      <c r="N4901" s="15"/>
      <c r="O4901" s="15"/>
      <c r="P4901" s="15"/>
      <c r="Q4901" s="71"/>
      <c r="R4901" s="84"/>
      <c r="S4901" s="10"/>
      <c r="T4901" s="10"/>
      <c r="U4901" s="10"/>
      <c r="V4901" s="10"/>
      <c r="W4901" s="138"/>
      <c r="Y4901"/>
      <c r="Z4901"/>
      <c r="AA4901"/>
      <c r="AB4901"/>
      <c r="AC4901"/>
      <c r="AD4901"/>
      <c r="AE4901"/>
      <c r="AF4901"/>
      <c r="AG4901"/>
      <c r="AH4901"/>
      <c r="AI4901"/>
      <c r="AJ4901"/>
      <c r="AK4901"/>
      <c r="AL4901"/>
      <c r="AM4901"/>
      <c r="AN4901"/>
      <c r="AO4901"/>
    </row>
    <row r="4902" spans="1:41" ht="15">
      <c r="A4902"/>
      <c r="B4902"/>
      <c r="C4902" s="137"/>
      <c r="D4902" s="30"/>
      <c r="E4902" s="30"/>
      <c r="F4902" s="10"/>
      <c r="G4902" s="10"/>
      <c r="H4902" s="15"/>
      <c r="I4902" s="15"/>
      <c r="J4902" s="15"/>
      <c r="K4902" s="15"/>
      <c r="L4902" s="15"/>
      <c r="M4902" s="15"/>
      <c r="N4902" s="15"/>
      <c r="O4902" s="15"/>
      <c r="P4902" s="15"/>
      <c r="Q4902" s="71"/>
      <c r="R4902" s="84"/>
      <c r="S4902" s="10"/>
      <c r="T4902" s="10"/>
      <c r="U4902" s="10"/>
      <c r="V4902" s="10"/>
      <c r="W4902" s="138"/>
      <c r="Y4902"/>
      <c r="Z4902"/>
      <c r="AA4902"/>
      <c r="AB4902"/>
      <c r="AC4902"/>
      <c r="AD4902"/>
      <c r="AE4902"/>
      <c r="AF4902"/>
      <c r="AG4902"/>
      <c r="AH4902"/>
      <c r="AI4902"/>
      <c r="AJ4902"/>
      <c r="AK4902"/>
      <c r="AL4902"/>
      <c r="AM4902"/>
      <c r="AN4902"/>
      <c r="AO4902"/>
    </row>
    <row r="4903" spans="1:41" ht="15">
      <c r="A4903"/>
      <c r="B4903"/>
      <c r="C4903" s="137"/>
      <c r="D4903" s="30"/>
      <c r="E4903" s="30"/>
      <c r="F4903" s="10"/>
      <c r="G4903" s="10"/>
      <c r="H4903" s="15"/>
      <c r="I4903" s="15"/>
      <c r="J4903" s="15"/>
      <c r="K4903" s="15"/>
      <c r="L4903" s="15"/>
      <c r="M4903" s="15"/>
      <c r="N4903" s="15"/>
      <c r="O4903" s="15"/>
      <c r="P4903" s="15"/>
      <c r="Q4903" s="71"/>
      <c r="R4903" s="84"/>
      <c r="S4903" s="10"/>
      <c r="T4903" s="10"/>
      <c r="U4903" s="10"/>
      <c r="V4903" s="10"/>
      <c r="W4903" s="138"/>
      <c r="Y4903"/>
      <c r="Z4903"/>
      <c r="AA4903"/>
      <c r="AB4903"/>
      <c r="AC4903"/>
      <c r="AD4903"/>
      <c r="AE4903"/>
      <c r="AF4903"/>
      <c r="AG4903"/>
      <c r="AH4903"/>
      <c r="AI4903"/>
      <c r="AJ4903"/>
      <c r="AK4903"/>
      <c r="AL4903"/>
      <c r="AM4903"/>
      <c r="AN4903"/>
      <c r="AO4903"/>
    </row>
    <row r="4904" spans="1:41" ht="15">
      <c r="A4904"/>
      <c r="B4904"/>
      <c r="C4904" s="137"/>
      <c r="D4904" s="30"/>
      <c r="E4904" s="30"/>
      <c r="F4904" s="10"/>
      <c r="G4904" s="10"/>
      <c r="H4904" s="15"/>
      <c r="I4904" s="15"/>
      <c r="J4904" s="15"/>
      <c r="K4904" s="15"/>
      <c r="L4904" s="15"/>
      <c r="M4904" s="15"/>
      <c r="N4904" s="15"/>
      <c r="O4904" s="15"/>
      <c r="P4904" s="15"/>
      <c r="Q4904" s="71"/>
      <c r="R4904" s="84"/>
      <c r="S4904" s="10"/>
      <c r="T4904" s="10"/>
      <c r="U4904" s="10"/>
      <c r="V4904" s="10"/>
      <c r="W4904" s="138"/>
      <c r="Y4904"/>
      <c r="Z4904"/>
      <c r="AA4904"/>
      <c r="AB4904"/>
      <c r="AC4904"/>
      <c r="AD4904"/>
      <c r="AE4904"/>
      <c r="AF4904"/>
      <c r="AG4904"/>
      <c r="AH4904"/>
      <c r="AI4904"/>
      <c r="AJ4904"/>
      <c r="AK4904"/>
      <c r="AL4904"/>
      <c r="AM4904"/>
      <c r="AN4904"/>
      <c r="AO4904"/>
    </row>
    <row r="4905" spans="1:41" ht="15">
      <c r="A4905"/>
      <c r="B4905"/>
      <c r="C4905" s="137"/>
      <c r="D4905" s="30"/>
      <c r="E4905" s="30"/>
      <c r="F4905" s="10"/>
      <c r="G4905" s="10"/>
      <c r="H4905" s="15"/>
      <c r="I4905" s="15"/>
      <c r="J4905" s="15"/>
      <c r="K4905" s="15"/>
      <c r="L4905" s="15"/>
      <c r="M4905" s="15"/>
      <c r="N4905" s="15"/>
      <c r="O4905" s="15"/>
      <c r="P4905" s="15"/>
      <c r="Q4905" s="71"/>
      <c r="R4905" s="84"/>
      <c r="S4905" s="10"/>
      <c r="T4905" s="10"/>
      <c r="U4905" s="10"/>
      <c r="V4905" s="10"/>
      <c r="W4905" s="138"/>
      <c r="Y4905"/>
      <c r="Z4905"/>
      <c r="AA4905"/>
      <c r="AB4905"/>
      <c r="AC4905"/>
      <c r="AD4905"/>
      <c r="AE4905"/>
      <c r="AF4905"/>
      <c r="AG4905"/>
      <c r="AH4905"/>
      <c r="AI4905"/>
      <c r="AJ4905"/>
      <c r="AK4905"/>
      <c r="AL4905"/>
      <c r="AM4905"/>
      <c r="AN4905"/>
      <c r="AO4905"/>
    </row>
    <row r="4906" spans="1:41" ht="15">
      <c r="A4906"/>
      <c r="B4906"/>
      <c r="C4906" s="137"/>
      <c r="D4906" s="30"/>
      <c r="E4906" s="30"/>
      <c r="F4906" s="10"/>
      <c r="G4906" s="10"/>
      <c r="H4906" s="15"/>
      <c r="I4906" s="15"/>
      <c r="J4906" s="15"/>
      <c r="K4906" s="15"/>
      <c r="L4906" s="15"/>
      <c r="M4906" s="15"/>
      <c r="N4906" s="15"/>
      <c r="O4906" s="15"/>
      <c r="P4906" s="15"/>
      <c r="Q4906" s="71"/>
      <c r="R4906" s="84"/>
      <c r="S4906" s="10"/>
      <c r="T4906" s="10"/>
      <c r="U4906" s="10"/>
      <c r="V4906" s="10"/>
      <c r="W4906" s="138"/>
      <c r="Y4906"/>
      <c r="Z4906"/>
      <c r="AA4906"/>
      <c r="AB4906"/>
      <c r="AC4906"/>
      <c r="AD4906"/>
      <c r="AE4906"/>
      <c r="AF4906"/>
      <c r="AG4906"/>
      <c r="AH4906"/>
      <c r="AI4906"/>
      <c r="AJ4906"/>
      <c r="AK4906"/>
      <c r="AL4906"/>
      <c r="AM4906"/>
      <c r="AN4906"/>
      <c r="AO4906"/>
    </row>
    <row r="4907" spans="1:41" ht="15">
      <c r="A4907"/>
      <c r="B4907"/>
      <c r="C4907" s="137"/>
      <c r="D4907" s="30"/>
      <c r="E4907" s="30"/>
      <c r="F4907" s="10"/>
      <c r="G4907" s="10"/>
      <c r="H4907" s="15"/>
      <c r="I4907" s="15"/>
      <c r="J4907" s="15"/>
      <c r="K4907" s="15"/>
      <c r="L4907" s="15"/>
      <c r="M4907" s="15"/>
      <c r="N4907" s="15"/>
      <c r="O4907" s="15"/>
      <c r="P4907" s="15"/>
      <c r="Q4907" s="71"/>
      <c r="R4907" s="84"/>
      <c r="S4907" s="10"/>
      <c r="T4907" s="10"/>
      <c r="U4907" s="10"/>
      <c r="V4907" s="10"/>
      <c r="W4907" s="138"/>
      <c r="Y4907"/>
      <c r="Z4907"/>
      <c r="AA4907"/>
      <c r="AB4907"/>
      <c r="AC4907"/>
      <c r="AD4907"/>
      <c r="AE4907"/>
      <c r="AF4907"/>
      <c r="AG4907"/>
      <c r="AH4907"/>
      <c r="AI4907"/>
      <c r="AJ4907"/>
      <c r="AK4907"/>
      <c r="AL4907"/>
      <c r="AM4907"/>
      <c r="AN4907"/>
      <c r="AO4907"/>
    </row>
    <row r="4908" spans="1:41" ht="15">
      <c r="A4908"/>
      <c r="B4908"/>
      <c r="C4908" s="137"/>
      <c r="D4908" s="30"/>
      <c r="E4908" s="30"/>
      <c r="F4908" s="10"/>
      <c r="G4908" s="10"/>
      <c r="H4908" s="15"/>
      <c r="I4908" s="15"/>
      <c r="J4908" s="15"/>
      <c r="K4908" s="15"/>
      <c r="L4908" s="15"/>
      <c r="M4908" s="15"/>
      <c r="N4908" s="15"/>
      <c r="O4908" s="15"/>
      <c r="P4908" s="15"/>
      <c r="Q4908" s="71"/>
      <c r="R4908" s="84"/>
      <c r="S4908" s="10"/>
      <c r="T4908" s="10"/>
      <c r="U4908" s="10"/>
      <c r="V4908" s="10"/>
      <c r="W4908" s="138"/>
      <c r="Y4908"/>
      <c r="Z4908"/>
      <c r="AA4908"/>
      <c r="AB4908"/>
      <c r="AC4908"/>
      <c r="AD4908"/>
      <c r="AE4908"/>
      <c r="AF4908"/>
      <c r="AG4908"/>
      <c r="AH4908"/>
      <c r="AI4908"/>
      <c r="AJ4908"/>
      <c r="AK4908"/>
      <c r="AL4908"/>
      <c r="AM4908"/>
      <c r="AN4908"/>
      <c r="AO4908"/>
    </row>
    <row r="4909" spans="1:41" ht="15">
      <c r="A4909"/>
      <c r="B4909"/>
      <c r="C4909" s="137"/>
      <c r="D4909" s="30"/>
      <c r="E4909" s="30"/>
      <c r="F4909" s="10"/>
      <c r="G4909" s="10"/>
      <c r="H4909" s="15"/>
      <c r="I4909" s="15"/>
      <c r="J4909" s="15"/>
      <c r="K4909" s="15"/>
      <c r="L4909" s="15"/>
      <c r="M4909" s="15"/>
      <c r="N4909" s="15"/>
      <c r="O4909" s="15"/>
      <c r="P4909" s="15"/>
      <c r="Q4909" s="71"/>
      <c r="R4909" s="84"/>
      <c r="S4909" s="10"/>
      <c r="T4909" s="10"/>
      <c r="U4909" s="10"/>
      <c r="V4909" s="10"/>
      <c r="W4909" s="138"/>
      <c r="Y4909"/>
      <c r="Z4909"/>
      <c r="AA4909"/>
      <c r="AB4909"/>
      <c r="AC4909"/>
      <c r="AD4909"/>
      <c r="AE4909"/>
      <c r="AF4909"/>
      <c r="AG4909"/>
      <c r="AH4909"/>
      <c r="AI4909"/>
      <c r="AJ4909"/>
      <c r="AK4909"/>
      <c r="AL4909"/>
      <c r="AM4909"/>
      <c r="AN4909"/>
      <c r="AO4909"/>
    </row>
    <row r="4910" spans="1:41" ht="15">
      <c r="A4910"/>
      <c r="B4910"/>
      <c r="C4910" s="137"/>
      <c r="D4910" s="30"/>
      <c r="E4910" s="30"/>
      <c r="F4910" s="10"/>
      <c r="G4910" s="10"/>
      <c r="H4910" s="15"/>
      <c r="I4910" s="15"/>
      <c r="J4910" s="15"/>
      <c r="K4910" s="15"/>
      <c r="L4910" s="15"/>
      <c r="M4910" s="15"/>
      <c r="N4910" s="15"/>
      <c r="O4910" s="15"/>
      <c r="P4910" s="15"/>
      <c r="Q4910" s="71"/>
      <c r="R4910" s="84"/>
      <c r="S4910" s="10"/>
      <c r="T4910" s="10"/>
      <c r="U4910" s="10"/>
      <c r="V4910" s="10"/>
      <c r="W4910" s="138"/>
      <c r="Y4910"/>
      <c r="Z4910"/>
      <c r="AA4910"/>
      <c r="AB4910"/>
      <c r="AC4910"/>
      <c r="AD4910"/>
      <c r="AE4910"/>
      <c r="AF4910"/>
      <c r="AG4910"/>
      <c r="AH4910"/>
      <c r="AI4910"/>
      <c r="AJ4910"/>
      <c r="AK4910"/>
      <c r="AL4910"/>
      <c r="AM4910"/>
      <c r="AN4910"/>
      <c r="AO4910"/>
    </row>
    <row r="4911" spans="1:41" ht="15">
      <c r="A4911"/>
      <c r="B4911"/>
      <c r="C4911" s="137"/>
      <c r="D4911" s="30"/>
      <c r="E4911" s="30"/>
      <c r="F4911" s="10"/>
      <c r="G4911" s="10"/>
      <c r="H4911" s="15"/>
      <c r="I4911" s="15"/>
      <c r="J4911" s="15"/>
      <c r="K4911" s="15"/>
      <c r="L4911" s="15"/>
      <c r="M4911" s="15"/>
      <c r="N4911" s="15"/>
      <c r="O4911" s="15"/>
      <c r="P4911" s="15"/>
      <c r="Q4911" s="71"/>
      <c r="R4911" s="84"/>
      <c r="S4911" s="10"/>
      <c r="T4911" s="10"/>
      <c r="U4911" s="10"/>
      <c r="V4911" s="10"/>
      <c r="W4911" s="138"/>
      <c r="Y4911"/>
      <c r="Z4911"/>
      <c r="AA4911"/>
      <c r="AB4911"/>
      <c r="AC4911"/>
      <c r="AD4911"/>
      <c r="AE4911"/>
      <c r="AF4911"/>
      <c r="AG4911"/>
      <c r="AH4911"/>
      <c r="AI4911"/>
      <c r="AJ4911"/>
      <c r="AK4911"/>
      <c r="AL4911"/>
      <c r="AM4911"/>
      <c r="AN4911"/>
      <c r="AO4911"/>
    </row>
    <row r="4912" spans="1:41" ht="15">
      <c r="A4912"/>
      <c r="B4912"/>
      <c r="C4912" s="137"/>
      <c r="D4912" s="30"/>
      <c r="E4912" s="30"/>
      <c r="F4912" s="10"/>
      <c r="G4912" s="10"/>
      <c r="H4912" s="15"/>
      <c r="I4912" s="15"/>
      <c r="J4912" s="15"/>
      <c r="K4912" s="15"/>
      <c r="L4912" s="15"/>
      <c r="M4912" s="15"/>
      <c r="N4912" s="15"/>
      <c r="O4912" s="15"/>
      <c r="P4912" s="15"/>
      <c r="Q4912" s="71"/>
      <c r="R4912" s="84"/>
      <c r="S4912" s="10"/>
      <c r="T4912" s="10"/>
      <c r="U4912" s="10"/>
      <c r="V4912" s="10"/>
      <c r="W4912" s="138"/>
      <c r="Y4912"/>
      <c r="Z4912"/>
      <c r="AA4912"/>
      <c r="AB4912"/>
      <c r="AC4912"/>
      <c r="AD4912"/>
      <c r="AE4912"/>
      <c r="AF4912"/>
      <c r="AG4912"/>
      <c r="AH4912"/>
      <c r="AI4912"/>
      <c r="AJ4912"/>
      <c r="AK4912"/>
      <c r="AL4912"/>
      <c r="AM4912"/>
      <c r="AN4912"/>
      <c r="AO4912"/>
    </row>
    <row r="4913" spans="1:41" ht="15">
      <c r="A4913"/>
      <c r="B4913"/>
      <c r="C4913" s="137"/>
      <c r="D4913" s="30"/>
      <c r="E4913" s="30"/>
      <c r="F4913" s="10"/>
      <c r="G4913" s="10"/>
      <c r="H4913" s="15"/>
      <c r="I4913" s="15"/>
      <c r="J4913" s="15"/>
      <c r="K4913" s="15"/>
      <c r="L4913" s="15"/>
      <c r="M4913" s="15"/>
      <c r="N4913" s="15"/>
      <c r="O4913" s="15"/>
      <c r="P4913" s="15"/>
      <c r="Q4913" s="71"/>
      <c r="R4913" s="84"/>
      <c r="S4913" s="10"/>
      <c r="T4913" s="10"/>
      <c r="U4913" s="10"/>
      <c r="V4913" s="10"/>
      <c r="W4913" s="138"/>
      <c r="Y4913"/>
      <c r="Z4913"/>
      <c r="AA4913"/>
      <c r="AB4913"/>
      <c r="AC4913"/>
      <c r="AD4913"/>
      <c r="AE4913"/>
      <c r="AF4913"/>
      <c r="AG4913"/>
      <c r="AH4913"/>
      <c r="AI4913"/>
      <c r="AJ4913"/>
      <c r="AK4913"/>
      <c r="AL4913"/>
      <c r="AM4913"/>
      <c r="AN4913"/>
      <c r="AO4913"/>
    </row>
    <row r="4914" spans="1:41" ht="15">
      <c r="A4914"/>
      <c r="B4914"/>
      <c r="C4914" s="137"/>
      <c r="D4914" s="30"/>
      <c r="E4914" s="30"/>
      <c r="F4914" s="10"/>
      <c r="G4914" s="10"/>
      <c r="H4914" s="15"/>
      <c r="I4914" s="15"/>
      <c r="J4914" s="15"/>
      <c r="K4914" s="15"/>
      <c r="L4914" s="15"/>
      <c r="M4914" s="15"/>
      <c r="N4914" s="15"/>
      <c r="O4914" s="15"/>
      <c r="P4914" s="15"/>
      <c r="Q4914" s="71"/>
      <c r="R4914" s="84"/>
      <c r="S4914" s="10"/>
      <c r="T4914" s="10"/>
      <c r="U4914" s="10"/>
      <c r="V4914" s="10"/>
      <c r="W4914" s="138"/>
      <c r="Y4914"/>
      <c r="Z4914"/>
      <c r="AA4914"/>
      <c r="AB4914"/>
      <c r="AC4914"/>
      <c r="AD4914"/>
      <c r="AE4914"/>
      <c r="AF4914"/>
      <c r="AG4914"/>
      <c r="AH4914"/>
      <c r="AI4914"/>
      <c r="AJ4914"/>
      <c r="AK4914"/>
      <c r="AL4914"/>
      <c r="AM4914"/>
      <c r="AN4914"/>
      <c r="AO4914"/>
    </row>
    <row r="4915" spans="1:41" ht="15">
      <c r="A4915"/>
      <c r="B4915"/>
      <c r="C4915" s="137"/>
      <c r="D4915" s="30"/>
      <c r="E4915" s="30"/>
      <c r="F4915" s="10"/>
      <c r="G4915" s="10"/>
      <c r="H4915" s="15"/>
      <c r="I4915" s="15"/>
      <c r="J4915" s="15"/>
      <c r="K4915" s="15"/>
      <c r="L4915" s="15"/>
      <c r="M4915" s="15"/>
      <c r="N4915" s="15"/>
      <c r="O4915" s="15"/>
      <c r="P4915" s="15"/>
      <c r="Q4915" s="71"/>
      <c r="R4915" s="84"/>
      <c r="S4915" s="10"/>
      <c r="T4915" s="10"/>
      <c r="U4915" s="10"/>
      <c r="V4915" s="10"/>
      <c r="W4915" s="138"/>
      <c r="Y4915"/>
      <c r="Z4915"/>
      <c r="AA4915"/>
      <c r="AB4915"/>
      <c r="AC4915"/>
      <c r="AD4915"/>
      <c r="AE4915"/>
      <c r="AF4915"/>
      <c r="AG4915"/>
      <c r="AH4915"/>
      <c r="AI4915"/>
      <c r="AJ4915"/>
      <c r="AK4915"/>
      <c r="AL4915"/>
      <c r="AM4915"/>
      <c r="AN4915"/>
      <c r="AO4915"/>
    </row>
    <row r="4916" spans="1:41" ht="15">
      <c r="A4916"/>
      <c r="B4916"/>
      <c r="C4916" s="137"/>
      <c r="D4916" s="30"/>
      <c r="E4916" s="30"/>
      <c r="F4916" s="10"/>
      <c r="G4916" s="10"/>
      <c r="H4916" s="15"/>
      <c r="I4916" s="15"/>
      <c r="J4916" s="15"/>
      <c r="K4916" s="15"/>
      <c r="L4916" s="15"/>
      <c r="M4916" s="15"/>
      <c r="N4916" s="15"/>
      <c r="O4916" s="15"/>
      <c r="P4916" s="15"/>
      <c r="Q4916" s="71"/>
      <c r="R4916" s="84"/>
      <c r="S4916" s="10"/>
      <c r="T4916" s="10"/>
      <c r="U4916" s="10"/>
      <c r="V4916" s="10"/>
      <c r="W4916" s="138"/>
      <c r="Y4916"/>
      <c r="Z4916"/>
      <c r="AA4916"/>
      <c r="AB4916"/>
      <c r="AC4916"/>
      <c r="AD4916"/>
      <c r="AE4916"/>
      <c r="AF4916"/>
      <c r="AG4916"/>
      <c r="AH4916"/>
      <c r="AI4916"/>
      <c r="AJ4916"/>
      <c r="AK4916"/>
      <c r="AL4916"/>
      <c r="AM4916"/>
      <c r="AN4916"/>
      <c r="AO4916"/>
    </row>
    <row r="4917" spans="1:41" ht="15">
      <c r="A4917"/>
      <c r="B4917"/>
      <c r="C4917" s="137"/>
      <c r="D4917" s="30"/>
      <c r="E4917" s="30"/>
      <c r="F4917" s="10"/>
      <c r="G4917" s="10"/>
      <c r="H4917" s="15"/>
      <c r="I4917" s="15"/>
      <c r="J4917" s="15"/>
      <c r="K4917" s="15"/>
      <c r="L4917" s="15"/>
      <c r="M4917" s="15"/>
      <c r="N4917" s="15"/>
      <c r="O4917" s="15"/>
      <c r="P4917" s="15"/>
      <c r="Q4917" s="71"/>
      <c r="R4917" s="84"/>
      <c r="S4917" s="10"/>
      <c r="T4917" s="10"/>
      <c r="U4917" s="10"/>
      <c r="V4917" s="10"/>
      <c r="W4917" s="138"/>
      <c r="Y4917"/>
      <c r="Z4917"/>
      <c r="AA4917"/>
      <c r="AB4917"/>
      <c r="AC4917"/>
      <c r="AD4917"/>
      <c r="AE4917"/>
      <c r="AF4917"/>
      <c r="AG4917"/>
      <c r="AH4917"/>
      <c r="AI4917"/>
      <c r="AJ4917"/>
      <c r="AK4917"/>
      <c r="AL4917"/>
      <c r="AM4917"/>
      <c r="AN4917"/>
      <c r="AO4917"/>
    </row>
    <row r="4918" spans="1:41" ht="15">
      <c r="A4918"/>
      <c r="B4918"/>
      <c r="C4918" s="137"/>
      <c r="D4918" s="30"/>
      <c r="E4918" s="30"/>
      <c r="F4918" s="10"/>
      <c r="G4918" s="10"/>
      <c r="H4918" s="15"/>
      <c r="I4918" s="15"/>
      <c r="J4918" s="15"/>
      <c r="K4918" s="15"/>
      <c r="L4918" s="15"/>
      <c r="M4918" s="15"/>
      <c r="N4918" s="15"/>
      <c r="O4918" s="15"/>
      <c r="P4918" s="15"/>
      <c r="Q4918" s="71"/>
      <c r="R4918" s="84"/>
      <c r="S4918" s="10"/>
      <c r="T4918" s="10"/>
      <c r="U4918" s="10"/>
      <c r="V4918" s="10"/>
      <c r="W4918" s="138"/>
      <c r="Y4918"/>
      <c r="Z4918"/>
      <c r="AA4918"/>
      <c r="AB4918"/>
      <c r="AC4918"/>
      <c r="AD4918"/>
      <c r="AE4918"/>
      <c r="AF4918"/>
      <c r="AG4918"/>
      <c r="AH4918"/>
      <c r="AI4918"/>
      <c r="AJ4918"/>
      <c r="AK4918"/>
      <c r="AL4918"/>
      <c r="AM4918"/>
      <c r="AN4918"/>
      <c r="AO4918"/>
    </row>
    <row r="4919" spans="1:41" ht="15">
      <c r="A4919"/>
      <c r="B4919"/>
      <c r="C4919" s="137"/>
      <c r="D4919" s="30"/>
      <c r="E4919" s="30"/>
      <c r="F4919" s="10"/>
      <c r="G4919" s="10"/>
      <c r="H4919" s="15"/>
      <c r="I4919" s="15"/>
      <c r="J4919" s="15"/>
      <c r="K4919" s="15"/>
      <c r="L4919" s="15"/>
      <c r="M4919" s="15"/>
      <c r="N4919" s="15"/>
      <c r="O4919" s="15"/>
      <c r="P4919" s="15"/>
      <c r="Q4919" s="71"/>
      <c r="R4919" s="84"/>
      <c r="S4919" s="10"/>
      <c r="T4919" s="10"/>
      <c r="U4919" s="10"/>
      <c r="V4919" s="10"/>
      <c r="W4919" s="138"/>
      <c r="Y4919"/>
      <c r="Z4919"/>
      <c r="AA4919"/>
      <c r="AB4919"/>
      <c r="AC4919"/>
      <c r="AD4919"/>
      <c r="AE4919"/>
      <c r="AF4919"/>
      <c r="AG4919"/>
      <c r="AH4919"/>
      <c r="AI4919"/>
      <c r="AJ4919"/>
      <c r="AK4919"/>
      <c r="AL4919"/>
      <c r="AM4919"/>
      <c r="AN4919"/>
      <c r="AO4919"/>
    </row>
    <row r="4920" spans="1:41" ht="15">
      <c r="A4920"/>
      <c r="B4920"/>
      <c r="C4920" s="137"/>
      <c r="D4920" s="30"/>
      <c r="E4920" s="30"/>
      <c r="F4920" s="10"/>
      <c r="G4920" s="10"/>
      <c r="H4920" s="15"/>
      <c r="I4920" s="15"/>
      <c r="J4920" s="15"/>
      <c r="K4920" s="15"/>
      <c r="L4920" s="15"/>
      <c r="M4920" s="15"/>
      <c r="N4920" s="15"/>
      <c r="O4920" s="15"/>
      <c r="P4920" s="15"/>
      <c r="Q4920" s="71"/>
      <c r="R4920" s="84"/>
      <c r="S4920" s="10"/>
      <c r="T4920" s="10"/>
      <c r="U4920" s="10"/>
      <c r="V4920" s="10"/>
      <c r="W4920" s="138"/>
      <c r="Y4920"/>
      <c r="Z4920"/>
      <c r="AA4920"/>
      <c r="AB4920"/>
      <c r="AC4920"/>
      <c r="AD4920"/>
      <c r="AE4920"/>
      <c r="AF4920"/>
      <c r="AG4920"/>
      <c r="AH4920"/>
      <c r="AI4920"/>
      <c r="AJ4920"/>
      <c r="AK4920"/>
      <c r="AL4920"/>
      <c r="AM4920"/>
      <c r="AN4920"/>
      <c r="AO4920"/>
    </row>
    <row r="4921" spans="1:41" ht="15">
      <c r="A4921"/>
      <c r="B4921"/>
      <c r="C4921" s="137"/>
      <c r="D4921" s="30"/>
      <c r="E4921" s="30"/>
      <c r="F4921" s="10"/>
      <c r="G4921" s="10"/>
      <c r="H4921" s="15"/>
      <c r="I4921" s="15"/>
      <c r="J4921" s="15"/>
      <c r="K4921" s="15"/>
      <c r="L4921" s="15"/>
      <c r="M4921" s="15"/>
      <c r="N4921" s="15"/>
      <c r="O4921" s="15"/>
      <c r="P4921" s="15"/>
      <c r="Q4921" s="71"/>
      <c r="R4921" s="84"/>
      <c r="S4921" s="10"/>
      <c r="T4921" s="10"/>
      <c r="U4921" s="10"/>
      <c r="V4921" s="10"/>
      <c r="W4921" s="138"/>
      <c r="Y4921"/>
      <c r="Z4921"/>
      <c r="AA4921"/>
      <c r="AB4921"/>
      <c r="AC4921"/>
      <c r="AD4921"/>
      <c r="AE4921"/>
      <c r="AF4921"/>
      <c r="AG4921"/>
      <c r="AH4921"/>
      <c r="AI4921"/>
      <c r="AJ4921"/>
      <c r="AK4921"/>
      <c r="AL4921"/>
      <c r="AM4921"/>
      <c r="AN4921"/>
      <c r="AO4921"/>
    </row>
    <row r="4922" spans="1:41" ht="15">
      <c r="A4922"/>
      <c r="B4922"/>
      <c r="C4922" s="137"/>
      <c r="D4922" s="30"/>
      <c r="E4922" s="30"/>
      <c r="F4922" s="10"/>
      <c r="G4922" s="10"/>
      <c r="H4922" s="15"/>
      <c r="I4922" s="15"/>
      <c r="J4922" s="15"/>
      <c r="K4922" s="15"/>
      <c r="L4922" s="15"/>
      <c r="M4922" s="15"/>
      <c r="N4922" s="15"/>
      <c r="O4922" s="15"/>
      <c r="P4922" s="15"/>
      <c r="Q4922" s="71"/>
      <c r="R4922" s="84"/>
      <c r="S4922" s="10"/>
      <c r="T4922" s="10"/>
      <c r="U4922" s="10"/>
      <c r="V4922" s="10"/>
      <c r="W4922" s="138"/>
      <c r="Y4922"/>
      <c r="Z4922"/>
      <c r="AA4922"/>
      <c r="AB4922"/>
      <c r="AC4922"/>
      <c r="AD4922"/>
      <c r="AE4922"/>
      <c r="AF4922"/>
      <c r="AG4922"/>
      <c r="AH4922"/>
      <c r="AI4922"/>
      <c r="AJ4922"/>
      <c r="AK4922"/>
      <c r="AL4922"/>
      <c r="AM4922"/>
      <c r="AN4922"/>
      <c r="AO4922"/>
    </row>
    <row r="4923" spans="1:41" ht="15">
      <c r="A4923"/>
      <c r="B4923"/>
      <c r="C4923" s="137"/>
      <c r="D4923" s="30"/>
      <c r="E4923" s="30"/>
      <c r="F4923" s="10"/>
      <c r="G4923" s="10"/>
      <c r="H4923" s="15"/>
      <c r="I4923" s="15"/>
      <c r="J4923" s="15"/>
      <c r="K4923" s="15"/>
      <c r="L4923" s="15"/>
      <c r="M4923" s="15"/>
      <c r="N4923" s="15"/>
      <c r="O4923" s="15"/>
      <c r="P4923" s="15"/>
      <c r="Q4923" s="71"/>
      <c r="R4923" s="84"/>
      <c r="S4923" s="10"/>
      <c r="T4923" s="10"/>
      <c r="U4923" s="10"/>
      <c r="V4923" s="10"/>
      <c r="W4923" s="138"/>
      <c r="Y4923"/>
      <c r="Z4923"/>
      <c r="AA4923"/>
      <c r="AB4923"/>
      <c r="AC4923"/>
      <c r="AD4923"/>
      <c r="AE4923"/>
      <c r="AF4923"/>
      <c r="AG4923"/>
      <c r="AH4923"/>
      <c r="AI4923"/>
      <c r="AJ4923"/>
      <c r="AK4923"/>
      <c r="AL4923"/>
      <c r="AM4923"/>
      <c r="AN4923"/>
      <c r="AO4923"/>
    </row>
    <row r="4924" spans="1:41" ht="15">
      <c r="A4924"/>
      <c r="B4924"/>
      <c r="C4924" s="137"/>
      <c r="D4924" s="30"/>
      <c r="E4924" s="30"/>
      <c r="F4924" s="10"/>
      <c r="G4924" s="10"/>
      <c r="H4924" s="15"/>
      <c r="I4924" s="15"/>
      <c r="J4924" s="15"/>
      <c r="K4924" s="15"/>
      <c r="L4924" s="15"/>
      <c r="M4924" s="15"/>
      <c r="N4924" s="15"/>
      <c r="O4924" s="15"/>
      <c r="P4924" s="15"/>
      <c r="Q4924" s="71"/>
      <c r="R4924" s="84"/>
      <c r="S4924" s="10"/>
      <c r="T4924" s="10"/>
      <c r="U4924" s="10"/>
      <c r="V4924" s="10"/>
      <c r="W4924" s="138"/>
      <c r="Y4924"/>
      <c r="Z4924"/>
      <c r="AA4924"/>
      <c r="AB4924"/>
      <c r="AC4924"/>
      <c r="AD4924"/>
      <c r="AE4924"/>
      <c r="AF4924"/>
      <c r="AG4924"/>
      <c r="AH4924"/>
      <c r="AI4924"/>
      <c r="AJ4924"/>
      <c r="AK4924"/>
      <c r="AL4924"/>
      <c r="AM4924"/>
      <c r="AN4924"/>
      <c r="AO4924"/>
    </row>
    <row r="4925" spans="1:41" ht="15">
      <c r="A4925"/>
      <c r="B4925"/>
      <c r="C4925" s="137"/>
      <c r="D4925" s="30"/>
      <c r="E4925" s="30"/>
      <c r="F4925" s="10"/>
      <c r="G4925" s="10"/>
      <c r="H4925" s="15"/>
      <c r="I4925" s="15"/>
      <c r="J4925" s="15"/>
      <c r="K4925" s="15"/>
      <c r="L4925" s="15"/>
      <c r="M4925" s="15"/>
      <c r="N4925" s="15"/>
      <c r="O4925" s="15"/>
      <c r="P4925" s="15"/>
      <c r="Q4925" s="71"/>
      <c r="R4925" s="84"/>
      <c r="S4925" s="10"/>
      <c r="T4925" s="10"/>
      <c r="U4925" s="10"/>
      <c r="V4925" s="10"/>
      <c r="W4925" s="138"/>
      <c r="Y4925"/>
      <c r="Z4925"/>
      <c r="AA4925"/>
      <c r="AB4925"/>
      <c r="AC4925"/>
      <c r="AD4925"/>
      <c r="AE4925"/>
      <c r="AF4925"/>
      <c r="AG4925"/>
      <c r="AH4925"/>
      <c r="AI4925"/>
      <c r="AJ4925"/>
      <c r="AK4925"/>
      <c r="AL4925"/>
      <c r="AM4925"/>
      <c r="AN4925"/>
      <c r="AO4925"/>
    </row>
    <row r="4926" spans="1:41" ht="15">
      <c r="A4926"/>
      <c r="B4926"/>
      <c r="C4926" s="137"/>
      <c r="D4926" s="30"/>
      <c r="E4926" s="30"/>
      <c r="F4926" s="10"/>
      <c r="G4926" s="10"/>
      <c r="H4926" s="15"/>
      <c r="I4926" s="15"/>
      <c r="J4926" s="15"/>
      <c r="K4926" s="15"/>
      <c r="L4926" s="15"/>
      <c r="M4926" s="15"/>
      <c r="N4926" s="15"/>
      <c r="O4926" s="15"/>
      <c r="P4926" s="15"/>
      <c r="Q4926" s="71"/>
      <c r="R4926" s="84"/>
      <c r="S4926" s="10"/>
      <c r="T4926" s="10"/>
      <c r="U4926" s="10"/>
      <c r="V4926" s="10"/>
      <c r="W4926" s="138"/>
      <c r="Y4926"/>
      <c r="Z4926"/>
      <c r="AA4926"/>
      <c r="AB4926"/>
      <c r="AC4926"/>
      <c r="AD4926"/>
      <c r="AE4926"/>
      <c r="AF4926"/>
      <c r="AG4926"/>
      <c r="AH4926"/>
      <c r="AI4926"/>
      <c r="AJ4926"/>
      <c r="AK4926"/>
      <c r="AL4926"/>
      <c r="AM4926"/>
      <c r="AN4926"/>
      <c r="AO4926"/>
    </row>
    <row r="4927" spans="1:41" ht="15">
      <c r="A4927"/>
      <c r="B4927"/>
      <c r="C4927" s="137"/>
      <c r="D4927" s="30"/>
      <c r="E4927" s="30"/>
      <c r="F4927" s="10"/>
      <c r="G4927" s="10"/>
      <c r="H4927" s="15"/>
      <c r="I4927" s="15"/>
      <c r="J4927" s="15"/>
      <c r="K4927" s="15"/>
      <c r="L4927" s="15"/>
      <c r="M4927" s="15"/>
      <c r="N4927" s="15"/>
      <c r="O4927" s="15"/>
      <c r="P4927" s="15"/>
      <c r="Q4927" s="71"/>
      <c r="R4927" s="84"/>
      <c r="S4927" s="10"/>
      <c r="T4927" s="10"/>
      <c r="U4927" s="10"/>
      <c r="V4927" s="10"/>
      <c r="W4927" s="138"/>
      <c r="Y4927"/>
      <c r="Z4927"/>
      <c r="AA4927"/>
      <c r="AB4927"/>
      <c r="AC4927"/>
      <c r="AD4927"/>
      <c r="AE4927"/>
      <c r="AF4927"/>
      <c r="AG4927"/>
      <c r="AH4927"/>
      <c r="AI4927"/>
      <c r="AJ4927"/>
      <c r="AK4927"/>
      <c r="AL4927"/>
      <c r="AM4927"/>
      <c r="AN4927"/>
      <c r="AO4927"/>
    </row>
    <row r="4928" spans="1:41" ht="15">
      <c r="A4928"/>
      <c r="B4928"/>
      <c r="C4928" s="137"/>
      <c r="D4928" s="30"/>
      <c r="E4928" s="30"/>
      <c r="F4928" s="10"/>
      <c r="G4928" s="10"/>
      <c r="H4928" s="15"/>
      <c r="I4928" s="15"/>
      <c r="J4928" s="15"/>
      <c r="K4928" s="15"/>
      <c r="L4928" s="15"/>
      <c r="M4928" s="15"/>
      <c r="N4928" s="15"/>
      <c r="O4928" s="15"/>
      <c r="P4928" s="15"/>
      <c r="Q4928" s="71"/>
      <c r="R4928" s="84"/>
      <c r="S4928" s="10"/>
      <c r="T4928" s="10"/>
      <c r="U4928" s="10"/>
      <c r="V4928" s="10"/>
      <c r="W4928" s="138"/>
      <c r="Y4928"/>
      <c r="Z4928"/>
      <c r="AA4928"/>
      <c r="AB4928"/>
      <c r="AC4928"/>
      <c r="AD4928"/>
      <c r="AE4928"/>
      <c r="AF4928"/>
      <c r="AG4928"/>
      <c r="AH4928"/>
      <c r="AI4928"/>
      <c r="AJ4928"/>
      <c r="AK4928"/>
      <c r="AL4928"/>
      <c r="AM4928"/>
      <c r="AN4928"/>
      <c r="AO4928"/>
    </row>
    <row r="4929" spans="1:41" ht="15">
      <c r="A4929"/>
      <c r="B4929"/>
      <c r="C4929" s="137"/>
      <c r="D4929" s="30"/>
      <c r="E4929" s="30"/>
      <c r="F4929" s="10"/>
      <c r="G4929" s="10"/>
      <c r="H4929" s="15"/>
      <c r="I4929" s="15"/>
      <c r="J4929" s="15"/>
      <c r="K4929" s="15"/>
      <c r="L4929" s="15"/>
      <c r="M4929" s="15"/>
      <c r="N4929" s="15"/>
      <c r="O4929" s="15"/>
      <c r="P4929" s="15"/>
      <c r="Q4929" s="71"/>
      <c r="R4929" s="84"/>
      <c r="S4929" s="10"/>
      <c r="T4929" s="10"/>
      <c r="U4929" s="10"/>
      <c r="V4929" s="10"/>
      <c r="W4929" s="138"/>
      <c r="Y4929"/>
      <c r="Z4929"/>
      <c r="AA4929"/>
      <c r="AB4929"/>
      <c r="AC4929"/>
      <c r="AD4929"/>
      <c r="AE4929"/>
      <c r="AF4929"/>
      <c r="AG4929"/>
      <c r="AH4929"/>
      <c r="AI4929"/>
      <c r="AJ4929"/>
      <c r="AK4929"/>
      <c r="AL4929"/>
      <c r="AM4929"/>
      <c r="AN4929"/>
      <c r="AO4929"/>
    </row>
    <row r="4930" spans="1:41" ht="15">
      <c r="A4930"/>
      <c r="B4930"/>
      <c r="C4930" s="137"/>
      <c r="D4930" s="30"/>
      <c r="E4930" s="30"/>
      <c r="F4930" s="10"/>
      <c r="G4930" s="10"/>
      <c r="H4930" s="15"/>
      <c r="I4930" s="15"/>
      <c r="J4930" s="15"/>
      <c r="K4930" s="15"/>
      <c r="L4930" s="15"/>
      <c r="M4930" s="15"/>
      <c r="N4930" s="15"/>
      <c r="O4930" s="15"/>
      <c r="P4930" s="15"/>
      <c r="Q4930" s="71"/>
      <c r="R4930" s="84"/>
      <c r="S4930" s="10"/>
      <c r="T4930" s="10"/>
      <c r="U4930" s="10"/>
      <c r="V4930" s="10"/>
      <c r="W4930" s="138"/>
      <c r="Y4930"/>
      <c r="Z4930"/>
      <c r="AA4930"/>
      <c r="AB4930"/>
      <c r="AC4930"/>
      <c r="AD4930"/>
      <c r="AE4930"/>
      <c r="AF4930"/>
      <c r="AG4930"/>
      <c r="AH4930"/>
      <c r="AI4930"/>
      <c r="AJ4930"/>
      <c r="AK4930"/>
      <c r="AL4930"/>
      <c r="AM4930"/>
      <c r="AN4930"/>
      <c r="AO4930"/>
    </row>
    <row r="4931" spans="1:41" ht="15">
      <c r="A4931"/>
      <c r="B4931"/>
      <c r="C4931" s="137"/>
      <c r="D4931" s="30"/>
      <c r="E4931" s="30"/>
      <c r="F4931" s="10"/>
      <c r="G4931" s="10"/>
      <c r="H4931" s="15"/>
      <c r="I4931" s="15"/>
      <c r="J4931" s="15"/>
      <c r="K4931" s="15"/>
      <c r="L4931" s="15"/>
      <c r="M4931" s="15"/>
      <c r="N4931" s="15"/>
      <c r="O4931" s="15"/>
      <c r="P4931" s="15"/>
      <c r="Q4931" s="71"/>
      <c r="R4931" s="84"/>
      <c r="S4931" s="10"/>
      <c r="T4931" s="10"/>
      <c r="U4931" s="10"/>
      <c r="V4931" s="10"/>
      <c r="W4931" s="138"/>
      <c r="Y4931"/>
      <c r="Z4931"/>
      <c r="AA4931"/>
      <c r="AB4931"/>
      <c r="AC4931"/>
      <c r="AD4931"/>
      <c r="AE4931"/>
      <c r="AF4931"/>
      <c r="AG4931"/>
      <c r="AH4931"/>
      <c r="AI4931"/>
      <c r="AJ4931"/>
      <c r="AK4931"/>
      <c r="AL4931"/>
      <c r="AM4931"/>
      <c r="AN4931"/>
      <c r="AO4931"/>
    </row>
    <row r="4932" spans="1:41" ht="15">
      <c r="A4932"/>
      <c r="B4932"/>
      <c r="C4932" s="137"/>
      <c r="D4932" s="30"/>
      <c r="E4932" s="30"/>
      <c r="F4932" s="10"/>
      <c r="G4932" s="10"/>
      <c r="H4932" s="15"/>
      <c r="I4932" s="15"/>
      <c r="J4932" s="15"/>
      <c r="K4932" s="15"/>
      <c r="L4932" s="15"/>
      <c r="M4932" s="15"/>
      <c r="N4932" s="15"/>
      <c r="O4932" s="15"/>
      <c r="P4932" s="15"/>
      <c r="Q4932" s="71"/>
      <c r="R4932" s="84"/>
      <c r="S4932" s="10"/>
      <c r="T4932" s="10"/>
      <c r="U4932" s="10"/>
      <c r="V4932" s="10"/>
      <c r="W4932" s="138"/>
      <c r="Y4932"/>
      <c r="Z4932"/>
      <c r="AA4932"/>
      <c r="AB4932"/>
      <c r="AC4932"/>
      <c r="AD4932"/>
      <c r="AE4932"/>
      <c r="AF4932"/>
      <c r="AG4932"/>
      <c r="AH4932"/>
      <c r="AI4932"/>
      <c r="AJ4932"/>
      <c r="AK4932"/>
      <c r="AL4932"/>
      <c r="AM4932"/>
      <c r="AN4932"/>
      <c r="AO4932"/>
    </row>
    <row r="4933" spans="1:41" ht="15">
      <c r="A4933"/>
      <c r="B4933"/>
      <c r="C4933" s="137"/>
      <c r="D4933" s="30"/>
      <c r="E4933" s="30"/>
      <c r="F4933" s="10"/>
      <c r="G4933" s="10"/>
      <c r="H4933" s="15"/>
      <c r="I4933" s="15"/>
      <c r="J4933" s="15"/>
      <c r="K4933" s="15"/>
      <c r="L4933" s="15"/>
      <c r="M4933" s="15"/>
      <c r="N4933" s="15"/>
      <c r="O4933" s="15"/>
      <c r="P4933" s="15"/>
      <c r="Q4933" s="71"/>
      <c r="R4933" s="84"/>
      <c r="S4933" s="10"/>
      <c r="T4933" s="10"/>
      <c r="U4933" s="10"/>
      <c r="V4933" s="10"/>
      <c r="W4933" s="138"/>
      <c r="Y4933"/>
      <c r="Z4933"/>
      <c r="AA4933"/>
      <c r="AB4933"/>
      <c r="AC4933"/>
      <c r="AD4933"/>
      <c r="AE4933"/>
      <c r="AF4933"/>
      <c r="AG4933"/>
      <c r="AH4933"/>
      <c r="AI4933"/>
      <c r="AJ4933"/>
      <c r="AK4933"/>
      <c r="AL4933"/>
      <c r="AM4933"/>
      <c r="AN4933"/>
      <c r="AO4933"/>
    </row>
    <row r="4934" spans="1:41" ht="15">
      <c r="A4934"/>
      <c r="B4934"/>
      <c r="C4934" s="137"/>
      <c r="D4934" s="30"/>
      <c r="E4934" s="30"/>
      <c r="F4934" s="10"/>
      <c r="G4934" s="10"/>
      <c r="H4934" s="15"/>
      <c r="I4934" s="15"/>
      <c r="J4934" s="15"/>
      <c r="K4934" s="15"/>
      <c r="L4934" s="15"/>
      <c r="M4934" s="15"/>
      <c r="N4934" s="15"/>
      <c r="O4934" s="15"/>
      <c r="P4934" s="15"/>
      <c r="Q4934" s="71"/>
      <c r="R4934" s="84"/>
      <c r="S4934" s="10"/>
      <c r="T4934" s="10"/>
      <c r="U4934" s="10"/>
      <c r="V4934" s="10"/>
      <c r="W4934" s="138"/>
      <c r="Y4934"/>
      <c r="Z4934"/>
      <c r="AA4934"/>
      <c r="AB4934"/>
      <c r="AC4934"/>
      <c r="AD4934"/>
      <c r="AE4934"/>
      <c r="AF4934"/>
      <c r="AG4934"/>
      <c r="AH4934"/>
      <c r="AI4934"/>
      <c r="AJ4934"/>
      <c r="AK4934"/>
      <c r="AL4934"/>
      <c r="AM4934"/>
      <c r="AN4934"/>
      <c r="AO4934"/>
    </row>
    <row r="4935" spans="1:41" ht="15">
      <c r="A4935"/>
      <c r="B4935"/>
      <c r="C4935" s="137"/>
      <c r="D4935" s="30"/>
      <c r="E4935" s="30"/>
      <c r="F4935" s="10"/>
      <c r="G4935" s="10"/>
      <c r="H4935" s="15"/>
      <c r="I4935" s="15"/>
      <c r="J4935" s="15"/>
      <c r="K4935" s="15"/>
      <c r="L4935" s="15"/>
      <c r="M4935" s="15"/>
      <c r="N4935" s="15"/>
      <c r="O4935" s="15"/>
      <c r="P4935" s="15"/>
      <c r="Q4935" s="71"/>
      <c r="R4935" s="84"/>
      <c r="S4935" s="10"/>
      <c r="T4935" s="10"/>
      <c r="U4935" s="10"/>
      <c r="V4935" s="10"/>
      <c r="W4935" s="138"/>
      <c r="Y4935"/>
      <c r="Z4935"/>
      <c r="AA4935"/>
      <c r="AB4935"/>
      <c r="AC4935"/>
      <c r="AD4935"/>
      <c r="AE4935"/>
      <c r="AF4935"/>
      <c r="AG4935"/>
      <c r="AH4935"/>
      <c r="AI4935"/>
      <c r="AJ4935"/>
      <c r="AK4935"/>
      <c r="AL4935"/>
      <c r="AM4935"/>
      <c r="AN4935"/>
      <c r="AO4935"/>
    </row>
    <row r="4936" spans="1:41" ht="15">
      <c r="A4936"/>
      <c r="B4936"/>
      <c r="C4936" s="137"/>
      <c r="D4936" s="30"/>
      <c r="E4936" s="30"/>
      <c r="F4936" s="10"/>
      <c r="G4936" s="10"/>
      <c r="H4936" s="15"/>
      <c r="I4936" s="15"/>
      <c r="J4936" s="15"/>
      <c r="K4936" s="15"/>
      <c r="L4936" s="15"/>
      <c r="M4936" s="15"/>
      <c r="N4936" s="15"/>
      <c r="O4936" s="15"/>
      <c r="P4936" s="15"/>
      <c r="Q4936" s="71"/>
      <c r="R4936" s="84"/>
      <c r="S4936" s="10"/>
      <c r="T4936" s="10"/>
      <c r="U4936" s="10"/>
      <c r="V4936" s="10"/>
      <c r="W4936" s="138"/>
      <c r="Y4936"/>
      <c r="Z4936"/>
      <c r="AA4936"/>
      <c r="AB4936"/>
      <c r="AC4936"/>
      <c r="AD4936"/>
      <c r="AE4936"/>
      <c r="AF4936"/>
      <c r="AG4936"/>
      <c r="AH4936"/>
      <c r="AI4936"/>
      <c r="AJ4936"/>
      <c r="AK4936"/>
      <c r="AL4936"/>
      <c r="AM4936"/>
      <c r="AN4936"/>
      <c r="AO4936"/>
    </row>
    <row r="4937" spans="1:41" ht="15">
      <c r="A4937"/>
      <c r="B4937"/>
      <c r="C4937" s="137"/>
      <c r="D4937" s="30"/>
      <c r="E4937" s="30"/>
      <c r="F4937" s="10"/>
      <c r="G4937" s="10"/>
      <c r="H4937" s="15"/>
      <c r="I4937" s="15"/>
      <c r="J4937" s="15"/>
      <c r="K4937" s="15"/>
      <c r="L4937" s="15"/>
      <c r="M4937" s="15"/>
      <c r="N4937" s="15"/>
      <c r="O4937" s="15"/>
      <c r="P4937" s="15"/>
      <c r="Q4937" s="71"/>
      <c r="R4937" s="84"/>
      <c r="S4937" s="10"/>
      <c r="T4937" s="10"/>
      <c r="U4937" s="10"/>
      <c r="V4937" s="10"/>
      <c r="W4937" s="138"/>
      <c r="Y4937"/>
      <c r="Z4937"/>
      <c r="AA4937"/>
      <c r="AB4937"/>
      <c r="AC4937"/>
      <c r="AD4937"/>
      <c r="AE4937"/>
      <c r="AF4937"/>
      <c r="AG4937"/>
      <c r="AH4937"/>
      <c r="AI4937"/>
      <c r="AJ4937"/>
      <c r="AK4937"/>
      <c r="AL4937"/>
      <c r="AM4937"/>
      <c r="AN4937"/>
      <c r="AO4937"/>
    </row>
    <row r="4938" spans="1:41" ht="15">
      <c r="A4938"/>
      <c r="B4938"/>
      <c r="C4938" s="137"/>
      <c r="D4938" s="30"/>
      <c r="E4938" s="30"/>
      <c r="F4938" s="10"/>
      <c r="G4938" s="10"/>
      <c r="H4938" s="15"/>
      <c r="I4938" s="15"/>
      <c r="J4938" s="15"/>
      <c r="K4938" s="15"/>
      <c r="L4938" s="15"/>
      <c r="M4938" s="15"/>
      <c r="N4938" s="15"/>
      <c r="O4938" s="15"/>
      <c r="P4938" s="15"/>
      <c r="Q4938" s="71"/>
      <c r="R4938" s="84"/>
      <c r="S4938" s="10"/>
      <c r="T4938" s="10"/>
      <c r="U4938" s="10"/>
      <c r="V4938" s="10"/>
      <c r="W4938" s="138"/>
      <c r="Y4938"/>
      <c r="Z4938"/>
      <c r="AA4938"/>
      <c r="AB4938"/>
      <c r="AC4938"/>
      <c r="AD4938"/>
      <c r="AE4938"/>
      <c r="AF4938"/>
      <c r="AG4938"/>
      <c r="AH4938"/>
      <c r="AI4938"/>
      <c r="AJ4938"/>
      <c r="AK4938"/>
      <c r="AL4938"/>
      <c r="AM4938"/>
      <c r="AN4938"/>
      <c r="AO4938"/>
    </row>
    <row r="4939" spans="1:41" ht="15">
      <c r="A4939"/>
      <c r="B4939"/>
      <c r="C4939" s="137"/>
      <c r="D4939" s="30"/>
      <c r="E4939" s="30"/>
      <c r="F4939" s="10"/>
      <c r="G4939" s="10"/>
      <c r="H4939" s="15"/>
      <c r="I4939" s="15"/>
      <c r="J4939" s="15"/>
      <c r="K4939" s="15"/>
      <c r="L4939" s="15"/>
      <c r="M4939" s="15"/>
      <c r="N4939" s="15"/>
      <c r="O4939" s="15"/>
      <c r="P4939" s="15"/>
      <c r="Q4939" s="71"/>
      <c r="R4939" s="84"/>
      <c r="S4939" s="10"/>
      <c r="T4939" s="10"/>
      <c r="U4939" s="10"/>
      <c r="V4939" s="10"/>
      <c r="W4939" s="138"/>
      <c r="Y4939"/>
      <c r="Z4939"/>
      <c r="AA4939"/>
      <c r="AB4939"/>
      <c r="AC4939"/>
      <c r="AD4939"/>
      <c r="AE4939"/>
      <c r="AF4939"/>
      <c r="AG4939"/>
      <c r="AH4939"/>
      <c r="AI4939"/>
      <c r="AJ4939"/>
      <c r="AK4939"/>
      <c r="AL4939"/>
      <c r="AM4939"/>
      <c r="AN4939"/>
      <c r="AO4939"/>
    </row>
    <row r="4940" spans="1:41" ht="15">
      <c r="A4940"/>
      <c r="B4940"/>
      <c r="C4940" s="137"/>
      <c r="D4940" s="30"/>
      <c r="E4940" s="30"/>
      <c r="F4940" s="10"/>
      <c r="G4940" s="10"/>
      <c r="H4940" s="15"/>
      <c r="I4940" s="15"/>
      <c r="J4940" s="15"/>
      <c r="K4940" s="15"/>
      <c r="L4940" s="15"/>
      <c r="M4940" s="15"/>
      <c r="N4940" s="15"/>
      <c r="O4940" s="15"/>
      <c r="P4940" s="15"/>
      <c r="Q4940" s="71"/>
      <c r="R4940" s="84"/>
      <c r="S4940" s="10"/>
      <c r="T4940" s="10"/>
      <c r="U4940" s="10"/>
      <c r="V4940" s="10"/>
      <c r="W4940" s="138"/>
      <c r="Y4940"/>
      <c r="Z4940"/>
      <c r="AA4940"/>
      <c r="AB4940"/>
      <c r="AC4940"/>
      <c r="AD4940"/>
      <c r="AE4940"/>
      <c r="AF4940"/>
      <c r="AG4940"/>
      <c r="AH4940"/>
      <c r="AI4940"/>
      <c r="AJ4940"/>
      <c r="AK4940"/>
      <c r="AL4940"/>
      <c r="AM4940"/>
      <c r="AN4940"/>
      <c r="AO4940"/>
    </row>
    <row r="4941" spans="1:41" ht="15">
      <c r="A4941"/>
      <c r="B4941"/>
      <c r="C4941" s="137"/>
      <c r="D4941" s="30"/>
      <c r="E4941" s="30"/>
      <c r="F4941" s="10"/>
      <c r="G4941" s="10"/>
      <c r="H4941" s="15"/>
      <c r="I4941" s="15"/>
      <c r="J4941" s="15"/>
      <c r="K4941" s="15"/>
      <c r="L4941" s="15"/>
      <c r="M4941" s="15"/>
      <c r="N4941" s="15"/>
      <c r="O4941" s="15"/>
      <c r="P4941" s="15"/>
      <c r="Q4941" s="71"/>
      <c r="R4941" s="84"/>
      <c r="S4941" s="10"/>
      <c r="T4941" s="10"/>
      <c r="U4941" s="10"/>
      <c r="V4941" s="10"/>
      <c r="W4941" s="138"/>
      <c r="Y4941"/>
      <c r="Z4941"/>
      <c r="AA4941"/>
      <c r="AB4941"/>
      <c r="AC4941"/>
      <c r="AD4941"/>
      <c r="AE4941"/>
      <c r="AF4941"/>
      <c r="AG4941"/>
      <c r="AH4941"/>
      <c r="AI4941"/>
      <c r="AJ4941"/>
      <c r="AK4941"/>
      <c r="AL4941"/>
      <c r="AM4941"/>
      <c r="AN4941"/>
      <c r="AO4941"/>
    </row>
    <row r="4942" spans="1:41" ht="15">
      <c r="A4942"/>
      <c r="B4942"/>
      <c r="C4942" s="137"/>
      <c r="D4942" s="30"/>
      <c r="E4942" s="30"/>
      <c r="F4942" s="10"/>
      <c r="G4942" s="10"/>
      <c r="H4942" s="15"/>
      <c r="I4942" s="15"/>
      <c r="J4942" s="15"/>
      <c r="K4942" s="15"/>
      <c r="L4942" s="15"/>
      <c r="M4942" s="15"/>
      <c r="N4942" s="15"/>
      <c r="O4942" s="15"/>
      <c r="P4942" s="15"/>
      <c r="Q4942" s="71"/>
      <c r="R4942" s="84"/>
      <c r="S4942" s="10"/>
      <c r="T4942" s="10"/>
      <c r="U4942" s="10"/>
      <c r="V4942" s="10"/>
      <c r="W4942" s="138"/>
      <c r="Y4942"/>
      <c r="Z4942"/>
      <c r="AA4942"/>
      <c r="AB4942"/>
      <c r="AC4942"/>
      <c r="AD4942"/>
      <c r="AE4942"/>
      <c r="AF4942"/>
      <c r="AG4942"/>
      <c r="AH4942"/>
      <c r="AI4942"/>
      <c r="AJ4942"/>
      <c r="AK4942"/>
      <c r="AL4942"/>
      <c r="AM4942"/>
      <c r="AN4942"/>
      <c r="AO4942"/>
    </row>
    <row r="4943" spans="1:41" ht="15">
      <c r="A4943"/>
      <c r="B4943"/>
      <c r="C4943" s="137"/>
      <c r="D4943" s="30"/>
      <c r="E4943" s="30"/>
      <c r="F4943" s="10"/>
      <c r="G4943" s="10"/>
      <c r="H4943" s="15"/>
      <c r="I4943" s="15"/>
      <c r="J4943" s="15"/>
      <c r="K4943" s="15"/>
      <c r="L4943" s="15"/>
      <c r="M4943" s="15"/>
      <c r="N4943" s="15"/>
      <c r="O4943" s="15"/>
      <c r="P4943" s="15"/>
      <c r="Q4943" s="71"/>
      <c r="R4943" s="84"/>
      <c r="S4943" s="10"/>
      <c r="T4943" s="10"/>
      <c r="U4943" s="10"/>
      <c r="V4943" s="10"/>
      <c r="W4943" s="138"/>
      <c r="Y4943"/>
      <c r="Z4943"/>
      <c r="AA4943"/>
      <c r="AB4943"/>
      <c r="AC4943"/>
      <c r="AD4943"/>
      <c r="AE4943"/>
      <c r="AF4943"/>
      <c r="AG4943"/>
      <c r="AH4943"/>
      <c r="AI4943"/>
      <c r="AJ4943"/>
      <c r="AK4943"/>
      <c r="AL4943"/>
      <c r="AM4943"/>
      <c r="AN4943"/>
      <c r="AO4943"/>
    </row>
    <row r="4944" spans="1:41" ht="15">
      <c r="A4944"/>
      <c r="B4944"/>
      <c r="C4944" s="137"/>
      <c r="D4944" s="30"/>
      <c r="E4944" s="30"/>
      <c r="F4944" s="10"/>
      <c r="G4944" s="10"/>
      <c r="H4944" s="15"/>
      <c r="I4944" s="15"/>
      <c r="J4944" s="15"/>
      <c r="K4944" s="15"/>
      <c r="L4944" s="15"/>
      <c r="M4944" s="15"/>
      <c r="N4944" s="15"/>
      <c r="O4944" s="15"/>
      <c r="P4944" s="15"/>
      <c r="Q4944" s="71"/>
      <c r="R4944" s="84"/>
      <c r="S4944" s="10"/>
      <c r="T4944" s="10"/>
      <c r="U4944" s="10"/>
      <c r="V4944" s="10"/>
      <c r="W4944" s="138"/>
      <c r="Y4944"/>
      <c r="Z4944"/>
      <c r="AA4944"/>
      <c r="AB4944"/>
      <c r="AC4944"/>
      <c r="AD4944"/>
      <c r="AE4944"/>
      <c r="AF4944"/>
      <c r="AG4944"/>
      <c r="AH4944"/>
      <c r="AI4944"/>
      <c r="AJ4944"/>
      <c r="AK4944"/>
      <c r="AL4944"/>
      <c r="AM4944"/>
      <c r="AN4944"/>
      <c r="AO4944"/>
    </row>
    <row r="4945" spans="1:41" ht="15">
      <c r="A4945"/>
      <c r="B4945"/>
      <c r="C4945" s="137"/>
      <c r="D4945" s="30"/>
      <c r="E4945" s="30"/>
      <c r="F4945" s="10"/>
      <c r="G4945" s="10"/>
      <c r="H4945" s="15"/>
      <c r="I4945" s="15"/>
      <c r="J4945" s="15"/>
      <c r="K4945" s="15"/>
      <c r="L4945" s="15"/>
      <c r="M4945" s="15"/>
      <c r="N4945" s="15"/>
      <c r="O4945" s="15"/>
      <c r="P4945" s="15"/>
      <c r="Q4945" s="71"/>
      <c r="R4945" s="84"/>
      <c r="S4945" s="10"/>
      <c r="T4945" s="10"/>
      <c r="U4945" s="10"/>
      <c r="V4945" s="10"/>
      <c r="W4945" s="138"/>
      <c r="Y4945"/>
      <c r="Z4945"/>
      <c r="AA4945"/>
      <c r="AB4945"/>
      <c r="AC4945"/>
      <c r="AD4945"/>
      <c r="AE4945"/>
      <c r="AF4945"/>
      <c r="AG4945"/>
      <c r="AH4945"/>
      <c r="AI4945"/>
      <c r="AJ4945"/>
      <c r="AK4945"/>
      <c r="AL4945"/>
      <c r="AM4945"/>
      <c r="AN4945"/>
      <c r="AO4945"/>
    </row>
    <row r="4946" spans="1:41" ht="15">
      <c r="A4946"/>
      <c r="B4946"/>
      <c r="C4946" s="137"/>
      <c r="D4946" s="30"/>
      <c r="E4946" s="30"/>
      <c r="F4946" s="10"/>
      <c r="G4946" s="10"/>
      <c r="H4946" s="15"/>
      <c r="I4946" s="15"/>
      <c r="J4946" s="15"/>
      <c r="K4946" s="15"/>
      <c r="L4946" s="15"/>
      <c r="M4946" s="15"/>
      <c r="N4946" s="15"/>
      <c r="O4946" s="15"/>
      <c r="P4946" s="15"/>
      <c r="Q4946" s="71"/>
      <c r="R4946" s="84"/>
      <c r="S4946" s="10"/>
      <c r="T4946" s="10"/>
      <c r="U4946" s="10"/>
      <c r="V4946" s="10"/>
      <c r="W4946" s="138"/>
      <c r="Y4946"/>
      <c r="Z4946"/>
      <c r="AA4946"/>
      <c r="AB4946"/>
      <c r="AC4946"/>
      <c r="AD4946"/>
      <c r="AE4946"/>
      <c r="AF4946"/>
      <c r="AG4946"/>
      <c r="AH4946"/>
      <c r="AI4946"/>
      <c r="AJ4946"/>
      <c r="AK4946"/>
      <c r="AL4946"/>
      <c r="AM4946"/>
      <c r="AN4946"/>
      <c r="AO4946"/>
    </row>
    <row r="4947" spans="1:41" ht="15">
      <c r="A4947"/>
      <c r="B4947"/>
      <c r="C4947" s="137"/>
      <c r="D4947" s="30"/>
      <c r="E4947" s="30"/>
      <c r="F4947" s="10"/>
      <c r="G4947" s="10"/>
      <c r="H4947" s="15"/>
      <c r="I4947" s="15"/>
      <c r="J4947" s="15"/>
      <c r="K4947" s="15"/>
      <c r="L4947" s="15"/>
      <c r="M4947" s="15"/>
      <c r="N4947" s="15"/>
      <c r="O4947" s="15"/>
      <c r="P4947" s="15"/>
      <c r="Q4947" s="71"/>
      <c r="R4947" s="84"/>
      <c r="S4947" s="10"/>
      <c r="T4947" s="10"/>
      <c r="U4947" s="10"/>
      <c r="V4947" s="10"/>
      <c r="W4947" s="138"/>
      <c r="Y4947"/>
      <c r="Z4947"/>
      <c r="AA4947"/>
      <c r="AB4947"/>
      <c r="AC4947"/>
      <c r="AD4947"/>
      <c r="AE4947"/>
      <c r="AF4947"/>
      <c r="AG4947"/>
      <c r="AH4947"/>
      <c r="AI4947"/>
      <c r="AJ4947"/>
      <c r="AK4947"/>
      <c r="AL4947"/>
      <c r="AM4947"/>
      <c r="AN4947"/>
      <c r="AO4947"/>
    </row>
    <row r="4948" spans="1:41" ht="15">
      <c r="A4948"/>
      <c r="B4948"/>
      <c r="C4948" s="137"/>
      <c r="D4948" s="30"/>
      <c r="E4948" s="30"/>
      <c r="F4948" s="10"/>
      <c r="G4948" s="10"/>
      <c r="H4948" s="15"/>
      <c r="I4948" s="15"/>
      <c r="J4948" s="15"/>
      <c r="K4948" s="15"/>
      <c r="L4948" s="15"/>
      <c r="M4948" s="15"/>
      <c r="N4948" s="15"/>
      <c r="O4948" s="15"/>
      <c r="P4948" s="15"/>
      <c r="Q4948" s="71"/>
      <c r="R4948" s="84"/>
      <c r="S4948" s="10"/>
      <c r="T4948" s="10"/>
      <c r="U4948" s="10"/>
      <c r="V4948" s="10"/>
      <c r="W4948" s="138"/>
      <c r="Y4948"/>
      <c r="Z4948"/>
      <c r="AA4948"/>
      <c r="AB4948"/>
      <c r="AC4948"/>
      <c r="AD4948"/>
      <c r="AE4948"/>
      <c r="AF4948"/>
      <c r="AG4948"/>
      <c r="AH4948"/>
      <c r="AI4948"/>
      <c r="AJ4948"/>
      <c r="AK4948"/>
      <c r="AL4948"/>
      <c r="AM4948"/>
      <c r="AN4948"/>
      <c r="AO4948"/>
    </row>
    <row r="4949" spans="1:41" ht="15">
      <c r="A4949"/>
      <c r="B4949"/>
      <c r="C4949" s="137"/>
      <c r="D4949" s="30"/>
      <c r="E4949" s="30"/>
      <c r="F4949" s="10"/>
      <c r="G4949" s="10"/>
      <c r="H4949" s="15"/>
      <c r="I4949" s="15"/>
      <c r="J4949" s="15"/>
      <c r="K4949" s="15"/>
      <c r="L4949" s="15"/>
      <c r="M4949" s="15"/>
      <c r="N4949" s="15"/>
      <c r="O4949" s="15"/>
      <c r="P4949" s="15"/>
      <c r="Q4949" s="71"/>
      <c r="R4949" s="84"/>
      <c r="S4949" s="10"/>
      <c r="T4949" s="10"/>
      <c r="U4949" s="10"/>
      <c r="V4949" s="10"/>
      <c r="W4949" s="138"/>
      <c r="Y4949"/>
      <c r="Z4949"/>
      <c r="AA4949"/>
      <c r="AB4949"/>
      <c r="AC4949"/>
      <c r="AD4949"/>
      <c r="AE4949"/>
      <c r="AF4949"/>
      <c r="AG4949"/>
      <c r="AH4949"/>
      <c r="AI4949"/>
      <c r="AJ4949"/>
      <c r="AK4949"/>
      <c r="AL4949"/>
      <c r="AM4949"/>
      <c r="AN4949"/>
      <c r="AO4949"/>
    </row>
    <row r="4950" spans="1:41" ht="15">
      <c r="A4950"/>
      <c r="B4950"/>
      <c r="C4950" s="137"/>
      <c r="D4950" s="30"/>
      <c r="E4950" s="30"/>
      <c r="F4950" s="10"/>
      <c r="G4950" s="10"/>
      <c r="H4950" s="15"/>
      <c r="I4950" s="15"/>
      <c r="J4950" s="15"/>
      <c r="K4950" s="15"/>
      <c r="L4950" s="15"/>
      <c r="M4950" s="15"/>
      <c r="N4950" s="15"/>
      <c r="O4950" s="15"/>
      <c r="P4950" s="15"/>
      <c r="Q4950" s="71"/>
      <c r="R4950" s="84"/>
      <c r="S4950" s="10"/>
      <c r="T4950" s="10"/>
      <c r="U4950" s="10"/>
      <c r="V4950" s="10"/>
      <c r="W4950" s="138"/>
      <c r="Y4950"/>
      <c r="Z4950"/>
      <c r="AA4950"/>
      <c r="AB4950"/>
      <c r="AC4950"/>
      <c r="AD4950"/>
      <c r="AE4950"/>
      <c r="AF4950"/>
      <c r="AG4950"/>
      <c r="AH4950"/>
      <c r="AI4950"/>
      <c r="AJ4950"/>
      <c r="AK4950"/>
      <c r="AL4950"/>
      <c r="AM4950"/>
      <c r="AN4950"/>
      <c r="AO4950"/>
    </row>
    <row r="4951" spans="1:41" ht="15">
      <c r="A4951"/>
      <c r="B4951"/>
      <c r="C4951" s="137"/>
      <c r="D4951" s="30"/>
      <c r="E4951" s="30"/>
      <c r="F4951" s="10"/>
      <c r="G4951" s="10"/>
      <c r="H4951" s="15"/>
      <c r="I4951" s="15"/>
      <c r="J4951" s="15"/>
      <c r="K4951" s="15"/>
      <c r="L4951" s="15"/>
      <c r="M4951" s="15"/>
      <c r="N4951" s="15"/>
      <c r="O4951" s="15"/>
      <c r="P4951" s="15"/>
      <c r="Q4951" s="71"/>
      <c r="R4951" s="84"/>
      <c r="S4951" s="10"/>
      <c r="T4951" s="10"/>
      <c r="U4951" s="10"/>
      <c r="V4951" s="10"/>
      <c r="W4951" s="138"/>
      <c r="Y4951"/>
      <c r="Z4951"/>
      <c r="AA4951"/>
      <c r="AB4951"/>
      <c r="AC4951"/>
      <c r="AD4951"/>
      <c r="AE4951"/>
      <c r="AF4951"/>
      <c r="AG4951"/>
      <c r="AH4951"/>
      <c r="AI4951"/>
      <c r="AJ4951"/>
      <c r="AK4951"/>
      <c r="AL4951"/>
      <c r="AM4951"/>
      <c r="AN4951"/>
      <c r="AO4951"/>
    </row>
    <row r="4952" spans="1:41" ht="15">
      <c r="A4952"/>
      <c r="B4952"/>
      <c r="C4952" s="137"/>
      <c r="D4952" s="30"/>
      <c r="E4952" s="30"/>
      <c r="F4952" s="10"/>
      <c r="G4952" s="10"/>
      <c r="H4952" s="15"/>
      <c r="I4952" s="15"/>
      <c r="J4952" s="15"/>
      <c r="K4952" s="15"/>
      <c r="L4952" s="15"/>
      <c r="M4952" s="15"/>
      <c r="N4952" s="15"/>
      <c r="O4952" s="15"/>
      <c r="P4952" s="15"/>
      <c r="Q4952" s="71"/>
      <c r="R4952" s="84"/>
      <c r="S4952" s="10"/>
      <c r="T4952" s="10"/>
      <c r="U4952" s="10"/>
      <c r="V4952" s="10"/>
      <c r="W4952" s="138"/>
      <c r="Y4952"/>
      <c r="Z4952"/>
      <c r="AA4952"/>
      <c r="AB4952"/>
      <c r="AC4952"/>
      <c r="AD4952"/>
      <c r="AE4952"/>
      <c r="AF4952"/>
      <c r="AG4952"/>
      <c r="AH4952"/>
      <c r="AI4952"/>
      <c r="AJ4952"/>
      <c r="AK4952"/>
      <c r="AL4952"/>
      <c r="AM4952"/>
      <c r="AN4952"/>
      <c r="AO4952"/>
    </row>
    <row r="4953" spans="1:41" ht="15">
      <c r="A4953"/>
      <c r="B4953"/>
      <c r="C4953" s="137"/>
      <c r="D4953" s="30"/>
      <c r="E4953" s="30"/>
      <c r="F4953" s="10"/>
      <c r="G4953" s="10"/>
      <c r="H4953" s="15"/>
      <c r="I4953" s="15"/>
      <c r="J4953" s="15"/>
      <c r="K4953" s="15"/>
      <c r="L4953" s="15"/>
      <c r="M4953" s="15"/>
      <c r="N4953" s="15"/>
      <c r="O4953" s="15"/>
      <c r="P4953" s="15"/>
      <c r="Q4953" s="71"/>
      <c r="R4953" s="84"/>
      <c r="S4953" s="10"/>
      <c r="T4953" s="10"/>
      <c r="U4953" s="10"/>
      <c r="V4953" s="10"/>
      <c r="W4953" s="138"/>
      <c r="Y4953"/>
      <c r="Z4953"/>
      <c r="AA4953"/>
      <c r="AB4953"/>
      <c r="AC4953"/>
      <c r="AD4953"/>
      <c r="AE4953"/>
      <c r="AF4953"/>
      <c r="AG4953"/>
      <c r="AH4953"/>
      <c r="AI4953"/>
      <c r="AJ4953"/>
      <c r="AK4953"/>
      <c r="AL4953"/>
      <c r="AM4953"/>
      <c r="AN4953"/>
      <c r="AO4953"/>
    </row>
    <row r="4954" spans="1:41" ht="15">
      <c r="A4954"/>
      <c r="B4954"/>
      <c r="C4954" s="137"/>
      <c r="D4954" s="30"/>
      <c r="E4954" s="30"/>
      <c r="F4954" s="10"/>
      <c r="G4954" s="10"/>
      <c r="H4954" s="15"/>
      <c r="I4954" s="15"/>
      <c r="J4954" s="15"/>
      <c r="K4954" s="15"/>
      <c r="L4954" s="15"/>
      <c r="M4954" s="15"/>
      <c r="N4954" s="15"/>
      <c r="O4954" s="15"/>
      <c r="P4954" s="15"/>
      <c r="Q4954" s="71"/>
      <c r="R4954" s="84"/>
      <c r="S4954" s="10"/>
      <c r="T4954" s="10"/>
      <c r="U4954" s="10"/>
      <c r="V4954" s="10"/>
      <c r="W4954" s="138"/>
      <c r="Y4954"/>
      <c r="Z4954"/>
      <c r="AA4954"/>
      <c r="AB4954"/>
      <c r="AC4954"/>
      <c r="AD4954"/>
      <c r="AE4954"/>
      <c r="AF4954"/>
      <c r="AG4954"/>
      <c r="AH4954"/>
      <c r="AI4954"/>
      <c r="AJ4954"/>
      <c r="AK4954"/>
      <c r="AL4954"/>
      <c r="AM4954"/>
      <c r="AN4954"/>
      <c r="AO4954"/>
    </row>
    <row r="4955" spans="1:41" ht="15">
      <c r="A4955"/>
      <c r="B4955"/>
      <c r="C4955" s="137"/>
      <c r="D4955" s="30"/>
      <c r="E4955" s="30"/>
      <c r="F4955" s="10"/>
      <c r="G4955" s="10"/>
      <c r="H4955" s="15"/>
      <c r="I4955" s="15"/>
      <c r="J4955" s="15"/>
      <c r="K4955" s="15"/>
      <c r="L4955" s="15"/>
      <c r="M4955" s="15"/>
      <c r="N4955" s="15"/>
      <c r="O4955" s="15"/>
      <c r="P4955" s="15"/>
      <c r="Q4955" s="71"/>
      <c r="R4955" s="84"/>
      <c r="S4955" s="10"/>
      <c r="T4955" s="10"/>
      <c r="U4955" s="10"/>
      <c r="V4955" s="10"/>
      <c r="W4955" s="138"/>
      <c r="Y4955"/>
      <c r="Z4955"/>
      <c r="AA4955"/>
      <c r="AB4955"/>
      <c r="AC4955"/>
      <c r="AD4955"/>
      <c r="AE4955"/>
      <c r="AF4955"/>
      <c r="AG4955"/>
      <c r="AH4955"/>
      <c r="AI4955"/>
      <c r="AJ4955"/>
      <c r="AK4955"/>
      <c r="AL4955"/>
      <c r="AM4955"/>
      <c r="AN4955"/>
      <c r="AO4955"/>
    </row>
    <row r="4956" spans="1:41" ht="15">
      <c r="A4956"/>
      <c r="B4956"/>
      <c r="C4956" s="137"/>
      <c r="D4956" s="30"/>
      <c r="E4956" s="30"/>
      <c r="F4956" s="10"/>
      <c r="G4956" s="10"/>
      <c r="H4956" s="15"/>
      <c r="I4956" s="15"/>
      <c r="J4956" s="15"/>
      <c r="K4956" s="15"/>
      <c r="L4956" s="15"/>
      <c r="M4956" s="15"/>
      <c r="N4956" s="15"/>
      <c r="O4956" s="15"/>
      <c r="P4956" s="15"/>
      <c r="Q4956" s="71"/>
      <c r="R4956" s="84"/>
      <c r="S4956" s="10"/>
      <c r="T4956" s="10"/>
      <c r="U4956" s="10"/>
      <c r="V4956" s="10"/>
      <c r="W4956" s="138"/>
      <c r="Y4956"/>
      <c r="Z4956"/>
      <c r="AA4956"/>
      <c r="AB4956"/>
      <c r="AC4956"/>
      <c r="AD4956"/>
      <c r="AE4956"/>
      <c r="AF4956"/>
      <c r="AG4956"/>
      <c r="AH4956"/>
      <c r="AI4956"/>
      <c r="AJ4956"/>
      <c r="AK4956"/>
      <c r="AL4956"/>
      <c r="AM4956"/>
      <c r="AN4956"/>
      <c r="AO4956"/>
    </row>
    <row r="4957" spans="1:41" ht="15">
      <c r="A4957"/>
      <c r="B4957"/>
      <c r="C4957" s="137"/>
      <c r="D4957" s="30"/>
      <c r="E4957" s="30"/>
      <c r="F4957" s="10"/>
      <c r="G4957" s="10"/>
      <c r="H4957" s="15"/>
      <c r="I4957" s="15"/>
      <c r="J4957" s="15"/>
      <c r="K4957" s="15"/>
      <c r="L4957" s="15"/>
      <c r="M4957" s="15"/>
      <c r="N4957" s="15"/>
      <c r="O4957" s="15"/>
      <c r="P4957" s="15"/>
      <c r="Q4957" s="71"/>
      <c r="R4957" s="84"/>
      <c r="S4957" s="10"/>
      <c r="T4957" s="10"/>
      <c r="U4957" s="10"/>
      <c r="V4957" s="10"/>
      <c r="W4957" s="138"/>
      <c r="Y4957"/>
      <c r="Z4957"/>
      <c r="AA4957"/>
      <c r="AB4957"/>
      <c r="AC4957"/>
      <c r="AD4957"/>
      <c r="AE4957"/>
      <c r="AF4957"/>
      <c r="AG4957"/>
      <c r="AH4957"/>
      <c r="AI4957"/>
      <c r="AJ4957"/>
      <c r="AK4957"/>
      <c r="AL4957"/>
      <c r="AM4957"/>
      <c r="AN4957"/>
      <c r="AO4957"/>
    </row>
    <row r="4958" spans="1:41" ht="15">
      <c r="A4958"/>
      <c r="B4958"/>
      <c r="C4958" s="137"/>
      <c r="D4958" s="30"/>
      <c r="E4958" s="30"/>
      <c r="F4958" s="10"/>
      <c r="G4958" s="10"/>
      <c r="H4958" s="15"/>
      <c r="I4958" s="15"/>
      <c r="J4958" s="15"/>
      <c r="K4958" s="15"/>
      <c r="L4958" s="15"/>
      <c r="M4958" s="15"/>
      <c r="N4958" s="15"/>
      <c r="O4958" s="15"/>
      <c r="P4958" s="15"/>
      <c r="Q4958" s="71"/>
      <c r="R4958" s="84"/>
      <c r="S4958" s="10"/>
      <c r="T4958" s="10"/>
      <c r="U4958" s="10"/>
      <c r="V4958" s="10"/>
      <c r="W4958" s="138"/>
      <c r="Y4958"/>
      <c r="Z4958"/>
      <c r="AA4958"/>
      <c r="AB4958"/>
      <c r="AC4958"/>
      <c r="AD4958"/>
      <c r="AE4958"/>
      <c r="AF4958"/>
      <c r="AG4958"/>
      <c r="AH4958"/>
      <c r="AI4958"/>
      <c r="AJ4958"/>
      <c r="AK4958"/>
      <c r="AL4958"/>
      <c r="AM4958"/>
      <c r="AN4958"/>
      <c r="AO4958"/>
    </row>
    <row r="4959" spans="1:41" ht="15">
      <c r="A4959"/>
      <c r="B4959"/>
      <c r="C4959" s="137"/>
      <c r="D4959" s="30"/>
      <c r="E4959" s="30"/>
      <c r="F4959" s="10"/>
      <c r="G4959" s="10"/>
      <c r="H4959" s="15"/>
      <c r="I4959" s="15"/>
      <c r="J4959" s="15"/>
      <c r="K4959" s="15"/>
      <c r="L4959" s="15"/>
      <c r="M4959" s="15"/>
      <c r="N4959" s="15"/>
      <c r="O4959" s="15"/>
      <c r="P4959" s="15"/>
      <c r="Q4959" s="71"/>
      <c r="R4959" s="84"/>
      <c r="S4959" s="10"/>
      <c r="T4959" s="10"/>
      <c r="U4959" s="10"/>
      <c r="V4959" s="10"/>
      <c r="W4959" s="138"/>
      <c r="Y4959"/>
      <c r="Z4959"/>
      <c r="AA4959"/>
      <c r="AB4959"/>
      <c r="AC4959"/>
      <c r="AD4959"/>
      <c r="AE4959"/>
      <c r="AF4959"/>
      <c r="AG4959"/>
      <c r="AH4959"/>
      <c r="AI4959"/>
      <c r="AJ4959"/>
      <c r="AK4959"/>
      <c r="AL4959"/>
      <c r="AM4959"/>
      <c r="AN4959"/>
      <c r="AO4959"/>
    </row>
    <row r="4960" spans="1:41" ht="15">
      <c r="A4960"/>
      <c r="B4960"/>
      <c r="C4960" s="137"/>
      <c r="D4960" s="30"/>
      <c r="E4960" s="30"/>
      <c r="F4960" s="10"/>
      <c r="G4960" s="10"/>
      <c r="H4960" s="15"/>
      <c r="I4960" s="15"/>
      <c r="J4960" s="15"/>
      <c r="K4960" s="15"/>
      <c r="L4960" s="15"/>
      <c r="M4960" s="15"/>
      <c r="N4960" s="15"/>
      <c r="O4960" s="15"/>
      <c r="P4960" s="15"/>
      <c r="Q4960" s="71"/>
      <c r="R4960" s="84"/>
      <c r="S4960" s="10"/>
      <c r="T4960" s="10"/>
      <c r="U4960" s="10"/>
      <c r="V4960" s="10"/>
      <c r="W4960" s="138"/>
      <c r="Y4960"/>
      <c r="Z4960"/>
      <c r="AA4960"/>
      <c r="AB4960"/>
      <c r="AC4960"/>
      <c r="AD4960"/>
      <c r="AE4960"/>
      <c r="AF4960"/>
      <c r="AG4960"/>
      <c r="AH4960"/>
      <c r="AI4960"/>
      <c r="AJ4960"/>
      <c r="AK4960"/>
      <c r="AL4960"/>
      <c r="AM4960"/>
      <c r="AN4960"/>
      <c r="AO4960"/>
    </row>
    <row r="4961" spans="1:41" ht="15">
      <c r="A4961"/>
      <c r="B4961"/>
      <c r="C4961" s="137"/>
      <c r="D4961" s="30"/>
      <c r="E4961" s="30"/>
      <c r="F4961" s="10"/>
      <c r="G4961" s="10"/>
      <c r="H4961" s="15"/>
      <c r="I4961" s="15"/>
      <c r="J4961" s="15"/>
      <c r="K4961" s="15"/>
      <c r="L4961" s="15"/>
      <c r="M4961" s="15"/>
      <c r="N4961" s="15"/>
      <c r="O4961" s="15"/>
      <c r="P4961" s="15"/>
      <c r="Q4961" s="71"/>
      <c r="R4961" s="84"/>
      <c r="S4961" s="10"/>
      <c r="T4961" s="10"/>
      <c r="U4961" s="10"/>
      <c r="V4961" s="10"/>
      <c r="W4961" s="138"/>
      <c r="Y4961"/>
      <c r="Z4961"/>
      <c r="AA4961"/>
      <c r="AB4961"/>
      <c r="AC4961"/>
      <c r="AD4961"/>
      <c r="AE4961"/>
      <c r="AF4961"/>
      <c r="AG4961"/>
      <c r="AH4961"/>
      <c r="AI4961"/>
      <c r="AJ4961"/>
      <c r="AK4961"/>
      <c r="AL4961"/>
      <c r="AM4961"/>
      <c r="AN4961"/>
      <c r="AO4961"/>
    </row>
    <row r="4962" spans="1:41" ht="15">
      <c r="A4962"/>
      <c r="B4962"/>
      <c r="C4962" s="137"/>
      <c r="D4962" s="30"/>
      <c r="E4962" s="30"/>
      <c r="F4962" s="10"/>
      <c r="G4962" s="10"/>
      <c r="H4962" s="15"/>
      <c r="I4962" s="15"/>
      <c r="J4962" s="15"/>
      <c r="K4962" s="15"/>
      <c r="L4962" s="15"/>
      <c r="M4962" s="15"/>
      <c r="N4962" s="15"/>
      <c r="O4962" s="15"/>
      <c r="P4962" s="15"/>
      <c r="Q4962" s="71"/>
      <c r="R4962" s="84"/>
      <c r="S4962" s="10"/>
      <c r="T4962" s="10"/>
      <c r="U4962" s="10"/>
      <c r="V4962" s="10"/>
      <c r="W4962" s="138"/>
      <c r="Y4962"/>
      <c r="Z4962"/>
      <c r="AA4962"/>
      <c r="AB4962"/>
      <c r="AC4962"/>
      <c r="AD4962"/>
      <c r="AE4962"/>
      <c r="AF4962"/>
      <c r="AG4962"/>
      <c r="AH4962"/>
      <c r="AI4962"/>
      <c r="AJ4962"/>
      <c r="AK4962"/>
      <c r="AL4962"/>
      <c r="AM4962"/>
      <c r="AN4962"/>
      <c r="AO4962"/>
    </row>
    <row r="4963" spans="1:41" ht="15">
      <c r="A4963"/>
      <c r="B4963"/>
      <c r="C4963" s="137"/>
      <c r="D4963" s="30"/>
      <c r="E4963" s="30"/>
      <c r="F4963" s="10"/>
      <c r="G4963" s="10"/>
      <c r="H4963" s="15"/>
      <c r="I4963" s="15"/>
      <c r="J4963" s="15"/>
      <c r="K4963" s="15"/>
      <c r="L4963" s="15"/>
      <c r="M4963" s="15"/>
      <c r="N4963" s="15"/>
      <c r="O4963" s="15"/>
      <c r="P4963" s="15"/>
      <c r="Q4963" s="71"/>
      <c r="R4963" s="84"/>
      <c r="S4963" s="10"/>
      <c r="T4963" s="10"/>
      <c r="U4963" s="10"/>
      <c r="V4963" s="10"/>
      <c r="W4963" s="138"/>
      <c r="Y4963"/>
      <c r="Z4963"/>
      <c r="AA4963"/>
      <c r="AB4963"/>
      <c r="AC4963"/>
      <c r="AD4963"/>
      <c r="AE4963"/>
      <c r="AF4963"/>
      <c r="AG4963"/>
      <c r="AH4963"/>
      <c r="AI4963"/>
      <c r="AJ4963"/>
      <c r="AK4963"/>
      <c r="AL4963"/>
      <c r="AM4963"/>
      <c r="AN4963"/>
      <c r="AO4963"/>
    </row>
    <row r="4964" spans="1:41" ht="15">
      <c r="A4964"/>
      <c r="B4964"/>
      <c r="C4964" s="137"/>
      <c r="D4964" s="30"/>
      <c r="E4964" s="30"/>
      <c r="F4964" s="10"/>
      <c r="G4964" s="10"/>
      <c r="H4964" s="15"/>
      <c r="I4964" s="15"/>
      <c r="J4964" s="15"/>
      <c r="K4964" s="15"/>
      <c r="L4964" s="15"/>
      <c r="M4964" s="15"/>
      <c r="N4964" s="15"/>
      <c r="O4964" s="15"/>
      <c r="P4964" s="15"/>
      <c r="Q4964" s="71"/>
      <c r="R4964" s="84"/>
      <c r="S4964" s="10"/>
      <c r="T4964" s="10"/>
      <c r="U4964" s="10"/>
      <c r="V4964" s="10"/>
      <c r="W4964" s="138"/>
      <c r="Y4964"/>
      <c r="Z4964"/>
      <c r="AA4964"/>
      <c r="AB4964"/>
      <c r="AC4964"/>
      <c r="AD4964"/>
      <c r="AE4964"/>
      <c r="AF4964"/>
      <c r="AG4964"/>
      <c r="AH4964"/>
      <c r="AI4964"/>
      <c r="AJ4964"/>
      <c r="AK4964"/>
      <c r="AL4964"/>
      <c r="AM4964"/>
      <c r="AN4964"/>
      <c r="AO4964"/>
    </row>
    <row r="4965" spans="1:41" ht="15">
      <c r="A4965"/>
      <c r="B4965"/>
      <c r="C4965" s="137"/>
      <c r="D4965" s="30"/>
      <c r="E4965" s="30"/>
      <c r="F4965" s="10"/>
      <c r="G4965" s="10"/>
      <c r="H4965" s="15"/>
      <c r="I4965" s="15"/>
      <c r="J4965" s="15"/>
      <c r="K4965" s="15"/>
      <c r="L4965" s="15"/>
      <c r="M4965" s="15"/>
      <c r="N4965" s="15"/>
      <c r="O4965" s="15"/>
      <c r="P4965" s="15"/>
      <c r="Q4965" s="71"/>
      <c r="R4965" s="84"/>
      <c r="S4965" s="10"/>
      <c r="T4965" s="10"/>
      <c r="U4965" s="10"/>
      <c r="V4965" s="10"/>
      <c r="W4965" s="138"/>
      <c r="Y4965"/>
      <c r="Z4965"/>
      <c r="AA4965"/>
      <c r="AB4965"/>
      <c r="AC4965"/>
      <c r="AD4965"/>
      <c r="AE4965"/>
      <c r="AF4965"/>
      <c r="AG4965"/>
      <c r="AH4965"/>
      <c r="AI4965"/>
      <c r="AJ4965"/>
      <c r="AK4965"/>
      <c r="AL4965"/>
      <c r="AM4965"/>
      <c r="AN4965"/>
      <c r="AO4965"/>
    </row>
    <row r="4966" spans="1:41" ht="15">
      <c r="A4966"/>
      <c r="B4966"/>
      <c r="C4966" s="137"/>
      <c r="D4966" s="30"/>
      <c r="E4966" s="30"/>
      <c r="F4966" s="10"/>
      <c r="G4966" s="10"/>
      <c r="H4966" s="15"/>
      <c r="I4966" s="15"/>
      <c r="J4966" s="15"/>
      <c r="K4966" s="15"/>
      <c r="L4966" s="15"/>
      <c r="M4966" s="15"/>
      <c r="N4966" s="15"/>
      <c r="O4966" s="15"/>
      <c r="P4966" s="15"/>
      <c r="Q4966" s="71"/>
      <c r="R4966" s="84"/>
      <c r="S4966" s="10"/>
      <c r="T4966" s="10"/>
      <c r="U4966" s="10"/>
      <c r="V4966" s="10"/>
      <c r="W4966" s="138"/>
      <c r="Y4966"/>
      <c r="Z4966"/>
      <c r="AA4966"/>
      <c r="AB4966"/>
      <c r="AC4966"/>
      <c r="AD4966"/>
      <c r="AE4966"/>
      <c r="AF4966"/>
      <c r="AG4966"/>
      <c r="AH4966"/>
      <c r="AI4966"/>
      <c r="AJ4966"/>
      <c r="AK4966"/>
      <c r="AL4966"/>
      <c r="AM4966"/>
      <c r="AN4966"/>
      <c r="AO4966"/>
    </row>
    <row r="4967" spans="1:41" ht="15">
      <c r="A4967"/>
      <c r="B4967"/>
      <c r="C4967" s="137"/>
      <c r="D4967" s="30"/>
      <c r="E4967" s="30"/>
      <c r="F4967" s="10"/>
      <c r="G4967" s="10"/>
      <c r="H4967" s="15"/>
      <c r="I4967" s="15"/>
      <c r="J4967" s="15"/>
      <c r="K4967" s="15"/>
      <c r="L4967" s="15"/>
      <c r="M4967" s="15"/>
      <c r="N4967" s="15"/>
      <c r="O4967" s="15"/>
      <c r="P4967" s="15"/>
      <c r="Q4967" s="71"/>
      <c r="R4967" s="84"/>
      <c r="S4967" s="10"/>
      <c r="T4967" s="10"/>
      <c r="U4967" s="10"/>
      <c r="V4967" s="10"/>
      <c r="W4967" s="138"/>
      <c r="Y4967"/>
      <c r="Z4967"/>
      <c r="AA4967"/>
      <c r="AB4967"/>
      <c r="AC4967"/>
      <c r="AD4967"/>
      <c r="AE4967"/>
      <c r="AF4967"/>
      <c r="AG4967"/>
      <c r="AH4967"/>
      <c r="AI4967"/>
      <c r="AJ4967"/>
      <c r="AK4967"/>
      <c r="AL4967"/>
      <c r="AM4967"/>
      <c r="AN4967"/>
      <c r="AO4967"/>
    </row>
    <row r="4968" spans="1:41" ht="15">
      <c r="A4968"/>
      <c r="B4968"/>
      <c r="C4968" s="137"/>
      <c r="D4968" s="30"/>
      <c r="E4968" s="30"/>
      <c r="F4968" s="10"/>
      <c r="G4968" s="10"/>
      <c r="H4968" s="15"/>
      <c r="I4968" s="15"/>
      <c r="J4968" s="15"/>
      <c r="K4968" s="15"/>
      <c r="L4968" s="15"/>
      <c r="M4968" s="15"/>
      <c r="N4968" s="15"/>
      <c r="O4968" s="15"/>
      <c r="P4968" s="15"/>
      <c r="Q4968" s="71"/>
      <c r="R4968" s="84"/>
      <c r="S4968" s="10"/>
      <c r="T4968" s="10"/>
      <c r="U4968" s="10"/>
      <c r="V4968" s="10"/>
      <c r="W4968" s="138"/>
      <c r="Y4968"/>
      <c r="Z4968"/>
      <c r="AA4968"/>
      <c r="AB4968"/>
      <c r="AC4968"/>
      <c r="AD4968"/>
      <c r="AE4968"/>
      <c r="AF4968"/>
      <c r="AG4968"/>
      <c r="AH4968"/>
      <c r="AI4968"/>
      <c r="AJ4968"/>
      <c r="AK4968"/>
      <c r="AL4968"/>
      <c r="AM4968"/>
      <c r="AN4968"/>
      <c r="AO4968"/>
    </row>
    <row r="4969" spans="1:41" ht="15">
      <c r="A4969"/>
      <c r="B4969"/>
      <c r="C4969" s="137"/>
      <c r="D4969" s="30"/>
      <c r="E4969" s="30"/>
      <c r="F4969" s="10"/>
      <c r="G4969" s="10"/>
      <c r="H4969" s="15"/>
      <c r="I4969" s="15"/>
      <c r="J4969" s="15"/>
      <c r="K4969" s="15"/>
      <c r="L4969" s="15"/>
      <c r="M4969" s="15"/>
      <c r="N4969" s="15"/>
      <c r="O4969" s="15"/>
      <c r="P4969" s="15"/>
      <c r="Q4969" s="71"/>
      <c r="R4969" s="84"/>
      <c r="S4969" s="10"/>
      <c r="T4969" s="10"/>
      <c r="U4969" s="10"/>
      <c r="V4969" s="10"/>
      <c r="W4969" s="138"/>
      <c r="Y4969"/>
      <c r="Z4969"/>
      <c r="AA4969"/>
      <c r="AB4969"/>
      <c r="AC4969"/>
      <c r="AD4969"/>
      <c r="AE4969"/>
      <c r="AF4969"/>
      <c r="AG4969"/>
      <c r="AH4969"/>
      <c r="AI4969"/>
      <c r="AJ4969"/>
      <c r="AK4969"/>
      <c r="AL4969"/>
      <c r="AM4969"/>
      <c r="AN4969"/>
      <c r="AO4969"/>
    </row>
    <row r="4970" spans="1:41" ht="15">
      <c r="A4970"/>
      <c r="B4970"/>
      <c r="C4970" s="137"/>
      <c r="D4970" s="30"/>
      <c r="E4970" s="30"/>
      <c r="F4970" s="10"/>
      <c r="G4970" s="10"/>
      <c r="H4970" s="15"/>
      <c r="I4970" s="15"/>
      <c r="J4970" s="15"/>
      <c r="K4970" s="15"/>
      <c r="L4970" s="15"/>
      <c r="M4970" s="15"/>
      <c r="N4970" s="15"/>
      <c r="O4970" s="15"/>
      <c r="P4970" s="15"/>
      <c r="Q4970" s="71"/>
      <c r="R4970" s="84"/>
      <c r="S4970" s="10"/>
      <c r="T4970" s="10"/>
      <c r="U4970" s="10"/>
      <c r="V4970" s="10"/>
      <c r="W4970" s="138"/>
      <c r="Y4970"/>
      <c r="Z4970"/>
      <c r="AA4970"/>
      <c r="AB4970"/>
      <c r="AC4970"/>
      <c r="AD4970"/>
      <c r="AE4970"/>
      <c r="AF4970"/>
      <c r="AG4970"/>
      <c r="AH4970"/>
      <c r="AI4970"/>
      <c r="AJ4970"/>
      <c r="AK4970"/>
      <c r="AL4970"/>
      <c r="AM4970"/>
      <c r="AN4970"/>
      <c r="AO4970"/>
    </row>
    <row r="4971" spans="1:41" ht="15">
      <c r="A4971"/>
      <c r="B4971"/>
      <c r="C4971" s="137"/>
      <c r="D4971" s="30"/>
      <c r="E4971" s="30"/>
      <c r="F4971" s="10"/>
      <c r="G4971" s="10"/>
      <c r="H4971" s="15"/>
      <c r="I4971" s="15"/>
      <c r="J4971" s="15"/>
      <c r="K4971" s="15"/>
      <c r="L4971" s="15"/>
      <c r="M4971" s="15"/>
      <c r="N4971" s="15"/>
      <c r="O4971" s="15"/>
      <c r="P4971" s="15"/>
      <c r="Q4971" s="71"/>
      <c r="R4971" s="84"/>
      <c r="S4971" s="10"/>
      <c r="T4971" s="10"/>
      <c r="U4971" s="10"/>
      <c r="V4971" s="10"/>
      <c r="W4971" s="138"/>
      <c r="Y4971"/>
      <c r="Z4971"/>
      <c r="AA4971"/>
      <c r="AB4971"/>
      <c r="AC4971"/>
      <c r="AD4971"/>
      <c r="AE4971"/>
      <c r="AF4971"/>
      <c r="AG4971"/>
      <c r="AH4971"/>
      <c r="AI4971"/>
      <c r="AJ4971"/>
      <c r="AK4971"/>
      <c r="AL4971"/>
      <c r="AM4971"/>
      <c r="AN4971"/>
      <c r="AO4971"/>
    </row>
    <row r="4972" spans="1:41" ht="15">
      <c r="A4972"/>
      <c r="B4972"/>
      <c r="C4972" s="137"/>
      <c r="D4972" s="30"/>
      <c r="E4972" s="30"/>
      <c r="F4972" s="10"/>
      <c r="G4972" s="10"/>
      <c r="H4972" s="15"/>
      <c r="I4972" s="15"/>
      <c r="J4972" s="15"/>
      <c r="K4972" s="15"/>
      <c r="L4972" s="15"/>
      <c r="M4972" s="15"/>
      <c r="N4972" s="15"/>
      <c r="O4972" s="15"/>
      <c r="P4972" s="15"/>
      <c r="Q4972" s="71"/>
      <c r="R4972" s="84"/>
      <c r="S4972" s="10"/>
      <c r="T4972" s="10"/>
      <c r="U4972" s="10"/>
      <c r="V4972" s="10"/>
      <c r="W4972" s="138"/>
      <c r="Y4972"/>
      <c r="Z4972"/>
      <c r="AA4972"/>
      <c r="AB4972"/>
      <c r="AC4972"/>
      <c r="AD4972"/>
      <c r="AE4972"/>
      <c r="AF4972"/>
      <c r="AG4972"/>
      <c r="AH4972"/>
      <c r="AI4972"/>
      <c r="AJ4972"/>
      <c r="AK4972"/>
      <c r="AL4972"/>
      <c r="AM4972"/>
      <c r="AN4972"/>
      <c r="AO4972"/>
    </row>
    <row r="4973" spans="1:41" ht="15">
      <c r="A4973"/>
      <c r="B4973"/>
      <c r="C4973" s="137"/>
      <c r="D4973" s="30"/>
      <c r="E4973" s="30"/>
      <c r="F4973" s="10"/>
      <c r="G4973" s="10"/>
      <c r="H4973" s="15"/>
      <c r="I4973" s="15"/>
      <c r="J4973" s="15"/>
      <c r="K4973" s="15"/>
      <c r="L4973" s="15"/>
      <c r="M4973" s="15"/>
      <c r="N4973" s="15"/>
      <c r="O4973" s="15"/>
      <c r="P4973" s="15"/>
      <c r="Q4973" s="71"/>
      <c r="R4973" s="84"/>
      <c r="S4973" s="10"/>
      <c r="T4973" s="10"/>
      <c r="U4973" s="10"/>
      <c r="V4973" s="10"/>
      <c r="W4973" s="138"/>
      <c r="Y4973"/>
      <c r="Z4973"/>
      <c r="AA4973"/>
      <c r="AB4973"/>
      <c r="AC4973"/>
      <c r="AD4973"/>
      <c r="AE4973"/>
      <c r="AF4973"/>
      <c r="AG4973"/>
      <c r="AH4973"/>
      <c r="AI4973"/>
      <c r="AJ4973"/>
      <c r="AK4973"/>
      <c r="AL4973"/>
      <c r="AM4973"/>
      <c r="AN4973"/>
      <c r="AO4973"/>
    </row>
    <row r="4974" spans="1:41" ht="15">
      <c r="A4974"/>
      <c r="B4974"/>
      <c r="C4974" s="137"/>
      <c r="D4974" s="30"/>
      <c r="E4974" s="30"/>
      <c r="F4974" s="10"/>
      <c r="G4974" s="10"/>
      <c r="H4974" s="15"/>
      <c r="I4974" s="15"/>
      <c r="J4974" s="15"/>
      <c r="K4974" s="15"/>
      <c r="L4974" s="15"/>
      <c r="M4974" s="15"/>
      <c r="N4974" s="15"/>
      <c r="O4974" s="15"/>
      <c r="P4974" s="15"/>
      <c r="Q4974" s="71"/>
      <c r="R4974" s="84"/>
      <c r="S4974" s="10"/>
      <c r="T4974" s="10"/>
      <c r="U4974" s="10"/>
      <c r="V4974" s="10"/>
      <c r="W4974" s="138"/>
      <c r="Y4974"/>
      <c r="Z4974"/>
      <c r="AA4974"/>
      <c r="AB4974"/>
      <c r="AC4974"/>
      <c r="AD4974"/>
      <c r="AE4974"/>
      <c r="AF4974"/>
      <c r="AG4974"/>
      <c r="AH4974"/>
      <c r="AI4974"/>
      <c r="AJ4974"/>
      <c r="AK4974"/>
      <c r="AL4974"/>
      <c r="AM4974"/>
      <c r="AN4974"/>
      <c r="AO4974"/>
    </row>
    <row r="4975" spans="1:41" ht="15">
      <c r="A4975"/>
      <c r="B4975"/>
      <c r="C4975" s="137"/>
      <c r="D4975" s="30"/>
      <c r="E4975" s="30"/>
      <c r="F4975" s="10"/>
      <c r="G4975" s="10"/>
      <c r="H4975" s="15"/>
      <c r="I4975" s="15"/>
      <c r="J4975" s="15"/>
      <c r="K4975" s="15"/>
      <c r="L4975" s="15"/>
      <c r="M4975" s="15"/>
      <c r="N4975" s="15"/>
      <c r="O4975" s="15"/>
      <c r="P4975" s="15"/>
      <c r="Q4975" s="71"/>
      <c r="R4975" s="84"/>
      <c r="S4975" s="10"/>
      <c r="T4975" s="10"/>
      <c r="U4975" s="10"/>
      <c r="V4975" s="10"/>
      <c r="W4975" s="138"/>
      <c r="Y4975"/>
      <c r="Z4975"/>
      <c r="AA4975"/>
      <c r="AB4975"/>
      <c r="AC4975"/>
      <c r="AD4975"/>
      <c r="AE4975"/>
      <c r="AF4975"/>
      <c r="AG4975"/>
      <c r="AH4975"/>
      <c r="AI4975"/>
      <c r="AJ4975"/>
      <c r="AK4975"/>
      <c r="AL4975"/>
      <c r="AM4975"/>
      <c r="AN4975"/>
      <c r="AO4975"/>
    </row>
    <row r="4976" spans="1:41" ht="15">
      <c r="A4976"/>
      <c r="B4976"/>
      <c r="C4976" s="137"/>
      <c r="D4976" s="30"/>
      <c r="E4976" s="30"/>
      <c r="F4976" s="10"/>
      <c r="G4976" s="10"/>
      <c r="H4976" s="15"/>
      <c r="I4976" s="15"/>
      <c r="J4976" s="15"/>
      <c r="K4976" s="15"/>
      <c r="L4976" s="15"/>
      <c r="M4976" s="15"/>
      <c r="N4976" s="15"/>
      <c r="O4976" s="15"/>
      <c r="P4976" s="15"/>
      <c r="Q4976" s="71"/>
      <c r="R4976" s="84"/>
      <c r="S4976" s="10"/>
      <c r="T4976" s="10"/>
      <c r="U4976" s="10"/>
      <c r="V4976" s="10"/>
      <c r="W4976" s="138"/>
      <c r="Y4976"/>
      <c r="Z4976"/>
      <c r="AA4976"/>
      <c r="AB4976"/>
      <c r="AC4976"/>
      <c r="AD4976"/>
      <c r="AE4976"/>
      <c r="AF4976"/>
      <c r="AG4976"/>
      <c r="AH4976"/>
      <c r="AI4976"/>
      <c r="AJ4976"/>
      <c r="AK4976"/>
      <c r="AL4976"/>
      <c r="AM4976"/>
      <c r="AN4976"/>
      <c r="AO4976"/>
    </row>
    <row r="4977" spans="1:41" ht="15">
      <c r="A4977"/>
      <c r="B4977"/>
      <c r="C4977" s="137"/>
      <c r="D4977" s="30"/>
      <c r="E4977" s="30"/>
      <c r="F4977" s="10"/>
      <c r="G4977" s="10"/>
      <c r="H4977" s="15"/>
      <c r="I4977" s="15"/>
      <c r="J4977" s="15"/>
      <c r="K4977" s="15"/>
      <c r="L4977" s="15"/>
      <c r="M4977" s="15"/>
      <c r="N4977" s="15"/>
      <c r="O4977" s="15"/>
      <c r="P4977" s="15"/>
      <c r="Q4977" s="71"/>
      <c r="R4977" s="84"/>
      <c r="S4977" s="10"/>
      <c r="T4977" s="10"/>
      <c r="U4977" s="10"/>
      <c r="V4977" s="10"/>
      <c r="W4977" s="138"/>
      <c r="Y4977"/>
      <c r="Z4977"/>
      <c r="AA4977"/>
      <c r="AB4977"/>
      <c r="AC4977"/>
      <c r="AD4977"/>
      <c r="AE4977"/>
      <c r="AF4977"/>
      <c r="AG4977"/>
      <c r="AH4977"/>
      <c r="AI4977"/>
      <c r="AJ4977"/>
      <c r="AK4977"/>
      <c r="AL4977"/>
      <c r="AM4977"/>
      <c r="AN4977"/>
      <c r="AO4977"/>
    </row>
    <row r="4978" spans="1:41" ht="15">
      <c r="A4978"/>
      <c r="B4978"/>
      <c r="C4978" s="137"/>
      <c r="D4978" s="30"/>
      <c r="E4978" s="30"/>
      <c r="F4978" s="10"/>
      <c r="G4978" s="10"/>
      <c r="H4978" s="15"/>
      <c r="I4978" s="15"/>
      <c r="J4978" s="15"/>
      <c r="K4978" s="15"/>
      <c r="L4978" s="15"/>
      <c r="M4978" s="15"/>
      <c r="N4978" s="15"/>
      <c r="O4978" s="15"/>
      <c r="P4978" s="15"/>
      <c r="Q4978" s="71"/>
      <c r="R4978" s="84"/>
      <c r="S4978" s="10"/>
      <c r="T4978" s="10"/>
      <c r="U4978" s="10"/>
      <c r="V4978" s="10"/>
      <c r="W4978" s="138"/>
      <c r="Y4978"/>
      <c r="Z4978"/>
      <c r="AA4978"/>
      <c r="AB4978"/>
      <c r="AC4978"/>
      <c r="AD4978"/>
      <c r="AE4978"/>
      <c r="AF4978"/>
      <c r="AG4978"/>
      <c r="AH4978"/>
      <c r="AI4978"/>
      <c r="AJ4978"/>
      <c r="AK4978"/>
      <c r="AL4978"/>
      <c r="AM4978"/>
      <c r="AN4978"/>
      <c r="AO4978"/>
    </row>
    <row r="4979" spans="1:41" ht="15">
      <c r="A4979"/>
      <c r="B4979"/>
      <c r="C4979" s="137"/>
      <c r="D4979" s="30"/>
      <c r="E4979" s="30"/>
      <c r="F4979" s="10"/>
      <c r="G4979" s="10"/>
      <c r="H4979" s="15"/>
      <c r="I4979" s="15"/>
      <c r="J4979" s="15"/>
      <c r="K4979" s="15"/>
      <c r="L4979" s="15"/>
      <c r="M4979" s="15"/>
      <c r="N4979" s="15"/>
      <c r="O4979" s="15"/>
      <c r="P4979" s="15"/>
      <c r="Q4979" s="71"/>
      <c r="R4979" s="84"/>
      <c r="S4979" s="10"/>
      <c r="T4979" s="10"/>
      <c r="U4979" s="10"/>
      <c r="V4979" s="10"/>
      <c r="W4979" s="138"/>
      <c r="Y4979"/>
      <c r="Z4979"/>
      <c r="AA4979"/>
      <c r="AB4979"/>
      <c r="AC4979"/>
      <c r="AD4979"/>
      <c r="AE4979"/>
      <c r="AF4979"/>
      <c r="AG4979"/>
      <c r="AH4979"/>
      <c r="AI4979"/>
      <c r="AJ4979"/>
      <c r="AK4979"/>
      <c r="AL4979"/>
      <c r="AM4979"/>
      <c r="AN4979"/>
      <c r="AO4979"/>
    </row>
    <row r="4980" spans="1:41" ht="15">
      <c r="A4980"/>
      <c r="B4980"/>
      <c r="C4980" s="137"/>
      <c r="D4980" s="30"/>
      <c r="E4980" s="30"/>
      <c r="F4980" s="10"/>
      <c r="G4980" s="10"/>
      <c r="H4980" s="15"/>
      <c r="I4980" s="15"/>
      <c r="J4980" s="15"/>
      <c r="K4980" s="15"/>
      <c r="L4980" s="15"/>
      <c r="M4980" s="15"/>
      <c r="N4980" s="15"/>
      <c r="O4980" s="15"/>
      <c r="P4980" s="15"/>
      <c r="Q4980" s="71"/>
      <c r="R4980" s="84"/>
      <c r="S4980" s="10"/>
      <c r="T4980" s="10"/>
      <c r="U4980" s="10"/>
      <c r="V4980" s="10"/>
      <c r="W4980" s="138"/>
      <c r="Y4980"/>
      <c r="Z4980"/>
      <c r="AA4980"/>
      <c r="AB4980"/>
      <c r="AC4980"/>
      <c r="AD4980"/>
      <c r="AE4980"/>
      <c r="AF4980"/>
      <c r="AG4980"/>
      <c r="AH4980"/>
      <c r="AI4980"/>
      <c r="AJ4980"/>
      <c r="AK4980"/>
      <c r="AL4980"/>
      <c r="AM4980"/>
      <c r="AN4980"/>
      <c r="AO4980"/>
    </row>
    <row r="4981" spans="1:41" ht="15">
      <c r="A4981"/>
      <c r="B4981"/>
      <c r="C4981" s="137"/>
      <c r="D4981" s="30"/>
      <c r="E4981" s="30"/>
      <c r="F4981" s="10"/>
      <c r="G4981" s="10"/>
      <c r="H4981" s="15"/>
      <c r="I4981" s="15"/>
      <c r="J4981" s="15"/>
      <c r="K4981" s="15"/>
      <c r="L4981" s="15"/>
      <c r="M4981" s="15"/>
      <c r="N4981" s="15"/>
      <c r="O4981" s="15"/>
      <c r="P4981" s="15"/>
      <c r="Q4981" s="71"/>
      <c r="R4981" s="84"/>
      <c r="S4981" s="10"/>
      <c r="T4981" s="10"/>
      <c r="U4981" s="10"/>
      <c r="V4981" s="10"/>
      <c r="W4981" s="138"/>
      <c r="Y4981"/>
      <c r="Z4981"/>
      <c r="AA4981"/>
      <c r="AB4981"/>
      <c r="AC4981"/>
      <c r="AD4981"/>
      <c r="AE4981"/>
      <c r="AF4981"/>
      <c r="AG4981"/>
      <c r="AH4981"/>
      <c r="AI4981"/>
      <c r="AJ4981"/>
      <c r="AK4981"/>
      <c r="AL4981"/>
      <c r="AM4981"/>
      <c r="AN4981"/>
      <c r="AO4981"/>
    </row>
    <row r="4982" spans="1:41" ht="15">
      <c r="A4982"/>
      <c r="B4982"/>
      <c r="C4982" s="137"/>
      <c r="D4982" s="30"/>
      <c r="E4982" s="30"/>
      <c r="F4982" s="10"/>
      <c r="G4982" s="10"/>
      <c r="H4982" s="15"/>
      <c r="I4982" s="15"/>
      <c r="J4982" s="15"/>
      <c r="K4982" s="15"/>
      <c r="L4982" s="15"/>
      <c r="M4982" s="15"/>
      <c r="N4982" s="15"/>
      <c r="O4982" s="15"/>
      <c r="P4982" s="15"/>
      <c r="Q4982" s="71"/>
      <c r="R4982" s="84"/>
      <c r="S4982" s="10"/>
      <c r="T4982" s="10"/>
      <c r="U4982" s="10"/>
      <c r="V4982" s="10"/>
      <c r="W4982" s="138"/>
      <c r="Y4982"/>
      <c r="Z4982"/>
      <c r="AA4982"/>
      <c r="AB4982"/>
      <c r="AC4982"/>
      <c r="AD4982"/>
      <c r="AE4982"/>
      <c r="AF4982"/>
      <c r="AG4982"/>
      <c r="AH4982"/>
      <c r="AI4982"/>
      <c r="AJ4982"/>
      <c r="AK4982"/>
      <c r="AL4982"/>
      <c r="AM4982"/>
      <c r="AN4982"/>
      <c r="AO4982"/>
    </row>
    <row r="4983" spans="1:41" ht="15">
      <c r="A4983"/>
      <c r="B4983"/>
      <c r="C4983" s="137"/>
      <c r="D4983" s="30"/>
      <c r="E4983" s="30"/>
      <c r="F4983" s="10"/>
      <c r="G4983" s="10"/>
      <c r="H4983" s="15"/>
      <c r="I4983" s="15"/>
      <c r="J4983" s="15"/>
      <c r="K4983" s="15"/>
      <c r="L4983" s="15"/>
      <c r="M4983" s="15"/>
      <c r="N4983" s="15"/>
      <c r="O4983" s="15"/>
      <c r="P4983" s="15"/>
      <c r="Q4983" s="71"/>
      <c r="R4983" s="84"/>
      <c r="S4983" s="10"/>
      <c r="T4983" s="10"/>
      <c r="U4983" s="10"/>
      <c r="V4983" s="10"/>
      <c r="W4983" s="138"/>
      <c r="Y4983"/>
      <c r="Z4983"/>
      <c r="AA4983"/>
      <c r="AB4983"/>
      <c r="AC4983"/>
      <c r="AD4983"/>
      <c r="AE4983"/>
      <c r="AF4983"/>
      <c r="AG4983"/>
      <c r="AH4983"/>
      <c r="AI4983"/>
      <c r="AJ4983"/>
      <c r="AK4983"/>
      <c r="AL4983"/>
      <c r="AM4983"/>
      <c r="AN4983"/>
      <c r="AO4983"/>
    </row>
    <row r="4984" spans="1:41" ht="15">
      <c r="A4984"/>
      <c r="B4984"/>
      <c r="C4984" s="137"/>
      <c r="D4984" s="30"/>
      <c r="E4984" s="30"/>
      <c r="F4984" s="10"/>
      <c r="G4984" s="10"/>
      <c r="H4984" s="15"/>
      <c r="I4984" s="15"/>
      <c r="J4984" s="15"/>
      <c r="K4984" s="15"/>
      <c r="L4984" s="15"/>
      <c r="M4984" s="15"/>
      <c r="N4984" s="15"/>
      <c r="O4984" s="15"/>
      <c r="P4984" s="15"/>
      <c r="Q4984" s="71"/>
      <c r="R4984" s="84"/>
      <c r="S4984" s="10"/>
      <c r="T4984" s="10"/>
      <c r="U4984" s="10"/>
      <c r="V4984" s="10"/>
      <c r="W4984" s="138"/>
      <c r="Y4984"/>
      <c r="Z4984"/>
      <c r="AA4984"/>
      <c r="AB4984"/>
      <c r="AC4984"/>
      <c r="AD4984"/>
      <c r="AE4984"/>
      <c r="AF4984"/>
      <c r="AG4984"/>
      <c r="AH4984"/>
      <c r="AI4984"/>
      <c r="AJ4984"/>
      <c r="AK4984"/>
      <c r="AL4984"/>
      <c r="AM4984"/>
      <c r="AN4984"/>
      <c r="AO4984"/>
    </row>
    <row r="4985" spans="1:41" ht="15">
      <c r="A4985"/>
      <c r="B4985"/>
      <c r="C4985" s="137"/>
      <c r="D4985" s="30"/>
      <c r="E4985" s="30"/>
      <c r="F4985" s="10"/>
      <c r="G4985" s="10"/>
      <c r="H4985" s="15"/>
      <c r="I4985" s="15"/>
      <c r="J4985" s="15"/>
      <c r="K4985" s="15"/>
      <c r="L4985" s="15"/>
      <c r="M4985" s="15"/>
      <c r="N4985" s="15"/>
      <c r="O4985" s="15"/>
      <c r="P4985" s="15"/>
      <c r="Q4985" s="71"/>
      <c r="R4985" s="84"/>
      <c r="S4985" s="10"/>
      <c r="T4985" s="10"/>
      <c r="U4985" s="10"/>
      <c r="V4985" s="10"/>
      <c r="W4985" s="138"/>
      <c r="Y4985"/>
      <c r="Z4985"/>
      <c r="AA4985"/>
      <c r="AB4985"/>
      <c r="AC4985"/>
      <c r="AD4985"/>
      <c r="AE4985"/>
      <c r="AF4985"/>
      <c r="AG4985"/>
      <c r="AH4985"/>
      <c r="AI4985"/>
      <c r="AJ4985"/>
      <c r="AK4985"/>
      <c r="AL4985"/>
      <c r="AM4985"/>
      <c r="AN4985"/>
      <c r="AO4985"/>
    </row>
    <row r="4986" spans="1:41" ht="15">
      <c r="A4986"/>
      <c r="B4986"/>
      <c r="C4986" s="137"/>
      <c r="D4986" s="30"/>
      <c r="E4986" s="30"/>
      <c r="F4986" s="10"/>
      <c r="G4986" s="10"/>
      <c r="H4986" s="15"/>
      <c r="I4986" s="15"/>
      <c r="J4986" s="15"/>
      <c r="K4986" s="15"/>
      <c r="L4986" s="15"/>
      <c r="M4986" s="15"/>
      <c r="N4986" s="15"/>
      <c r="O4986" s="15"/>
      <c r="P4986" s="15"/>
      <c r="Q4986" s="71"/>
      <c r="R4986" s="84"/>
      <c r="S4986" s="10"/>
      <c r="T4986" s="10"/>
      <c r="U4986" s="10"/>
      <c r="V4986" s="10"/>
      <c r="W4986" s="138"/>
      <c r="Y4986"/>
      <c r="Z4986"/>
      <c r="AA4986"/>
      <c r="AB4986"/>
      <c r="AC4986"/>
      <c r="AD4986"/>
      <c r="AE4986"/>
      <c r="AF4986"/>
      <c r="AG4986"/>
      <c r="AH4986"/>
      <c r="AI4986"/>
      <c r="AJ4986"/>
      <c r="AK4986"/>
      <c r="AL4986"/>
      <c r="AM4986"/>
      <c r="AN4986"/>
      <c r="AO4986"/>
    </row>
    <row r="4987" spans="1:41" ht="15">
      <c r="A4987"/>
      <c r="B4987"/>
      <c r="C4987" s="137"/>
      <c r="D4987" s="30"/>
      <c r="E4987" s="30"/>
      <c r="F4987" s="10"/>
      <c r="G4987" s="10"/>
      <c r="H4987" s="15"/>
      <c r="I4987" s="15"/>
      <c r="J4987" s="15"/>
      <c r="K4987" s="15"/>
      <c r="L4987" s="15"/>
      <c r="M4987" s="15"/>
      <c r="N4987" s="15"/>
      <c r="O4987" s="15"/>
      <c r="P4987" s="15"/>
      <c r="Q4987" s="71"/>
      <c r="R4987" s="84"/>
      <c r="S4987" s="10"/>
      <c r="T4987" s="10"/>
      <c r="U4987" s="10"/>
      <c r="V4987" s="10"/>
      <c r="W4987" s="138"/>
      <c r="Y4987"/>
      <c r="Z4987"/>
      <c r="AA4987"/>
      <c r="AB4987"/>
      <c r="AC4987"/>
      <c r="AD4987"/>
      <c r="AE4987"/>
      <c r="AF4987"/>
      <c r="AG4987"/>
      <c r="AH4987"/>
      <c r="AI4987"/>
      <c r="AJ4987"/>
      <c r="AK4987"/>
      <c r="AL4987"/>
      <c r="AM4987"/>
      <c r="AN4987"/>
      <c r="AO4987"/>
    </row>
    <row r="4988" spans="1:41" ht="15">
      <c r="A4988"/>
      <c r="B4988"/>
      <c r="C4988" s="137"/>
      <c r="D4988" s="30"/>
      <c r="E4988" s="30"/>
      <c r="F4988" s="10"/>
      <c r="G4988" s="10"/>
      <c r="H4988" s="15"/>
      <c r="I4988" s="15"/>
      <c r="J4988" s="15"/>
      <c r="K4988" s="15"/>
      <c r="L4988" s="15"/>
      <c r="M4988" s="15"/>
      <c r="N4988" s="15"/>
      <c r="O4988" s="15"/>
      <c r="P4988" s="15"/>
      <c r="Q4988" s="71"/>
      <c r="R4988" s="84"/>
      <c r="S4988" s="10"/>
      <c r="T4988" s="10"/>
      <c r="U4988" s="10"/>
      <c r="V4988" s="10"/>
      <c r="W4988" s="138"/>
      <c r="Y4988"/>
      <c r="Z4988"/>
      <c r="AA4988"/>
      <c r="AB4988"/>
      <c r="AC4988"/>
      <c r="AD4988"/>
      <c r="AE4988"/>
      <c r="AF4988"/>
      <c r="AG4988"/>
      <c r="AH4988"/>
      <c r="AI4988"/>
      <c r="AJ4988"/>
      <c r="AK4988"/>
      <c r="AL4988"/>
      <c r="AM4988"/>
      <c r="AN4988"/>
      <c r="AO4988"/>
    </row>
    <row r="4989" spans="1:41" ht="15">
      <c r="A4989"/>
      <c r="B4989"/>
      <c r="C4989" s="137"/>
      <c r="D4989" s="30"/>
      <c r="E4989" s="30"/>
      <c r="F4989" s="10"/>
      <c r="G4989" s="10"/>
      <c r="H4989" s="15"/>
      <c r="I4989" s="15"/>
      <c r="J4989" s="15"/>
      <c r="K4989" s="15"/>
      <c r="L4989" s="15"/>
      <c r="M4989" s="15"/>
      <c r="N4989" s="15"/>
      <c r="O4989" s="15"/>
      <c r="P4989" s="15"/>
      <c r="Q4989" s="71"/>
      <c r="R4989" s="84"/>
      <c r="S4989" s="10"/>
      <c r="T4989" s="10"/>
      <c r="U4989" s="10"/>
      <c r="V4989" s="10"/>
      <c r="W4989" s="138"/>
      <c r="Y4989"/>
      <c r="Z4989"/>
      <c r="AA4989"/>
      <c r="AB4989"/>
      <c r="AC4989"/>
      <c r="AD4989"/>
      <c r="AE4989"/>
      <c r="AF4989"/>
      <c r="AG4989"/>
      <c r="AH4989"/>
      <c r="AI4989"/>
      <c r="AJ4989"/>
      <c r="AK4989"/>
      <c r="AL4989"/>
      <c r="AM4989"/>
      <c r="AN4989"/>
      <c r="AO4989"/>
    </row>
    <row r="4990" spans="1:41" ht="15">
      <c r="A4990"/>
      <c r="B4990"/>
      <c r="C4990" s="137"/>
      <c r="D4990" s="30"/>
      <c r="E4990" s="30"/>
      <c r="F4990" s="10"/>
      <c r="G4990" s="10"/>
      <c r="H4990" s="15"/>
      <c r="I4990" s="15"/>
      <c r="J4990" s="15"/>
      <c r="K4990" s="15"/>
      <c r="L4990" s="15"/>
      <c r="M4990" s="15"/>
      <c r="N4990" s="15"/>
      <c r="O4990" s="15"/>
      <c r="P4990" s="15"/>
      <c r="Q4990" s="71"/>
      <c r="R4990" s="84"/>
      <c r="S4990" s="10"/>
      <c r="T4990" s="10"/>
      <c r="U4990" s="10"/>
      <c r="V4990" s="10"/>
      <c r="W4990" s="138"/>
      <c r="Y4990"/>
      <c r="Z4990"/>
      <c r="AA4990"/>
      <c r="AB4990"/>
      <c r="AC4990"/>
      <c r="AD4990"/>
      <c r="AE4990"/>
      <c r="AF4990"/>
      <c r="AG4990"/>
      <c r="AH4990"/>
      <c r="AI4990"/>
      <c r="AJ4990"/>
      <c r="AK4990"/>
      <c r="AL4990"/>
      <c r="AM4990"/>
      <c r="AN4990"/>
      <c r="AO4990"/>
    </row>
    <row r="4991" spans="1:41" ht="15">
      <c r="A4991"/>
      <c r="B4991"/>
      <c r="C4991" s="137"/>
      <c r="D4991" s="30"/>
      <c r="E4991" s="30"/>
      <c r="F4991" s="10"/>
      <c r="G4991" s="10"/>
      <c r="H4991" s="15"/>
      <c r="I4991" s="15"/>
      <c r="J4991" s="15"/>
      <c r="K4991" s="15"/>
      <c r="L4991" s="15"/>
      <c r="M4991" s="15"/>
      <c r="N4991" s="15"/>
      <c r="O4991" s="15"/>
      <c r="P4991" s="15"/>
      <c r="Q4991" s="71"/>
      <c r="R4991" s="84"/>
      <c r="S4991" s="10"/>
      <c r="T4991" s="10"/>
      <c r="U4991" s="10"/>
      <c r="V4991" s="10"/>
      <c r="W4991" s="138"/>
      <c r="Y4991"/>
      <c r="Z4991"/>
      <c r="AA4991"/>
      <c r="AB4991"/>
      <c r="AC4991"/>
      <c r="AD4991"/>
      <c r="AE4991"/>
      <c r="AF4991"/>
      <c r="AG4991"/>
      <c r="AH4991"/>
      <c r="AI4991"/>
      <c r="AJ4991"/>
      <c r="AK4991"/>
      <c r="AL4991"/>
      <c r="AM4991"/>
      <c r="AN4991"/>
      <c r="AO4991"/>
    </row>
    <row r="4992" spans="1:41" ht="15">
      <c r="A4992"/>
      <c r="B4992"/>
      <c r="C4992" s="137"/>
      <c r="D4992" s="30"/>
      <c r="E4992" s="30"/>
      <c r="F4992" s="10"/>
      <c r="G4992" s="10"/>
      <c r="H4992" s="15"/>
      <c r="I4992" s="15"/>
      <c r="J4992" s="15"/>
      <c r="K4992" s="15"/>
      <c r="L4992" s="15"/>
      <c r="M4992" s="15"/>
      <c r="N4992" s="15"/>
      <c r="O4992" s="15"/>
      <c r="P4992" s="15"/>
      <c r="Q4992" s="71"/>
      <c r="R4992" s="84"/>
      <c r="S4992" s="10"/>
      <c r="T4992" s="10"/>
      <c r="U4992" s="10"/>
      <c r="V4992" s="10"/>
      <c r="W4992" s="138"/>
      <c r="Y4992"/>
      <c r="Z4992"/>
      <c r="AA4992"/>
      <c r="AB4992"/>
      <c r="AC4992"/>
      <c r="AD4992"/>
      <c r="AE4992"/>
      <c r="AF4992"/>
      <c r="AG4992"/>
      <c r="AH4992"/>
      <c r="AI4992"/>
      <c r="AJ4992"/>
      <c r="AK4992"/>
      <c r="AL4992"/>
      <c r="AM4992"/>
      <c r="AN4992"/>
      <c r="AO4992"/>
    </row>
    <row r="4993" spans="1:41" ht="15">
      <c r="A4993"/>
      <c r="B4993"/>
      <c r="C4993" s="137"/>
      <c r="D4993" s="30"/>
      <c r="E4993" s="30"/>
      <c r="F4993" s="10"/>
      <c r="G4993" s="10"/>
      <c r="H4993" s="15"/>
      <c r="I4993" s="15"/>
      <c r="J4993" s="15"/>
      <c r="K4993" s="15"/>
      <c r="L4993" s="15"/>
      <c r="M4993" s="15"/>
      <c r="N4993" s="15"/>
      <c r="O4993" s="15"/>
      <c r="P4993" s="15"/>
      <c r="Q4993" s="71"/>
      <c r="R4993" s="84"/>
      <c r="S4993" s="10"/>
      <c r="T4993" s="10"/>
      <c r="U4993" s="10"/>
      <c r="V4993" s="10"/>
      <c r="W4993" s="138"/>
      <c r="Y4993"/>
      <c r="Z4993"/>
      <c r="AA4993"/>
      <c r="AB4993"/>
      <c r="AC4993"/>
      <c r="AD4993"/>
      <c r="AE4993"/>
      <c r="AF4993"/>
      <c r="AG4993"/>
      <c r="AH4993"/>
      <c r="AI4993"/>
      <c r="AJ4993"/>
      <c r="AK4993"/>
      <c r="AL4993"/>
      <c r="AM4993"/>
      <c r="AN4993"/>
      <c r="AO4993"/>
    </row>
    <row r="4994" spans="1:41" ht="15">
      <c r="A4994"/>
      <c r="B4994"/>
      <c r="C4994" s="137"/>
      <c r="D4994" s="30"/>
      <c r="E4994" s="30"/>
      <c r="F4994" s="10"/>
      <c r="G4994" s="10"/>
      <c r="H4994" s="15"/>
      <c r="I4994" s="15"/>
      <c r="J4994" s="15"/>
      <c r="K4994" s="15"/>
      <c r="L4994" s="15"/>
      <c r="M4994" s="15"/>
      <c r="N4994" s="15"/>
      <c r="O4994" s="15"/>
      <c r="P4994" s="15"/>
      <c r="Q4994" s="71"/>
      <c r="R4994" s="84"/>
      <c r="S4994" s="10"/>
      <c r="T4994" s="10"/>
      <c r="U4994" s="10"/>
      <c r="V4994" s="10"/>
      <c r="W4994" s="138"/>
      <c r="Y4994"/>
      <c r="Z4994"/>
      <c r="AA4994"/>
      <c r="AB4994"/>
      <c r="AC4994"/>
      <c r="AD4994"/>
      <c r="AE4994"/>
      <c r="AF4994"/>
      <c r="AG4994"/>
      <c r="AH4994"/>
      <c r="AI4994"/>
      <c r="AJ4994"/>
      <c r="AK4994"/>
      <c r="AL4994"/>
      <c r="AM4994"/>
      <c r="AN4994"/>
      <c r="AO4994"/>
    </row>
    <row r="4995" spans="1:41" ht="15">
      <c r="A4995"/>
      <c r="B4995"/>
      <c r="C4995" s="137"/>
      <c r="D4995" s="30"/>
      <c r="E4995" s="30"/>
      <c r="F4995" s="10"/>
      <c r="G4995" s="10"/>
      <c r="H4995" s="15"/>
      <c r="I4995" s="15"/>
      <c r="J4995" s="15"/>
      <c r="K4995" s="15"/>
      <c r="L4995" s="15"/>
      <c r="M4995" s="15"/>
      <c r="N4995" s="15"/>
      <c r="O4995" s="15"/>
      <c r="P4995" s="15"/>
      <c r="Q4995" s="71"/>
      <c r="R4995" s="84"/>
      <c r="S4995" s="10"/>
      <c r="T4995" s="10"/>
      <c r="U4995" s="10"/>
      <c r="V4995" s="10"/>
      <c r="W4995" s="138"/>
      <c r="Y4995"/>
      <c r="Z4995"/>
      <c r="AA4995"/>
      <c r="AB4995"/>
      <c r="AC4995"/>
      <c r="AD4995"/>
      <c r="AE4995"/>
      <c r="AF4995"/>
      <c r="AG4995"/>
      <c r="AH4995"/>
      <c r="AI4995"/>
      <c r="AJ4995"/>
      <c r="AK4995"/>
      <c r="AL4995"/>
      <c r="AM4995"/>
      <c r="AN4995"/>
      <c r="AO4995"/>
    </row>
    <row r="4996" spans="1:41" ht="15">
      <c r="A4996"/>
      <c r="B4996"/>
      <c r="C4996" s="137"/>
      <c r="D4996" s="30"/>
      <c r="E4996" s="30"/>
      <c r="F4996" s="10"/>
      <c r="G4996" s="10"/>
      <c r="H4996" s="15"/>
      <c r="I4996" s="15"/>
      <c r="J4996" s="15"/>
      <c r="K4996" s="15"/>
      <c r="L4996" s="15"/>
      <c r="M4996" s="15"/>
      <c r="N4996" s="15"/>
      <c r="O4996" s="15"/>
      <c r="P4996" s="15"/>
      <c r="Q4996" s="71"/>
      <c r="R4996" s="84"/>
      <c r="S4996" s="10"/>
      <c r="T4996" s="10"/>
      <c r="U4996" s="10"/>
      <c r="V4996" s="10"/>
      <c r="W4996" s="138"/>
      <c r="Y4996"/>
      <c r="Z4996"/>
      <c r="AA4996"/>
      <c r="AB4996"/>
      <c r="AC4996"/>
      <c r="AD4996"/>
      <c r="AE4996"/>
      <c r="AF4996"/>
      <c r="AG4996"/>
      <c r="AH4996"/>
      <c r="AI4996"/>
      <c r="AJ4996"/>
      <c r="AK4996"/>
      <c r="AL4996"/>
      <c r="AM4996"/>
      <c r="AN4996"/>
      <c r="AO4996"/>
    </row>
    <row r="4997" spans="1:41" ht="15">
      <c r="A4997"/>
      <c r="B4997"/>
      <c r="C4997" s="137"/>
      <c r="D4997" s="30"/>
      <c r="E4997" s="30"/>
      <c r="F4997" s="10"/>
      <c r="G4997" s="10"/>
      <c r="H4997" s="15"/>
      <c r="I4997" s="15"/>
      <c r="J4997" s="15"/>
      <c r="K4997" s="15"/>
      <c r="L4997" s="15"/>
      <c r="M4997" s="15"/>
      <c r="N4997" s="15"/>
      <c r="O4997" s="15"/>
      <c r="P4997" s="15"/>
      <c r="Q4997" s="71"/>
      <c r="R4997" s="84"/>
      <c r="S4997" s="10"/>
      <c r="T4997" s="10"/>
      <c r="U4997" s="10"/>
      <c r="V4997" s="10"/>
      <c r="W4997" s="138"/>
      <c r="Y4997"/>
      <c r="Z4997"/>
      <c r="AA4997"/>
      <c r="AB4997"/>
      <c r="AC4997"/>
      <c r="AD4997"/>
      <c r="AE4997"/>
      <c r="AF4997"/>
      <c r="AG4997"/>
      <c r="AH4997"/>
      <c r="AI4997"/>
      <c r="AJ4997"/>
      <c r="AK4997"/>
      <c r="AL4997"/>
      <c r="AM4997"/>
      <c r="AN4997"/>
      <c r="AO4997"/>
    </row>
    <row r="4998" spans="1:41" ht="15">
      <c r="A4998"/>
      <c r="B4998"/>
      <c r="C4998" s="137"/>
      <c r="D4998" s="30"/>
      <c r="E4998" s="30"/>
      <c r="F4998" s="10"/>
      <c r="G4998" s="10"/>
      <c r="H4998" s="15"/>
      <c r="I4998" s="15"/>
      <c r="J4998" s="15"/>
      <c r="K4998" s="15"/>
      <c r="L4998" s="15"/>
      <c r="M4998" s="15"/>
      <c r="N4998" s="15"/>
      <c r="O4998" s="15"/>
      <c r="P4998" s="15"/>
      <c r="Q4998" s="71"/>
      <c r="R4998" s="84"/>
      <c r="S4998" s="10"/>
      <c r="T4998" s="10"/>
      <c r="U4998" s="10"/>
      <c r="V4998" s="10"/>
      <c r="W4998" s="138"/>
      <c r="Y4998"/>
      <c r="Z4998"/>
      <c r="AA4998"/>
      <c r="AB4998"/>
      <c r="AC4998"/>
      <c r="AD4998"/>
      <c r="AE4998"/>
      <c r="AF4998"/>
      <c r="AG4998"/>
      <c r="AH4998"/>
      <c r="AI4998"/>
      <c r="AJ4998"/>
      <c r="AK4998"/>
      <c r="AL4998"/>
      <c r="AM4998"/>
      <c r="AN4998"/>
      <c r="AO4998"/>
    </row>
    <row r="4999" spans="1:41" ht="15">
      <c r="A4999"/>
      <c r="B4999"/>
      <c r="C4999" s="137"/>
      <c r="D4999" s="30"/>
      <c r="E4999" s="30"/>
      <c r="F4999" s="10"/>
      <c r="G4999" s="10"/>
      <c r="H4999" s="15"/>
      <c r="I4999" s="15"/>
      <c r="J4999" s="15"/>
      <c r="K4999" s="15"/>
      <c r="L4999" s="15"/>
      <c r="M4999" s="15"/>
      <c r="N4999" s="15"/>
      <c r="O4999" s="15"/>
      <c r="P4999" s="15"/>
      <c r="Q4999" s="71"/>
      <c r="R4999" s="84"/>
      <c r="S4999" s="10"/>
      <c r="T4999" s="10"/>
      <c r="U4999" s="10"/>
      <c r="V4999" s="10"/>
      <c r="W4999" s="138"/>
      <c r="Y4999"/>
      <c r="Z4999"/>
      <c r="AA4999"/>
      <c r="AB4999"/>
      <c r="AC4999"/>
      <c r="AD4999"/>
      <c r="AE4999"/>
      <c r="AF4999"/>
      <c r="AG4999"/>
      <c r="AH4999"/>
      <c r="AI4999"/>
      <c r="AJ4999"/>
      <c r="AK4999"/>
      <c r="AL4999"/>
      <c r="AM4999"/>
      <c r="AN4999"/>
      <c r="AO4999"/>
    </row>
    <row r="5000" spans="1:41" ht="15">
      <c r="A5000"/>
      <c r="B5000"/>
      <c r="C5000" s="137"/>
      <c r="D5000" s="30"/>
      <c r="E5000" s="30"/>
      <c r="F5000" s="10"/>
      <c r="G5000" s="10"/>
      <c r="H5000" s="15"/>
      <c r="I5000" s="15"/>
      <c r="J5000" s="15"/>
      <c r="K5000" s="15"/>
      <c r="L5000" s="15"/>
      <c r="M5000" s="15"/>
      <c r="N5000" s="15"/>
      <c r="O5000" s="15"/>
      <c r="P5000" s="15"/>
      <c r="Q5000" s="71"/>
      <c r="R5000" s="84"/>
      <c r="S5000" s="10"/>
      <c r="T5000" s="10"/>
      <c r="U5000" s="10"/>
      <c r="V5000" s="10"/>
      <c r="W5000" s="138"/>
      <c r="Y5000"/>
      <c r="Z5000"/>
      <c r="AA5000"/>
      <c r="AB5000"/>
      <c r="AC5000"/>
      <c r="AD5000"/>
      <c r="AE5000"/>
      <c r="AF5000"/>
      <c r="AG5000"/>
      <c r="AH5000"/>
      <c r="AI5000"/>
      <c r="AJ5000"/>
      <c r="AK5000"/>
      <c r="AL5000"/>
      <c r="AM5000"/>
      <c r="AN5000"/>
      <c r="AO5000"/>
    </row>
    <row r="5001" spans="1:41" ht="15">
      <c r="A5001"/>
      <c r="B5001"/>
      <c r="C5001" s="137"/>
      <c r="D5001" s="30"/>
      <c r="E5001" s="30"/>
      <c r="F5001" s="10"/>
      <c r="G5001" s="10"/>
      <c r="H5001" s="15"/>
      <c r="I5001" s="15"/>
      <c r="J5001" s="15"/>
      <c r="K5001" s="15"/>
      <c r="L5001" s="15"/>
      <c r="M5001" s="15"/>
      <c r="N5001" s="15"/>
      <c r="O5001" s="15"/>
      <c r="P5001" s="15"/>
      <c r="Q5001" s="71"/>
      <c r="R5001" s="84"/>
      <c r="S5001" s="10"/>
      <c r="T5001" s="10"/>
      <c r="U5001" s="10"/>
      <c r="V5001" s="10"/>
      <c r="W5001" s="138"/>
      <c r="Y5001"/>
      <c r="Z5001"/>
      <c r="AA5001"/>
      <c r="AB5001"/>
      <c r="AC5001"/>
      <c r="AD5001"/>
      <c r="AE5001"/>
      <c r="AF5001"/>
      <c r="AG5001"/>
      <c r="AH5001"/>
      <c r="AI5001"/>
      <c r="AJ5001"/>
      <c r="AK5001"/>
      <c r="AL5001"/>
      <c r="AM5001"/>
      <c r="AN5001"/>
      <c r="AO5001"/>
    </row>
    <row r="5002" spans="1:41" ht="15">
      <c r="A5002"/>
      <c r="B5002"/>
      <c r="C5002" s="137"/>
      <c r="D5002" s="30"/>
      <c r="E5002" s="30"/>
      <c r="F5002" s="10"/>
      <c r="G5002" s="10"/>
      <c r="H5002" s="15"/>
      <c r="I5002" s="15"/>
      <c r="J5002" s="15"/>
      <c r="K5002" s="15"/>
      <c r="L5002" s="15"/>
      <c r="M5002" s="15"/>
      <c r="N5002" s="15"/>
      <c r="O5002" s="15"/>
      <c r="P5002" s="15"/>
      <c r="Q5002" s="71"/>
      <c r="R5002" s="84"/>
      <c r="S5002" s="10"/>
      <c r="T5002" s="10"/>
      <c r="U5002" s="10"/>
      <c r="V5002" s="10"/>
      <c r="W5002" s="138"/>
      <c r="Y5002"/>
      <c r="Z5002"/>
      <c r="AA5002"/>
      <c r="AB5002"/>
      <c r="AC5002"/>
      <c r="AD5002"/>
      <c r="AE5002"/>
      <c r="AF5002"/>
      <c r="AG5002"/>
      <c r="AH5002"/>
      <c r="AI5002"/>
      <c r="AJ5002"/>
      <c r="AK5002"/>
      <c r="AL5002"/>
      <c r="AM5002"/>
      <c r="AN5002"/>
      <c r="AO5002"/>
    </row>
    <row r="5003" spans="1:41" ht="15">
      <c r="A5003"/>
      <c r="B5003"/>
      <c r="C5003" s="137"/>
      <c r="D5003" s="30"/>
      <c r="E5003" s="30"/>
      <c r="F5003" s="10"/>
      <c r="G5003" s="10"/>
      <c r="H5003" s="15"/>
      <c r="I5003" s="15"/>
      <c r="J5003" s="15"/>
      <c r="K5003" s="15"/>
      <c r="L5003" s="15"/>
      <c r="M5003" s="15"/>
      <c r="N5003" s="15"/>
      <c r="O5003" s="15"/>
      <c r="P5003" s="15"/>
      <c r="Q5003" s="71"/>
      <c r="R5003" s="84"/>
      <c r="S5003" s="10"/>
      <c r="T5003" s="10"/>
      <c r="U5003" s="10"/>
      <c r="V5003" s="10"/>
      <c r="W5003" s="138"/>
      <c r="Y5003"/>
      <c r="Z5003"/>
      <c r="AA5003"/>
      <c r="AB5003"/>
      <c r="AC5003"/>
      <c r="AD5003"/>
      <c r="AE5003"/>
      <c r="AF5003"/>
      <c r="AG5003"/>
      <c r="AH5003"/>
      <c r="AI5003"/>
      <c r="AJ5003"/>
      <c r="AK5003"/>
      <c r="AL5003"/>
      <c r="AM5003"/>
      <c r="AN5003"/>
      <c r="AO5003"/>
    </row>
    <row r="5004" spans="1:41" ht="15">
      <c r="A5004"/>
      <c r="B5004"/>
      <c r="C5004" s="137"/>
      <c r="D5004" s="30"/>
      <c r="E5004" s="30"/>
      <c r="F5004" s="10"/>
      <c r="G5004" s="10"/>
      <c r="H5004" s="15"/>
      <c r="I5004" s="15"/>
      <c r="J5004" s="15"/>
      <c r="K5004" s="15"/>
      <c r="L5004" s="15"/>
      <c r="M5004" s="15"/>
      <c r="N5004" s="15"/>
      <c r="O5004" s="15"/>
      <c r="P5004" s="15"/>
      <c r="Q5004" s="71"/>
      <c r="R5004" s="84"/>
      <c r="S5004" s="10"/>
      <c r="T5004" s="10"/>
      <c r="U5004" s="10"/>
      <c r="V5004" s="10"/>
      <c r="W5004" s="138"/>
      <c r="Y5004"/>
      <c r="Z5004"/>
      <c r="AA5004"/>
      <c r="AB5004"/>
      <c r="AC5004"/>
      <c r="AD5004"/>
      <c r="AE5004"/>
      <c r="AF5004"/>
      <c r="AG5004"/>
      <c r="AH5004"/>
      <c r="AI5004"/>
      <c r="AJ5004"/>
      <c r="AK5004"/>
      <c r="AL5004"/>
      <c r="AM5004"/>
      <c r="AN5004"/>
      <c r="AO5004"/>
    </row>
    <row r="5005" spans="1:41" ht="15">
      <c r="A5005"/>
      <c r="B5005"/>
      <c r="C5005" s="137"/>
      <c r="D5005" s="30"/>
      <c r="E5005" s="30"/>
      <c r="F5005" s="10"/>
      <c r="G5005" s="10"/>
      <c r="H5005" s="15"/>
      <c r="I5005" s="15"/>
      <c r="J5005" s="15"/>
      <c r="K5005" s="15"/>
      <c r="L5005" s="15"/>
      <c r="M5005" s="15"/>
      <c r="N5005" s="15"/>
      <c r="O5005" s="15"/>
      <c r="P5005" s="15"/>
      <c r="Q5005" s="71"/>
      <c r="R5005" s="84"/>
      <c r="S5005" s="10"/>
      <c r="T5005" s="10"/>
      <c r="U5005" s="10"/>
      <c r="V5005" s="10"/>
      <c r="W5005" s="138"/>
      <c r="Y5005"/>
      <c r="Z5005"/>
      <c r="AA5005"/>
      <c r="AB5005"/>
      <c r="AC5005"/>
      <c r="AD5005"/>
      <c r="AE5005"/>
      <c r="AF5005"/>
      <c r="AG5005"/>
      <c r="AH5005"/>
      <c r="AI5005"/>
      <c r="AJ5005"/>
      <c r="AK5005"/>
      <c r="AL5005"/>
      <c r="AM5005"/>
      <c r="AN5005"/>
      <c r="AO5005"/>
    </row>
    <row r="5006" spans="1:41" ht="15">
      <c r="A5006"/>
      <c r="B5006"/>
      <c r="C5006" s="137"/>
      <c r="D5006" s="30"/>
      <c r="E5006" s="30"/>
      <c r="F5006" s="10"/>
      <c r="G5006" s="10"/>
      <c r="H5006" s="15"/>
      <c r="I5006" s="15"/>
      <c r="J5006" s="15"/>
      <c r="K5006" s="15"/>
      <c r="L5006" s="15"/>
      <c r="M5006" s="15"/>
      <c r="N5006" s="15"/>
      <c r="O5006" s="15"/>
      <c r="P5006" s="15"/>
      <c r="Q5006" s="71"/>
      <c r="R5006" s="84"/>
      <c r="S5006" s="10"/>
      <c r="T5006" s="10"/>
      <c r="U5006" s="10"/>
      <c r="V5006" s="10"/>
      <c r="W5006" s="138"/>
      <c r="Y5006"/>
      <c r="Z5006"/>
      <c r="AA5006"/>
      <c r="AB5006"/>
      <c r="AC5006"/>
      <c r="AD5006"/>
      <c r="AE5006"/>
      <c r="AF5006"/>
      <c r="AG5006"/>
      <c r="AH5006"/>
      <c r="AI5006"/>
      <c r="AJ5006"/>
      <c r="AK5006"/>
      <c r="AL5006"/>
      <c r="AM5006"/>
      <c r="AN5006"/>
      <c r="AO5006"/>
    </row>
    <row r="5007" spans="1:41" ht="15">
      <c r="A5007"/>
      <c r="B5007"/>
      <c r="C5007" s="137"/>
      <c r="D5007" s="30"/>
      <c r="E5007" s="30"/>
      <c r="F5007" s="10"/>
      <c r="G5007" s="10"/>
      <c r="H5007" s="15"/>
      <c r="I5007" s="15"/>
      <c r="J5007" s="15"/>
      <c r="K5007" s="15"/>
      <c r="L5007" s="15"/>
      <c r="M5007" s="15"/>
      <c r="N5007" s="15"/>
      <c r="O5007" s="15"/>
      <c r="P5007" s="15"/>
      <c r="Q5007" s="71"/>
      <c r="R5007" s="84"/>
      <c r="S5007" s="10"/>
      <c r="T5007" s="10"/>
      <c r="U5007" s="10"/>
      <c r="V5007" s="10"/>
      <c r="W5007" s="138"/>
      <c r="Y5007"/>
      <c r="Z5007"/>
      <c r="AA5007"/>
      <c r="AB5007"/>
      <c r="AC5007"/>
      <c r="AD5007"/>
      <c r="AE5007"/>
      <c r="AF5007"/>
      <c r="AG5007"/>
      <c r="AH5007"/>
      <c r="AI5007"/>
      <c r="AJ5007"/>
      <c r="AK5007"/>
      <c r="AL5007"/>
      <c r="AM5007"/>
      <c r="AN5007"/>
      <c r="AO5007"/>
    </row>
    <row r="5008" spans="1:41" ht="15">
      <c r="A5008"/>
      <c r="B5008"/>
      <c r="C5008" s="137"/>
      <c r="D5008" s="30"/>
      <c r="E5008" s="30"/>
      <c r="F5008" s="10"/>
      <c r="G5008" s="10"/>
      <c r="H5008" s="15"/>
      <c r="I5008" s="15"/>
      <c r="J5008" s="15"/>
      <c r="K5008" s="15"/>
      <c r="L5008" s="15"/>
      <c r="M5008" s="15"/>
      <c r="N5008" s="15"/>
      <c r="O5008" s="15"/>
      <c r="P5008" s="15"/>
      <c r="Q5008" s="71"/>
      <c r="R5008" s="84"/>
      <c r="S5008" s="10"/>
      <c r="T5008" s="10"/>
      <c r="U5008" s="10"/>
      <c r="V5008" s="10"/>
      <c r="W5008" s="138"/>
      <c r="Y5008"/>
      <c r="Z5008"/>
      <c r="AA5008"/>
      <c r="AB5008"/>
      <c r="AC5008"/>
      <c r="AD5008"/>
      <c r="AE5008"/>
      <c r="AF5008"/>
      <c r="AG5008"/>
      <c r="AH5008"/>
      <c r="AI5008"/>
      <c r="AJ5008"/>
      <c r="AK5008"/>
      <c r="AL5008"/>
      <c r="AM5008"/>
      <c r="AN5008"/>
      <c r="AO5008"/>
    </row>
    <row r="5009" spans="1:41" ht="15">
      <c r="A5009"/>
      <c r="B5009"/>
      <c r="C5009" s="137"/>
      <c r="D5009" s="30"/>
      <c r="E5009" s="30"/>
      <c r="F5009" s="10"/>
      <c r="G5009" s="10"/>
      <c r="H5009" s="15"/>
      <c r="I5009" s="15"/>
      <c r="J5009" s="15"/>
      <c r="K5009" s="15"/>
      <c r="L5009" s="15"/>
      <c r="M5009" s="15"/>
      <c r="N5009" s="15"/>
      <c r="O5009" s="15"/>
      <c r="P5009" s="15"/>
      <c r="Q5009" s="71"/>
      <c r="R5009" s="84"/>
      <c r="S5009" s="10"/>
      <c r="T5009" s="10"/>
      <c r="U5009" s="10"/>
      <c r="V5009" s="10"/>
      <c r="W5009" s="138"/>
      <c r="Y5009"/>
      <c r="Z5009"/>
      <c r="AA5009"/>
      <c r="AB5009"/>
      <c r="AC5009"/>
      <c r="AD5009"/>
      <c r="AE5009"/>
      <c r="AF5009"/>
      <c r="AG5009"/>
      <c r="AH5009"/>
      <c r="AI5009"/>
      <c r="AJ5009"/>
      <c r="AK5009"/>
      <c r="AL5009"/>
      <c r="AM5009"/>
      <c r="AN5009"/>
      <c r="AO5009"/>
    </row>
    <row r="5010" spans="1:41" ht="15">
      <c r="A5010"/>
      <c r="B5010"/>
      <c r="C5010" s="137"/>
      <c r="D5010" s="30"/>
      <c r="E5010" s="30"/>
      <c r="F5010" s="10"/>
      <c r="G5010" s="10"/>
      <c r="H5010" s="15"/>
      <c r="I5010" s="15"/>
      <c r="J5010" s="15"/>
      <c r="K5010" s="15"/>
      <c r="L5010" s="15"/>
      <c r="M5010" s="15"/>
      <c r="N5010" s="15"/>
      <c r="O5010" s="15"/>
      <c r="P5010" s="15"/>
      <c r="Q5010" s="71"/>
      <c r="R5010" s="84"/>
      <c r="S5010" s="10"/>
      <c r="T5010" s="10"/>
      <c r="U5010" s="10"/>
      <c r="V5010" s="10"/>
      <c r="W5010" s="138"/>
      <c r="Y5010"/>
      <c r="Z5010"/>
      <c r="AA5010"/>
      <c r="AB5010"/>
      <c r="AC5010"/>
      <c r="AD5010"/>
      <c r="AE5010"/>
      <c r="AF5010"/>
      <c r="AG5010"/>
      <c r="AH5010"/>
      <c r="AI5010"/>
      <c r="AJ5010"/>
      <c r="AK5010"/>
      <c r="AL5010"/>
      <c r="AM5010"/>
      <c r="AN5010"/>
      <c r="AO5010"/>
    </row>
    <row r="5011" spans="1:41" ht="15">
      <c r="A5011"/>
      <c r="B5011"/>
      <c r="C5011" s="137"/>
      <c r="D5011" s="30"/>
      <c r="E5011" s="30"/>
      <c r="F5011" s="10"/>
      <c r="G5011" s="10"/>
      <c r="H5011" s="15"/>
      <c r="I5011" s="15"/>
      <c r="J5011" s="15"/>
      <c r="K5011" s="15"/>
      <c r="L5011" s="15"/>
      <c r="M5011" s="15"/>
      <c r="N5011" s="15"/>
      <c r="O5011" s="15"/>
      <c r="P5011" s="15"/>
      <c r="Q5011" s="71"/>
      <c r="R5011" s="84"/>
      <c r="S5011" s="10"/>
      <c r="T5011" s="10"/>
      <c r="U5011" s="10"/>
      <c r="V5011" s="10"/>
      <c r="W5011" s="138"/>
      <c r="Y5011"/>
      <c r="Z5011"/>
      <c r="AA5011"/>
      <c r="AB5011"/>
      <c r="AC5011"/>
      <c r="AD5011"/>
      <c r="AE5011"/>
      <c r="AF5011"/>
      <c r="AG5011"/>
      <c r="AH5011"/>
      <c r="AI5011"/>
      <c r="AJ5011"/>
      <c r="AK5011"/>
      <c r="AL5011"/>
      <c r="AM5011"/>
      <c r="AN5011"/>
      <c r="AO5011"/>
    </row>
    <row r="5012" spans="1:41" ht="15">
      <c r="A5012"/>
      <c r="B5012"/>
      <c r="C5012" s="137"/>
      <c r="D5012" s="30"/>
      <c r="E5012" s="30"/>
      <c r="F5012" s="10"/>
      <c r="G5012" s="10"/>
      <c r="H5012" s="15"/>
      <c r="I5012" s="15"/>
      <c r="J5012" s="15"/>
      <c r="K5012" s="15"/>
      <c r="L5012" s="15"/>
      <c r="M5012" s="15"/>
      <c r="N5012" s="15"/>
      <c r="O5012" s="15"/>
      <c r="P5012" s="15"/>
      <c r="Q5012" s="71"/>
      <c r="R5012" s="84"/>
      <c r="S5012" s="10"/>
      <c r="T5012" s="10"/>
      <c r="U5012" s="10"/>
      <c r="V5012" s="10"/>
      <c r="W5012" s="138"/>
      <c r="Y5012"/>
      <c r="Z5012"/>
      <c r="AA5012"/>
      <c r="AB5012"/>
      <c r="AC5012"/>
      <c r="AD5012"/>
      <c r="AE5012"/>
      <c r="AF5012"/>
      <c r="AG5012"/>
      <c r="AH5012"/>
      <c r="AI5012"/>
      <c r="AJ5012"/>
      <c r="AK5012"/>
      <c r="AL5012"/>
      <c r="AM5012"/>
      <c r="AN5012"/>
      <c r="AO5012"/>
    </row>
    <row r="5013" spans="1:41" ht="15">
      <c r="A5013"/>
      <c r="B5013"/>
      <c r="C5013" s="137"/>
      <c r="D5013" s="30"/>
      <c r="E5013" s="30"/>
      <c r="F5013" s="10"/>
      <c r="G5013" s="10"/>
      <c r="H5013" s="15"/>
      <c r="I5013" s="15"/>
      <c r="J5013" s="15"/>
      <c r="K5013" s="15"/>
      <c r="L5013" s="15"/>
      <c r="M5013" s="15"/>
      <c r="N5013" s="15"/>
      <c r="O5013" s="15"/>
      <c r="P5013" s="15"/>
      <c r="Q5013" s="71"/>
      <c r="R5013" s="84"/>
      <c r="S5013" s="10"/>
      <c r="T5013" s="10"/>
      <c r="U5013" s="10"/>
      <c r="V5013" s="10"/>
      <c r="W5013" s="138"/>
      <c r="Y5013"/>
      <c r="Z5013"/>
      <c r="AA5013"/>
      <c r="AB5013"/>
      <c r="AC5013"/>
      <c r="AD5013"/>
      <c r="AE5013"/>
      <c r="AF5013"/>
      <c r="AG5013"/>
      <c r="AH5013"/>
      <c r="AI5013"/>
      <c r="AJ5013"/>
      <c r="AK5013"/>
      <c r="AL5013"/>
      <c r="AM5013"/>
      <c r="AN5013"/>
      <c r="AO5013"/>
    </row>
    <row r="5014" spans="1:41" ht="15">
      <c r="A5014"/>
      <c r="B5014"/>
      <c r="C5014" s="137"/>
      <c r="D5014" s="30"/>
      <c r="E5014" s="30"/>
      <c r="F5014" s="10"/>
      <c r="G5014" s="10"/>
      <c r="H5014" s="15"/>
      <c r="I5014" s="15"/>
      <c r="J5014" s="15"/>
      <c r="K5014" s="15"/>
      <c r="L5014" s="15"/>
      <c r="M5014" s="15"/>
      <c r="N5014" s="15"/>
      <c r="O5014" s="15"/>
      <c r="P5014" s="15"/>
      <c r="Q5014" s="71"/>
      <c r="R5014" s="84"/>
      <c r="S5014" s="10"/>
      <c r="T5014" s="10"/>
      <c r="U5014" s="10"/>
      <c r="V5014" s="10"/>
      <c r="W5014" s="138"/>
      <c r="Y5014"/>
      <c r="Z5014"/>
      <c r="AA5014"/>
      <c r="AB5014"/>
      <c r="AC5014"/>
      <c r="AD5014"/>
      <c r="AE5014"/>
      <c r="AF5014"/>
      <c r="AG5014"/>
      <c r="AH5014"/>
      <c r="AI5014"/>
      <c r="AJ5014"/>
      <c r="AK5014"/>
      <c r="AL5014"/>
      <c r="AM5014"/>
      <c r="AN5014"/>
      <c r="AO5014"/>
    </row>
    <row r="5015" spans="1:41" ht="15">
      <c r="A5015"/>
      <c r="B5015"/>
      <c r="C5015" s="137"/>
      <c r="D5015" s="30"/>
      <c r="E5015" s="30"/>
      <c r="F5015" s="10"/>
      <c r="G5015" s="10"/>
      <c r="H5015" s="15"/>
      <c r="I5015" s="15"/>
      <c r="J5015" s="15"/>
      <c r="K5015" s="15"/>
      <c r="L5015" s="15"/>
      <c r="M5015" s="15"/>
      <c r="N5015" s="15"/>
      <c r="O5015" s="15"/>
      <c r="P5015" s="15"/>
      <c r="Q5015" s="71"/>
      <c r="R5015" s="84"/>
      <c r="S5015" s="10"/>
      <c r="T5015" s="10"/>
      <c r="U5015" s="10"/>
      <c r="V5015" s="10"/>
      <c r="W5015" s="138"/>
      <c r="Y5015"/>
      <c r="Z5015"/>
      <c r="AA5015"/>
      <c r="AB5015"/>
      <c r="AC5015"/>
      <c r="AD5015"/>
      <c r="AE5015"/>
      <c r="AF5015"/>
      <c r="AG5015"/>
      <c r="AH5015"/>
      <c r="AI5015"/>
      <c r="AJ5015"/>
      <c r="AK5015"/>
      <c r="AL5015"/>
      <c r="AM5015"/>
      <c r="AN5015"/>
      <c r="AO5015"/>
    </row>
    <row r="5016" spans="1:41" ht="15">
      <c r="A5016"/>
      <c r="B5016"/>
      <c r="C5016" s="137"/>
      <c r="D5016" s="30"/>
      <c r="E5016" s="30"/>
      <c r="F5016" s="10"/>
      <c r="G5016" s="10"/>
      <c r="H5016" s="15"/>
      <c r="I5016" s="15"/>
      <c r="J5016" s="15"/>
      <c r="K5016" s="15"/>
      <c r="L5016" s="15"/>
      <c r="M5016" s="15"/>
      <c r="N5016" s="15"/>
      <c r="O5016" s="15"/>
      <c r="P5016" s="15"/>
      <c r="Q5016" s="71"/>
      <c r="R5016" s="84"/>
      <c r="S5016" s="10"/>
      <c r="T5016" s="10"/>
      <c r="U5016" s="10"/>
      <c r="V5016" s="10"/>
      <c r="W5016" s="138"/>
      <c r="Y5016"/>
      <c r="Z5016"/>
      <c r="AA5016"/>
      <c r="AB5016"/>
      <c r="AC5016"/>
      <c r="AD5016"/>
      <c r="AE5016"/>
      <c r="AF5016"/>
      <c r="AG5016"/>
      <c r="AH5016"/>
      <c r="AI5016"/>
      <c r="AJ5016"/>
      <c r="AK5016"/>
      <c r="AL5016"/>
      <c r="AM5016"/>
      <c r="AN5016"/>
      <c r="AO5016"/>
    </row>
    <row r="5017" spans="1:41" ht="15">
      <c r="A5017"/>
      <c r="B5017"/>
      <c r="C5017" s="137"/>
      <c r="D5017" s="30"/>
      <c r="E5017" s="30"/>
      <c r="F5017" s="10"/>
      <c r="G5017" s="10"/>
      <c r="H5017" s="15"/>
      <c r="I5017" s="15"/>
      <c r="J5017" s="15"/>
      <c r="K5017" s="15"/>
      <c r="L5017" s="15"/>
      <c r="M5017" s="15"/>
      <c r="N5017" s="15"/>
      <c r="O5017" s="15"/>
      <c r="P5017" s="15"/>
      <c r="Q5017" s="71"/>
      <c r="R5017" s="84"/>
      <c r="S5017" s="10"/>
      <c r="T5017" s="10"/>
      <c r="U5017" s="10"/>
      <c r="V5017" s="10"/>
      <c r="W5017" s="138"/>
      <c r="Y5017"/>
      <c r="Z5017"/>
      <c r="AA5017"/>
      <c r="AB5017"/>
      <c r="AC5017"/>
      <c r="AD5017"/>
      <c r="AE5017"/>
      <c r="AF5017"/>
      <c r="AG5017"/>
      <c r="AH5017"/>
      <c r="AI5017"/>
      <c r="AJ5017"/>
      <c r="AK5017"/>
      <c r="AL5017"/>
      <c r="AM5017"/>
      <c r="AN5017"/>
      <c r="AO5017"/>
    </row>
    <row r="5018" spans="1:41" ht="15">
      <c r="A5018"/>
      <c r="B5018"/>
      <c r="C5018" s="137"/>
      <c r="D5018" s="30"/>
      <c r="E5018" s="30"/>
      <c r="F5018" s="10"/>
      <c r="G5018" s="10"/>
      <c r="H5018" s="15"/>
      <c r="I5018" s="15"/>
      <c r="J5018" s="15"/>
      <c r="K5018" s="15"/>
      <c r="L5018" s="15"/>
      <c r="M5018" s="15"/>
      <c r="N5018" s="15"/>
      <c r="O5018" s="15"/>
      <c r="P5018" s="15"/>
      <c r="Q5018" s="71"/>
      <c r="R5018" s="84"/>
      <c r="S5018" s="10"/>
      <c r="T5018" s="10"/>
      <c r="U5018" s="10"/>
      <c r="V5018" s="10"/>
      <c r="W5018" s="138"/>
      <c r="Y5018"/>
      <c r="Z5018"/>
      <c r="AA5018"/>
      <c r="AB5018"/>
      <c r="AC5018"/>
      <c r="AD5018"/>
      <c r="AE5018"/>
      <c r="AF5018"/>
      <c r="AG5018"/>
      <c r="AH5018"/>
      <c r="AI5018"/>
      <c r="AJ5018"/>
      <c r="AK5018"/>
      <c r="AL5018"/>
      <c r="AM5018"/>
      <c r="AN5018"/>
      <c r="AO5018"/>
    </row>
    <row r="5019" spans="1:41" ht="15">
      <c r="A5019"/>
      <c r="B5019"/>
      <c r="C5019" s="137"/>
      <c r="D5019" s="30"/>
      <c r="E5019" s="30"/>
      <c r="F5019" s="10"/>
      <c r="G5019" s="10"/>
      <c r="H5019" s="15"/>
      <c r="I5019" s="15"/>
      <c r="J5019" s="15"/>
      <c r="K5019" s="15"/>
      <c r="L5019" s="15"/>
      <c r="M5019" s="15"/>
      <c r="N5019" s="15"/>
      <c r="O5019" s="15"/>
      <c r="P5019" s="15"/>
      <c r="Q5019" s="71"/>
      <c r="R5019" s="84"/>
      <c r="S5019" s="10"/>
      <c r="T5019" s="10"/>
      <c r="U5019" s="10"/>
      <c r="V5019" s="10"/>
      <c r="W5019" s="138"/>
      <c r="Y5019"/>
      <c r="Z5019"/>
      <c r="AA5019"/>
      <c r="AB5019"/>
      <c r="AC5019"/>
      <c r="AD5019"/>
      <c r="AE5019"/>
      <c r="AF5019"/>
      <c r="AG5019"/>
      <c r="AH5019"/>
      <c r="AI5019"/>
      <c r="AJ5019"/>
      <c r="AK5019"/>
      <c r="AL5019"/>
      <c r="AM5019"/>
      <c r="AN5019"/>
      <c r="AO5019"/>
    </row>
    <row r="5020" spans="1:41" ht="15">
      <c r="A5020"/>
      <c r="B5020"/>
      <c r="C5020" s="137"/>
      <c r="D5020" s="30"/>
      <c r="E5020" s="30"/>
      <c r="F5020" s="10"/>
      <c r="G5020" s="10"/>
      <c r="H5020" s="15"/>
      <c r="I5020" s="15"/>
      <c r="J5020" s="15"/>
      <c r="K5020" s="15"/>
      <c r="L5020" s="15"/>
      <c r="M5020" s="15"/>
      <c r="N5020" s="15"/>
      <c r="O5020" s="15"/>
      <c r="P5020" s="15"/>
      <c r="Q5020" s="71"/>
      <c r="R5020" s="84"/>
      <c r="S5020" s="10"/>
      <c r="T5020" s="10"/>
      <c r="U5020" s="10"/>
      <c r="V5020" s="10"/>
      <c r="W5020" s="138"/>
      <c r="Y5020"/>
      <c r="Z5020"/>
      <c r="AA5020"/>
      <c r="AB5020"/>
      <c r="AC5020"/>
      <c r="AD5020"/>
      <c r="AE5020"/>
      <c r="AF5020"/>
      <c r="AG5020"/>
      <c r="AH5020"/>
      <c r="AI5020"/>
      <c r="AJ5020"/>
      <c r="AK5020"/>
      <c r="AL5020"/>
      <c r="AM5020"/>
      <c r="AN5020"/>
      <c r="AO5020"/>
    </row>
    <row r="5021" spans="1:41" ht="15">
      <c r="A5021"/>
      <c r="B5021"/>
      <c r="C5021" s="137"/>
      <c r="D5021" s="30"/>
      <c r="E5021" s="30"/>
      <c r="F5021" s="10"/>
      <c r="G5021" s="10"/>
      <c r="H5021" s="15"/>
      <c r="I5021" s="15"/>
      <c r="J5021" s="15"/>
      <c r="K5021" s="15"/>
      <c r="L5021" s="15"/>
      <c r="M5021" s="15"/>
      <c r="N5021" s="15"/>
      <c r="O5021" s="15"/>
      <c r="P5021" s="15"/>
      <c r="Q5021" s="71"/>
      <c r="R5021" s="84"/>
      <c r="S5021" s="10"/>
      <c r="T5021" s="10"/>
      <c r="U5021" s="10"/>
      <c r="V5021" s="10"/>
      <c r="W5021" s="138"/>
      <c r="Y5021"/>
      <c r="Z5021"/>
      <c r="AA5021"/>
      <c r="AB5021"/>
      <c r="AC5021"/>
      <c r="AD5021"/>
      <c r="AE5021"/>
      <c r="AF5021"/>
      <c r="AG5021"/>
      <c r="AH5021"/>
      <c r="AI5021"/>
      <c r="AJ5021"/>
      <c r="AK5021"/>
      <c r="AL5021"/>
      <c r="AM5021"/>
      <c r="AN5021"/>
      <c r="AO5021"/>
    </row>
    <row r="5022" spans="1:41" ht="15">
      <c r="A5022"/>
      <c r="B5022"/>
      <c r="C5022" s="137"/>
      <c r="D5022" s="30"/>
      <c r="E5022" s="30"/>
      <c r="F5022" s="10"/>
      <c r="G5022" s="10"/>
      <c r="H5022" s="15"/>
      <c r="I5022" s="15"/>
      <c r="J5022" s="15"/>
      <c r="K5022" s="15"/>
      <c r="L5022" s="15"/>
      <c r="M5022" s="15"/>
      <c r="N5022" s="15"/>
      <c r="O5022" s="15"/>
      <c r="P5022" s="15"/>
      <c r="Q5022" s="71"/>
      <c r="R5022" s="84"/>
      <c r="S5022" s="10"/>
      <c r="T5022" s="10"/>
      <c r="U5022" s="10"/>
      <c r="V5022" s="10"/>
      <c r="W5022" s="138"/>
      <c r="Y5022"/>
      <c r="Z5022"/>
      <c r="AA5022"/>
      <c r="AB5022"/>
      <c r="AC5022"/>
      <c r="AD5022"/>
      <c r="AE5022"/>
      <c r="AF5022"/>
      <c r="AG5022"/>
      <c r="AH5022"/>
      <c r="AI5022"/>
      <c r="AJ5022"/>
      <c r="AK5022"/>
      <c r="AL5022"/>
      <c r="AM5022"/>
      <c r="AN5022"/>
      <c r="AO5022"/>
    </row>
    <row r="5023" spans="1:41" ht="15">
      <c r="A5023"/>
      <c r="B5023"/>
      <c r="C5023" s="137"/>
      <c r="D5023" s="30"/>
      <c r="E5023" s="30"/>
      <c r="F5023" s="10"/>
      <c r="G5023" s="10"/>
      <c r="H5023" s="15"/>
      <c r="I5023" s="15"/>
      <c r="J5023" s="15"/>
      <c r="K5023" s="15"/>
      <c r="L5023" s="15"/>
      <c r="M5023" s="15"/>
      <c r="N5023" s="15"/>
      <c r="O5023" s="15"/>
      <c r="P5023" s="15"/>
      <c r="Q5023" s="71"/>
      <c r="R5023" s="84"/>
      <c r="S5023" s="10"/>
      <c r="T5023" s="10"/>
      <c r="U5023" s="10"/>
      <c r="V5023" s="10"/>
      <c r="W5023" s="138"/>
      <c r="Y5023"/>
      <c r="Z5023"/>
      <c r="AA5023"/>
      <c r="AB5023"/>
      <c r="AC5023"/>
      <c r="AD5023"/>
      <c r="AE5023"/>
      <c r="AF5023"/>
      <c r="AG5023"/>
      <c r="AH5023"/>
      <c r="AI5023"/>
      <c r="AJ5023"/>
      <c r="AK5023"/>
      <c r="AL5023"/>
      <c r="AM5023"/>
      <c r="AN5023"/>
      <c r="AO5023"/>
    </row>
    <row r="5024" spans="1:41" ht="15">
      <c r="A5024"/>
      <c r="B5024"/>
      <c r="C5024" s="137"/>
      <c r="D5024" s="30"/>
      <c r="E5024" s="30"/>
      <c r="F5024" s="10"/>
      <c r="G5024" s="10"/>
      <c r="H5024" s="15"/>
      <c r="I5024" s="15"/>
      <c r="J5024" s="15"/>
      <c r="K5024" s="15"/>
      <c r="L5024" s="15"/>
      <c r="M5024" s="15"/>
      <c r="N5024" s="15"/>
      <c r="O5024" s="15"/>
      <c r="P5024" s="15"/>
      <c r="Q5024" s="71"/>
      <c r="R5024" s="84"/>
      <c r="S5024" s="10"/>
      <c r="T5024" s="10"/>
      <c r="U5024" s="10"/>
      <c r="V5024" s="10"/>
      <c r="W5024" s="138"/>
      <c r="Y5024"/>
      <c r="Z5024"/>
      <c r="AA5024"/>
      <c r="AB5024"/>
      <c r="AC5024"/>
      <c r="AD5024"/>
      <c r="AE5024"/>
      <c r="AF5024"/>
      <c r="AG5024"/>
      <c r="AH5024"/>
      <c r="AI5024"/>
      <c r="AJ5024"/>
      <c r="AK5024"/>
      <c r="AL5024"/>
      <c r="AM5024"/>
      <c r="AN5024"/>
      <c r="AO5024"/>
    </row>
    <row r="5025" spans="1:41" ht="15">
      <c r="A5025"/>
      <c r="B5025"/>
      <c r="C5025" s="137"/>
      <c r="D5025" s="30"/>
      <c r="E5025" s="30"/>
      <c r="F5025" s="10"/>
      <c r="G5025" s="10"/>
      <c r="H5025" s="15"/>
      <c r="I5025" s="15"/>
      <c r="J5025" s="15"/>
      <c r="K5025" s="15"/>
      <c r="L5025" s="15"/>
      <c r="M5025" s="15"/>
      <c r="N5025" s="15"/>
      <c r="O5025" s="15"/>
      <c r="P5025" s="15"/>
      <c r="Q5025" s="71"/>
      <c r="R5025" s="84"/>
      <c r="S5025" s="10"/>
      <c r="T5025" s="10"/>
      <c r="U5025" s="10"/>
      <c r="V5025" s="10"/>
      <c r="W5025" s="138"/>
      <c r="Y5025"/>
      <c r="Z5025"/>
      <c r="AA5025"/>
      <c r="AB5025"/>
      <c r="AC5025"/>
      <c r="AD5025"/>
      <c r="AE5025"/>
      <c r="AF5025"/>
      <c r="AG5025"/>
      <c r="AH5025"/>
      <c r="AI5025"/>
      <c r="AJ5025"/>
      <c r="AK5025"/>
      <c r="AL5025"/>
      <c r="AM5025"/>
      <c r="AN5025"/>
      <c r="AO5025"/>
    </row>
    <row r="5026" spans="1:41" ht="15">
      <c r="A5026"/>
      <c r="B5026"/>
      <c r="C5026" s="137"/>
      <c r="D5026" s="30"/>
      <c r="E5026" s="30"/>
      <c r="F5026" s="10"/>
      <c r="G5026" s="10"/>
      <c r="H5026" s="15"/>
      <c r="I5026" s="15"/>
      <c r="J5026" s="15"/>
      <c r="K5026" s="15"/>
      <c r="L5026" s="15"/>
      <c r="M5026" s="15"/>
      <c r="N5026" s="15"/>
      <c r="O5026" s="15"/>
      <c r="P5026" s="15"/>
      <c r="Q5026" s="71"/>
      <c r="R5026" s="84"/>
      <c r="S5026" s="10"/>
      <c r="T5026" s="10"/>
      <c r="U5026" s="10"/>
      <c r="V5026" s="10"/>
      <c r="W5026" s="138"/>
      <c r="Y5026"/>
      <c r="Z5026"/>
      <c r="AA5026"/>
      <c r="AB5026"/>
      <c r="AC5026"/>
      <c r="AD5026"/>
      <c r="AE5026"/>
      <c r="AF5026"/>
      <c r="AG5026"/>
      <c r="AH5026"/>
      <c r="AI5026"/>
      <c r="AJ5026"/>
      <c r="AK5026"/>
      <c r="AL5026"/>
      <c r="AM5026"/>
      <c r="AN5026"/>
      <c r="AO5026"/>
    </row>
    <row r="5027" spans="1:41" ht="15">
      <c r="A5027"/>
      <c r="B5027"/>
      <c r="C5027" s="137"/>
      <c r="D5027" s="30"/>
      <c r="E5027" s="30"/>
      <c r="F5027" s="10"/>
      <c r="G5027" s="10"/>
      <c r="H5027" s="15"/>
      <c r="I5027" s="15"/>
      <c r="J5027" s="15"/>
      <c r="K5027" s="15"/>
      <c r="L5027" s="15"/>
      <c r="M5027" s="15"/>
      <c r="N5027" s="15"/>
      <c r="O5027" s="15"/>
      <c r="P5027" s="15"/>
      <c r="Q5027" s="71"/>
      <c r="R5027" s="84"/>
      <c r="S5027" s="10"/>
      <c r="T5027" s="10"/>
      <c r="U5027" s="10"/>
      <c r="V5027" s="10"/>
      <c r="W5027" s="138"/>
      <c r="Y5027"/>
      <c r="Z5027"/>
      <c r="AA5027"/>
      <c r="AB5027"/>
      <c r="AC5027"/>
      <c r="AD5027"/>
      <c r="AE5027"/>
      <c r="AF5027"/>
      <c r="AG5027"/>
      <c r="AH5027"/>
      <c r="AI5027"/>
      <c r="AJ5027"/>
      <c r="AK5027"/>
      <c r="AL5027"/>
      <c r="AM5027"/>
      <c r="AN5027"/>
      <c r="AO5027"/>
    </row>
    <row r="5028" spans="1:41" ht="15">
      <c r="A5028"/>
      <c r="B5028"/>
      <c r="C5028" s="137"/>
      <c r="D5028" s="30"/>
      <c r="E5028" s="30"/>
      <c r="F5028" s="10"/>
      <c r="G5028" s="10"/>
      <c r="H5028" s="15"/>
      <c r="I5028" s="15"/>
      <c r="J5028" s="15"/>
      <c r="K5028" s="15"/>
      <c r="L5028" s="15"/>
      <c r="M5028" s="15"/>
      <c r="N5028" s="15"/>
      <c r="O5028" s="15"/>
      <c r="P5028" s="15"/>
      <c r="Q5028" s="71"/>
      <c r="R5028" s="84"/>
      <c r="S5028" s="10"/>
      <c r="T5028" s="10"/>
      <c r="U5028" s="10"/>
      <c r="V5028" s="10"/>
      <c r="W5028" s="138"/>
      <c r="Y5028"/>
      <c r="Z5028"/>
      <c r="AA5028"/>
      <c r="AB5028"/>
      <c r="AC5028"/>
      <c r="AD5028"/>
      <c r="AE5028"/>
      <c r="AF5028"/>
      <c r="AG5028"/>
      <c r="AH5028"/>
      <c r="AI5028"/>
      <c r="AJ5028"/>
      <c r="AK5028"/>
      <c r="AL5028"/>
      <c r="AM5028"/>
      <c r="AN5028"/>
      <c r="AO5028"/>
    </row>
    <row r="5029" spans="1:41" ht="15">
      <c r="A5029"/>
      <c r="B5029"/>
      <c r="C5029" s="137"/>
      <c r="D5029" s="30"/>
      <c r="E5029" s="30"/>
      <c r="F5029" s="10"/>
      <c r="G5029" s="10"/>
      <c r="H5029" s="15"/>
      <c r="I5029" s="15"/>
      <c r="J5029" s="15"/>
      <c r="K5029" s="15"/>
      <c r="L5029" s="15"/>
      <c r="M5029" s="15"/>
      <c r="N5029" s="15"/>
      <c r="O5029" s="15"/>
      <c r="P5029" s="15"/>
      <c r="Q5029" s="71"/>
      <c r="R5029" s="84"/>
      <c r="S5029" s="10"/>
      <c r="T5029" s="10"/>
      <c r="U5029" s="10"/>
      <c r="V5029" s="10"/>
      <c r="W5029" s="138"/>
      <c r="Y5029"/>
      <c r="Z5029"/>
      <c r="AA5029"/>
      <c r="AB5029"/>
      <c r="AC5029"/>
      <c r="AD5029"/>
      <c r="AE5029"/>
      <c r="AF5029"/>
      <c r="AG5029"/>
      <c r="AH5029"/>
      <c r="AI5029"/>
      <c r="AJ5029"/>
      <c r="AK5029"/>
      <c r="AL5029"/>
      <c r="AM5029"/>
      <c r="AN5029"/>
      <c r="AO5029"/>
    </row>
    <row r="5030" spans="1:41" ht="15">
      <c r="A5030"/>
      <c r="B5030"/>
      <c r="C5030" s="137"/>
      <c r="D5030" s="30"/>
      <c r="E5030" s="30"/>
      <c r="F5030" s="10"/>
      <c r="G5030" s="10"/>
      <c r="H5030" s="15"/>
      <c r="I5030" s="15"/>
      <c r="J5030" s="15"/>
      <c r="K5030" s="15"/>
      <c r="L5030" s="15"/>
      <c r="M5030" s="15"/>
      <c r="N5030" s="15"/>
      <c r="O5030" s="15"/>
      <c r="P5030" s="15"/>
      <c r="Q5030" s="71"/>
      <c r="R5030" s="84"/>
      <c r="S5030" s="10"/>
      <c r="T5030" s="10"/>
      <c r="U5030" s="10"/>
      <c r="V5030" s="10"/>
      <c r="W5030" s="138"/>
      <c r="Y5030"/>
      <c r="Z5030"/>
      <c r="AA5030"/>
      <c r="AB5030"/>
      <c r="AC5030"/>
      <c r="AD5030"/>
      <c r="AE5030"/>
      <c r="AF5030"/>
      <c r="AG5030"/>
      <c r="AH5030"/>
      <c r="AI5030"/>
      <c r="AJ5030"/>
      <c r="AK5030"/>
      <c r="AL5030"/>
      <c r="AM5030"/>
      <c r="AN5030"/>
      <c r="AO5030"/>
    </row>
    <row r="5031" spans="1:41" ht="15">
      <c r="A5031"/>
      <c r="B5031"/>
      <c r="C5031" s="137"/>
      <c r="D5031" s="30"/>
      <c r="E5031" s="30"/>
      <c r="F5031" s="10"/>
      <c r="G5031" s="10"/>
      <c r="H5031" s="15"/>
      <c r="I5031" s="15"/>
      <c r="J5031" s="15"/>
      <c r="K5031" s="15"/>
      <c r="L5031" s="15"/>
      <c r="M5031" s="15"/>
      <c r="N5031" s="15"/>
      <c r="O5031" s="15"/>
      <c r="P5031" s="15"/>
      <c r="Q5031" s="71"/>
      <c r="R5031" s="84"/>
      <c r="S5031" s="10"/>
      <c r="T5031" s="10"/>
      <c r="U5031" s="10"/>
      <c r="V5031" s="10"/>
      <c r="W5031" s="138"/>
      <c r="Y5031"/>
      <c r="Z5031"/>
      <c r="AA5031"/>
      <c r="AB5031"/>
      <c r="AC5031"/>
      <c r="AD5031"/>
      <c r="AE5031"/>
      <c r="AF5031"/>
      <c r="AG5031"/>
      <c r="AH5031"/>
      <c r="AI5031"/>
      <c r="AJ5031"/>
      <c r="AK5031"/>
      <c r="AL5031"/>
      <c r="AM5031"/>
      <c r="AN5031"/>
      <c r="AO5031"/>
    </row>
    <row r="5032" spans="1:41" ht="15">
      <c r="A5032"/>
      <c r="B5032"/>
      <c r="C5032" s="137"/>
      <c r="D5032" s="30"/>
      <c r="E5032" s="30"/>
      <c r="F5032" s="10"/>
      <c r="G5032" s="10"/>
      <c r="H5032" s="15"/>
      <c r="I5032" s="15"/>
      <c r="J5032" s="15"/>
      <c r="K5032" s="15"/>
      <c r="L5032" s="15"/>
      <c r="M5032" s="15"/>
      <c r="N5032" s="15"/>
      <c r="O5032" s="15"/>
      <c r="P5032" s="15"/>
      <c r="Q5032" s="71"/>
      <c r="R5032" s="84"/>
      <c r="S5032" s="10"/>
      <c r="T5032" s="10"/>
      <c r="U5032" s="10"/>
      <c r="V5032" s="10"/>
      <c r="W5032" s="138"/>
      <c r="Y5032"/>
      <c r="Z5032"/>
      <c r="AA5032"/>
      <c r="AB5032"/>
      <c r="AC5032"/>
      <c r="AD5032"/>
      <c r="AE5032"/>
      <c r="AF5032"/>
      <c r="AG5032"/>
      <c r="AH5032"/>
      <c r="AI5032"/>
      <c r="AJ5032"/>
      <c r="AK5032"/>
      <c r="AL5032"/>
      <c r="AM5032"/>
      <c r="AN5032"/>
      <c r="AO5032"/>
    </row>
    <row r="5033" spans="1:41" ht="15">
      <c r="A5033"/>
      <c r="B5033"/>
      <c r="C5033" s="137"/>
      <c r="D5033" s="30"/>
      <c r="E5033" s="30"/>
      <c r="F5033" s="10"/>
      <c r="G5033" s="10"/>
      <c r="H5033" s="15"/>
      <c r="I5033" s="15"/>
      <c r="J5033" s="15"/>
      <c r="K5033" s="15"/>
      <c r="L5033" s="15"/>
      <c r="M5033" s="15"/>
      <c r="N5033" s="15"/>
      <c r="O5033" s="15"/>
      <c r="P5033" s="15"/>
      <c r="Q5033" s="71"/>
      <c r="R5033" s="84"/>
      <c r="S5033" s="10"/>
      <c r="T5033" s="10"/>
      <c r="U5033" s="10"/>
      <c r="V5033" s="10"/>
      <c r="W5033" s="138"/>
      <c r="Y5033"/>
      <c r="Z5033"/>
      <c r="AA5033"/>
      <c r="AB5033"/>
      <c r="AC5033"/>
      <c r="AD5033"/>
      <c r="AE5033"/>
      <c r="AF5033"/>
      <c r="AG5033"/>
      <c r="AH5033"/>
      <c r="AI5033"/>
      <c r="AJ5033"/>
      <c r="AK5033"/>
      <c r="AL5033"/>
      <c r="AM5033"/>
      <c r="AN5033"/>
      <c r="AO5033"/>
    </row>
    <row r="5034" spans="1:41" ht="15">
      <c r="A5034"/>
      <c r="B5034"/>
      <c r="C5034" s="137"/>
      <c r="D5034" s="30"/>
      <c r="E5034" s="30"/>
      <c r="F5034" s="10"/>
      <c r="G5034" s="10"/>
      <c r="H5034" s="15"/>
      <c r="I5034" s="15"/>
      <c r="J5034" s="15"/>
      <c r="K5034" s="15"/>
      <c r="L5034" s="15"/>
      <c r="M5034" s="15"/>
      <c r="N5034" s="15"/>
      <c r="O5034" s="15"/>
      <c r="P5034" s="15"/>
      <c r="Q5034" s="71"/>
      <c r="R5034" s="84"/>
      <c r="S5034" s="10"/>
      <c r="T5034" s="10"/>
      <c r="U5034" s="10"/>
      <c r="V5034" s="10"/>
      <c r="W5034" s="138"/>
      <c r="Y5034"/>
      <c r="Z5034"/>
      <c r="AA5034"/>
      <c r="AB5034"/>
      <c r="AC5034"/>
      <c r="AD5034"/>
      <c r="AE5034"/>
      <c r="AF5034"/>
      <c r="AG5034"/>
      <c r="AH5034"/>
      <c r="AI5034"/>
      <c r="AJ5034"/>
      <c r="AK5034"/>
      <c r="AL5034"/>
      <c r="AM5034"/>
      <c r="AN5034"/>
      <c r="AO5034"/>
    </row>
    <row r="5035" spans="1:41" ht="15">
      <c r="A5035"/>
      <c r="B5035"/>
      <c r="C5035" s="137"/>
      <c r="D5035" s="30"/>
      <c r="E5035" s="30"/>
      <c r="F5035" s="10"/>
      <c r="G5035" s="10"/>
      <c r="H5035" s="15"/>
      <c r="I5035" s="15"/>
      <c r="J5035" s="15"/>
      <c r="K5035" s="15"/>
      <c r="L5035" s="15"/>
      <c r="M5035" s="15"/>
      <c r="N5035" s="15"/>
      <c r="O5035" s="15"/>
      <c r="P5035" s="15"/>
      <c r="Q5035" s="71"/>
      <c r="R5035" s="84"/>
      <c r="S5035" s="10"/>
      <c r="T5035" s="10"/>
      <c r="U5035" s="10"/>
      <c r="V5035" s="10"/>
      <c r="W5035" s="138"/>
      <c r="Y5035"/>
      <c r="Z5035"/>
      <c r="AA5035"/>
      <c r="AB5035"/>
      <c r="AC5035"/>
      <c r="AD5035"/>
      <c r="AE5035"/>
      <c r="AF5035"/>
      <c r="AG5035"/>
      <c r="AH5035"/>
      <c r="AI5035"/>
      <c r="AJ5035"/>
      <c r="AK5035"/>
      <c r="AL5035"/>
      <c r="AM5035"/>
      <c r="AN5035"/>
      <c r="AO5035"/>
    </row>
    <row r="5036" spans="1:41" ht="15">
      <c r="A5036"/>
      <c r="B5036"/>
      <c r="C5036" s="137"/>
      <c r="D5036" s="30"/>
      <c r="E5036" s="30"/>
      <c r="F5036" s="10"/>
      <c r="G5036" s="10"/>
      <c r="H5036" s="15"/>
      <c r="I5036" s="15"/>
      <c r="J5036" s="15"/>
      <c r="K5036" s="15"/>
      <c r="L5036" s="15"/>
      <c r="M5036" s="15"/>
      <c r="N5036" s="15"/>
      <c r="O5036" s="15"/>
      <c r="P5036" s="15"/>
      <c r="Q5036" s="71"/>
      <c r="R5036" s="84"/>
      <c r="S5036" s="10"/>
      <c r="T5036" s="10"/>
      <c r="U5036" s="10"/>
      <c r="V5036" s="10"/>
      <c r="W5036" s="138"/>
      <c r="Y5036"/>
      <c r="Z5036"/>
      <c r="AA5036"/>
      <c r="AB5036"/>
      <c r="AC5036"/>
      <c r="AD5036"/>
      <c r="AE5036"/>
      <c r="AF5036"/>
      <c r="AG5036"/>
      <c r="AH5036"/>
      <c r="AI5036"/>
      <c r="AJ5036"/>
      <c r="AK5036"/>
      <c r="AL5036"/>
      <c r="AM5036"/>
      <c r="AN5036"/>
      <c r="AO5036"/>
    </row>
    <row r="5037" spans="1:41" ht="15">
      <c r="A5037"/>
      <c r="B5037"/>
      <c r="C5037" s="137"/>
      <c r="D5037" s="30"/>
      <c r="E5037" s="30"/>
      <c r="F5037" s="10"/>
      <c r="G5037" s="10"/>
      <c r="H5037" s="15"/>
      <c r="I5037" s="15"/>
      <c r="J5037" s="15"/>
      <c r="K5037" s="15"/>
      <c r="L5037" s="15"/>
      <c r="M5037" s="15"/>
      <c r="N5037" s="15"/>
      <c r="O5037" s="15"/>
      <c r="P5037" s="15"/>
      <c r="Q5037" s="71"/>
      <c r="R5037" s="84"/>
      <c r="S5037" s="10"/>
      <c r="T5037" s="10"/>
      <c r="U5037" s="10"/>
      <c r="V5037" s="10"/>
      <c r="W5037" s="138"/>
      <c r="Y5037"/>
      <c r="Z5037"/>
      <c r="AA5037"/>
      <c r="AB5037"/>
      <c r="AC5037"/>
      <c r="AD5037"/>
      <c r="AE5037"/>
      <c r="AF5037"/>
      <c r="AG5037"/>
      <c r="AH5037"/>
      <c r="AI5037"/>
      <c r="AJ5037"/>
      <c r="AK5037"/>
      <c r="AL5037"/>
      <c r="AM5037"/>
      <c r="AN5037"/>
      <c r="AO5037"/>
    </row>
    <row r="5038" spans="1:41" ht="15">
      <c r="A5038"/>
      <c r="B5038"/>
      <c r="C5038" s="137"/>
      <c r="D5038" s="30"/>
      <c r="E5038" s="30"/>
      <c r="F5038" s="10"/>
      <c r="G5038" s="10"/>
      <c r="H5038" s="15"/>
      <c r="I5038" s="15"/>
      <c r="J5038" s="15"/>
      <c r="K5038" s="15"/>
      <c r="L5038" s="15"/>
      <c r="M5038" s="15"/>
      <c r="N5038" s="15"/>
      <c r="O5038" s="15"/>
      <c r="P5038" s="15"/>
      <c r="Q5038" s="71"/>
      <c r="R5038" s="84"/>
      <c r="S5038" s="10"/>
      <c r="T5038" s="10"/>
      <c r="U5038" s="10"/>
      <c r="V5038" s="10"/>
      <c r="W5038" s="138"/>
      <c r="Y5038"/>
      <c r="Z5038"/>
      <c r="AA5038"/>
      <c r="AB5038"/>
      <c r="AC5038"/>
      <c r="AD5038"/>
      <c r="AE5038"/>
      <c r="AF5038"/>
      <c r="AG5038"/>
      <c r="AH5038"/>
      <c r="AI5038"/>
      <c r="AJ5038"/>
      <c r="AK5038"/>
      <c r="AL5038"/>
      <c r="AM5038"/>
      <c r="AN5038"/>
      <c r="AO5038"/>
    </row>
    <row r="5039" spans="1:41" ht="15">
      <c r="A5039"/>
      <c r="B5039"/>
      <c r="C5039" s="137"/>
      <c r="D5039" s="30"/>
      <c r="E5039" s="30"/>
      <c r="F5039" s="10"/>
      <c r="G5039" s="10"/>
      <c r="H5039" s="15"/>
      <c r="I5039" s="15"/>
      <c r="J5039" s="15"/>
      <c r="K5039" s="15"/>
      <c r="L5039" s="15"/>
      <c r="M5039" s="15"/>
      <c r="N5039" s="15"/>
      <c r="O5039" s="15"/>
      <c r="P5039" s="15"/>
      <c r="Q5039" s="71"/>
      <c r="R5039" s="84"/>
      <c r="S5039" s="10"/>
      <c r="T5039" s="10"/>
      <c r="U5039" s="10"/>
      <c r="V5039" s="10"/>
      <c r="W5039" s="138"/>
      <c r="Y5039"/>
      <c r="Z5039"/>
      <c r="AA5039"/>
      <c r="AB5039"/>
      <c r="AC5039"/>
      <c r="AD5039"/>
      <c r="AE5039"/>
      <c r="AF5039"/>
      <c r="AG5039"/>
      <c r="AH5039"/>
      <c r="AI5039"/>
      <c r="AJ5039"/>
      <c r="AK5039"/>
      <c r="AL5039"/>
      <c r="AM5039"/>
      <c r="AN5039"/>
      <c r="AO5039"/>
    </row>
    <row r="5040" spans="1:41" ht="15">
      <c r="A5040"/>
      <c r="B5040"/>
      <c r="C5040" s="137"/>
      <c r="D5040" s="30"/>
      <c r="E5040" s="30"/>
      <c r="F5040" s="10"/>
      <c r="G5040" s="10"/>
      <c r="H5040" s="15"/>
      <c r="I5040" s="15"/>
      <c r="J5040" s="15"/>
      <c r="K5040" s="15"/>
      <c r="L5040" s="15"/>
      <c r="M5040" s="15"/>
      <c r="N5040" s="15"/>
      <c r="O5040" s="15"/>
      <c r="P5040" s="15"/>
      <c r="Q5040" s="71"/>
      <c r="R5040" s="84"/>
      <c r="S5040" s="10"/>
      <c r="T5040" s="10"/>
      <c r="U5040" s="10"/>
      <c r="V5040" s="10"/>
      <c r="W5040" s="138"/>
      <c r="Y5040"/>
      <c r="Z5040"/>
      <c r="AA5040"/>
      <c r="AB5040"/>
      <c r="AC5040"/>
      <c r="AD5040"/>
      <c r="AE5040"/>
      <c r="AF5040"/>
      <c r="AG5040"/>
      <c r="AH5040"/>
      <c r="AI5040"/>
      <c r="AJ5040"/>
      <c r="AK5040"/>
      <c r="AL5040"/>
      <c r="AM5040"/>
      <c r="AN5040"/>
      <c r="AO5040"/>
    </row>
    <row r="5041" spans="1:41" ht="15">
      <c r="A5041"/>
      <c r="B5041"/>
      <c r="C5041" s="137"/>
      <c r="D5041" s="30"/>
      <c r="E5041" s="30"/>
      <c r="F5041" s="10"/>
      <c r="G5041" s="10"/>
      <c r="H5041" s="15"/>
      <c r="I5041" s="15"/>
      <c r="J5041" s="15"/>
      <c r="K5041" s="15"/>
      <c r="L5041" s="15"/>
      <c r="M5041" s="15"/>
      <c r="N5041" s="15"/>
      <c r="O5041" s="15"/>
      <c r="P5041" s="15"/>
      <c r="Q5041" s="71"/>
      <c r="R5041" s="84"/>
      <c r="S5041" s="10"/>
      <c r="T5041" s="10"/>
      <c r="U5041" s="10"/>
      <c r="V5041" s="10"/>
      <c r="W5041" s="138"/>
      <c r="Y5041"/>
      <c r="Z5041"/>
      <c r="AA5041"/>
      <c r="AB5041"/>
      <c r="AC5041"/>
      <c r="AD5041"/>
      <c r="AE5041"/>
      <c r="AF5041"/>
      <c r="AG5041"/>
      <c r="AH5041"/>
      <c r="AI5041"/>
      <c r="AJ5041"/>
      <c r="AK5041"/>
      <c r="AL5041"/>
      <c r="AM5041"/>
      <c r="AN5041"/>
      <c r="AO5041"/>
    </row>
    <row r="5042" spans="1:41" ht="15">
      <c r="A5042"/>
      <c r="B5042"/>
      <c r="C5042" s="137"/>
      <c r="D5042" s="30"/>
      <c r="E5042" s="30"/>
      <c r="F5042" s="10"/>
      <c r="G5042" s="10"/>
      <c r="H5042" s="15"/>
      <c r="I5042" s="15"/>
      <c r="J5042" s="15"/>
      <c r="K5042" s="15"/>
      <c r="L5042" s="15"/>
      <c r="M5042" s="15"/>
      <c r="N5042" s="15"/>
      <c r="O5042" s="15"/>
      <c r="P5042" s="15"/>
      <c r="Q5042" s="71"/>
      <c r="R5042" s="84"/>
      <c r="S5042" s="10"/>
      <c r="T5042" s="10"/>
      <c r="U5042" s="10"/>
      <c r="V5042" s="10"/>
      <c r="W5042" s="138"/>
      <c r="Y5042"/>
      <c r="Z5042"/>
      <c r="AA5042"/>
      <c r="AB5042"/>
      <c r="AC5042"/>
      <c r="AD5042"/>
      <c r="AE5042"/>
      <c r="AF5042"/>
      <c r="AG5042"/>
      <c r="AH5042"/>
      <c r="AI5042"/>
      <c r="AJ5042"/>
      <c r="AK5042"/>
      <c r="AL5042"/>
      <c r="AM5042"/>
      <c r="AN5042"/>
      <c r="AO5042"/>
    </row>
    <row r="5043" spans="1:41" ht="15">
      <c r="A5043"/>
      <c r="B5043"/>
      <c r="C5043" s="137"/>
      <c r="D5043" s="30"/>
      <c r="E5043" s="30"/>
      <c r="F5043" s="10"/>
      <c r="G5043" s="10"/>
      <c r="H5043" s="15"/>
      <c r="I5043" s="15"/>
      <c r="J5043" s="15"/>
      <c r="K5043" s="15"/>
      <c r="L5043" s="15"/>
      <c r="M5043" s="15"/>
      <c r="N5043" s="15"/>
      <c r="O5043" s="15"/>
      <c r="P5043" s="15"/>
      <c r="Q5043" s="71"/>
      <c r="R5043" s="84"/>
      <c r="S5043" s="10"/>
      <c r="T5043" s="10"/>
      <c r="U5043" s="10"/>
      <c r="V5043" s="10"/>
      <c r="W5043" s="138"/>
      <c r="Y5043"/>
      <c r="Z5043"/>
      <c r="AA5043"/>
      <c r="AB5043"/>
      <c r="AC5043"/>
      <c r="AD5043"/>
      <c r="AE5043"/>
      <c r="AF5043"/>
      <c r="AG5043"/>
      <c r="AH5043"/>
      <c r="AI5043"/>
      <c r="AJ5043"/>
      <c r="AK5043"/>
      <c r="AL5043"/>
      <c r="AM5043"/>
      <c r="AN5043"/>
      <c r="AO5043"/>
    </row>
    <row r="5044" spans="1:41" ht="15">
      <c r="A5044"/>
      <c r="B5044"/>
      <c r="C5044" s="137"/>
      <c r="D5044" s="30"/>
      <c r="E5044" s="30"/>
      <c r="F5044" s="10"/>
      <c r="G5044" s="10"/>
      <c r="H5044" s="15"/>
      <c r="I5044" s="15"/>
      <c r="J5044" s="15"/>
      <c r="K5044" s="15"/>
      <c r="L5044" s="15"/>
      <c r="M5044" s="15"/>
      <c r="N5044" s="15"/>
      <c r="O5044" s="15"/>
      <c r="P5044" s="15"/>
      <c r="Q5044" s="71"/>
      <c r="R5044" s="84"/>
      <c r="S5044" s="10"/>
      <c r="T5044" s="10"/>
      <c r="U5044" s="10"/>
      <c r="V5044" s="10"/>
      <c r="W5044" s="138"/>
      <c r="Y5044"/>
      <c r="Z5044"/>
      <c r="AA5044"/>
      <c r="AB5044"/>
      <c r="AC5044"/>
      <c r="AD5044"/>
      <c r="AE5044"/>
      <c r="AF5044"/>
      <c r="AG5044"/>
      <c r="AH5044"/>
      <c r="AI5044"/>
      <c r="AJ5044"/>
      <c r="AK5044"/>
      <c r="AL5044"/>
      <c r="AM5044"/>
      <c r="AN5044"/>
      <c r="AO5044"/>
    </row>
    <row r="5045" spans="1:41" ht="15">
      <c r="A5045"/>
      <c r="B5045"/>
      <c r="C5045" s="137"/>
      <c r="D5045" s="30"/>
      <c r="E5045" s="30"/>
      <c r="F5045" s="10"/>
      <c r="G5045" s="10"/>
      <c r="H5045" s="15"/>
      <c r="I5045" s="15"/>
      <c r="J5045" s="15"/>
      <c r="K5045" s="15"/>
      <c r="L5045" s="15"/>
      <c r="M5045" s="15"/>
      <c r="N5045" s="15"/>
      <c r="O5045" s="15"/>
      <c r="P5045" s="15"/>
      <c r="Q5045" s="71"/>
      <c r="R5045" s="84"/>
      <c r="S5045" s="10"/>
      <c r="T5045" s="10"/>
      <c r="U5045" s="10"/>
      <c r="V5045" s="10"/>
      <c r="W5045" s="138"/>
      <c r="Y5045"/>
      <c r="Z5045"/>
      <c r="AA5045"/>
      <c r="AB5045"/>
      <c r="AC5045"/>
      <c r="AD5045"/>
      <c r="AE5045"/>
      <c r="AF5045"/>
      <c r="AG5045"/>
      <c r="AH5045"/>
      <c r="AI5045"/>
      <c r="AJ5045"/>
      <c r="AK5045"/>
      <c r="AL5045"/>
      <c r="AM5045"/>
      <c r="AN5045"/>
      <c r="AO5045"/>
    </row>
    <row r="5046" spans="1:41" ht="15">
      <c r="A5046"/>
      <c r="B5046"/>
      <c r="C5046" s="137"/>
      <c r="D5046" s="30"/>
      <c r="E5046" s="30"/>
      <c r="F5046" s="10"/>
      <c r="G5046" s="10"/>
      <c r="H5046" s="15"/>
      <c r="I5046" s="15"/>
      <c r="J5046" s="15"/>
      <c r="K5046" s="15"/>
      <c r="L5046" s="15"/>
      <c r="M5046" s="15"/>
      <c r="N5046" s="15"/>
      <c r="O5046" s="15"/>
      <c r="P5046" s="15"/>
      <c r="Q5046" s="71"/>
      <c r="R5046" s="84"/>
      <c r="S5046" s="10"/>
      <c r="T5046" s="10"/>
      <c r="U5046" s="10"/>
      <c r="V5046" s="10"/>
      <c r="W5046" s="138"/>
      <c r="Y5046"/>
      <c r="Z5046"/>
      <c r="AA5046"/>
      <c r="AB5046"/>
      <c r="AC5046"/>
      <c r="AD5046"/>
      <c r="AE5046"/>
      <c r="AF5046"/>
      <c r="AG5046"/>
      <c r="AH5046"/>
      <c r="AI5046"/>
      <c r="AJ5046"/>
      <c r="AK5046"/>
      <c r="AL5046"/>
      <c r="AM5046"/>
      <c r="AN5046"/>
      <c r="AO5046"/>
    </row>
    <row r="5047" spans="1:41" ht="15">
      <c r="A5047"/>
      <c r="B5047"/>
      <c r="C5047" s="137"/>
      <c r="D5047" s="30"/>
      <c r="E5047" s="30"/>
      <c r="F5047" s="10"/>
      <c r="G5047" s="10"/>
      <c r="H5047" s="15"/>
      <c r="I5047" s="15"/>
      <c r="J5047" s="15"/>
      <c r="K5047" s="15"/>
      <c r="L5047" s="15"/>
      <c r="M5047" s="15"/>
      <c r="N5047" s="15"/>
      <c r="O5047" s="15"/>
      <c r="P5047" s="15"/>
      <c r="Q5047" s="71"/>
      <c r="R5047" s="84"/>
      <c r="S5047" s="10"/>
      <c r="T5047" s="10"/>
      <c r="U5047" s="10"/>
      <c r="V5047" s="10"/>
      <c r="W5047" s="138"/>
      <c r="Y5047"/>
      <c r="Z5047"/>
      <c r="AA5047"/>
      <c r="AB5047"/>
      <c r="AC5047"/>
      <c r="AD5047"/>
      <c r="AE5047"/>
      <c r="AF5047"/>
      <c r="AG5047"/>
      <c r="AH5047"/>
      <c r="AI5047"/>
      <c r="AJ5047"/>
      <c r="AK5047"/>
      <c r="AL5047"/>
      <c r="AM5047"/>
      <c r="AN5047"/>
      <c r="AO5047"/>
    </row>
    <row r="5048" spans="1:41" ht="15">
      <c r="A5048"/>
      <c r="B5048"/>
      <c r="C5048" s="137"/>
      <c r="D5048" s="30"/>
      <c r="E5048" s="30"/>
      <c r="F5048" s="10"/>
      <c r="G5048" s="10"/>
      <c r="H5048" s="15"/>
      <c r="I5048" s="15"/>
      <c r="J5048" s="15"/>
      <c r="K5048" s="15"/>
      <c r="L5048" s="15"/>
      <c r="M5048" s="15"/>
      <c r="N5048" s="15"/>
      <c r="O5048" s="15"/>
      <c r="P5048" s="15"/>
      <c r="Q5048" s="71"/>
      <c r="R5048" s="84"/>
      <c r="S5048" s="10"/>
      <c r="T5048" s="10"/>
      <c r="U5048" s="10"/>
      <c r="V5048" s="10"/>
      <c r="W5048" s="138"/>
      <c r="Y5048"/>
      <c r="Z5048"/>
      <c r="AA5048"/>
      <c r="AB5048"/>
      <c r="AC5048"/>
      <c r="AD5048"/>
      <c r="AE5048"/>
      <c r="AF5048"/>
      <c r="AG5048"/>
      <c r="AH5048"/>
      <c r="AI5048"/>
      <c r="AJ5048"/>
      <c r="AK5048"/>
      <c r="AL5048"/>
      <c r="AM5048"/>
      <c r="AN5048"/>
      <c r="AO5048"/>
    </row>
    <row r="5049" spans="1:41" ht="15">
      <c r="A5049"/>
      <c r="B5049"/>
      <c r="C5049" s="137"/>
      <c r="D5049" s="30"/>
      <c r="E5049" s="30"/>
      <c r="F5049" s="10"/>
      <c r="G5049" s="10"/>
      <c r="H5049" s="15"/>
      <c r="I5049" s="15"/>
      <c r="J5049" s="15"/>
      <c r="K5049" s="15"/>
      <c r="L5049" s="15"/>
      <c r="M5049" s="15"/>
      <c r="N5049" s="15"/>
      <c r="O5049" s="15"/>
      <c r="P5049" s="15"/>
      <c r="Q5049" s="71"/>
      <c r="R5049" s="84"/>
      <c r="S5049" s="10"/>
      <c r="T5049" s="10"/>
      <c r="U5049" s="10"/>
      <c r="V5049" s="10"/>
      <c r="W5049" s="138"/>
      <c r="Y5049"/>
      <c r="Z5049"/>
      <c r="AA5049"/>
      <c r="AB5049"/>
      <c r="AC5049"/>
      <c r="AD5049"/>
      <c r="AE5049"/>
      <c r="AF5049"/>
      <c r="AG5049"/>
      <c r="AH5049"/>
      <c r="AI5049"/>
      <c r="AJ5049"/>
      <c r="AK5049"/>
      <c r="AL5049"/>
      <c r="AM5049"/>
      <c r="AN5049"/>
      <c r="AO5049"/>
    </row>
    <row r="5050" spans="1:41" ht="15">
      <c r="A5050"/>
      <c r="B5050"/>
      <c r="C5050" s="137"/>
      <c r="D5050" s="30"/>
      <c r="E5050" s="30"/>
      <c r="F5050" s="10"/>
      <c r="G5050" s="10"/>
      <c r="H5050" s="15"/>
      <c r="I5050" s="15"/>
      <c r="J5050" s="15"/>
      <c r="K5050" s="15"/>
      <c r="L5050" s="15"/>
      <c r="M5050" s="15"/>
      <c r="N5050" s="15"/>
      <c r="O5050" s="15"/>
      <c r="P5050" s="15"/>
      <c r="Q5050" s="71"/>
      <c r="R5050" s="84"/>
      <c r="S5050" s="10"/>
      <c r="T5050" s="10"/>
      <c r="U5050" s="10"/>
      <c r="V5050" s="10"/>
      <c r="W5050" s="138"/>
      <c r="Y5050"/>
      <c r="Z5050"/>
      <c r="AA5050"/>
      <c r="AB5050"/>
      <c r="AC5050"/>
      <c r="AD5050"/>
      <c r="AE5050"/>
      <c r="AF5050"/>
      <c r="AG5050"/>
      <c r="AH5050"/>
      <c r="AI5050"/>
      <c r="AJ5050"/>
      <c r="AK5050"/>
      <c r="AL5050"/>
      <c r="AM5050"/>
      <c r="AN5050"/>
      <c r="AO5050"/>
    </row>
    <row r="5051" spans="1:41" ht="15">
      <c r="A5051"/>
      <c r="B5051"/>
      <c r="C5051" s="137"/>
      <c r="D5051" s="30"/>
      <c r="E5051" s="30"/>
      <c r="F5051" s="10"/>
      <c r="G5051" s="10"/>
      <c r="H5051" s="15"/>
      <c r="I5051" s="15"/>
      <c r="J5051" s="15"/>
      <c r="K5051" s="15"/>
      <c r="L5051" s="15"/>
      <c r="M5051" s="15"/>
      <c r="N5051" s="15"/>
      <c r="O5051" s="15"/>
      <c r="P5051" s="15"/>
      <c r="Q5051" s="71"/>
      <c r="R5051" s="84"/>
      <c r="S5051" s="10"/>
      <c r="T5051" s="10"/>
      <c r="U5051" s="10"/>
      <c r="V5051" s="10"/>
      <c r="W5051" s="138"/>
      <c r="Y5051"/>
      <c r="Z5051"/>
      <c r="AA5051"/>
      <c r="AB5051"/>
      <c r="AC5051"/>
      <c r="AD5051"/>
      <c r="AE5051"/>
      <c r="AF5051"/>
      <c r="AG5051"/>
      <c r="AH5051"/>
      <c r="AI5051"/>
      <c r="AJ5051"/>
      <c r="AK5051"/>
      <c r="AL5051"/>
      <c r="AM5051"/>
      <c r="AN5051"/>
      <c r="AO5051"/>
    </row>
    <row r="5052" spans="1:41" ht="15">
      <c r="A5052"/>
      <c r="B5052"/>
      <c r="C5052" s="137"/>
      <c r="D5052" s="30"/>
      <c r="E5052" s="30"/>
      <c r="F5052" s="10"/>
      <c r="G5052" s="10"/>
      <c r="H5052" s="15"/>
      <c r="I5052" s="15"/>
      <c r="J5052" s="15"/>
      <c r="K5052" s="15"/>
      <c r="L5052" s="15"/>
      <c r="M5052" s="15"/>
      <c r="N5052" s="15"/>
      <c r="O5052" s="15"/>
      <c r="P5052" s="15"/>
      <c r="Q5052" s="71"/>
      <c r="R5052" s="84"/>
      <c r="S5052" s="10"/>
      <c r="T5052" s="10"/>
      <c r="U5052" s="10"/>
      <c r="V5052" s="10"/>
      <c r="W5052" s="138"/>
      <c r="Y5052"/>
      <c r="Z5052"/>
      <c r="AA5052"/>
      <c r="AB5052"/>
      <c r="AC5052"/>
      <c r="AD5052"/>
      <c r="AE5052"/>
      <c r="AF5052"/>
      <c r="AG5052"/>
      <c r="AH5052"/>
      <c r="AI5052"/>
      <c r="AJ5052"/>
      <c r="AK5052"/>
      <c r="AL5052"/>
      <c r="AM5052"/>
      <c r="AN5052"/>
      <c r="AO5052"/>
    </row>
    <row r="5053" spans="1:41" ht="15">
      <c r="A5053"/>
      <c r="B5053"/>
      <c r="C5053" s="137"/>
      <c r="D5053" s="30"/>
      <c r="E5053" s="30"/>
      <c r="F5053" s="10"/>
      <c r="G5053" s="10"/>
      <c r="H5053" s="15"/>
      <c r="I5053" s="15"/>
      <c r="J5053" s="15"/>
      <c r="K5053" s="15"/>
      <c r="L5053" s="15"/>
      <c r="M5053" s="15"/>
      <c r="N5053" s="15"/>
      <c r="O5053" s="15"/>
      <c r="P5053" s="15"/>
      <c r="Q5053" s="71"/>
      <c r="R5053" s="84"/>
      <c r="S5053" s="10"/>
      <c r="T5053" s="10"/>
      <c r="U5053" s="10"/>
      <c r="V5053" s="10"/>
      <c r="W5053" s="138"/>
      <c r="Y5053"/>
      <c r="Z5053"/>
      <c r="AA5053"/>
      <c r="AB5053"/>
      <c r="AC5053"/>
      <c r="AD5053"/>
      <c r="AE5053"/>
      <c r="AF5053"/>
      <c r="AG5053"/>
      <c r="AH5053"/>
      <c r="AI5053"/>
      <c r="AJ5053"/>
      <c r="AK5053"/>
      <c r="AL5053"/>
      <c r="AM5053"/>
      <c r="AN5053"/>
      <c r="AO5053"/>
    </row>
    <row r="5054" spans="1:41" ht="15">
      <c r="A5054"/>
      <c r="B5054"/>
      <c r="C5054" s="137"/>
      <c r="D5054" s="30"/>
      <c r="E5054" s="30"/>
      <c r="F5054" s="10"/>
      <c r="G5054" s="10"/>
      <c r="H5054" s="15"/>
      <c r="I5054" s="15"/>
      <c r="J5054" s="15"/>
      <c r="K5054" s="15"/>
      <c r="L5054" s="15"/>
      <c r="M5054" s="15"/>
      <c r="N5054" s="15"/>
      <c r="O5054" s="15"/>
      <c r="P5054" s="15"/>
      <c r="Q5054" s="71"/>
      <c r="R5054" s="84"/>
      <c r="S5054" s="10"/>
      <c r="T5054" s="10"/>
      <c r="U5054" s="10"/>
      <c r="V5054" s="10"/>
      <c r="W5054" s="138"/>
      <c r="Y5054"/>
      <c r="Z5054"/>
      <c r="AA5054"/>
      <c r="AB5054"/>
      <c r="AC5054"/>
      <c r="AD5054"/>
      <c r="AE5054"/>
      <c r="AF5054"/>
      <c r="AG5054"/>
      <c r="AH5054"/>
      <c r="AI5054"/>
      <c r="AJ5054"/>
      <c r="AK5054"/>
      <c r="AL5054"/>
      <c r="AM5054"/>
      <c r="AN5054"/>
      <c r="AO5054"/>
    </row>
    <row r="5055" spans="1:41" ht="15">
      <c r="A5055"/>
      <c r="B5055"/>
      <c r="C5055" s="137"/>
      <c r="D5055" s="30"/>
      <c r="E5055" s="30"/>
      <c r="F5055" s="10"/>
      <c r="G5055" s="10"/>
      <c r="H5055" s="15"/>
      <c r="I5055" s="15"/>
      <c r="J5055" s="15"/>
      <c r="K5055" s="15"/>
      <c r="L5055" s="15"/>
      <c r="M5055" s="15"/>
      <c r="N5055" s="15"/>
      <c r="O5055" s="15"/>
      <c r="P5055" s="15"/>
      <c r="Q5055" s="71"/>
      <c r="R5055" s="84"/>
      <c r="S5055" s="10"/>
      <c r="T5055" s="10"/>
      <c r="U5055" s="10"/>
      <c r="V5055" s="10"/>
      <c r="W5055" s="138"/>
      <c r="Y5055"/>
      <c r="Z5055"/>
      <c r="AA5055"/>
      <c r="AB5055"/>
      <c r="AC5055"/>
      <c r="AD5055"/>
      <c r="AE5055"/>
      <c r="AF5055"/>
      <c r="AG5055"/>
      <c r="AH5055"/>
      <c r="AI5055"/>
      <c r="AJ5055"/>
      <c r="AK5055"/>
      <c r="AL5055"/>
      <c r="AM5055"/>
      <c r="AN5055"/>
      <c r="AO5055"/>
    </row>
    <row r="5056" spans="1:41" ht="15">
      <c r="A5056"/>
      <c r="B5056"/>
      <c r="C5056" s="137"/>
      <c r="D5056" s="30"/>
      <c r="E5056" s="30"/>
      <c r="F5056" s="10"/>
      <c r="G5056" s="10"/>
      <c r="H5056" s="15"/>
      <c r="I5056" s="15"/>
      <c r="J5056" s="15"/>
      <c r="K5056" s="15"/>
      <c r="L5056" s="15"/>
      <c r="M5056" s="15"/>
      <c r="N5056" s="15"/>
      <c r="O5056" s="15"/>
      <c r="P5056" s="15"/>
      <c r="Q5056" s="71"/>
      <c r="R5056" s="84"/>
      <c r="S5056" s="10"/>
      <c r="T5056" s="10"/>
      <c r="U5056" s="10"/>
      <c r="V5056" s="10"/>
      <c r="W5056" s="138"/>
      <c r="Y5056"/>
      <c r="Z5056"/>
      <c r="AA5056"/>
      <c r="AB5056"/>
      <c r="AC5056"/>
      <c r="AD5056"/>
      <c r="AE5056"/>
      <c r="AF5056"/>
      <c r="AG5056"/>
      <c r="AH5056"/>
      <c r="AI5056"/>
      <c r="AJ5056"/>
      <c r="AK5056"/>
      <c r="AL5056"/>
      <c r="AM5056"/>
      <c r="AN5056"/>
      <c r="AO5056"/>
    </row>
    <row r="5057" spans="1:41" ht="15">
      <c r="A5057"/>
      <c r="B5057"/>
      <c r="C5057" s="137"/>
      <c r="D5057" s="30"/>
      <c r="E5057" s="30"/>
      <c r="F5057" s="10"/>
      <c r="G5057" s="10"/>
      <c r="H5057" s="15"/>
      <c r="I5057" s="15"/>
      <c r="J5057" s="15"/>
      <c r="K5057" s="15"/>
      <c r="L5057" s="15"/>
      <c r="M5057" s="15"/>
      <c r="N5057" s="15"/>
      <c r="O5057" s="15"/>
      <c r="P5057" s="15"/>
      <c r="Q5057" s="71"/>
      <c r="R5057" s="84"/>
      <c r="S5057" s="10"/>
      <c r="T5057" s="10"/>
      <c r="U5057" s="10"/>
      <c r="V5057" s="10"/>
      <c r="W5057" s="138"/>
      <c r="Y5057"/>
      <c r="Z5057"/>
      <c r="AA5057"/>
      <c r="AB5057"/>
      <c r="AC5057"/>
      <c r="AD5057"/>
      <c r="AE5057"/>
      <c r="AF5057"/>
      <c r="AG5057"/>
      <c r="AH5057"/>
      <c r="AI5057"/>
      <c r="AJ5057"/>
      <c r="AK5057"/>
      <c r="AL5057"/>
      <c r="AM5057"/>
      <c r="AN5057"/>
      <c r="AO5057"/>
    </row>
    <row r="5058" spans="1:41" ht="15">
      <c r="A5058"/>
      <c r="B5058"/>
      <c r="C5058" s="137"/>
      <c r="D5058" s="30"/>
      <c r="E5058" s="30"/>
      <c r="F5058" s="10"/>
      <c r="G5058" s="10"/>
      <c r="H5058" s="15"/>
      <c r="I5058" s="15"/>
      <c r="J5058" s="15"/>
      <c r="K5058" s="15"/>
      <c r="L5058" s="15"/>
      <c r="M5058" s="15"/>
      <c r="N5058" s="15"/>
      <c r="O5058" s="15"/>
      <c r="P5058" s="15"/>
      <c r="Q5058" s="71"/>
      <c r="R5058" s="84"/>
      <c r="S5058" s="10"/>
      <c r="T5058" s="10"/>
      <c r="U5058" s="10"/>
      <c r="V5058" s="10"/>
      <c r="W5058" s="138"/>
      <c r="Y5058"/>
      <c r="Z5058"/>
      <c r="AA5058"/>
      <c r="AB5058"/>
      <c r="AC5058"/>
      <c r="AD5058"/>
      <c r="AE5058"/>
      <c r="AF5058"/>
      <c r="AG5058"/>
      <c r="AH5058"/>
      <c r="AI5058"/>
      <c r="AJ5058"/>
      <c r="AK5058"/>
      <c r="AL5058"/>
      <c r="AM5058"/>
      <c r="AN5058"/>
      <c r="AO5058"/>
    </row>
    <row r="5059" spans="1:41" ht="15">
      <c r="A5059"/>
      <c r="B5059"/>
      <c r="C5059" s="137"/>
      <c r="D5059" s="30"/>
      <c r="E5059" s="30"/>
      <c r="F5059" s="10"/>
      <c r="G5059" s="10"/>
      <c r="H5059" s="15"/>
      <c r="I5059" s="15"/>
      <c r="J5059" s="15"/>
      <c r="K5059" s="15"/>
      <c r="L5059" s="15"/>
      <c r="M5059" s="15"/>
      <c r="N5059" s="15"/>
      <c r="O5059" s="15"/>
      <c r="P5059" s="15"/>
      <c r="Q5059" s="71"/>
      <c r="R5059" s="84"/>
      <c r="S5059" s="10"/>
      <c r="T5059" s="10"/>
      <c r="U5059" s="10"/>
      <c r="V5059" s="10"/>
      <c r="W5059" s="138"/>
      <c r="Y5059"/>
      <c r="Z5059"/>
      <c r="AA5059"/>
      <c r="AB5059"/>
      <c r="AC5059"/>
      <c r="AD5059"/>
      <c r="AE5059"/>
      <c r="AF5059"/>
      <c r="AG5059"/>
      <c r="AH5059"/>
      <c r="AI5059"/>
      <c r="AJ5059"/>
      <c r="AK5059"/>
      <c r="AL5059"/>
      <c r="AM5059"/>
      <c r="AN5059"/>
      <c r="AO5059"/>
    </row>
    <row r="5060" spans="1:41" ht="15">
      <c r="A5060"/>
      <c r="B5060"/>
      <c r="C5060" s="137"/>
      <c r="D5060" s="30"/>
      <c r="E5060" s="30"/>
      <c r="F5060" s="10"/>
      <c r="G5060" s="10"/>
      <c r="H5060" s="15"/>
      <c r="I5060" s="15"/>
      <c r="J5060" s="15"/>
      <c r="K5060" s="15"/>
      <c r="L5060" s="15"/>
      <c r="M5060" s="15"/>
      <c r="N5060" s="15"/>
      <c r="O5060" s="15"/>
      <c r="P5060" s="15"/>
      <c r="Q5060" s="71"/>
      <c r="R5060" s="84"/>
      <c r="S5060" s="10"/>
      <c r="T5060" s="10"/>
      <c r="U5060" s="10"/>
      <c r="V5060" s="10"/>
      <c r="W5060" s="138"/>
      <c r="Y5060"/>
      <c r="Z5060"/>
      <c r="AA5060"/>
      <c r="AB5060"/>
      <c r="AC5060"/>
      <c r="AD5060"/>
      <c r="AE5060"/>
      <c r="AF5060"/>
      <c r="AG5060"/>
      <c r="AH5060"/>
      <c r="AI5060"/>
      <c r="AJ5060"/>
      <c r="AK5060"/>
      <c r="AL5060"/>
      <c r="AM5060"/>
      <c r="AN5060"/>
      <c r="AO5060"/>
    </row>
    <row r="5061" spans="1:41" ht="15">
      <c r="A5061"/>
      <c r="B5061"/>
      <c r="C5061" s="137"/>
      <c r="D5061" s="30"/>
      <c r="E5061" s="30"/>
      <c r="F5061" s="10"/>
      <c r="G5061" s="10"/>
      <c r="H5061" s="15"/>
      <c r="I5061" s="15"/>
      <c r="J5061" s="15"/>
      <c r="K5061" s="15"/>
      <c r="L5061" s="15"/>
      <c r="M5061" s="15"/>
      <c r="N5061" s="15"/>
      <c r="O5061" s="15"/>
      <c r="P5061" s="15"/>
      <c r="Q5061" s="71"/>
      <c r="R5061" s="84"/>
      <c r="S5061" s="10"/>
      <c r="T5061" s="10"/>
      <c r="U5061" s="10"/>
      <c r="V5061" s="10"/>
      <c r="W5061" s="138"/>
      <c r="Y5061"/>
      <c r="Z5061"/>
      <c r="AA5061"/>
      <c r="AB5061"/>
      <c r="AC5061"/>
      <c r="AD5061"/>
      <c r="AE5061"/>
      <c r="AF5061"/>
      <c r="AG5061"/>
      <c r="AH5061"/>
      <c r="AI5061"/>
      <c r="AJ5061"/>
      <c r="AK5061"/>
      <c r="AL5061"/>
      <c r="AM5061"/>
      <c r="AN5061"/>
      <c r="AO5061"/>
    </row>
    <row r="5062" spans="1:41" ht="15">
      <c r="A5062"/>
      <c r="B5062"/>
      <c r="C5062" s="137"/>
      <c r="D5062" s="30"/>
      <c r="E5062" s="30"/>
      <c r="F5062" s="10"/>
      <c r="G5062" s="10"/>
      <c r="H5062" s="15"/>
      <c r="I5062" s="15"/>
      <c r="J5062" s="15"/>
      <c r="K5062" s="15"/>
      <c r="L5062" s="15"/>
      <c r="M5062" s="15"/>
      <c r="N5062" s="15"/>
      <c r="O5062" s="15"/>
      <c r="P5062" s="15"/>
      <c r="Q5062" s="71"/>
      <c r="R5062" s="84"/>
      <c r="S5062" s="10"/>
      <c r="T5062" s="10"/>
      <c r="U5062" s="10"/>
      <c r="V5062" s="10"/>
      <c r="W5062" s="138"/>
      <c r="Y5062"/>
      <c r="Z5062"/>
      <c r="AA5062"/>
      <c r="AB5062"/>
      <c r="AC5062"/>
      <c r="AD5062"/>
      <c r="AE5062"/>
      <c r="AF5062"/>
      <c r="AG5062"/>
      <c r="AH5062"/>
      <c r="AI5062"/>
      <c r="AJ5062"/>
      <c r="AK5062"/>
      <c r="AL5062"/>
      <c r="AM5062"/>
      <c r="AN5062"/>
      <c r="AO5062"/>
    </row>
    <row r="5063" spans="1:41" ht="15">
      <c r="A5063"/>
      <c r="B5063"/>
      <c r="C5063" s="137"/>
      <c r="D5063" s="30"/>
      <c r="E5063" s="30"/>
      <c r="F5063" s="10"/>
      <c r="G5063" s="10"/>
      <c r="H5063" s="15"/>
      <c r="I5063" s="15"/>
      <c r="J5063" s="15"/>
      <c r="K5063" s="15"/>
      <c r="L5063" s="15"/>
      <c r="M5063" s="15"/>
      <c r="N5063" s="15"/>
      <c r="O5063" s="15"/>
      <c r="P5063" s="15"/>
      <c r="Q5063" s="71"/>
      <c r="R5063" s="84"/>
      <c r="S5063" s="10"/>
      <c r="T5063" s="10"/>
      <c r="U5063" s="10"/>
      <c r="V5063" s="10"/>
      <c r="W5063" s="138"/>
      <c r="Y5063"/>
      <c r="Z5063"/>
      <c r="AA5063"/>
      <c r="AB5063"/>
      <c r="AC5063"/>
      <c r="AD5063"/>
      <c r="AE5063"/>
      <c r="AF5063"/>
      <c r="AG5063"/>
      <c r="AH5063"/>
      <c r="AI5063"/>
      <c r="AJ5063"/>
      <c r="AK5063"/>
      <c r="AL5063"/>
      <c r="AM5063"/>
      <c r="AN5063"/>
      <c r="AO5063"/>
    </row>
    <row r="5064" spans="1:41" ht="15">
      <c r="A5064"/>
      <c r="B5064"/>
      <c r="C5064" s="137"/>
      <c r="D5064" s="30"/>
      <c r="E5064" s="30"/>
      <c r="F5064" s="10"/>
      <c r="G5064" s="10"/>
      <c r="H5064" s="15"/>
      <c r="I5064" s="15"/>
      <c r="J5064" s="15"/>
      <c r="K5064" s="15"/>
      <c r="L5064" s="15"/>
      <c r="M5064" s="15"/>
      <c r="N5064" s="15"/>
      <c r="O5064" s="15"/>
      <c r="P5064" s="15"/>
      <c r="Q5064" s="71"/>
      <c r="R5064" s="84"/>
      <c r="S5064" s="10"/>
      <c r="T5064" s="10"/>
      <c r="U5064" s="10"/>
      <c r="V5064" s="10"/>
      <c r="W5064" s="138"/>
      <c r="Y5064"/>
      <c r="Z5064"/>
      <c r="AA5064"/>
      <c r="AB5064"/>
      <c r="AC5064"/>
      <c r="AD5064"/>
      <c r="AE5064"/>
      <c r="AF5064"/>
      <c r="AG5064"/>
      <c r="AH5064"/>
      <c r="AI5064"/>
      <c r="AJ5064"/>
      <c r="AK5064"/>
      <c r="AL5064"/>
      <c r="AM5064"/>
      <c r="AN5064"/>
      <c r="AO5064"/>
    </row>
    <row r="5065" spans="1:41" ht="15">
      <c r="A5065"/>
      <c r="B5065"/>
      <c r="C5065" s="137"/>
      <c r="D5065" s="30"/>
      <c r="E5065" s="30"/>
      <c r="F5065" s="10"/>
      <c r="G5065" s="10"/>
      <c r="H5065" s="15"/>
      <c r="I5065" s="15"/>
      <c r="J5065" s="15"/>
      <c r="K5065" s="15"/>
      <c r="L5065" s="15"/>
      <c r="M5065" s="15"/>
      <c r="N5065" s="15"/>
      <c r="O5065" s="15"/>
      <c r="P5065" s="15"/>
      <c r="Q5065" s="71"/>
      <c r="R5065" s="84"/>
      <c r="S5065" s="10"/>
      <c r="T5065" s="10"/>
      <c r="U5065" s="10"/>
      <c r="V5065" s="10"/>
      <c r="W5065" s="138"/>
      <c r="Y5065"/>
      <c r="Z5065"/>
      <c r="AA5065"/>
      <c r="AB5065"/>
      <c r="AC5065"/>
      <c r="AD5065"/>
      <c r="AE5065"/>
      <c r="AF5065"/>
      <c r="AG5065"/>
      <c r="AH5065"/>
      <c r="AI5065"/>
      <c r="AJ5065"/>
      <c r="AK5065"/>
      <c r="AL5065"/>
      <c r="AM5065"/>
      <c r="AN5065"/>
      <c r="AO5065"/>
    </row>
    <row r="5066" spans="1:41" ht="15">
      <c r="A5066"/>
      <c r="B5066"/>
      <c r="C5066" s="137"/>
      <c r="D5066" s="30"/>
      <c r="E5066" s="30"/>
      <c r="F5066" s="10"/>
      <c r="G5066" s="10"/>
      <c r="H5066" s="15"/>
      <c r="I5066" s="15"/>
      <c r="J5066" s="15"/>
      <c r="K5066" s="15"/>
      <c r="L5066" s="15"/>
      <c r="M5066" s="15"/>
      <c r="N5066" s="15"/>
      <c r="O5066" s="15"/>
      <c r="P5066" s="15"/>
      <c r="Q5066" s="71"/>
      <c r="R5066" s="84"/>
      <c r="S5066" s="10"/>
      <c r="T5066" s="10"/>
      <c r="U5066" s="10"/>
      <c r="V5066" s="10"/>
      <c r="W5066" s="138"/>
      <c r="Y5066"/>
      <c r="Z5066"/>
      <c r="AA5066"/>
      <c r="AB5066"/>
      <c r="AC5066"/>
      <c r="AD5066"/>
      <c r="AE5066"/>
      <c r="AF5066"/>
      <c r="AG5066"/>
      <c r="AH5066"/>
      <c r="AI5066"/>
      <c r="AJ5066"/>
      <c r="AK5066"/>
      <c r="AL5066"/>
      <c r="AM5066"/>
      <c r="AN5066"/>
      <c r="AO5066"/>
    </row>
    <row r="5067" spans="1:41" ht="15">
      <c r="A5067"/>
      <c r="B5067"/>
      <c r="C5067" s="137"/>
      <c r="D5067" s="30"/>
      <c r="E5067" s="30"/>
      <c r="F5067" s="10"/>
      <c r="G5067" s="10"/>
      <c r="H5067" s="15"/>
      <c r="I5067" s="15"/>
      <c r="J5067" s="15"/>
      <c r="K5067" s="15"/>
      <c r="L5067" s="15"/>
      <c r="M5067" s="15"/>
      <c r="N5067" s="15"/>
      <c r="O5067" s="15"/>
      <c r="P5067" s="15"/>
      <c r="Q5067" s="71"/>
      <c r="R5067" s="84"/>
      <c r="S5067" s="10"/>
      <c r="T5067" s="10"/>
      <c r="U5067" s="10"/>
      <c r="V5067" s="10"/>
      <c r="W5067" s="138"/>
      <c r="Y5067"/>
      <c r="Z5067"/>
      <c r="AA5067"/>
      <c r="AB5067"/>
      <c r="AC5067"/>
      <c r="AD5067"/>
      <c r="AE5067"/>
      <c r="AF5067"/>
      <c r="AG5067"/>
      <c r="AH5067"/>
      <c r="AI5067"/>
      <c r="AJ5067"/>
      <c r="AK5067"/>
      <c r="AL5067"/>
      <c r="AM5067"/>
      <c r="AN5067"/>
      <c r="AO5067"/>
    </row>
    <row r="5068" spans="1:41" ht="15">
      <c r="A5068"/>
      <c r="B5068"/>
      <c r="C5068" s="137"/>
      <c r="D5068" s="30"/>
      <c r="E5068" s="30"/>
      <c r="F5068" s="10"/>
      <c r="G5068" s="10"/>
      <c r="H5068" s="15"/>
      <c r="I5068" s="15"/>
      <c r="J5068" s="15"/>
      <c r="K5068" s="15"/>
      <c r="L5068" s="15"/>
      <c r="M5068" s="15"/>
      <c r="N5068" s="15"/>
      <c r="O5068" s="15"/>
      <c r="P5068" s="15"/>
      <c r="Q5068" s="71"/>
      <c r="R5068" s="84"/>
      <c r="S5068" s="10"/>
      <c r="T5068" s="10"/>
      <c r="U5068" s="10"/>
      <c r="V5068" s="10"/>
      <c r="W5068" s="138"/>
      <c r="Y5068"/>
      <c r="Z5068"/>
      <c r="AA5068"/>
      <c r="AB5068"/>
      <c r="AC5068"/>
      <c r="AD5068"/>
      <c r="AE5068"/>
      <c r="AF5068"/>
      <c r="AG5068"/>
      <c r="AH5068"/>
      <c r="AI5068"/>
      <c r="AJ5068"/>
      <c r="AK5068"/>
      <c r="AL5068"/>
      <c r="AM5068"/>
      <c r="AN5068"/>
      <c r="AO5068"/>
    </row>
    <row r="5069" spans="1:41" ht="15">
      <c r="A5069"/>
      <c r="B5069"/>
      <c r="C5069" s="137"/>
      <c r="D5069" s="30"/>
      <c r="E5069" s="30"/>
      <c r="F5069" s="10"/>
      <c r="G5069" s="10"/>
      <c r="H5069" s="15"/>
      <c r="I5069" s="15"/>
      <c r="J5069" s="15"/>
      <c r="K5069" s="15"/>
      <c r="L5069" s="15"/>
      <c r="M5069" s="15"/>
      <c r="N5069" s="15"/>
      <c r="O5069" s="15"/>
      <c r="P5069" s="15"/>
      <c r="Q5069" s="71"/>
      <c r="R5069" s="84"/>
      <c r="S5069" s="10"/>
      <c r="T5069" s="10"/>
      <c r="U5069" s="10"/>
      <c r="V5069" s="10"/>
      <c r="W5069" s="138"/>
      <c r="Y5069"/>
      <c r="Z5069"/>
      <c r="AA5069"/>
      <c r="AB5069"/>
      <c r="AC5069"/>
      <c r="AD5069"/>
      <c r="AE5069"/>
      <c r="AF5069"/>
      <c r="AG5069"/>
      <c r="AH5069"/>
      <c r="AI5069"/>
      <c r="AJ5069"/>
      <c r="AK5069"/>
      <c r="AL5069"/>
      <c r="AM5069"/>
      <c r="AN5069"/>
      <c r="AO5069"/>
    </row>
    <row r="5070" spans="1:41" ht="15">
      <c r="A5070"/>
      <c r="B5070"/>
      <c r="C5070" s="137"/>
      <c r="D5070" s="30"/>
      <c r="E5070" s="30"/>
      <c r="F5070" s="10"/>
      <c r="G5070" s="10"/>
      <c r="H5070" s="15"/>
      <c r="I5070" s="15"/>
      <c r="J5070" s="15"/>
      <c r="K5070" s="15"/>
      <c r="L5070" s="15"/>
      <c r="M5070" s="15"/>
      <c r="N5070" s="15"/>
      <c r="O5070" s="15"/>
      <c r="P5070" s="15"/>
      <c r="Q5070" s="71"/>
      <c r="R5070" s="84"/>
      <c r="S5070" s="10"/>
      <c r="T5070" s="10"/>
      <c r="U5070" s="10"/>
      <c r="V5070" s="10"/>
      <c r="W5070" s="138"/>
      <c r="Y5070"/>
      <c r="Z5070"/>
      <c r="AA5070"/>
      <c r="AB5070"/>
      <c r="AC5070"/>
      <c r="AD5070"/>
      <c r="AE5070"/>
      <c r="AF5070"/>
      <c r="AG5070"/>
      <c r="AH5070"/>
      <c r="AI5070"/>
      <c r="AJ5070"/>
      <c r="AK5070"/>
      <c r="AL5070"/>
      <c r="AM5070"/>
      <c r="AN5070"/>
      <c r="AO5070"/>
    </row>
    <row r="5071" spans="1:41" ht="15">
      <c r="A5071"/>
      <c r="B5071"/>
      <c r="C5071" s="137"/>
      <c r="D5071" s="30"/>
      <c r="E5071" s="30"/>
      <c r="F5071" s="10"/>
      <c r="G5071" s="10"/>
      <c r="H5071" s="15"/>
      <c r="I5071" s="15"/>
      <c r="J5071" s="15"/>
      <c r="K5071" s="15"/>
      <c r="L5071" s="15"/>
      <c r="M5071" s="15"/>
      <c r="N5071" s="15"/>
      <c r="O5071" s="15"/>
      <c r="P5071" s="15"/>
      <c r="Q5071" s="71"/>
      <c r="R5071" s="84"/>
      <c r="S5071" s="10"/>
      <c r="T5071" s="10"/>
      <c r="U5071" s="10"/>
      <c r="V5071" s="10"/>
      <c r="W5071" s="138"/>
      <c r="Y5071"/>
      <c r="Z5071"/>
      <c r="AA5071"/>
      <c r="AB5071"/>
      <c r="AC5071"/>
      <c r="AD5071"/>
      <c r="AE5071"/>
      <c r="AF5071"/>
      <c r="AG5071"/>
      <c r="AH5071"/>
      <c r="AI5071"/>
      <c r="AJ5071"/>
      <c r="AK5071"/>
      <c r="AL5071"/>
      <c r="AM5071"/>
      <c r="AN5071"/>
      <c r="AO5071"/>
    </row>
    <row r="5072" spans="1:41" ht="15">
      <c r="A5072"/>
      <c r="B5072"/>
      <c r="C5072" s="137"/>
      <c r="D5072" s="30"/>
      <c r="E5072" s="30"/>
      <c r="F5072" s="10"/>
      <c r="G5072" s="10"/>
      <c r="H5072" s="15"/>
      <c r="I5072" s="15"/>
      <c r="J5072" s="15"/>
      <c r="K5072" s="15"/>
      <c r="L5072" s="15"/>
      <c r="M5072" s="15"/>
      <c r="N5072" s="15"/>
      <c r="O5072" s="15"/>
      <c r="P5072" s="15"/>
      <c r="Q5072" s="71"/>
      <c r="R5072" s="84"/>
      <c r="S5072" s="10"/>
      <c r="T5072" s="10"/>
      <c r="U5072" s="10"/>
      <c r="V5072" s="10"/>
      <c r="W5072" s="138"/>
      <c r="Y5072"/>
      <c r="Z5072"/>
      <c r="AA5072"/>
      <c r="AB5072"/>
      <c r="AC5072"/>
      <c r="AD5072"/>
      <c r="AE5072"/>
      <c r="AF5072"/>
      <c r="AG5072"/>
      <c r="AH5072"/>
      <c r="AI5072"/>
      <c r="AJ5072"/>
      <c r="AK5072"/>
      <c r="AL5072"/>
      <c r="AM5072"/>
      <c r="AN5072"/>
      <c r="AO5072"/>
    </row>
    <row r="5073" spans="1:41" ht="15">
      <c r="A5073"/>
      <c r="B5073"/>
      <c r="C5073" s="137"/>
      <c r="D5073" s="30"/>
      <c r="E5073" s="30"/>
      <c r="F5073" s="10"/>
      <c r="G5073" s="10"/>
      <c r="H5073" s="15"/>
      <c r="I5073" s="15"/>
      <c r="J5073" s="15"/>
      <c r="K5073" s="15"/>
      <c r="L5073" s="15"/>
      <c r="M5073" s="15"/>
      <c r="N5073" s="15"/>
      <c r="O5073" s="15"/>
      <c r="P5073" s="15"/>
      <c r="Q5073" s="71"/>
      <c r="R5073" s="84"/>
      <c r="S5073" s="10"/>
      <c r="T5073" s="10"/>
      <c r="U5073" s="10"/>
      <c r="V5073" s="10"/>
      <c r="W5073" s="138"/>
      <c r="Y5073"/>
      <c r="Z5073"/>
      <c r="AA5073"/>
      <c r="AB5073"/>
      <c r="AC5073"/>
      <c r="AD5073"/>
      <c r="AE5073"/>
      <c r="AF5073"/>
      <c r="AG5073"/>
      <c r="AH5073"/>
      <c r="AI5073"/>
      <c r="AJ5073"/>
      <c r="AK5073"/>
      <c r="AL5073"/>
      <c r="AM5073"/>
      <c r="AN5073"/>
      <c r="AO5073"/>
    </row>
    <row r="5074" spans="1:41" ht="15">
      <c r="A5074"/>
      <c r="B5074"/>
      <c r="C5074" s="137"/>
      <c r="D5074" s="30"/>
      <c r="E5074" s="30"/>
      <c r="F5074" s="10"/>
      <c r="G5074" s="10"/>
      <c r="H5074" s="15"/>
      <c r="I5074" s="15"/>
      <c r="J5074" s="15"/>
      <c r="K5074" s="15"/>
      <c r="L5074" s="15"/>
      <c r="M5074" s="15"/>
      <c r="N5074" s="15"/>
      <c r="O5074" s="15"/>
      <c r="P5074" s="15"/>
      <c r="Q5074" s="71"/>
      <c r="R5074" s="84"/>
      <c r="S5074" s="10"/>
      <c r="T5074" s="10"/>
      <c r="U5074" s="10"/>
      <c r="V5074" s="10"/>
      <c r="W5074" s="138"/>
      <c r="Y5074"/>
      <c r="Z5074"/>
      <c r="AA5074"/>
      <c r="AB5074"/>
      <c r="AC5074"/>
      <c r="AD5074"/>
      <c r="AE5074"/>
      <c r="AF5074"/>
      <c r="AG5074"/>
      <c r="AH5074"/>
      <c r="AI5074"/>
      <c r="AJ5074"/>
      <c r="AK5074"/>
      <c r="AL5074"/>
      <c r="AM5074"/>
      <c r="AN5074"/>
      <c r="AO5074"/>
    </row>
    <row r="5075" spans="1:41" ht="15">
      <c r="A5075"/>
      <c r="B5075"/>
      <c r="C5075" s="137"/>
      <c r="D5075" s="30"/>
      <c r="E5075" s="30"/>
      <c r="F5075" s="10"/>
      <c r="G5075" s="10"/>
      <c r="H5075" s="15"/>
      <c r="I5075" s="15"/>
      <c r="J5075" s="15"/>
      <c r="K5075" s="15"/>
      <c r="L5075" s="15"/>
      <c r="M5075" s="15"/>
      <c r="N5075" s="15"/>
      <c r="O5075" s="15"/>
      <c r="P5075" s="15"/>
      <c r="Q5075" s="71"/>
      <c r="R5075" s="84"/>
      <c r="S5075" s="10"/>
      <c r="T5075" s="10"/>
      <c r="U5075" s="10"/>
      <c r="V5075" s="10"/>
      <c r="W5075" s="138"/>
      <c r="Y5075"/>
      <c r="Z5075"/>
      <c r="AA5075"/>
      <c r="AB5075"/>
      <c r="AC5075"/>
      <c r="AD5075"/>
      <c r="AE5075"/>
      <c r="AF5075"/>
      <c r="AG5075"/>
      <c r="AH5075"/>
      <c r="AI5075"/>
      <c r="AJ5075"/>
      <c r="AK5075"/>
      <c r="AL5075"/>
      <c r="AM5075"/>
      <c r="AN5075"/>
      <c r="AO5075"/>
    </row>
    <row r="5076" spans="1:41" ht="15">
      <c r="A5076"/>
      <c r="B5076"/>
      <c r="C5076" s="137"/>
      <c r="D5076" s="30"/>
      <c r="E5076" s="30"/>
      <c r="F5076" s="10"/>
      <c r="G5076" s="10"/>
      <c r="H5076" s="15"/>
      <c r="I5076" s="15"/>
      <c r="J5076" s="15"/>
      <c r="K5076" s="15"/>
      <c r="L5076" s="15"/>
      <c r="M5076" s="15"/>
      <c r="N5076" s="15"/>
      <c r="O5076" s="15"/>
      <c r="P5076" s="15"/>
      <c r="Q5076" s="71"/>
      <c r="R5076" s="84"/>
      <c r="S5076" s="10"/>
      <c r="T5076" s="10"/>
      <c r="U5076" s="10"/>
      <c r="V5076" s="10"/>
      <c r="W5076" s="138"/>
      <c r="Y5076"/>
      <c r="Z5076"/>
      <c r="AA5076"/>
      <c r="AB5076"/>
      <c r="AC5076"/>
      <c r="AD5076"/>
      <c r="AE5076"/>
      <c r="AF5076"/>
      <c r="AG5076"/>
      <c r="AH5076"/>
      <c r="AI5076"/>
      <c r="AJ5076"/>
      <c r="AK5076"/>
      <c r="AL5076"/>
      <c r="AM5076"/>
      <c r="AN5076"/>
      <c r="AO5076"/>
    </row>
    <row r="5077" spans="1:41" ht="15">
      <c r="A5077"/>
      <c r="B5077"/>
      <c r="C5077" s="137"/>
      <c r="D5077" s="30"/>
      <c r="E5077" s="30"/>
      <c r="F5077" s="10"/>
      <c r="G5077" s="10"/>
      <c r="H5077" s="15"/>
      <c r="I5077" s="15"/>
      <c r="J5077" s="15"/>
      <c r="K5077" s="15"/>
      <c r="L5077" s="15"/>
      <c r="M5077" s="15"/>
      <c r="N5077" s="15"/>
      <c r="O5077" s="15"/>
      <c r="P5077" s="15"/>
      <c r="Q5077" s="71"/>
      <c r="R5077" s="84"/>
      <c r="S5077" s="10"/>
      <c r="T5077" s="10"/>
      <c r="U5077" s="10"/>
      <c r="V5077" s="10"/>
      <c r="W5077" s="138"/>
      <c r="Y5077"/>
      <c r="Z5077"/>
      <c r="AA5077"/>
      <c r="AB5077"/>
      <c r="AC5077"/>
      <c r="AD5077"/>
      <c r="AE5077"/>
      <c r="AF5077"/>
      <c r="AG5077"/>
      <c r="AH5077"/>
      <c r="AI5077"/>
      <c r="AJ5077"/>
      <c r="AK5077"/>
      <c r="AL5077"/>
      <c r="AM5077"/>
      <c r="AN5077"/>
      <c r="AO5077"/>
    </row>
    <row r="5078" spans="1:41" ht="15">
      <c r="A5078"/>
      <c r="B5078"/>
      <c r="C5078" s="137"/>
      <c r="D5078" s="30"/>
      <c r="E5078" s="30"/>
      <c r="F5078" s="10"/>
      <c r="G5078" s="10"/>
      <c r="H5078" s="15"/>
      <c r="I5078" s="15"/>
      <c r="J5078" s="15"/>
      <c r="K5078" s="15"/>
      <c r="L5078" s="15"/>
      <c r="M5078" s="15"/>
      <c r="N5078" s="15"/>
      <c r="O5078" s="15"/>
      <c r="P5078" s="15"/>
      <c r="Q5078" s="71"/>
      <c r="R5078" s="84"/>
      <c r="S5078" s="10"/>
      <c r="T5078" s="10"/>
      <c r="U5078" s="10"/>
      <c r="V5078" s="10"/>
      <c r="W5078" s="138"/>
      <c r="Y5078"/>
      <c r="Z5078"/>
      <c r="AA5078"/>
      <c r="AB5078"/>
      <c r="AC5078"/>
      <c r="AD5078"/>
      <c r="AE5078"/>
      <c r="AF5078"/>
      <c r="AG5078"/>
      <c r="AH5078"/>
      <c r="AI5078"/>
      <c r="AJ5078"/>
      <c r="AK5078"/>
      <c r="AL5078"/>
      <c r="AM5078"/>
      <c r="AN5078"/>
      <c r="AO5078"/>
    </row>
    <row r="5079" spans="1:41" ht="15">
      <c r="A5079"/>
      <c r="B5079"/>
      <c r="C5079" s="137"/>
      <c r="D5079" s="30"/>
      <c r="E5079" s="30"/>
      <c r="F5079" s="10"/>
      <c r="G5079" s="10"/>
      <c r="H5079" s="15"/>
      <c r="I5079" s="15"/>
      <c r="J5079" s="15"/>
      <c r="K5079" s="15"/>
      <c r="L5079" s="15"/>
      <c r="M5079" s="15"/>
      <c r="N5079" s="15"/>
      <c r="O5079" s="15"/>
      <c r="P5079" s="15"/>
      <c r="Q5079" s="71"/>
      <c r="R5079" s="84"/>
      <c r="S5079" s="10"/>
      <c r="T5079" s="10"/>
      <c r="U5079" s="10"/>
      <c r="V5079" s="10"/>
      <c r="W5079" s="138"/>
      <c r="Y5079"/>
      <c r="Z5079"/>
      <c r="AA5079"/>
      <c r="AB5079"/>
      <c r="AC5079"/>
      <c r="AD5079"/>
      <c r="AE5079"/>
      <c r="AF5079"/>
      <c r="AG5079"/>
      <c r="AH5079"/>
      <c r="AI5079"/>
      <c r="AJ5079"/>
      <c r="AK5079"/>
      <c r="AL5079"/>
      <c r="AM5079"/>
      <c r="AN5079"/>
      <c r="AO5079"/>
    </row>
    <row r="5080" spans="1:41" ht="15">
      <c r="A5080"/>
      <c r="B5080"/>
      <c r="C5080" s="137"/>
      <c r="D5080" s="30"/>
      <c r="E5080" s="30"/>
      <c r="F5080" s="10"/>
      <c r="G5080" s="10"/>
      <c r="H5080" s="15"/>
      <c r="I5080" s="15"/>
      <c r="J5080" s="15"/>
      <c r="K5080" s="15"/>
      <c r="L5080" s="15"/>
      <c r="M5080" s="15"/>
      <c r="N5080" s="15"/>
      <c r="O5080" s="15"/>
      <c r="P5080" s="15"/>
      <c r="Q5080" s="71"/>
      <c r="R5080" s="84"/>
      <c r="S5080" s="10"/>
      <c r="T5080" s="10"/>
      <c r="U5080" s="10"/>
      <c r="V5080" s="10"/>
      <c r="W5080" s="138"/>
      <c r="Y5080"/>
      <c r="Z5080"/>
      <c r="AA5080"/>
      <c r="AB5080"/>
      <c r="AC5080"/>
      <c r="AD5080"/>
      <c r="AE5080"/>
      <c r="AF5080"/>
      <c r="AG5080"/>
      <c r="AH5080"/>
      <c r="AI5080"/>
      <c r="AJ5080"/>
      <c r="AK5080"/>
      <c r="AL5080"/>
      <c r="AM5080"/>
      <c r="AN5080"/>
      <c r="AO5080"/>
    </row>
    <row r="5081" spans="1:41" ht="15">
      <c r="A5081"/>
      <c r="B5081"/>
      <c r="C5081" s="137"/>
      <c r="D5081" s="30"/>
      <c r="E5081" s="30"/>
      <c r="F5081" s="10"/>
      <c r="G5081" s="10"/>
      <c r="H5081" s="15"/>
      <c r="I5081" s="15"/>
      <c r="J5081" s="15"/>
      <c r="K5081" s="15"/>
      <c r="L5081" s="15"/>
      <c r="M5081" s="15"/>
      <c r="N5081" s="15"/>
      <c r="O5081" s="15"/>
      <c r="P5081" s="15"/>
      <c r="Q5081" s="71"/>
      <c r="R5081" s="84"/>
      <c r="S5081" s="10"/>
      <c r="T5081" s="10"/>
      <c r="U5081" s="10"/>
      <c r="V5081" s="10"/>
      <c r="W5081" s="138"/>
      <c r="Y5081"/>
      <c r="Z5081"/>
      <c r="AA5081"/>
      <c r="AB5081"/>
      <c r="AC5081"/>
      <c r="AD5081"/>
      <c r="AE5081"/>
      <c r="AF5081"/>
      <c r="AG5081"/>
      <c r="AH5081"/>
      <c r="AI5081"/>
      <c r="AJ5081"/>
      <c r="AK5081"/>
      <c r="AL5081"/>
      <c r="AM5081"/>
      <c r="AN5081"/>
      <c r="AO5081"/>
    </row>
    <row r="5082" spans="1:41" ht="15">
      <c r="A5082"/>
      <c r="B5082"/>
      <c r="C5082" s="137"/>
      <c r="D5082" s="30"/>
      <c r="E5082" s="30"/>
      <c r="F5082" s="10"/>
      <c r="G5082" s="10"/>
      <c r="H5082" s="15"/>
      <c r="I5082" s="15"/>
      <c r="J5082" s="15"/>
      <c r="K5082" s="15"/>
      <c r="L5082" s="15"/>
      <c r="M5082" s="15"/>
      <c r="N5082" s="15"/>
      <c r="O5082" s="15"/>
      <c r="P5082" s="15"/>
      <c r="Q5082" s="71"/>
      <c r="R5082" s="84"/>
      <c r="S5082" s="10"/>
      <c r="T5082" s="10"/>
      <c r="U5082" s="10"/>
      <c r="V5082" s="10"/>
      <c r="W5082" s="138"/>
      <c r="Y5082"/>
      <c r="Z5082"/>
      <c r="AA5082"/>
      <c r="AB5082"/>
      <c r="AC5082"/>
      <c r="AD5082"/>
      <c r="AE5082"/>
      <c r="AF5082"/>
      <c r="AG5082"/>
      <c r="AH5082"/>
      <c r="AI5082"/>
      <c r="AJ5082"/>
      <c r="AK5082"/>
      <c r="AL5082"/>
      <c r="AM5082"/>
      <c r="AN5082"/>
      <c r="AO5082"/>
    </row>
    <row r="5083" spans="1:41" ht="15">
      <c r="A5083"/>
      <c r="B5083"/>
      <c r="C5083" s="137"/>
      <c r="D5083" s="30"/>
      <c r="E5083" s="30"/>
      <c r="F5083" s="10"/>
      <c r="G5083" s="10"/>
      <c r="H5083" s="15"/>
      <c r="I5083" s="15"/>
      <c r="J5083" s="15"/>
      <c r="K5083" s="15"/>
      <c r="L5083" s="15"/>
      <c r="M5083" s="15"/>
      <c r="N5083" s="15"/>
      <c r="O5083" s="15"/>
      <c r="P5083" s="15"/>
      <c r="Q5083" s="71"/>
      <c r="R5083" s="84"/>
      <c r="S5083" s="10"/>
      <c r="T5083" s="10"/>
      <c r="U5083" s="10"/>
      <c r="V5083" s="10"/>
      <c r="W5083" s="138"/>
      <c r="Y5083"/>
      <c r="Z5083"/>
      <c r="AA5083"/>
      <c r="AB5083"/>
      <c r="AC5083"/>
      <c r="AD5083"/>
      <c r="AE5083"/>
      <c r="AF5083"/>
      <c r="AG5083"/>
      <c r="AH5083"/>
      <c r="AI5083"/>
      <c r="AJ5083"/>
      <c r="AK5083"/>
      <c r="AL5083"/>
      <c r="AM5083"/>
      <c r="AN5083"/>
      <c r="AO5083"/>
    </row>
    <row r="5084" spans="1:41" ht="15">
      <c r="A5084"/>
      <c r="B5084"/>
      <c r="C5084" s="137"/>
      <c r="D5084" s="30"/>
      <c r="E5084" s="30"/>
      <c r="F5084" s="10"/>
      <c r="G5084" s="10"/>
      <c r="H5084" s="15"/>
      <c r="I5084" s="15"/>
      <c r="J5084" s="15"/>
      <c r="K5084" s="15"/>
      <c r="L5084" s="15"/>
      <c r="M5084" s="15"/>
      <c r="N5084" s="15"/>
      <c r="O5084" s="15"/>
      <c r="P5084" s="15"/>
      <c r="Q5084" s="71"/>
      <c r="R5084" s="84"/>
      <c r="S5084" s="10"/>
      <c r="T5084" s="10"/>
      <c r="U5084" s="10"/>
      <c r="V5084" s="10"/>
      <c r="W5084" s="138"/>
      <c r="Y5084"/>
      <c r="Z5084"/>
      <c r="AA5084"/>
      <c r="AB5084"/>
      <c r="AC5084"/>
      <c r="AD5084"/>
      <c r="AE5084"/>
      <c r="AF5084"/>
      <c r="AG5084"/>
      <c r="AH5084"/>
      <c r="AI5084"/>
      <c r="AJ5084"/>
      <c r="AK5084"/>
      <c r="AL5084"/>
      <c r="AM5084"/>
      <c r="AN5084"/>
      <c r="AO5084"/>
    </row>
    <row r="5085" spans="1:41" ht="15">
      <c r="A5085"/>
      <c r="B5085"/>
      <c r="C5085" s="137"/>
      <c r="D5085" s="30"/>
      <c r="E5085" s="30"/>
      <c r="F5085" s="10"/>
      <c r="G5085" s="10"/>
      <c r="H5085" s="15"/>
      <c r="I5085" s="15"/>
      <c r="J5085" s="15"/>
      <c r="K5085" s="15"/>
      <c r="L5085" s="15"/>
      <c r="M5085" s="15"/>
      <c r="N5085" s="15"/>
      <c r="O5085" s="15"/>
      <c r="P5085" s="15"/>
      <c r="Q5085" s="71"/>
      <c r="R5085" s="84"/>
      <c r="S5085" s="10"/>
      <c r="T5085" s="10"/>
      <c r="U5085" s="10"/>
      <c r="V5085" s="10"/>
      <c r="W5085" s="138"/>
      <c r="Y5085"/>
      <c r="Z5085"/>
      <c r="AA5085"/>
      <c r="AB5085"/>
      <c r="AC5085"/>
      <c r="AD5085"/>
      <c r="AE5085"/>
      <c r="AF5085"/>
      <c r="AG5085"/>
      <c r="AH5085"/>
      <c r="AI5085"/>
      <c r="AJ5085"/>
      <c r="AK5085"/>
      <c r="AL5085"/>
      <c r="AM5085"/>
      <c r="AN5085"/>
      <c r="AO5085"/>
    </row>
    <row r="5086" spans="1:41" ht="15">
      <c r="A5086"/>
      <c r="B5086"/>
      <c r="C5086" s="137"/>
      <c r="D5086" s="30"/>
      <c r="E5086" s="30"/>
      <c r="F5086" s="10"/>
      <c r="G5086" s="10"/>
      <c r="H5086" s="15"/>
      <c r="I5086" s="15"/>
      <c r="J5086" s="15"/>
      <c r="K5086" s="15"/>
      <c r="L5086" s="15"/>
      <c r="M5086" s="15"/>
      <c r="N5086" s="15"/>
      <c r="O5086" s="15"/>
      <c r="P5086" s="15"/>
      <c r="Q5086" s="71"/>
      <c r="R5086" s="84"/>
      <c r="S5086" s="10"/>
      <c r="T5086" s="10"/>
      <c r="U5086" s="10"/>
      <c r="V5086" s="10"/>
      <c r="W5086" s="138"/>
      <c r="Y5086"/>
      <c r="Z5086"/>
      <c r="AA5086"/>
      <c r="AB5086"/>
      <c r="AC5086"/>
      <c r="AD5086"/>
      <c r="AE5086"/>
      <c r="AF5086"/>
      <c r="AG5086"/>
      <c r="AH5086"/>
      <c r="AI5086"/>
      <c r="AJ5086"/>
      <c r="AK5086"/>
      <c r="AL5086"/>
      <c r="AM5086"/>
      <c r="AN5086"/>
      <c r="AO5086"/>
    </row>
    <row r="5087" spans="1:41" ht="15">
      <c r="A5087"/>
      <c r="B5087"/>
      <c r="C5087" s="137"/>
      <c r="D5087" s="30"/>
      <c r="E5087" s="30"/>
      <c r="F5087" s="10"/>
      <c r="G5087" s="10"/>
      <c r="H5087" s="15"/>
      <c r="I5087" s="15"/>
      <c r="J5087" s="15"/>
      <c r="K5087" s="15"/>
      <c r="L5087" s="15"/>
      <c r="M5087" s="15"/>
      <c r="N5087" s="15"/>
      <c r="O5087" s="15"/>
      <c r="P5087" s="15"/>
      <c r="Q5087" s="71"/>
      <c r="R5087" s="84"/>
      <c r="S5087" s="10"/>
      <c r="T5087" s="10"/>
      <c r="U5087" s="10"/>
      <c r="V5087" s="10"/>
      <c r="W5087" s="138"/>
      <c r="Y5087"/>
      <c r="Z5087"/>
      <c r="AA5087"/>
      <c r="AB5087"/>
      <c r="AC5087"/>
      <c r="AD5087"/>
      <c r="AE5087"/>
      <c r="AF5087"/>
      <c r="AG5087"/>
      <c r="AH5087"/>
      <c r="AI5087"/>
      <c r="AJ5087"/>
      <c r="AK5087"/>
      <c r="AL5087"/>
      <c r="AM5087"/>
      <c r="AN5087"/>
      <c r="AO5087"/>
    </row>
    <row r="5088" spans="1:41" ht="15">
      <c r="A5088"/>
      <c r="B5088"/>
      <c r="C5088" s="137"/>
      <c r="D5088" s="30"/>
      <c r="E5088" s="30"/>
      <c r="F5088" s="10"/>
      <c r="G5088" s="10"/>
      <c r="H5088" s="15"/>
      <c r="I5088" s="15"/>
      <c r="J5088" s="15"/>
      <c r="K5088" s="15"/>
      <c r="L5088" s="15"/>
      <c r="M5088" s="15"/>
      <c r="N5088" s="15"/>
      <c r="O5088" s="15"/>
      <c r="P5088" s="15"/>
      <c r="Q5088" s="71"/>
      <c r="R5088" s="84"/>
      <c r="S5088" s="10"/>
      <c r="T5088" s="10"/>
      <c r="U5088" s="10"/>
      <c r="V5088" s="10"/>
      <c r="W5088" s="138"/>
      <c r="Y5088"/>
      <c r="Z5088"/>
      <c r="AA5088"/>
      <c r="AB5088"/>
      <c r="AC5088"/>
      <c r="AD5088"/>
      <c r="AE5088"/>
      <c r="AF5088"/>
      <c r="AG5088"/>
      <c r="AH5088"/>
      <c r="AI5088"/>
      <c r="AJ5088"/>
      <c r="AK5088"/>
      <c r="AL5088"/>
      <c r="AM5088"/>
      <c r="AN5088"/>
      <c r="AO5088"/>
    </row>
    <row r="5089" spans="1:41" ht="15">
      <c r="A5089"/>
      <c r="B5089"/>
      <c r="C5089" s="137"/>
      <c r="D5089" s="30"/>
      <c r="E5089" s="30"/>
      <c r="F5089" s="10"/>
      <c r="G5089" s="10"/>
      <c r="H5089" s="15"/>
      <c r="I5089" s="15"/>
      <c r="J5089" s="15"/>
      <c r="K5089" s="15"/>
      <c r="L5089" s="15"/>
      <c r="M5089" s="15"/>
      <c r="N5089" s="15"/>
      <c r="O5089" s="15"/>
      <c r="P5089" s="15"/>
      <c r="Q5089" s="71"/>
      <c r="R5089" s="84"/>
      <c r="S5089" s="10"/>
      <c r="T5089" s="10"/>
      <c r="U5089" s="10"/>
      <c r="V5089" s="10"/>
      <c r="W5089" s="138"/>
      <c r="Y5089"/>
      <c r="Z5089"/>
      <c r="AA5089"/>
      <c r="AB5089"/>
      <c r="AC5089"/>
      <c r="AD5089"/>
      <c r="AE5089"/>
      <c r="AF5089"/>
      <c r="AG5089"/>
      <c r="AH5089"/>
      <c r="AI5089"/>
      <c r="AJ5089"/>
      <c r="AK5089"/>
      <c r="AL5089"/>
      <c r="AM5089"/>
      <c r="AN5089"/>
      <c r="AO5089"/>
    </row>
    <row r="5090" spans="1:41" ht="15">
      <c r="A5090"/>
      <c r="B5090"/>
      <c r="C5090" s="137"/>
      <c r="D5090" s="30"/>
      <c r="E5090" s="30"/>
      <c r="F5090" s="10"/>
      <c r="G5090" s="10"/>
      <c r="H5090" s="15"/>
      <c r="I5090" s="15"/>
      <c r="J5090" s="15"/>
      <c r="K5090" s="15"/>
      <c r="L5090" s="15"/>
      <c r="M5090" s="15"/>
      <c r="N5090" s="15"/>
      <c r="O5090" s="15"/>
      <c r="P5090" s="15"/>
      <c r="Q5090" s="71"/>
      <c r="R5090" s="84"/>
      <c r="S5090" s="10"/>
      <c r="T5090" s="10"/>
      <c r="U5090" s="10"/>
      <c r="V5090" s="10"/>
      <c r="W5090" s="138"/>
      <c r="Y5090"/>
      <c r="Z5090"/>
      <c r="AA5090"/>
      <c r="AB5090"/>
      <c r="AC5090"/>
      <c r="AD5090"/>
      <c r="AE5090"/>
      <c r="AF5090"/>
      <c r="AG5090"/>
      <c r="AH5090"/>
      <c r="AI5090"/>
      <c r="AJ5090"/>
      <c r="AK5090"/>
      <c r="AL5090"/>
      <c r="AM5090"/>
      <c r="AN5090"/>
      <c r="AO5090"/>
    </row>
    <row r="5091" spans="1:41" ht="15">
      <c r="A5091"/>
      <c r="B5091"/>
      <c r="C5091" s="137"/>
      <c r="D5091" s="30"/>
      <c r="E5091" s="30"/>
      <c r="F5091" s="10"/>
      <c r="G5091" s="10"/>
      <c r="H5091" s="15"/>
      <c r="I5091" s="15"/>
      <c r="J5091" s="15"/>
      <c r="K5091" s="15"/>
      <c r="L5091" s="15"/>
      <c r="M5091" s="15"/>
      <c r="N5091" s="15"/>
      <c r="O5091" s="15"/>
      <c r="P5091" s="15"/>
      <c r="Q5091" s="71"/>
      <c r="R5091" s="84"/>
      <c r="S5091" s="10"/>
      <c r="T5091" s="10"/>
      <c r="U5091" s="10"/>
      <c r="V5091" s="10"/>
      <c r="W5091" s="138"/>
      <c r="Y5091"/>
      <c r="Z5091"/>
      <c r="AA5091"/>
      <c r="AB5091"/>
      <c r="AC5091"/>
      <c r="AD5091"/>
      <c r="AE5091"/>
      <c r="AF5091"/>
      <c r="AG5091"/>
      <c r="AH5091"/>
      <c r="AI5091"/>
      <c r="AJ5091"/>
      <c r="AK5091"/>
      <c r="AL5091"/>
      <c r="AM5091"/>
      <c r="AN5091"/>
      <c r="AO5091"/>
    </row>
    <row r="5092" spans="1:41" ht="15">
      <c r="A5092"/>
      <c r="B5092"/>
      <c r="C5092" s="137"/>
      <c r="D5092" s="30"/>
      <c r="E5092" s="30"/>
      <c r="F5092" s="10"/>
      <c r="G5092" s="10"/>
      <c r="H5092" s="15"/>
      <c r="I5092" s="15"/>
      <c r="J5092" s="15"/>
      <c r="K5092" s="15"/>
      <c r="L5092" s="15"/>
      <c r="M5092" s="15"/>
      <c r="N5092" s="15"/>
      <c r="O5092" s="15"/>
      <c r="P5092" s="15"/>
      <c r="Q5092" s="71"/>
      <c r="R5092" s="84"/>
      <c r="S5092" s="10"/>
      <c r="T5092" s="10"/>
      <c r="U5092" s="10"/>
      <c r="V5092" s="10"/>
      <c r="W5092" s="138"/>
      <c r="Y5092"/>
      <c r="Z5092"/>
      <c r="AA5092"/>
      <c r="AB5092"/>
      <c r="AC5092"/>
      <c r="AD5092"/>
      <c r="AE5092"/>
      <c r="AF5092"/>
      <c r="AG5092"/>
      <c r="AH5092"/>
      <c r="AI5092"/>
      <c r="AJ5092"/>
      <c r="AK5092"/>
      <c r="AL5092"/>
      <c r="AM5092"/>
      <c r="AN5092"/>
      <c r="AO5092"/>
    </row>
    <row r="5093" spans="1:41" ht="15">
      <c r="A5093"/>
      <c r="B5093"/>
      <c r="C5093" s="137"/>
      <c r="D5093" s="30"/>
      <c r="E5093" s="30"/>
      <c r="F5093" s="10"/>
      <c r="G5093" s="10"/>
      <c r="H5093" s="15"/>
      <c r="I5093" s="15"/>
      <c r="J5093" s="15"/>
      <c r="K5093" s="15"/>
      <c r="L5093" s="15"/>
      <c r="M5093" s="15"/>
      <c r="N5093" s="15"/>
      <c r="O5093" s="15"/>
      <c r="P5093" s="15"/>
      <c r="Q5093" s="71"/>
      <c r="R5093" s="84"/>
      <c r="S5093" s="10"/>
      <c r="T5093" s="10"/>
      <c r="U5093" s="10"/>
      <c r="V5093" s="10"/>
      <c r="W5093" s="138"/>
      <c r="Y5093"/>
      <c r="Z5093"/>
      <c r="AA5093"/>
      <c r="AB5093"/>
      <c r="AC5093"/>
      <c r="AD5093"/>
      <c r="AE5093"/>
      <c r="AF5093"/>
      <c r="AG5093"/>
      <c r="AH5093"/>
      <c r="AI5093"/>
      <c r="AJ5093"/>
      <c r="AK5093"/>
      <c r="AL5093"/>
      <c r="AM5093"/>
      <c r="AN5093"/>
      <c r="AO5093"/>
    </row>
    <row r="5094" spans="1:41" ht="15">
      <c r="A5094"/>
      <c r="B5094"/>
      <c r="C5094" s="137"/>
      <c r="D5094" s="30"/>
      <c r="E5094" s="30"/>
      <c r="F5094" s="10"/>
      <c r="G5094" s="10"/>
      <c r="H5094" s="15"/>
      <c r="I5094" s="15"/>
      <c r="J5094" s="15"/>
      <c r="K5094" s="15"/>
      <c r="L5094" s="15"/>
      <c r="M5094" s="15"/>
      <c r="N5094" s="15"/>
      <c r="O5094" s="15"/>
      <c r="P5094" s="15"/>
      <c r="Q5094" s="71"/>
      <c r="R5094" s="84"/>
      <c r="S5094" s="10"/>
      <c r="T5094" s="10"/>
      <c r="U5094" s="10"/>
      <c r="V5094" s="10"/>
      <c r="W5094" s="138"/>
      <c r="Y5094"/>
      <c r="Z5094"/>
      <c r="AA5094"/>
      <c r="AB5094"/>
      <c r="AC5094"/>
      <c r="AD5094"/>
      <c r="AE5094"/>
      <c r="AF5094"/>
      <c r="AG5094"/>
      <c r="AH5094"/>
      <c r="AI5094"/>
      <c r="AJ5094"/>
      <c r="AK5094"/>
      <c r="AL5094"/>
      <c r="AM5094"/>
      <c r="AN5094"/>
      <c r="AO5094"/>
    </row>
    <row r="5095" spans="1:41" ht="15">
      <c r="A5095"/>
      <c r="B5095"/>
      <c r="C5095" s="137"/>
      <c r="D5095" s="30"/>
      <c r="E5095" s="30"/>
      <c r="F5095" s="10"/>
      <c r="G5095" s="10"/>
      <c r="H5095" s="15"/>
      <c r="I5095" s="15"/>
      <c r="J5095" s="15"/>
      <c r="K5095" s="15"/>
      <c r="L5095" s="15"/>
      <c r="M5095" s="15"/>
      <c r="N5095" s="15"/>
      <c r="O5095" s="15"/>
      <c r="P5095" s="15"/>
      <c r="Q5095" s="71"/>
      <c r="R5095" s="84"/>
      <c r="S5095" s="10"/>
      <c r="T5095" s="10"/>
      <c r="U5095" s="10"/>
      <c r="V5095" s="10"/>
      <c r="W5095" s="138"/>
      <c r="Y5095"/>
      <c r="Z5095"/>
      <c r="AA5095"/>
      <c r="AB5095"/>
      <c r="AC5095"/>
      <c r="AD5095"/>
      <c r="AE5095"/>
      <c r="AF5095"/>
      <c r="AG5095"/>
      <c r="AH5095"/>
      <c r="AI5095"/>
      <c r="AJ5095"/>
      <c r="AK5095"/>
      <c r="AL5095"/>
      <c r="AM5095"/>
      <c r="AN5095"/>
      <c r="AO5095"/>
    </row>
    <row r="5096" spans="1:41" ht="15">
      <c r="A5096"/>
      <c r="B5096"/>
      <c r="C5096" s="137"/>
      <c r="D5096" s="30"/>
      <c r="E5096" s="30"/>
      <c r="F5096" s="10"/>
      <c r="G5096" s="10"/>
      <c r="H5096" s="15"/>
      <c r="I5096" s="15"/>
      <c r="J5096" s="15"/>
      <c r="K5096" s="15"/>
      <c r="L5096" s="15"/>
      <c r="M5096" s="15"/>
      <c r="N5096" s="15"/>
      <c r="O5096" s="15"/>
      <c r="P5096" s="15"/>
      <c r="Q5096" s="71"/>
      <c r="R5096" s="84"/>
      <c r="S5096" s="10"/>
      <c r="T5096" s="10"/>
      <c r="U5096" s="10"/>
      <c r="V5096" s="10"/>
      <c r="W5096" s="138"/>
      <c r="Y5096"/>
      <c r="Z5096"/>
      <c r="AA5096"/>
      <c r="AB5096"/>
      <c r="AC5096"/>
      <c r="AD5096"/>
      <c r="AE5096"/>
      <c r="AF5096"/>
      <c r="AG5096"/>
      <c r="AH5096"/>
      <c r="AI5096"/>
      <c r="AJ5096"/>
      <c r="AK5096"/>
      <c r="AL5096"/>
      <c r="AM5096"/>
      <c r="AN5096"/>
      <c r="AO5096"/>
    </row>
    <row r="5097" spans="1:41" ht="15">
      <c r="A5097"/>
      <c r="B5097"/>
      <c r="C5097" s="137"/>
      <c r="D5097" s="30"/>
      <c r="E5097" s="30"/>
      <c r="F5097" s="10"/>
      <c r="G5097" s="10"/>
      <c r="H5097" s="15"/>
      <c r="I5097" s="15"/>
      <c r="J5097" s="15"/>
      <c r="K5097" s="15"/>
      <c r="L5097" s="15"/>
      <c r="M5097" s="15"/>
      <c r="N5097" s="15"/>
      <c r="O5097" s="15"/>
      <c r="P5097" s="15"/>
      <c r="Q5097" s="71"/>
      <c r="R5097" s="84"/>
      <c r="S5097" s="10"/>
      <c r="T5097" s="10"/>
      <c r="U5097" s="10"/>
      <c r="V5097" s="10"/>
      <c r="W5097" s="138"/>
      <c r="Y5097"/>
      <c r="Z5097"/>
      <c r="AA5097"/>
      <c r="AB5097"/>
      <c r="AC5097"/>
      <c r="AD5097"/>
      <c r="AE5097"/>
      <c r="AF5097"/>
      <c r="AG5097"/>
      <c r="AH5097"/>
      <c r="AI5097"/>
      <c r="AJ5097"/>
      <c r="AK5097"/>
      <c r="AL5097"/>
      <c r="AM5097"/>
      <c r="AN5097"/>
      <c r="AO5097"/>
    </row>
    <row r="5098" spans="1:41" ht="15">
      <c r="A5098"/>
      <c r="B5098"/>
      <c r="C5098" s="137"/>
      <c r="D5098" s="30"/>
      <c r="E5098" s="30"/>
      <c r="F5098" s="10"/>
      <c r="G5098" s="10"/>
      <c r="H5098" s="15"/>
      <c r="I5098" s="15"/>
      <c r="J5098" s="15"/>
      <c r="K5098" s="15"/>
      <c r="L5098" s="15"/>
      <c r="M5098" s="15"/>
      <c r="N5098" s="15"/>
      <c r="O5098" s="15"/>
      <c r="P5098" s="15"/>
      <c r="Q5098" s="71"/>
      <c r="R5098" s="84"/>
      <c r="S5098" s="10"/>
      <c r="T5098" s="10"/>
      <c r="U5098" s="10"/>
      <c r="V5098" s="10"/>
      <c r="W5098" s="138"/>
      <c r="Y5098"/>
      <c r="Z5098"/>
      <c r="AA5098"/>
      <c r="AB5098"/>
      <c r="AC5098"/>
      <c r="AD5098"/>
      <c r="AE5098"/>
      <c r="AF5098"/>
      <c r="AG5098"/>
      <c r="AH5098"/>
      <c r="AI5098"/>
      <c r="AJ5098"/>
      <c r="AK5098"/>
      <c r="AL5098"/>
      <c r="AM5098"/>
      <c r="AN5098"/>
      <c r="AO5098"/>
    </row>
    <row r="5099" spans="1:41" ht="15">
      <c r="A5099"/>
      <c r="B5099"/>
      <c r="C5099" s="137"/>
      <c r="D5099" s="30"/>
      <c r="E5099" s="30"/>
      <c r="F5099" s="10"/>
      <c r="G5099" s="10"/>
      <c r="H5099" s="15"/>
      <c r="I5099" s="15"/>
      <c r="J5099" s="15"/>
      <c r="K5099" s="15"/>
      <c r="L5099" s="15"/>
      <c r="M5099" s="15"/>
      <c r="N5099" s="15"/>
      <c r="O5099" s="15"/>
      <c r="P5099" s="15"/>
      <c r="Q5099" s="71"/>
      <c r="R5099" s="84"/>
      <c r="S5099" s="10"/>
      <c r="T5099" s="10"/>
      <c r="U5099" s="10"/>
      <c r="V5099" s="10"/>
      <c r="W5099" s="138"/>
      <c r="Y5099"/>
      <c r="Z5099"/>
      <c r="AA5099"/>
      <c r="AB5099"/>
      <c r="AC5099"/>
      <c r="AD5099"/>
      <c r="AE5099"/>
      <c r="AF5099"/>
      <c r="AG5099"/>
      <c r="AH5099"/>
      <c r="AI5099"/>
      <c r="AJ5099"/>
      <c r="AK5099"/>
      <c r="AL5099"/>
      <c r="AM5099"/>
      <c r="AN5099"/>
      <c r="AO5099"/>
    </row>
    <row r="5100" spans="1:41" ht="15">
      <c r="A5100"/>
      <c r="B5100"/>
      <c r="C5100" s="137"/>
      <c r="D5100" s="30"/>
      <c r="E5100" s="30"/>
      <c r="F5100" s="10"/>
      <c r="G5100" s="10"/>
      <c r="H5100" s="15"/>
      <c r="I5100" s="15"/>
      <c r="J5100" s="15"/>
      <c r="K5100" s="15"/>
      <c r="L5100" s="15"/>
      <c r="M5100" s="15"/>
      <c r="N5100" s="15"/>
      <c r="O5100" s="15"/>
      <c r="P5100" s="15"/>
      <c r="Q5100" s="71"/>
      <c r="R5100" s="84"/>
      <c r="S5100" s="10"/>
      <c r="T5100" s="10"/>
      <c r="U5100" s="10"/>
      <c r="V5100" s="10"/>
      <c r="W5100" s="138"/>
      <c r="Y5100"/>
      <c r="Z5100"/>
      <c r="AA5100"/>
      <c r="AB5100"/>
      <c r="AC5100"/>
      <c r="AD5100"/>
      <c r="AE5100"/>
      <c r="AF5100"/>
      <c r="AG5100"/>
      <c r="AH5100"/>
      <c r="AI5100"/>
      <c r="AJ5100"/>
      <c r="AK5100"/>
      <c r="AL5100"/>
      <c r="AM5100"/>
      <c r="AN5100"/>
      <c r="AO5100"/>
    </row>
    <row r="5101" spans="1:41" ht="15">
      <c r="A5101"/>
      <c r="B5101"/>
      <c r="C5101" s="137"/>
      <c r="D5101" s="30"/>
      <c r="E5101" s="30"/>
      <c r="F5101" s="10"/>
      <c r="G5101" s="10"/>
      <c r="H5101" s="15"/>
      <c r="I5101" s="15"/>
      <c r="J5101" s="15"/>
      <c r="K5101" s="15"/>
      <c r="L5101" s="15"/>
      <c r="M5101" s="15"/>
      <c r="N5101" s="15"/>
      <c r="O5101" s="15"/>
      <c r="P5101" s="15"/>
      <c r="Q5101" s="71"/>
      <c r="R5101" s="84"/>
      <c r="S5101" s="10"/>
      <c r="T5101" s="10"/>
      <c r="U5101" s="10"/>
      <c r="V5101" s="10"/>
      <c r="W5101" s="138"/>
      <c r="Y5101"/>
      <c r="Z5101"/>
      <c r="AA5101"/>
      <c r="AB5101"/>
      <c r="AC5101"/>
      <c r="AD5101"/>
      <c r="AE5101"/>
      <c r="AF5101"/>
      <c r="AG5101"/>
      <c r="AH5101"/>
      <c r="AI5101"/>
      <c r="AJ5101"/>
      <c r="AK5101"/>
      <c r="AL5101"/>
      <c r="AM5101"/>
      <c r="AN5101"/>
      <c r="AO5101"/>
    </row>
    <row r="5102" spans="1:41" ht="15">
      <c r="A5102"/>
      <c r="B5102"/>
      <c r="C5102" s="137"/>
      <c r="D5102" s="30"/>
      <c r="E5102" s="30"/>
      <c r="F5102" s="10"/>
      <c r="G5102" s="10"/>
      <c r="H5102" s="15"/>
      <c r="I5102" s="15"/>
      <c r="J5102" s="15"/>
      <c r="K5102" s="15"/>
      <c r="L5102" s="15"/>
      <c r="M5102" s="15"/>
      <c r="N5102" s="15"/>
      <c r="O5102" s="15"/>
      <c r="P5102" s="15"/>
      <c r="Q5102" s="71"/>
      <c r="R5102" s="84"/>
      <c r="S5102" s="10"/>
      <c r="T5102" s="10"/>
      <c r="U5102" s="10"/>
      <c r="V5102" s="10"/>
      <c r="W5102" s="138"/>
      <c r="Y5102"/>
      <c r="Z5102"/>
      <c r="AA5102"/>
      <c r="AB5102"/>
      <c r="AC5102"/>
      <c r="AD5102"/>
      <c r="AE5102"/>
      <c r="AF5102"/>
      <c r="AG5102"/>
      <c r="AH5102"/>
      <c r="AI5102"/>
      <c r="AJ5102"/>
      <c r="AK5102"/>
      <c r="AL5102"/>
      <c r="AM5102"/>
      <c r="AN5102"/>
      <c r="AO5102"/>
    </row>
    <row r="5103" spans="1:41" ht="15">
      <c r="A5103"/>
      <c r="B5103"/>
      <c r="C5103" s="137"/>
      <c r="D5103" s="30"/>
      <c r="E5103" s="30"/>
      <c r="F5103" s="10"/>
      <c r="G5103" s="10"/>
      <c r="H5103" s="15"/>
      <c r="I5103" s="15"/>
      <c r="J5103" s="15"/>
      <c r="K5103" s="15"/>
      <c r="L5103" s="15"/>
      <c r="M5103" s="15"/>
      <c r="N5103" s="15"/>
      <c r="O5103" s="15"/>
      <c r="P5103" s="15"/>
      <c r="Q5103" s="71"/>
      <c r="R5103" s="84"/>
      <c r="S5103" s="10"/>
      <c r="T5103" s="10"/>
      <c r="U5103" s="10"/>
      <c r="V5103" s="10"/>
      <c r="W5103" s="138"/>
      <c r="Y5103"/>
      <c r="Z5103"/>
      <c r="AA5103"/>
      <c r="AB5103"/>
      <c r="AC5103"/>
      <c r="AD5103"/>
      <c r="AE5103"/>
      <c r="AF5103"/>
      <c r="AG5103"/>
      <c r="AH5103"/>
      <c r="AI5103"/>
      <c r="AJ5103"/>
      <c r="AK5103"/>
      <c r="AL5103"/>
      <c r="AM5103"/>
      <c r="AN5103"/>
      <c r="AO5103"/>
    </row>
    <row r="5104" spans="1:41" ht="15">
      <c r="A5104"/>
      <c r="B5104"/>
      <c r="C5104" s="137"/>
      <c r="D5104" s="30"/>
      <c r="E5104" s="30"/>
      <c r="F5104" s="10"/>
      <c r="G5104" s="10"/>
      <c r="H5104" s="15"/>
      <c r="I5104" s="15"/>
      <c r="J5104" s="15"/>
      <c r="K5104" s="15"/>
      <c r="L5104" s="15"/>
      <c r="M5104" s="15"/>
      <c r="N5104" s="15"/>
      <c r="O5104" s="15"/>
      <c r="P5104" s="15"/>
      <c r="Q5104" s="71"/>
      <c r="R5104" s="84"/>
      <c r="S5104" s="10"/>
      <c r="T5104" s="10"/>
      <c r="U5104" s="10"/>
      <c r="V5104" s="10"/>
      <c r="W5104" s="138"/>
      <c r="Y5104"/>
      <c r="Z5104"/>
      <c r="AA5104"/>
      <c r="AB5104"/>
      <c r="AC5104"/>
      <c r="AD5104"/>
      <c r="AE5104"/>
      <c r="AF5104"/>
      <c r="AG5104"/>
      <c r="AH5104"/>
      <c r="AI5104"/>
      <c r="AJ5104"/>
      <c r="AK5104"/>
      <c r="AL5104"/>
      <c r="AM5104"/>
      <c r="AN5104"/>
      <c r="AO5104"/>
    </row>
    <row r="5105" spans="1:41" ht="15">
      <c r="A5105"/>
      <c r="B5105"/>
      <c r="C5105" s="137"/>
      <c r="D5105" s="30"/>
      <c r="E5105" s="30"/>
      <c r="F5105" s="10"/>
      <c r="G5105" s="10"/>
      <c r="H5105" s="15"/>
      <c r="I5105" s="15"/>
      <c r="J5105" s="15"/>
      <c r="K5105" s="15"/>
      <c r="L5105" s="15"/>
      <c r="M5105" s="15"/>
      <c r="N5105" s="15"/>
      <c r="O5105" s="15"/>
      <c r="P5105" s="15"/>
      <c r="Q5105" s="71"/>
      <c r="R5105" s="84"/>
      <c r="S5105" s="10"/>
      <c r="T5105" s="10"/>
      <c r="U5105" s="10"/>
      <c r="V5105" s="10"/>
      <c r="W5105" s="138"/>
      <c r="Y5105"/>
      <c r="Z5105"/>
      <c r="AA5105"/>
      <c r="AB5105"/>
      <c r="AC5105"/>
      <c r="AD5105"/>
      <c r="AE5105"/>
      <c r="AF5105"/>
      <c r="AG5105"/>
      <c r="AH5105"/>
      <c r="AI5105"/>
      <c r="AJ5105"/>
      <c r="AK5105"/>
      <c r="AL5105"/>
      <c r="AM5105"/>
      <c r="AN5105"/>
      <c r="AO5105"/>
    </row>
    <row r="5106" spans="1:41" ht="15">
      <c r="A5106"/>
      <c r="B5106"/>
      <c r="C5106" s="137"/>
      <c r="D5106" s="30"/>
      <c r="E5106" s="30"/>
      <c r="F5106" s="10"/>
      <c r="G5106" s="10"/>
      <c r="H5106" s="15"/>
      <c r="I5106" s="15"/>
      <c r="J5106" s="15"/>
      <c r="K5106" s="15"/>
      <c r="L5106" s="15"/>
      <c r="M5106" s="15"/>
      <c r="N5106" s="15"/>
      <c r="O5106" s="15"/>
      <c r="P5106" s="15"/>
      <c r="Q5106" s="71"/>
      <c r="R5106" s="84"/>
      <c r="S5106" s="10"/>
      <c r="T5106" s="10"/>
      <c r="U5106" s="10"/>
      <c r="V5106" s="10"/>
      <c r="W5106" s="138"/>
      <c r="Y5106"/>
      <c r="Z5106"/>
      <c r="AA5106"/>
      <c r="AB5106"/>
      <c r="AC5106"/>
      <c r="AD5106"/>
      <c r="AE5106"/>
      <c r="AF5106"/>
      <c r="AG5106"/>
      <c r="AH5106"/>
      <c r="AI5106"/>
      <c r="AJ5106"/>
      <c r="AK5106"/>
      <c r="AL5106"/>
      <c r="AM5106"/>
      <c r="AN5106"/>
      <c r="AO5106"/>
    </row>
    <row r="5107" spans="1:41" ht="15">
      <c r="A5107"/>
      <c r="B5107"/>
      <c r="C5107" s="137"/>
      <c r="D5107" s="30"/>
      <c r="E5107" s="30"/>
      <c r="F5107" s="10"/>
      <c r="G5107" s="10"/>
      <c r="H5107" s="15"/>
      <c r="I5107" s="15"/>
      <c r="J5107" s="15"/>
      <c r="K5107" s="15"/>
      <c r="L5107" s="15"/>
      <c r="M5107" s="15"/>
      <c r="N5107" s="15"/>
      <c r="O5107" s="15"/>
      <c r="P5107" s="15"/>
      <c r="Q5107" s="71"/>
      <c r="R5107" s="84"/>
      <c r="S5107" s="10"/>
      <c r="T5107" s="10"/>
      <c r="U5107" s="10"/>
      <c r="V5107" s="10"/>
      <c r="W5107" s="138"/>
      <c r="Y5107"/>
      <c r="Z5107"/>
      <c r="AA5107"/>
      <c r="AB5107"/>
      <c r="AC5107"/>
      <c r="AD5107"/>
      <c r="AE5107"/>
      <c r="AF5107"/>
      <c r="AG5107"/>
      <c r="AH5107"/>
      <c r="AI5107"/>
      <c r="AJ5107"/>
      <c r="AK5107"/>
      <c r="AL5107"/>
      <c r="AM5107"/>
      <c r="AN5107"/>
      <c r="AO5107"/>
    </row>
    <row r="5108" spans="1:41" ht="15">
      <c r="A5108"/>
      <c r="B5108"/>
      <c r="C5108" s="137"/>
      <c r="D5108" s="30"/>
      <c r="E5108" s="30"/>
      <c r="F5108" s="10"/>
      <c r="G5108" s="10"/>
      <c r="H5108" s="15"/>
      <c r="I5108" s="15"/>
      <c r="J5108" s="15"/>
      <c r="K5108" s="15"/>
      <c r="L5108" s="15"/>
      <c r="M5108" s="15"/>
      <c r="N5108" s="15"/>
      <c r="O5108" s="15"/>
      <c r="P5108" s="15"/>
      <c r="Q5108" s="71"/>
      <c r="R5108" s="84"/>
      <c r="S5108" s="10"/>
      <c r="T5108" s="10"/>
      <c r="U5108" s="10"/>
      <c r="V5108" s="10"/>
      <c r="W5108" s="138"/>
      <c r="Y5108"/>
      <c r="Z5108"/>
      <c r="AA5108"/>
      <c r="AB5108"/>
      <c r="AC5108"/>
      <c r="AD5108"/>
      <c r="AE5108"/>
      <c r="AF5108"/>
      <c r="AG5108"/>
      <c r="AH5108"/>
      <c r="AI5108"/>
      <c r="AJ5108"/>
      <c r="AK5108"/>
      <c r="AL5108"/>
      <c r="AM5108"/>
      <c r="AN5108"/>
      <c r="AO5108"/>
    </row>
    <row r="5109" spans="1:41" ht="15">
      <c r="A5109"/>
      <c r="B5109"/>
      <c r="C5109" s="137"/>
      <c r="D5109" s="30"/>
      <c r="E5109" s="30"/>
      <c r="F5109" s="10"/>
      <c r="G5109" s="10"/>
      <c r="H5109" s="15"/>
      <c r="I5109" s="15"/>
      <c r="J5109" s="15"/>
      <c r="K5109" s="15"/>
      <c r="L5109" s="15"/>
      <c r="M5109" s="15"/>
      <c r="N5109" s="15"/>
      <c r="O5109" s="15"/>
      <c r="P5109" s="15"/>
      <c r="Q5109" s="71"/>
      <c r="R5109" s="84"/>
      <c r="S5109" s="10"/>
      <c r="T5109" s="10"/>
      <c r="U5109" s="10"/>
      <c r="V5109" s="10"/>
      <c r="W5109" s="138"/>
      <c r="Y5109"/>
      <c r="Z5109"/>
      <c r="AA5109"/>
      <c r="AB5109"/>
      <c r="AC5109"/>
      <c r="AD5109"/>
      <c r="AE5109"/>
      <c r="AF5109"/>
      <c r="AG5109"/>
      <c r="AH5109"/>
      <c r="AI5109"/>
      <c r="AJ5109"/>
      <c r="AK5109"/>
      <c r="AL5109"/>
      <c r="AM5109"/>
      <c r="AN5109"/>
      <c r="AO5109"/>
    </row>
    <row r="5110" spans="1:41" ht="15">
      <c r="A5110"/>
      <c r="B5110"/>
      <c r="C5110" s="137"/>
      <c r="D5110" s="30"/>
      <c r="E5110" s="30"/>
      <c r="F5110" s="10"/>
      <c r="G5110" s="10"/>
      <c r="H5110" s="15"/>
      <c r="I5110" s="15"/>
      <c r="J5110" s="15"/>
      <c r="K5110" s="15"/>
      <c r="L5110" s="15"/>
      <c r="M5110" s="15"/>
      <c r="N5110" s="15"/>
      <c r="O5110" s="15"/>
      <c r="P5110" s="15"/>
      <c r="Q5110" s="71"/>
      <c r="R5110" s="84"/>
      <c r="S5110" s="10"/>
      <c r="T5110" s="10"/>
      <c r="U5110" s="10"/>
      <c r="V5110" s="10"/>
      <c r="W5110" s="138"/>
      <c r="Y5110"/>
      <c r="Z5110"/>
      <c r="AA5110"/>
      <c r="AB5110"/>
      <c r="AC5110"/>
      <c r="AD5110"/>
      <c r="AE5110"/>
      <c r="AF5110"/>
      <c r="AG5110"/>
      <c r="AH5110"/>
      <c r="AI5110"/>
      <c r="AJ5110"/>
      <c r="AK5110"/>
      <c r="AL5110"/>
      <c r="AM5110"/>
      <c r="AN5110"/>
      <c r="AO5110"/>
    </row>
    <row r="5111" spans="1:41" ht="15">
      <c r="A5111"/>
      <c r="B5111"/>
      <c r="C5111" s="137"/>
      <c r="D5111" s="30"/>
      <c r="E5111" s="30"/>
      <c r="F5111" s="10"/>
      <c r="G5111" s="10"/>
      <c r="H5111" s="15"/>
      <c r="I5111" s="15"/>
      <c r="J5111" s="15"/>
      <c r="K5111" s="15"/>
      <c r="L5111" s="15"/>
      <c r="M5111" s="15"/>
      <c r="N5111" s="15"/>
      <c r="O5111" s="15"/>
      <c r="P5111" s="15"/>
      <c r="Q5111" s="71"/>
      <c r="R5111" s="84"/>
      <c r="S5111" s="10"/>
      <c r="T5111" s="10"/>
      <c r="U5111" s="10"/>
      <c r="V5111" s="10"/>
      <c r="W5111" s="138"/>
      <c r="Y5111"/>
      <c r="Z5111"/>
      <c r="AA5111"/>
      <c r="AB5111"/>
      <c r="AC5111"/>
      <c r="AD5111"/>
      <c r="AE5111"/>
      <c r="AF5111"/>
      <c r="AG5111"/>
      <c r="AH5111"/>
      <c r="AI5111"/>
      <c r="AJ5111"/>
      <c r="AK5111"/>
      <c r="AL5111"/>
      <c r="AM5111"/>
      <c r="AN5111"/>
      <c r="AO5111"/>
    </row>
    <row r="5112" spans="1:41" ht="15">
      <c r="A5112"/>
      <c r="B5112"/>
      <c r="C5112" s="137"/>
      <c r="D5112" s="30"/>
      <c r="E5112" s="30"/>
      <c r="F5112" s="10"/>
      <c r="G5112" s="10"/>
      <c r="H5112" s="15"/>
      <c r="I5112" s="15"/>
      <c r="J5112" s="15"/>
      <c r="K5112" s="15"/>
      <c r="L5112" s="15"/>
      <c r="M5112" s="15"/>
      <c r="N5112" s="15"/>
      <c r="O5112" s="15"/>
      <c r="P5112" s="15"/>
      <c r="Q5112" s="71"/>
      <c r="R5112" s="84"/>
      <c r="S5112" s="10"/>
      <c r="T5112" s="10"/>
      <c r="U5112" s="10"/>
      <c r="V5112" s="10"/>
      <c r="W5112" s="138"/>
      <c r="Y5112"/>
      <c r="Z5112"/>
      <c r="AA5112"/>
      <c r="AB5112"/>
      <c r="AC5112"/>
      <c r="AD5112"/>
      <c r="AE5112"/>
      <c r="AF5112"/>
      <c r="AG5112"/>
      <c r="AH5112"/>
      <c r="AI5112"/>
      <c r="AJ5112"/>
      <c r="AK5112"/>
      <c r="AL5112"/>
      <c r="AM5112"/>
      <c r="AN5112"/>
      <c r="AO5112"/>
    </row>
    <row r="5113" spans="1:41" ht="15">
      <c r="A5113"/>
      <c r="B5113"/>
      <c r="C5113" s="137"/>
      <c r="D5113" s="30"/>
      <c r="E5113" s="30"/>
      <c r="F5113" s="10"/>
      <c r="G5113" s="10"/>
      <c r="H5113" s="15"/>
      <c r="I5113" s="15"/>
      <c r="J5113" s="15"/>
      <c r="K5113" s="15"/>
      <c r="L5113" s="15"/>
      <c r="M5113" s="15"/>
      <c r="N5113" s="15"/>
      <c r="O5113" s="15"/>
      <c r="P5113" s="15"/>
      <c r="Q5113" s="71"/>
      <c r="R5113" s="84"/>
      <c r="S5113" s="10"/>
      <c r="T5113" s="10"/>
      <c r="U5113" s="10"/>
      <c r="V5113" s="10"/>
      <c r="W5113" s="138"/>
      <c r="Y5113"/>
      <c r="Z5113"/>
      <c r="AA5113"/>
      <c r="AB5113"/>
      <c r="AC5113"/>
      <c r="AD5113"/>
      <c r="AE5113"/>
      <c r="AF5113"/>
      <c r="AG5113"/>
      <c r="AH5113"/>
      <c r="AI5113"/>
      <c r="AJ5113"/>
      <c r="AK5113"/>
      <c r="AL5113"/>
      <c r="AM5113"/>
      <c r="AN5113"/>
      <c r="AO5113"/>
    </row>
    <row r="5114" spans="1:41" ht="15">
      <c r="A5114"/>
      <c r="B5114"/>
      <c r="C5114" s="137"/>
      <c r="D5114" s="30"/>
      <c r="E5114" s="30"/>
      <c r="F5114" s="10"/>
      <c r="G5114" s="10"/>
      <c r="H5114" s="15"/>
      <c r="I5114" s="15"/>
      <c r="J5114" s="15"/>
      <c r="K5114" s="15"/>
      <c r="L5114" s="15"/>
      <c r="M5114" s="15"/>
      <c r="N5114" s="15"/>
      <c r="O5114" s="15"/>
      <c r="P5114" s="15"/>
      <c r="Q5114" s="71"/>
      <c r="R5114" s="84"/>
      <c r="S5114" s="10"/>
      <c r="T5114" s="10"/>
      <c r="U5114" s="10"/>
      <c r="V5114" s="10"/>
      <c r="W5114" s="138"/>
      <c r="Y5114"/>
      <c r="Z5114"/>
      <c r="AA5114"/>
      <c r="AB5114"/>
      <c r="AC5114"/>
      <c r="AD5114"/>
      <c r="AE5114"/>
      <c r="AF5114"/>
      <c r="AG5114"/>
      <c r="AH5114"/>
      <c r="AI5114"/>
      <c r="AJ5114"/>
      <c r="AK5114"/>
      <c r="AL5114"/>
      <c r="AM5114"/>
      <c r="AN5114"/>
      <c r="AO5114"/>
    </row>
    <row r="5115" spans="1:41" ht="15">
      <c r="A5115"/>
      <c r="B5115"/>
      <c r="C5115" s="137"/>
      <c r="D5115" s="30"/>
      <c r="E5115" s="30"/>
      <c r="F5115" s="10"/>
      <c r="G5115" s="10"/>
      <c r="H5115" s="15"/>
      <c r="I5115" s="15"/>
      <c r="J5115" s="15"/>
      <c r="K5115" s="15"/>
      <c r="L5115" s="15"/>
      <c r="M5115" s="15"/>
      <c r="N5115" s="15"/>
      <c r="O5115" s="15"/>
      <c r="P5115" s="15"/>
      <c r="Q5115" s="71"/>
      <c r="R5115" s="84"/>
      <c r="S5115" s="10"/>
      <c r="T5115" s="10"/>
      <c r="U5115" s="10"/>
      <c r="V5115" s="10"/>
      <c r="W5115" s="138"/>
      <c r="Y5115"/>
      <c r="Z5115"/>
      <c r="AA5115"/>
      <c r="AB5115"/>
      <c r="AC5115"/>
      <c r="AD5115"/>
      <c r="AE5115"/>
      <c r="AF5115"/>
      <c r="AG5115"/>
      <c r="AH5115"/>
      <c r="AI5115"/>
      <c r="AJ5115"/>
      <c r="AK5115"/>
      <c r="AL5115"/>
      <c r="AM5115"/>
      <c r="AN5115"/>
      <c r="AO5115"/>
    </row>
    <row r="5116" spans="1:41" ht="15">
      <c r="A5116"/>
      <c r="B5116"/>
      <c r="C5116" s="137"/>
      <c r="D5116" s="30"/>
      <c r="E5116" s="30"/>
      <c r="F5116" s="10"/>
      <c r="G5116" s="10"/>
      <c r="H5116" s="15"/>
      <c r="I5116" s="15"/>
      <c r="J5116" s="15"/>
      <c r="K5116" s="15"/>
      <c r="L5116" s="15"/>
      <c r="M5116" s="15"/>
      <c r="N5116" s="15"/>
      <c r="O5116" s="15"/>
      <c r="P5116" s="15"/>
      <c r="Q5116" s="71"/>
      <c r="R5116" s="84"/>
      <c r="S5116" s="10"/>
      <c r="T5116" s="10"/>
      <c r="U5116" s="10"/>
      <c r="V5116" s="10"/>
      <c r="W5116" s="138"/>
      <c r="Y5116"/>
      <c r="Z5116"/>
      <c r="AA5116"/>
      <c r="AB5116"/>
      <c r="AC5116"/>
      <c r="AD5116"/>
      <c r="AE5116"/>
      <c r="AF5116"/>
      <c r="AG5116"/>
      <c r="AH5116"/>
      <c r="AI5116"/>
      <c r="AJ5116"/>
      <c r="AK5116"/>
      <c r="AL5116"/>
      <c r="AM5116"/>
      <c r="AN5116"/>
      <c r="AO5116"/>
    </row>
    <row r="5117" spans="1:41" ht="15">
      <c r="A5117"/>
      <c r="B5117"/>
      <c r="C5117" s="137"/>
      <c r="D5117" s="30"/>
      <c r="E5117" s="30"/>
      <c r="F5117" s="10"/>
      <c r="G5117" s="10"/>
      <c r="H5117" s="15"/>
      <c r="I5117" s="15"/>
      <c r="J5117" s="15"/>
      <c r="K5117" s="15"/>
      <c r="L5117" s="15"/>
      <c r="M5117" s="15"/>
      <c r="N5117" s="15"/>
      <c r="O5117" s="15"/>
      <c r="P5117" s="15"/>
      <c r="Q5117" s="71"/>
      <c r="R5117" s="84"/>
      <c r="S5117" s="10"/>
      <c r="T5117" s="10"/>
      <c r="U5117" s="10"/>
      <c r="V5117" s="10"/>
      <c r="W5117" s="138"/>
      <c r="Y5117"/>
      <c r="Z5117"/>
      <c r="AA5117"/>
      <c r="AB5117"/>
      <c r="AC5117"/>
      <c r="AD5117"/>
      <c r="AE5117"/>
      <c r="AF5117"/>
      <c r="AG5117"/>
      <c r="AH5117"/>
      <c r="AI5117"/>
      <c r="AJ5117"/>
      <c r="AK5117"/>
      <c r="AL5117"/>
      <c r="AM5117"/>
      <c r="AN5117"/>
      <c r="AO5117"/>
    </row>
    <row r="5118" spans="1:41" ht="15">
      <c r="A5118"/>
      <c r="B5118"/>
      <c r="C5118" s="137"/>
      <c r="D5118" s="30"/>
      <c r="E5118" s="30"/>
      <c r="F5118" s="10"/>
      <c r="G5118" s="10"/>
      <c r="H5118" s="15"/>
      <c r="I5118" s="15"/>
      <c r="J5118" s="15"/>
      <c r="K5118" s="15"/>
      <c r="L5118" s="15"/>
      <c r="M5118" s="15"/>
      <c r="N5118" s="15"/>
      <c r="O5118" s="15"/>
      <c r="P5118" s="15"/>
      <c r="Q5118" s="71"/>
      <c r="R5118" s="84"/>
      <c r="S5118" s="10"/>
      <c r="T5118" s="10"/>
      <c r="U5118" s="10"/>
      <c r="V5118" s="10"/>
      <c r="W5118" s="138"/>
      <c r="Y5118"/>
      <c r="Z5118"/>
      <c r="AA5118"/>
      <c r="AB5118"/>
      <c r="AC5118"/>
      <c r="AD5118"/>
      <c r="AE5118"/>
      <c r="AF5118"/>
      <c r="AG5118"/>
      <c r="AH5118"/>
      <c r="AI5118"/>
      <c r="AJ5118"/>
      <c r="AK5118"/>
      <c r="AL5118"/>
      <c r="AM5118"/>
      <c r="AN5118"/>
      <c r="AO5118"/>
    </row>
    <row r="5119" spans="1:41" ht="15">
      <c r="A5119"/>
      <c r="B5119"/>
      <c r="C5119" s="137"/>
      <c r="D5119" s="30"/>
      <c r="E5119" s="30"/>
      <c r="F5119" s="10"/>
      <c r="G5119" s="10"/>
      <c r="H5119" s="15"/>
      <c r="I5119" s="15"/>
      <c r="J5119" s="15"/>
      <c r="K5119" s="15"/>
      <c r="L5119" s="15"/>
      <c r="M5119" s="15"/>
      <c r="N5119" s="15"/>
      <c r="O5119" s="15"/>
      <c r="P5119" s="15"/>
      <c r="Q5119" s="71"/>
      <c r="R5119" s="84"/>
      <c r="S5119" s="10"/>
      <c r="T5119" s="10"/>
      <c r="U5119" s="10"/>
      <c r="V5119" s="10"/>
      <c r="W5119" s="138"/>
      <c r="Y5119"/>
      <c r="Z5119"/>
      <c r="AA5119"/>
      <c r="AB5119"/>
      <c r="AC5119"/>
      <c r="AD5119"/>
      <c r="AE5119"/>
      <c r="AF5119"/>
      <c r="AG5119"/>
      <c r="AH5119"/>
      <c r="AI5119"/>
      <c r="AJ5119"/>
      <c r="AK5119"/>
      <c r="AL5119"/>
      <c r="AM5119"/>
      <c r="AN5119"/>
      <c r="AO5119"/>
    </row>
    <row r="5120" spans="1:41" ht="15">
      <c r="A5120"/>
      <c r="B5120"/>
      <c r="C5120" s="137"/>
      <c r="D5120" s="30"/>
      <c r="E5120" s="30"/>
      <c r="F5120" s="10"/>
      <c r="G5120" s="10"/>
      <c r="H5120" s="15"/>
      <c r="I5120" s="15"/>
      <c r="J5120" s="15"/>
      <c r="K5120" s="15"/>
      <c r="L5120" s="15"/>
      <c r="M5120" s="15"/>
      <c r="N5120" s="15"/>
      <c r="O5120" s="15"/>
      <c r="P5120" s="15"/>
      <c r="Q5120" s="71"/>
      <c r="R5120" s="84"/>
      <c r="S5120" s="10"/>
      <c r="T5120" s="10"/>
      <c r="U5120" s="10"/>
      <c r="V5120" s="10"/>
      <c r="W5120" s="138"/>
      <c r="Y5120"/>
      <c r="Z5120"/>
      <c r="AA5120"/>
      <c r="AB5120"/>
      <c r="AC5120"/>
      <c r="AD5120"/>
      <c r="AE5120"/>
      <c r="AF5120"/>
      <c r="AG5120"/>
      <c r="AH5120"/>
      <c r="AI5120"/>
      <c r="AJ5120"/>
      <c r="AK5120"/>
      <c r="AL5120"/>
      <c r="AM5120"/>
      <c r="AN5120"/>
      <c r="AO5120"/>
    </row>
    <row r="5121" spans="1:41" ht="15">
      <c r="A5121"/>
      <c r="B5121"/>
      <c r="C5121" s="137"/>
      <c r="D5121" s="30"/>
      <c r="E5121" s="30"/>
      <c r="F5121" s="10"/>
      <c r="G5121" s="10"/>
      <c r="H5121" s="15"/>
      <c r="I5121" s="15"/>
      <c r="J5121" s="15"/>
      <c r="K5121" s="15"/>
      <c r="L5121" s="15"/>
      <c r="M5121" s="15"/>
      <c r="N5121" s="15"/>
      <c r="O5121" s="15"/>
      <c r="P5121" s="15"/>
      <c r="Q5121" s="71"/>
      <c r="R5121" s="84"/>
      <c r="S5121" s="10"/>
      <c r="T5121" s="10"/>
      <c r="U5121" s="10"/>
      <c r="V5121" s="10"/>
      <c r="W5121" s="138"/>
      <c r="Y5121"/>
      <c r="Z5121"/>
      <c r="AA5121"/>
      <c r="AB5121"/>
      <c r="AC5121"/>
      <c r="AD5121"/>
      <c r="AE5121"/>
      <c r="AF5121"/>
      <c r="AG5121"/>
      <c r="AH5121"/>
      <c r="AI5121"/>
      <c r="AJ5121"/>
      <c r="AK5121"/>
      <c r="AL5121"/>
      <c r="AM5121"/>
      <c r="AN5121"/>
      <c r="AO5121"/>
    </row>
    <row r="5122" spans="1:41" ht="15">
      <c r="A5122"/>
      <c r="B5122"/>
      <c r="C5122" s="137"/>
      <c r="D5122" s="30"/>
      <c r="E5122" s="30"/>
      <c r="F5122" s="10"/>
      <c r="G5122" s="10"/>
      <c r="H5122" s="15"/>
      <c r="I5122" s="15"/>
      <c r="J5122" s="15"/>
      <c r="K5122" s="15"/>
      <c r="L5122" s="15"/>
      <c r="M5122" s="15"/>
      <c r="N5122" s="15"/>
      <c r="O5122" s="15"/>
      <c r="P5122" s="15"/>
      <c r="Q5122" s="71"/>
      <c r="R5122" s="84"/>
      <c r="S5122" s="10"/>
      <c r="T5122" s="10"/>
      <c r="U5122" s="10"/>
      <c r="V5122" s="10"/>
      <c r="W5122" s="138"/>
      <c r="Y5122"/>
      <c r="Z5122"/>
      <c r="AA5122"/>
      <c r="AB5122"/>
      <c r="AC5122"/>
      <c r="AD5122"/>
      <c r="AE5122"/>
      <c r="AF5122"/>
      <c r="AG5122"/>
      <c r="AH5122"/>
      <c r="AI5122"/>
      <c r="AJ5122"/>
      <c r="AK5122"/>
      <c r="AL5122"/>
      <c r="AM5122"/>
      <c r="AN5122"/>
      <c r="AO5122"/>
    </row>
    <row r="5123" spans="1:41" ht="15">
      <c r="A5123"/>
      <c r="B5123"/>
      <c r="C5123" s="137"/>
      <c r="D5123" s="30"/>
      <c r="E5123" s="30"/>
      <c r="F5123" s="10"/>
      <c r="G5123" s="10"/>
      <c r="H5123" s="15"/>
      <c r="I5123" s="15"/>
      <c r="J5123" s="15"/>
      <c r="K5123" s="15"/>
      <c r="L5123" s="15"/>
      <c r="M5123" s="15"/>
      <c r="N5123" s="15"/>
      <c r="O5123" s="15"/>
      <c r="P5123" s="15"/>
      <c r="Q5123" s="71"/>
      <c r="R5123" s="84"/>
      <c r="S5123" s="10"/>
      <c r="T5123" s="10"/>
      <c r="U5123" s="10"/>
      <c r="V5123" s="10"/>
      <c r="W5123" s="138"/>
      <c r="Y5123"/>
      <c r="Z5123"/>
      <c r="AA5123"/>
      <c r="AB5123"/>
      <c r="AC5123"/>
      <c r="AD5123"/>
      <c r="AE5123"/>
      <c r="AF5123"/>
      <c r="AG5123"/>
      <c r="AH5123"/>
      <c r="AI5123"/>
      <c r="AJ5123"/>
      <c r="AK5123"/>
      <c r="AL5123"/>
      <c r="AM5123"/>
      <c r="AN5123"/>
      <c r="AO5123"/>
    </row>
    <row r="5124" spans="1:41" ht="15">
      <c r="A5124"/>
      <c r="B5124"/>
      <c r="C5124" s="137"/>
      <c r="D5124" s="30"/>
      <c r="E5124" s="30"/>
      <c r="F5124" s="10"/>
      <c r="G5124" s="10"/>
      <c r="H5124" s="15"/>
      <c r="I5124" s="15"/>
      <c r="J5124" s="15"/>
      <c r="K5124" s="15"/>
      <c r="L5124" s="15"/>
      <c r="M5124" s="15"/>
      <c r="N5124" s="15"/>
      <c r="O5124" s="15"/>
      <c r="P5124" s="15"/>
      <c r="Q5124" s="71"/>
      <c r="R5124" s="84"/>
      <c r="S5124" s="10"/>
      <c r="T5124" s="10"/>
      <c r="U5124" s="10"/>
      <c r="V5124" s="10"/>
      <c r="W5124" s="138"/>
      <c r="Y5124"/>
      <c r="Z5124"/>
      <c r="AA5124"/>
      <c r="AB5124"/>
      <c r="AC5124"/>
      <c r="AD5124"/>
      <c r="AE5124"/>
      <c r="AF5124"/>
      <c r="AG5124"/>
      <c r="AH5124"/>
      <c r="AI5124"/>
      <c r="AJ5124"/>
      <c r="AK5124"/>
      <c r="AL5124"/>
      <c r="AM5124"/>
      <c r="AN5124"/>
      <c r="AO5124"/>
    </row>
    <row r="5125" spans="1:41" ht="15">
      <c r="A5125"/>
      <c r="B5125"/>
      <c r="C5125" s="137"/>
      <c r="D5125" s="30"/>
      <c r="E5125" s="30"/>
      <c r="F5125" s="10"/>
      <c r="G5125" s="10"/>
      <c r="H5125" s="15"/>
      <c r="I5125" s="15"/>
      <c r="J5125" s="15"/>
      <c r="K5125" s="15"/>
      <c r="L5125" s="15"/>
      <c r="M5125" s="15"/>
      <c r="N5125" s="15"/>
      <c r="O5125" s="15"/>
      <c r="P5125" s="15"/>
      <c r="Q5125" s="71"/>
      <c r="R5125" s="84"/>
      <c r="S5125" s="10"/>
      <c r="T5125" s="10"/>
      <c r="U5125" s="10"/>
      <c r="V5125" s="10"/>
      <c r="W5125" s="138"/>
      <c r="Y5125"/>
      <c r="Z5125"/>
      <c r="AA5125"/>
      <c r="AB5125"/>
      <c r="AC5125"/>
      <c r="AD5125"/>
      <c r="AE5125"/>
      <c r="AF5125"/>
      <c r="AG5125"/>
      <c r="AH5125"/>
      <c r="AI5125"/>
      <c r="AJ5125"/>
      <c r="AK5125"/>
      <c r="AL5125"/>
      <c r="AM5125"/>
      <c r="AN5125"/>
      <c r="AO5125"/>
    </row>
    <row r="5126" spans="1:41" ht="15">
      <c r="A5126"/>
      <c r="B5126"/>
      <c r="C5126" s="137"/>
      <c r="D5126" s="30"/>
      <c r="E5126" s="30"/>
      <c r="F5126" s="10"/>
      <c r="G5126" s="10"/>
      <c r="H5126" s="15"/>
      <c r="I5126" s="15"/>
      <c r="J5126" s="15"/>
      <c r="K5126" s="15"/>
      <c r="L5126" s="15"/>
      <c r="M5126" s="15"/>
      <c r="N5126" s="15"/>
      <c r="O5126" s="15"/>
      <c r="P5126" s="15"/>
      <c r="Q5126" s="71"/>
      <c r="R5126" s="84"/>
      <c r="S5126" s="10"/>
      <c r="T5126" s="10"/>
      <c r="U5126" s="10"/>
      <c r="V5126" s="10"/>
      <c r="W5126" s="138"/>
      <c r="Y5126"/>
      <c r="Z5126"/>
      <c r="AA5126"/>
      <c r="AB5126"/>
      <c r="AC5126"/>
      <c r="AD5126"/>
      <c r="AE5126"/>
      <c r="AF5126"/>
      <c r="AG5126"/>
      <c r="AH5126"/>
      <c r="AI5126"/>
      <c r="AJ5126"/>
      <c r="AK5126"/>
      <c r="AL5126"/>
      <c r="AM5126"/>
      <c r="AN5126"/>
      <c r="AO5126"/>
    </row>
    <row r="5127" spans="1:41" ht="15">
      <c r="A5127"/>
      <c r="B5127"/>
      <c r="C5127" s="137"/>
      <c r="D5127" s="30"/>
      <c r="E5127" s="30"/>
      <c r="F5127" s="10"/>
      <c r="G5127" s="10"/>
      <c r="H5127" s="15"/>
      <c r="I5127" s="15"/>
      <c r="J5127" s="15"/>
      <c r="K5127" s="15"/>
      <c r="L5127" s="15"/>
      <c r="M5127" s="15"/>
      <c r="N5127" s="15"/>
      <c r="O5127" s="15"/>
      <c r="P5127" s="15"/>
      <c r="Q5127" s="71"/>
      <c r="R5127" s="84"/>
      <c r="S5127" s="10"/>
      <c r="T5127" s="10"/>
      <c r="U5127" s="10"/>
      <c r="V5127" s="10"/>
      <c r="W5127" s="138"/>
      <c r="Y5127"/>
      <c r="Z5127"/>
      <c r="AA5127"/>
      <c r="AB5127"/>
      <c r="AC5127"/>
      <c r="AD5127"/>
      <c r="AE5127"/>
      <c r="AF5127"/>
      <c r="AG5127"/>
      <c r="AH5127"/>
      <c r="AI5127"/>
      <c r="AJ5127"/>
      <c r="AK5127"/>
      <c r="AL5127"/>
      <c r="AM5127"/>
      <c r="AN5127"/>
      <c r="AO5127"/>
    </row>
    <row r="5128" spans="1:41" ht="15">
      <c r="A5128"/>
      <c r="B5128"/>
      <c r="C5128" s="137"/>
      <c r="D5128" s="30"/>
      <c r="E5128" s="30"/>
      <c r="F5128" s="10"/>
      <c r="G5128" s="10"/>
      <c r="H5128" s="15"/>
      <c r="I5128" s="15"/>
      <c r="J5128" s="15"/>
      <c r="K5128" s="15"/>
      <c r="L5128" s="15"/>
      <c r="M5128" s="15"/>
      <c r="N5128" s="15"/>
      <c r="O5128" s="15"/>
      <c r="P5128" s="15"/>
      <c r="Q5128" s="71"/>
      <c r="R5128" s="84"/>
      <c r="S5128" s="10"/>
      <c r="T5128" s="10"/>
      <c r="U5128" s="10"/>
      <c r="V5128" s="10"/>
      <c r="W5128" s="138"/>
      <c r="Y5128"/>
      <c r="Z5128"/>
      <c r="AA5128"/>
      <c r="AB5128"/>
      <c r="AC5128"/>
      <c r="AD5128"/>
      <c r="AE5128"/>
      <c r="AF5128"/>
      <c r="AG5128"/>
      <c r="AH5128"/>
      <c r="AI5128"/>
      <c r="AJ5128"/>
      <c r="AK5128"/>
      <c r="AL5128"/>
      <c r="AM5128"/>
      <c r="AN5128"/>
      <c r="AO5128"/>
    </row>
    <row r="5129" spans="1:41" ht="15">
      <c r="A5129"/>
      <c r="B5129"/>
      <c r="C5129" s="137"/>
      <c r="D5129" s="30"/>
      <c r="E5129" s="30"/>
      <c r="F5129" s="10"/>
      <c r="G5129" s="10"/>
      <c r="H5129" s="15"/>
      <c r="I5129" s="15"/>
      <c r="J5129" s="15"/>
      <c r="K5129" s="15"/>
      <c r="L5129" s="15"/>
      <c r="M5129" s="15"/>
      <c r="N5129" s="15"/>
      <c r="O5129" s="15"/>
      <c r="P5129" s="15"/>
      <c r="Q5129" s="71"/>
      <c r="R5129" s="84"/>
      <c r="S5129" s="10"/>
      <c r="T5129" s="10"/>
      <c r="U5129" s="10"/>
      <c r="V5129" s="10"/>
      <c r="W5129" s="138"/>
      <c r="Y5129"/>
      <c r="Z5129"/>
      <c r="AA5129"/>
      <c r="AB5129"/>
      <c r="AC5129"/>
      <c r="AD5129"/>
      <c r="AE5129"/>
      <c r="AF5129"/>
      <c r="AG5129"/>
      <c r="AH5129"/>
      <c r="AI5129"/>
      <c r="AJ5129"/>
      <c r="AK5129"/>
      <c r="AL5129"/>
      <c r="AM5129"/>
      <c r="AN5129"/>
      <c r="AO5129"/>
    </row>
    <row r="5130" spans="1:41" ht="15">
      <c r="A5130"/>
      <c r="B5130"/>
      <c r="C5130" s="137"/>
      <c r="D5130" s="30"/>
      <c r="E5130" s="30"/>
      <c r="F5130" s="10"/>
      <c r="G5130" s="10"/>
      <c r="H5130" s="15"/>
      <c r="I5130" s="15"/>
      <c r="J5130" s="15"/>
      <c r="K5130" s="15"/>
      <c r="L5130" s="15"/>
      <c r="M5130" s="15"/>
      <c r="N5130" s="15"/>
      <c r="O5130" s="15"/>
      <c r="P5130" s="15"/>
      <c r="Q5130" s="71"/>
      <c r="R5130" s="84"/>
      <c r="S5130" s="10"/>
      <c r="T5130" s="10"/>
      <c r="U5130" s="10"/>
      <c r="V5130" s="10"/>
      <c r="W5130" s="138"/>
      <c r="Y5130"/>
      <c r="Z5130"/>
      <c r="AA5130"/>
      <c r="AB5130"/>
      <c r="AC5130"/>
      <c r="AD5130"/>
      <c r="AE5130"/>
      <c r="AF5130"/>
      <c r="AG5130"/>
      <c r="AH5130"/>
      <c r="AI5130"/>
      <c r="AJ5130"/>
      <c r="AK5130"/>
      <c r="AL5130"/>
      <c r="AM5130"/>
      <c r="AN5130"/>
      <c r="AO5130"/>
    </row>
    <row r="5131" spans="1:41" ht="15">
      <c r="A5131"/>
      <c r="B5131"/>
      <c r="C5131" s="137"/>
      <c r="D5131" s="30"/>
      <c r="E5131" s="30"/>
      <c r="F5131" s="10"/>
      <c r="G5131" s="10"/>
      <c r="H5131" s="15"/>
      <c r="I5131" s="15"/>
      <c r="J5131" s="15"/>
      <c r="K5131" s="15"/>
      <c r="L5131" s="15"/>
      <c r="M5131" s="15"/>
      <c r="N5131" s="15"/>
      <c r="O5131" s="15"/>
      <c r="P5131" s="15"/>
      <c r="Q5131" s="71"/>
      <c r="R5131" s="84"/>
      <c r="S5131" s="10"/>
      <c r="T5131" s="10"/>
      <c r="U5131" s="10"/>
      <c r="V5131" s="10"/>
      <c r="W5131" s="138"/>
      <c r="Y5131"/>
      <c r="Z5131"/>
      <c r="AA5131"/>
      <c r="AB5131"/>
      <c r="AC5131"/>
      <c r="AD5131"/>
      <c r="AE5131"/>
      <c r="AF5131"/>
      <c r="AG5131"/>
      <c r="AH5131"/>
      <c r="AI5131"/>
      <c r="AJ5131"/>
      <c r="AK5131"/>
      <c r="AL5131"/>
      <c r="AM5131"/>
      <c r="AN5131"/>
      <c r="AO5131"/>
    </row>
    <row r="5132" spans="1:41" ht="15">
      <c r="A5132"/>
      <c r="B5132"/>
      <c r="C5132" s="137"/>
      <c r="D5132" s="30"/>
      <c r="E5132" s="30"/>
      <c r="F5132" s="10"/>
      <c r="G5132" s="10"/>
      <c r="H5132" s="15"/>
      <c r="I5132" s="15"/>
      <c r="J5132" s="15"/>
      <c r="K5132" s="15"/>
      <c r="L5132" s="15"/>
      <c r="M5132" s="15"/>
      <c r="N5132" s="15"/>
      <c r="O5132" s="15"/>
      <c r="P5132" s="15"/>
      <c r="Q5132" s="71"/>
      <c r="R5132" s="84"/>
      <c r="S5132" s="10"/>
      <c r="T5132" s="10"/>
      <c r="U5132" s="10"/>
      <c r="V5132" s="10"/>
      <c r="W5132" s="138"/>
      <c r="Y5132"/>
      <c r="Z5132"/>
      <c r="AA5132"/>
      <c r="AB5132"/>
      <c r="AC5132"/>
      <c r="AD5132"/>
      <c r="AE5132"/>
      <c r="AF5132"/>
      <c r="AG5132"/>
      <c r="AH5132"/>
      <c r="AI5132"/>
      <c r="AJ5132"/>
      <c r="AK5132"/>
      <c r="AL5132"/>
      <c r="AM5132"/>
      <c r="AN5132"/>
      <c r="AO5132"/>
    </row>
    <row r="5133" spans="1:41" ht="15">
      <c r="A5133"/>
      <c r="B5133"/>
      <c r="C5133" s="137"/>
      <c r="D5133" s="30"/>
      <c r="E5133" s="30"/>
      <c r="F5133" s="10"/>
      <c r="G5133" s="10"/>
      <c r="H5133" s="15"/>
      <c r="I5133" s="15"/>
      <c r="J5133" s="15"/>
      <c r="K5133" s="15"/>
      <c r="L5133" s="15"/>
      <c r="M5133" s="15"/>
      <c r="N5133" s="15"/>
      <c r="O5133" s="15"/>
      <c r="P5133" s="15"/>
      <c r="Q5133" s="71"/>
      <c r="R5133" s="84"/>
      <c r="S5133" s="10"/>
      <c r="T5133" s="10"/>
      <c r="U5133" s="10"/>
      <c r="V5133" s="10"/>
      <c r="W5133" s="138"/>
      <c r="Y5133"/>
      <c r="Z5133"/>
      <c r="AA5133"/>
      <c r="AB5133"/>
      <c r="AC5133"/>
      <c r="AD5133"/>
      <c r="AE5133"/>
      <c r="AF5133"/>
      <c r="AG5133"/>
      <c r="AH5133"/>
      <c r="AI5133"/>
      <c r="AJ5133"/>
      <c r="AK5133"/>
      <c r="AL5133"/>
      <c r="AM5133"/>
      <c r="AN5133"/>
      <c r="AO5133"/>
    </row>
    <row r="5134" spans="1:41" ht="15">
      <c r="A5134"/>
      <c r="B5134"/>
      <c r="C5134" s="137"/>
      <c r="D5134" s="30"/>
      <c r="E5134" s="30"/>
      <c r="F5134" s="10"/>
      <c r="G5134" s="10"/>
      <c r="H5134" s="15"/>
      <c r="I5134" s="15"/>
      <c r="J5134" s="15"/>
      <c r="K5134" s="15"/>
      <c r="L5134" s="15"/>
      <c r="M5134" s="15"/>
      <c r="N5134" s="15"/>
      <c r="O5134" s="15"/>
      <c r="P5134" s="15"/>
      <c r="Q5134" s="71"/>
      <c r="R5134" s="84"/>
      <c r="S5134" s="10"/>
      <c r="T5134" s="10"/>
      <c r="U5134" s="10"/>
      <c r="V5134" s="10"/>
      <c r="W5134" s="138"/>
      <c r="Y5134"/>
      <c r="Z5134"/>
      <c r="AA5134"/>
      <c r="AB5134"/>
      <c r="AC5134"/>
      <c r="AD5134"/>
      <c r="AE5134"/>
      <c r="AF5134"/>
      <c r="AG5134"/>
      <c r="AH5134"/>
      <c r="AI5134"/>
      <c r="AJ5134"/>
      <c r="AK5134"/>
      <c r="AL5134"/>
      <c r="AM5134"/>
      <c r="AN5134"/>
      <c r="AO5134"/>
    </row>
    <row r="5135" spans="1:41" ht="15">
      <c r="A5135"/>
      <c r="B5135"/>
      <c r="C5135" s="137"/>
      <c r="D5135" s="30"/>
      <c r="E5135" s="30"/>
      <c r="F5135" s="10"/>
      <c r="G5135" s="10"/>
      <c r="H5135" s="15"/>
      <c r="I5135" s="15"/>
      <c r="J5135" s="15"/>
      <c r="K5135" s="15"/>
      <c r="L5135" s="15"/>
      <c r="M5135" s="15"/>
      <c r="N5135" s="15"/>
      <c r="O5135" s="15"/>
      <c r="P5135" s="15"/>
      <c r="Q5135" s="71"/>
      <c r="R5135" s="84"/>
      <c r="S5135" s="10"/>
      <c r="T5135" s="10"/>
      <c r="U5135" s="10"/>
      <c r="V5135" s="10"/>
      <c r="W5135" s="138"/>
      <c r="Y5135"/>
      <c r="Z5135"/>
      <c r="AA5135"/>
      <c r="AB5135"/>
      <c r="AC5135"/>
      <c r="AD5135"/>
      <c r="AE5135"/>
      <c r="AF5135"/>
      <c r="AG5135"/>
      <c r="AH5135"/>
      <c r="AI5135"/>
      <c r="AJ5135"/>
      <c r="AK5135"/>
      <c r="AL5135"/>
      <c r="AM5135"/>
      <c r="AN5135"/>
      <c r="AO5135"/>
    </row>
    <row r="5136" spans="1:41" ht="15">
      <c r="A5136"/>
      <c r="B5136"/>
      <c r="C5136" s="137"/>
      <c r="D5136" s="30"/>
      <c r="E5136" s="30"/>
      <c r="F5136" s="10"/>
      <c r="G5136" s="10"/>
      <c r="H5136" s="15"/>
      <c r="I5136" s="15"/>
      <c r="J5136" s="15"/>
      <c r="K5136" s="15"/>
      <c r="L5136" s="15"/>
      <c r="M5136" s="15"/>
      <c r="N5136" s="15"/>
      <c r="O5136" s="15"/>
      <c r="P5136" s="15"/>
      <c r="Q5136" s="71"/>
      <c r="R5136" s="84"/>
      <c r="S5136" s="10"/>
      <c r="T5136" s="10"/>
      <c r="U5136" s="10"/>
      <c r="V5136" s="10"/>
      <c r="W5136" s="138"/>
      <c r="Y5136"/>
      <c r="Z5136"/>
      <c r="AA5136"/>
      <c r="AB5136"/>
      <c r="AC5136"/>
      <c r="AD5136"/>
      <c r="AE5136"/>
      <c r="AF5136"/>
      <c r="AG5136"/>
      <c r="AH5136"/>
      <c r="AI5136"/>
      <c r="AJ5136"/>
      <c r="AK5136"/>
      <c r="AL5136"/>
      <c r="AM5136"/>
      <c r="AN5136"/>
      <c r="AO5136"/>
    </row>
    <row r="5137" spans="1:41" ht="15">
      <c r="A5137"/>
      <c r="B5137"/>
      <c r="C5137" s="137"/>
      <c r="D5137" s="30"/>
      <c r="E5137" s="30"/>
      <c r="F5137" s="10"/>
      <c r="G5137" s="10"/>
      <c r="H5137" s="15"/>
      <c r="I5137" s="15"/>
      <c r="J5137" s="15"/>
      <c r="K5137" s="15"/>
      <c r="L5137" s="15"/>
      <c r="M5137" s="15"/>
      <c r="N5137" s="15"/>
      <c r="O5137" s="15"/>
      <c r="P5137" s="15"/>
      <c r="Q5137" s="71"/>
      <c r="R5137" s="84"/>
      <c r="S5137" s="10"/>
      <c r="T5137" s="10"/>
      <c r="U5137" s="10"/>
      <c r="V5137" s="10"/>
      <c r="W5137" s="138"/>
      <c r="Y5137"/>
      <c r="Z5137"/>
      <c r="AA5137"/>
      <c r="AB5137"/>
      <c r="AC5137"/>
      <c r="AD5137"/>
      <c r="AE5137"/>
      <c r="AF5137"/>
      <c r="AG5137"/>
      <c r="AH5137"/>
      <c r="AI5137"/>
      <c r="AJ5137"/>
      <c r="AK5137"/>
      <c r="AL5137"/>
      <c r="AM5137"/>
      <c r="AN5137"/>
      <c r="AO5137"/>
    </row>
    <row r="5138" spans="1:41" ht="15">
      <c r="A5138"/>
      <c r="B5138"/>
      <c r="C5138" s="137"/>
      <c r="D5138" s="30"/>
      <c r="E5138" s="30"/>
      <c r="F5138" s="10"/>
      <c r="G5138" s="10"/>
      <c r="H5138" s="15"/>
      <c r="I5138" s="15"/>
      <c r="J5138" s="15"/>
      <c r="K5138" s="15"/>
      <c r="L5138" s="15"/>
      <c r="M5138" s="15"/>
      <c r="N5138" s="15"/>
      <c r="O5138" s="15"/>
      <c r="P5138" s="15"/>
      <c r="Q5138" s="71"/>
      <c r="R5138" s="84"/>
      <c r="S5138" s="10"/>
      <c r="T5138" s="10"/>
      <c r="U5138" s="10"/>
      <c r="V5138" s="10"/>
      <c r="W5138" s="138"/>
      <c r="Y5138"/>
      <c r="Z5138"/>
      <c r="AA5138"/>
      <c r="AB5138"/>
      <c r="AC5138"/>
      <c r="AD5138"/>
      <c r="AE5138"/>
      <c r="AF5138"/>
      <c r="AG5138"/>
      <c r="AH5138"/>
      <c r="AI5138"/>
      <c r="AJ5138"/>
      <c r="AK5138"/>
      <c r="AL5138"/>
      <c r="AM5138"/>
      <c r="AN5138"/>
      <c r="AO5138"/>
    </row>
    <row r="5139" spans="1:41" ht="15">
      <c r="A5139"/>
      <c r="B5139"/>
      <c r="C5139" s="137"/>
      <c r="D5139" s="30"/>
      <c r="E5139" s="30"/>
      <c r="F5139" s="10"/>
      <c r="G5139" s="10"/>
      <c r="H5139" s="15"/>
      <c r="I5139" s="15"/>
      <c r="J5139" s="15"/>
      <c r="K5139" s="15"/>
      <c r="L5139" s="15"/>
      <c r="M5139" s="15"/>
      <c r="N5139" s="15"/>
      <c r="O5139" s="15"/>
      <c r="P5139" s="15"/>
      <c r="Q5139" s="71"/>
      <c r="R5139" s="84"/>
      <c r="S5139" s="10"/>
      <c r="T5139" s="10"/>
      <c r="U5139" s="10"/>
      <c r="V5139" s="10"/>
      <c r="W5139" s="138"/>
      <c r="Y5139"/>
      <c r="Z5139"/>
      <c r="AA5139"/>
      <c r="AB5139"/>
      <c r="AC5139"/>
      <c r="AD5139"/>
      <c r="AE5139"/>
      <c r="AF5139"/>
      <c r="AG5139"/>
      <c r="AH5139"/>
      <c r="AI5139"/>
      <c r="AJ5139"/>
      <c r="AK5139"/>
      <c r="AL5139"/>
      <c r="AM5139"/>
      <c r="AN5139"/>
      <c r="AO5139"/>
    </row>
    <row r="5140" spans="1:41" ht="15">
      <c r="A5140"/>
      <c r="B5140"/>
      <c r="C5140" s="137"/>
      <c r="D5140" s="30"/>
      <c r="E5140" s="30"/>
      <c r="F5140" s="10"/>
      <c r="G5140" s="10"/>
      <c r="H5140" s="15"/>
      <c r="I5140" s="15"/>
      <c r="J5140" s="15"/>
      <c r="K5140" s="15"/>
      <c r="L5140" s="15"/>
      <c r="M5140" s="15"/>
      <c r="N5140" s="15"/>
      <c r="O5140" s="15"/>
      <c r="P5140" s="15"/>
      <c r="Q5140" s="71"/>
      <c r="R5140" s="84"/>
      <c r="S5140" s="10"/>
      <c r="T5140" s="10"/>
      <c r="U5140" s="10"/>
      <c r="V5140" s="10"/>
      <c r="W5140" s="138"/>
      <c r="Y5140"/>
      <c r="Z5140"/>
      <c r="AA5140"/>
      <c r="AB5140"/>
      <c r="AC5140"/>
      <c r="AD5140"/>
      <c r="AE5140"/>
      <c r="AF5140"/>
      <c r="AG5140"/>
      <c r="AH5140"/>
      <c r="AI5140"/>
      <c r="AJ5140"/>
      <c r="AK5140"/>
      <c r="AL5140"/>
      <c r="AM5140"/>
      <c r="AN5140"/>
      <c r="AO5140"/>
    </row>
    <row r="5141" spans="1:41" ht="15">
      <c r="A5141"/>
      <c r="B5141"/>
      <c r="C5141" s="137"/>
      <c r="D5141" s="30"/>
      <c r="E5141" s="30"/>
      <c r="F5141" s="10"/>
      <c r="G5141" s="10"/>
      <c r="H5141" s="15"/>
      <c r="I5141" s="15"/>
      <c r="J5141" s="15"/>
      <c r="K5141" s="15"/>
      <c r="L5141" s="15"/>
      <c r="M5141" s="15"/>
      <c r="N5141" s="15"/>
      <c r="O5141" s="15"/>
      <c r="P5141" s="15"/>
      <c r="Q5141" s="71"/>
      <c r="R5141" s="84"/>
      <c r="S5141" s="10"/>
      <c r="T5141" s="10"/>
      <c r="U5141" s="10"/>
      <c r="V5141" s="10"/>
      <c r="W5141" s="138"/>
      <c r="Y5141"/>
      <c r="Z5141"/>
      <c r="AA5141"/>
      <c r="AB5141"/>
      <c r="AC5141"/>
      <c r="AD5141"/>
      <c r="AE5141"/>
      <c r="AF5141"/>
      <c r="AG5141"/>
      <c r="AH5141"/>
      <c r="AI5141"/>
      <c r="AJ5141"/>
      <c r="AK5141"/>
      <c r="AL5141"/>
      <c r="AM5141"/>
      <c r="AN5141"/>
      <c r="AO5141"/>
    </row>
    <row r="5142" spans="1:41" ht="15">
      <c r="A5142"/>
      <c r="B5142"/>
      <c r="C5142" s="137"/>
      <c r="D5142" s="30"/>
      <c r="E5142" s="30"/>
      <c r="F5142" s="10"/>
      <c r="G5142" s="10"/>
      <c r="H5142" s="15"/>
      <c r="I5142" s="15"/>
      <c r="J5142" s="15"/>
      <c r="K5142" s="15"/>
      <c r="L5142" s="15"/>
      <c r="M5142" s="15"/>
      <c r="N5142" s="15"/>
      <c r="O5142" s="15"/>
      <c r="P5142" s="15"/>
      <c r="Q5142" s="71"/>
      <c r="R5142" s="84"/>
      <c r="S5142" s="10"/>
      <c r="T5142" s="10"/>
      <c r="U5142" s="10"/>
      <c r="V5142" s="10"/>
      <c r="W5142" s="138"/>
      <c r="Y5142"/>
      <c r="Z5142"/>
      <c r="AA5142"/>
      <c r="AB5142"/>
      <c r="AC5142"/>
      <c r="AD5142"/>
      <c r="AE5142"/>
      <c r="AF5142"/>
      <c r="AG5142"/>
      <c r="AH5142"/>
      <c r="AI5142"/>
      <c r="AJ5142"/>
      <c r="AK5142"/>
      <c r="AL5142"/>
      <c r="AM5142"/>
      <c r="AN5142"/>
      <c r="AO5142"/>
    </row>
    <row r="5143" spans="1:41" ht="15">
      <c r="A5143"/>
      <c r="B5143"/>
      <c r="C5143" s="137"/>
      <c r="D5143" s="30"/>
      <c r="E5143" s="30"/>
      <c r="F5143" s="10"/>
      <c r="G5143" s="10"/>
      <c r="H5143" s="15"/>
      <c r="I5143" s="15"/>
      <c r="J5143" s="15"/>
      <c r="K5143" s="15"/>
      <c r="L5143" s="15"/>
      <c r="M5143" s="15"/>
      <c r="N5143" s="15"/>
      <c r="O5143" s="15"/>
      <c r="P5143" s="15"/>
      <c r="Q5143" s="71"/>
      <c r="R5143" s="84"/>
      <c r="S5143" s="10"/>
      <c r="T5143" s="10"/>
      <c r="U5143" s="10"/>
      <c r="V5143" s="10"/>
      <c r="W5143" s="138"/>
      <c r="Y5143"/>
      <c r="Z5143"/>
      <c r="AA5143"/>
      <c r="AB5143"/>
      <c r="AC5143"/>
      <c r="AD5143"/>
      <c r="AE5143"/>
      <c r="AF5143"/>
      <c r="AG5143"/>
      <c r="AH5143"/>
      <c r="AI5143"/>
      <c r="AJ5143"/>
      <c r="AK5143"/>
      <c r="AL5143"/>
      <c r="AM5143"/>
      <c r="AN5143"/>
      <c r="AO5143"/>
    </row>
    <row r="5144" spans="1:41" ht="15">
      <c r="A5144"/>
      <c r="B5144"/>
      <c r="C5144" s="137"/>
      <c r="D5144" s="30"/>
      <c r="E5144" s="30"/>
      <c r="F5144" s="10"/>
      <c r="G5144" s="10"/>
      <c r="H5144" s="15"/>
      <c r="I5144" s="15"/>
      <c r="J5144" s="15"/>
      <c r="K5144" s="15"/>
      <c r="L5144" s="15"/>
      <c r="M5144" s="15"/>
      <c r="N5144" s="15"/>
      <c r="O5144" s="15"/>
      <c r="P5144" s="15"/>
      <c r="Q5144" s="71"/>
      <c r="R5144" s="84"/>
      <c r="S5144" s="10"/>
      <c r="T5144" s="10"/>
      <c r="U5144" s="10"/>
      <c r="V5144" s="10"/>
      <c r="W5144" s="138"/>
      <c r="Y5144"/>
      <c r="Z5144"/>
      <c r="AA5144"/>
      <c r="AB5144"/>
      <c r="AC5144"/>
      <c r="AD5144"/>
      <c r="AE5144"/>
      <c r="AF5144"/>
      <c r="AG5144"/>
      <c r="AH5144"/>
      <c r="AI5144"/>
      <c r="AJ5144"/>
      <c r="AK5144"/>
      <c r="AL5144"/>
      <c r="AM5144"/>
      <c r="AN5144"/>
      <c r="AO5144"/>
    </row>
    <row r="5145" spans="1:41" ht="15">
      <c r="A5145"/>
      <c r="B5145"/>
      <c r="C5145" s="137"/>
      <c r="D5145" s="30"/>
      <c r="E5145" s="30"/>
      <c r="F5145" s="10"/>
      <c r="G5145" s="10"/>
      <c r="H5145" s="15"/>
      <c r="I5145" s="15"/>
      <c r="J5145" s="15"/>
      <c r="K5145" s="15"/>
      <c r="L5145" s="15"/>
      <c r="M5145" s="15"/>
      <c r="N5145" s="15"/>
      <c r="O5145" s="15"/>
      <c r="P5145" s="15"/>
      <c r="Q5145" s="71"/>
      <c r="R5145" s="84"/>
      <c r="S5145" s="10"/>
      <c r="T5145" s="10"/>
      <c r="U5145" s="10"/>
      <c r="V5145" s="10"/>
      <c r="W5145" s="138"/>
      <c r="Y5145"/>
      <c r="Z5145"/>
      <c r="AA5145"/>
      <c r="AB5145"/>
      <c r="AC5145"/>
      <c r="AD5145"/>
      <c r="AE5145"/>
      <c r="AF5145"/>
      <c r="AG5145"/>
      <c r="AH5145"/>
      <c r="AI5145"/>
      <c r="AJ5145"/>
      <c r="AK5145"/>
      <c r="AL5145"/>
      <c r="AM5145"/>
      <c r="AN5145"/>
      <c r="AO5145"/>
    </row>
    <row r="5146" spans="1:41" ht="15">
      <c r="A5146"/>
      <c r="B5146"/>
      <c r="C5146" s="137"/>
      <c r="D5146" s="30"/>
      <c r="E5146" s="30"/>
      <c r="F5146" s="10"/>
      <c r="G5146" s="10"/>
      <c r="H5146" s="15"/>
      <c r="I5146" s="15"/>
      <c r="J5146" s="15"/>
      <c r="K5146" s="15"/>
      <c r="L5146" s="15"/>
      <c r="M5146" s="15"/>
      <c r="N5146" s="15"/>
      <c r="O5146" s="15"/>
      <c r="P5146" s="15"/>
      <c r="Q5146" s="71"/>
      <c r="R5146" s="84"/>
      <c r="S5146" s="10"/>
      <c r="T5146" s="10"/>
      <c r="U5146" s="10"/>
      <c r="V5146" s="10"/>
      <c r="W5146" s="138"/>
      <c r="Y5146"/>
      <c r="Z5146"/>
      <c r="AA5146"/>
      <c r="AB5146"/>
      <c r="AC5146"/>
      <c r="AD5146"/>
      <c r="AE5146"/>
      <c r="AF5146"/>
      <c r="AG5146"/>
      <c r="AH5146"/>
      <c r="AI5146"/>
      <c r="AJ5146"/>
      <c r="AK5146"/>
      <c r="AL5146"/>
      <c r="AM5146"/>
      <c r="AN5146"/>
      <c r="AO5146"/>
    </row>
    <row r="5147" spans="1:41" ht="15">
      <c r="A5147"/>
      <c r="B5147"/>
      <c r="C5147" s="137"/>
      <c r="D5147" s="30"/>
      <c r="E5147" s="30"/>
      <c r="F5147" s="10"/>
      <c r="G5147" s="10"/>
      <c r="H5147" s="15"/>
      <c r="I5147" s="15"/>
      <c r="J5147" s="15"/>
      <c r="K5147" s="15"/>
      <c r="L5147" s="15"/>
      <c r="M5147" s="15"/>
      <c r="N5147" s="15"/>
      <c r="O5147" s="15"/>
      <c r="P5147" s="15"/>
      <c r="Q5147" s="71"/>
      <c r="R5147" s="84"/>
      <c r="S5147" s="10"/>
      <c r="T5147" s="10"/>
      <c r="U5147" s="10"/>
      <c r="V5147" s="10"/>
      <c r="W5147" s="138"/>
      <c r="Y5147"/>
      <c r="Z5147"/>
      <c r="AA5147"/>
      <c r="AB5147"/>
      <c r="AC5147"/>
      <c r="AD5147"/>
      <c r="AE5147"/>
      <c r="AF5147"/>
      <c r="AG5147"/>
      <c r="AH5147"/>
      <c r="AI5147"/>
      <c r="AJ5147"/>
      <c r="AK5147"/>
      <c r="AL5147"/>
      <c r="AM5147"/>
      <c r="AN5147"/>
      <c r="AO5147"/>
    </row>
    <row r="5148" spans="1:41" ht="15">
      <c r="A5148"/>
      <c r="B5148"/>
      <c r="C5148" s="137"/>
      <c r="D5148" s="30"/>
      <c r="E5148" s="30"/>
      <c r="F5148" s="10"/>
      <c r="G5148" s="10"/>
      <c r="H5148" s="15"/>
      <c r="I5148" s="15"/>
      <c r="J5148" s="15"/>
      <c r="K5148" s="15"/>
      <c r="L5148" s="15"/>
      <c r="M5148" s="15"/>
      <c r="N5148" s="15"/>
      <c r="O5148" s="15"/>
      <c r="P5148" s="15"/>
      <c r="Q5148" s="71"/>
      <c r="R5148" s="84"/>
      <c r="S5148" s="10"/>
      <c r="T5148" s="10"/>
      <c r="U5148" s="10"/>
      <c r="V5148" s="10"/>
      <c r="W5148" s="138"/>
      <c r="Y5148"/>
      <c r="Z5148"/>
      <c r="AA5148"/>
      <c r="AB5148"/>
      <c r="AC5148"/>
      <c r="AD5148"/>
      <c r="AE5148"/>
      <c r="AF5148"/>
      <c r="AG5148"/>
      <c r="AH5148"/>
      <c r="AI5148"/>
      <c r="AJ5148"/>
      <c r="AK5148"/>
      <c r="AL5148"/>
      <c r="AM5148"/>
      <c r="AN5148"/>
      <c r="AO5148"/>
    </row>
    <row r="5149" spans="1:41" ht="15">
      <c r="A5149"/>
      <c r="B5149"/>
      <c r="C5149" s="137"/>
      <c r="D5149" s="30"/>
      <c r="E5149" s="30"/>
      <c r="F5149" s="10"/>
      <c r="G5149" s="10"/>
      <c r="H5149" s="15"/>
      <c r="I5149" s="15"/>
      <c r="J5149" s="15"/>
      <c r="K5149" s="15"/>
      <c r="L5149" s="15"/>
      <c r="M5149" s="15"/>
      <c r="N5149" s="15"/>
      <c r="O5149" s="15"/>
      <c r="P5149" s="15"/>
      <c r="Q5149" s="71"/>
      <c r="R5149" s="84"/>
      <c r="S5149" s="10"/>
      <c r="T5149" s="10"/>
      <c r="U5149" s="10"/>
      <c r="V5149" s="10"/>
      <c r="W5149" s="138"/>
      <c r="Y5149"/>
      <c r="Z5149"/>
      <c r="AA5149"/>
      <c r="AB5149"/>
      <c r="AC5149"/>
      <c r="AD5149"/>
      <c r="AE5149"/>
      <c r="AF5149"/>
      <c r="AG5149"/>
      <c r="AH5149"/>
      <c r="AI5149"/>
      <c r="AJ5149"/>
      <c r="AK5149"/>
      <c r="AL5149"/>
      <c r="AM5149"/>
      <c r="AN5149"/>
      <c r="AO5149"/>
    </row>
    <row r="5150" spans="1:41" ht="15">
      <c r="A5150"/>
      <c r="B5150"/>
      <c r="C5150" s="137"/>
      <c r="D5150" s="30"/>
      <c r="E5150" s="30"/>
      <c r="F5150" s="10"/>
      <c r="G5150" s="10"/>
      <c r="H5150" s="15"/>
      <c r="I5150" s="15"/>
      <c r="J5150" s="15"/>
      <c r="K5150" s="15"/>
      <c r="L5150" s="15"/>
      <c r="M5150" s="15"/>
      <c r="N5150" s="15"/>
      <c r="O5150" s="15"/>
      <c r="P5150" s="15"/>
      <c r="Q5150" s="71"/>
      <c r="R5150" s="84"/>
      <c r="S5150" s="10"/>
      <c r="T5150" s="10"/>
      <c r="U5150" s="10"/>
      <c r="V5150" s="10"/>
      <c r="W5150" s="138"/>
      <c r="Y5150"/>
      <c r="Z5150"/>
      <c r="AA5150"/>
      <c r="AB5150"/>
      <c r="AC5150"/>
      <c r="AD5150"/>
      <c r="AE5150"/>
      <c r="AF5150"/>
      <c r="AG5150"/>
      <c r="AH5150"/>
      <c r="AI5150"/>
      <c r="AJ5150"/>
      <c r="AK5150"/>
      <c r="AL5150"/>
      <c r="AM5150"/>
      <c r="AN5150"/>
      <c r="AO5150"/>
    </row>
    <row r="5151" spans="1:41" ht="15">
      <c r="A5151"/>
      <c r="B5151"/>
      <c r="C5151" s="137"/>
      <c r="D5151" s="30"/>
      <c r="E5151" s="30"/>
      <c r="F5151" s="10"/>
      <c r="G5151" s="10"/>
      <c r="H5151" s="15"/>
      <c r="I5151" s="15"/>
      <c r="J5151" s="15"/>
      <c r="K5151" s="15"/>
      <c r="L5151" s="15"/>
      <c r="M5151" s="15"/>
      <c r="N5151" s="15"/>
      <c r="O5151" s="15"/>
      <c r="P5151" s="15"/>
      <c r="Q5151" s="71"/>
      <c r="R5151" s="84"/>
      <c r="S5151" s="10"/>
      <c r="T5151" s="10"/>
      <c r="U5151" s="10"/>
      <c r="V5151" s="10"/>
      <c r="W5151" s="138"/>
      <c r="Y5151"/>
      <c r="Z5151"/>
      <c r="AA5151"/>
      <c r="AB5151"/>
      <c r="AC5151"/>
      <c r="AD5151"/>
      <c r="AE5151"/>
      <c r="AF5151"/>
      <c r="AG5151"/>
      <c r="AH5151"/>
      <c r="AI5151"/>
      <c r="AJ5151"/>
      <c r="AK5151"/>
      <c r="AL5151"/>
      <c r="AM5151"/>
      <c r="AN5151"/>
      <c r="AO5151"/>
    </row>
    <row r="5152" spans="1:41" ht="15">
      <c r="A5152"/>
      <c r="B5152"/>
      <c r="C5152" s="137"/>
      <c r="D5152" s="30"/>
      <c r="E5152" s="30"/>
      <c r="F5152" s="10"/>
      <c r="G5152" s="10"/>
      <c r="H5152" s="15"/>
      <c r="I5152" s="15"/>
      <c r="J5152" s="15"/>
      <c r="K5152" s="15"/>
      <c r="L5152" s="15"/>
      <c r="M5152" s="15"/>
      <c r="N5152" s="15"/>
      <c r="O5152" s="15"/>
      <c r="P5152" s="15"/>
      <c r="Q5152" s="71"/>
      <c r="R5152" s="84"/>
      <c r="S5152" s="10"/>
      <c r="T5152" s="10"/>
      <c r="U5152" s="10"/>
      <c r="V5152" s="10"/>
      <c r="W5152" s="138"/>
      <c r="Y5152"/>
      <c r="Z5152"/>
      <c r="AA5152"/>
      <c r="AB5152"/>
      <c r="AC5152"/>
      <c r="AD5152"/>
      <c r="AE5152"/>
      <c r="AF5152"/>
      <c r="AG5152"/>
      <c r="AH5152"/>
      <c r="AI5152"/>
      <c r="AJ5152"/>
      <c r="AK5152"/>
      <c r="AL5152"/>
      <c r="AM5152"/>
      <c r="AN5152"/>
      <c r="AO5152"/>
    </row>
    <row r="5153" spans="1:41" ht="15">
      <c r="A5153"/>
      <c r="B5153"/>
      <c r="C5153" s="137"/>
      <c r="D5153" s="30"/>
      <c r="E5153" s="30"/>
      <c r="F5153" s="10"/>
      <c r="G5153" s="10"/>
      <c r="H5153" s="15"/>
      <c r="I5153" s="15"/>
      <c r="J5153" s="15"/>
      <c r="K5153" s="15"/>
      <c r="L5153" s="15"/>
      <c r="M5153" s="15"/>
      <c r="N5153" s="15"/>
      <c r="O5153" s="15"/>
      <c r="P5153" s="15"/>
      <c r="Q5153" s="71"/>
      <c r="R5153" s="84"/>
      <c r="S5153" s="10"/>
      <c r="T5153" s="10"/>
      <c r="U5153" s="10"/>
      <c r="V5153" s="10"/>
      <c r="W5153" s="138"/>
      <c r="Y5153"/>
      <c r="Z5153"/>
      <c r="AA5153"/>
      <c r="AB5153"/>
      <c r="AC5153"/>
      <c r="AD5153"/>
      <c r="AE5153"/>
      <c r="AF5153"/>
      <c r="AG5153"/>
      <c r="AH5153"/>
      <c r="AI5153"/>
      <c r="AJ5153"/>
      <c r="AK5153"/>
      <c r="AL5153"/>
      <c r="AM5153"/>
      <c r="AN5153"/>
      <c r="AO5153"/>
    </row>
    <row r="5154" spans="1:41" ht="15">
      <c r="A5154"/>
      <c r="B5154"/>
      <c r="C5154" s="137"/>
      <c r="D5154" s="30"/>
      <c r="E5154" s="30"/>
      <c r="F5154" s="10"/>
      <c r="G5154" s="10"/>
      <c r="H5154" s="15"/>
      <c r="I5154" s="15"/>
      <c r="J5154" s="15"/>
      <c r="K5154" s="15"/>
      <c r="L5154" s="15"/>
      <c r="M5154" s="15"/>
      <c r="N5154" s="15"/>
      <c r="O5154" s="15"/>
      <c r="P5154" s="15"/>
      <c r="Q5154" s="71"/>
      <c r="R5154" s="84"/>
      <c r="S5154" s="10"/>
      <c r="T5154" s="10"/>
      <c r="U5154" s="10"/>
      <c r="V5154" s="10"/>
      <c r="W5154" s="138"/>
      <c r="Y5154"/>
      <c r="Z5154"/>
      <c r="AA5154"/>
      <c r="AB5154"/>
      <c r="AC5154"/>
      <c r="AD5154"/>
      <c r="AE5154"/>
      <c r="AF5154"/>
      <c r="AG5154"/>
      <c r="AH5154"/>
      <c r="AI5154"/>
      <c r="AJ5154"/>
      <c r="AK5154"/>
      <c r="AL5154"/>
      <c r="AM5154"/>
      <c r="AN5154"/>
      <c r="AO5154"/>
    </row>
    <row r="5155" spans="1:41" ht="15">
      <c r="A5155"/>
      <c r="B5155"/>
      <c r="C5155" s="137"/>
      <c r="D5155" s="30"/>
      <c r="E5155" s="30"/>
      <c r="F5155" s="10"/>
      <c r="G5155" s="10"/>
      <c r="H5155" s="15"/>
      <c r="I5155" s="15"/>
      <c r="J5155" s="15"/>
      <c r="K5155" s="15"/>
      <c r="L5155" s="15"/>
      <c r="M5155" s="15"/>
      <c r="N5155" s="15"/>
      <c r="O5155" s="15"/>
      <c r="P5155" s="15"/>
      <c r="Q5155" s="71"/>
      <c r="R5155" s="84"/>
      <c r="S5155" s="10"/>
      <c r="T5155" s="10"/>
      <c r="U5155" s="10"/>
      <c r="V5155" s="10"/>
      <c r="W5155" s="138"/>
      <c r="Y5155"/>
      <c r="Z5155"/>
      <c r="AA5155"/>
      <c r="AB5155"/>
      <c r="AC5155"/>
      <c r="AD5155"/>
      <c r="AE5155"/>
      <c r="AF5155"/>
      <c r="AG5155"/>
      <c r="AH5155"/>
      <c r="AI5155"/>
      <c r="AJ5155"/>
      <c r="AK5155"/>
      <c r="AL5155"/>
      <c r="AM5155"/>
      <c r="AN5155"/>
      <c r="AO5155"/>
    </row>
    <row r="5156" spans="1:41" ht="15">
      <c r="A5156"/>
      <c r="B5156"/>
      <c r="C5156" s="137"/>
      <c r="D5156" s="30"/>
      <c r="E5156" s="30"/>
      <c r="F5156" s="10"/>
      <c r="G5156" s="10"/>
      <c r="H5156" s="15"/>
      <c r="I5156" s="15"/>
      <c r="J5156" s="15"/>
      <c r="K5156" s="15"/>
      <c r="L5156" s="15"/>
      <c r="M5156" s="15"/>
      <c r="N5156" s="15"/>
      <c r="O5156" s="15"/>
      <c r="P5156" s="15"/>
      <c r="Q5156" s="71"/>
      <c r="R5156" s="84"/>
      <c r="S5156" s="10"/>
      <c r="T5156" s="10"/>
      <c r="U5156" s="10"/>
      <c r="V5156" s="10"/>
      <c r="W5156" s="138"/>
      <c r="Y5156"/>
      <c r="Z5156"/>
      <c r="AA5156"/>
      <c r="AB5156"/>
      <c r="AC5156"/>
      <c r="AD5156"/>
      <c r="AE5156"/>
      <c r="AF5156"/>
      <c r="AG5156"/>
      <c r="AH5156"/>
      <c r="AI5156"/>
      <c r="AJ5156"/>
      <c r="AK5156"/>
      <c r="AL5156"/>
      <c r="AM5156"/>
      <c r="AN5156"/>
      <c r="AO5156"/>
    </row>
    <row r="5157" spans="1:41" ht="15">
      <c r="A5157"/>
      <c r="B5157"/>
      <c r="C5157" s="137"/>
      <c r="D5157" s="30"/>
      <c r="E5157" s="30"/>
      <c r="F5157" s="10"/>
      <c r="G5157" s="10"/>
      <c r="H5157" s="15"/>
      <c r="I5157" s="15"/>
      <c r="J5157" s="15"/>
      <c r="K5157" s="15"/>
      <c r="L5157" s="15"/>
      <c r="M5157" s="15"/>
      <c r="N5157" s="15"/>
      <c r="O5157" s="15"/>
      <c r="P5157" s="15"/>
      <c r="Q5157" s="71"/>
      <c r="R5157" s="84"/>
      <c r="S5157" s="10"/>
      <c r="T5157" s="10"/>
      <c r="U5157" s="10"/>
      <c r="V5157" s="10"/>
      <c r="W5157" s="138"/>
      <c r="Y5157"/>
      <c r="Z5157"/>
      <c r="AA5157"/>
      <c r="AB5157"/>
      <c r="AC5157"/>
      <c r="AD5157"/>
      <c r="AE5157"/>
      <c r="AF5157"/>
      <c r="AG5157"/>
      <c r="AH5157"/>
      <c r="AI5157"/>
      <c r="AJ5157"/>
      <c r="AK5157"/>
      <c r="AL5157"/>
      <c r="AM5157"/>
      <c r="AN5157"/>
      <c r="AO5157"/>
    </row>
    <row r="5158" spans="1:41" ht="15">
      <c r="A5158"/>
      <c r="B5158"/>
      <c r="C5158" s="137"/>
      <c r="D5158" s="30"/>
      <c r="E5158" s="30"/>
      <c r="F5158" s="10"/>
      <c r="G5158" s="10"/>
      <c r="H5158" s="15"/>
      <c r="I5158" s="15"/>
      <c r="J5158" s="15"/>
      <c r="K5158" s="15"/>
      <c r="L5158" s="15"/>
      <c r="M5158" s="15"/>
      <c r="N5158" s="15"/>
      <c r="O5158" s="15"/>
      <c r="P5158" s="15"/>
      <c r="Q5158" s="71"/>
      <c r="R5158" s="84"/>
      <c r="S5158" s="10"/>
      <c r="T5158" s="10"/>
      <c r="U5158" s="10"/>
      <c r="V5158" s="10"/>
      <c r="W5158" s="138"/>
      <c r="Y5158"/>
      <c r="Z5158"/>
      <c r="AA5158"/>
      <c r="AB5158"/>
      <c r="AC5158"/>
      <c r="AD5158"/>
      <c r="AE5158"/>
      <c r="AF5158"/>
      <c r="AG5158"/>
      <c r="AH5158"/>
      <c r="AI5158"/>
      <c r="AJ5158"/>
      <c r="AK5158"/>
      <c r="AL5158"/>
      <c r="AM5158"/>
      <c r="AN5158"/>
      <c r="AO5158"/>
    </row>
    <row r="5159" spans="1:41" ht="15">
      <c r="A5159"/>
      <c r="B5159"/>
      <c r="C5159" s="137"/>
      <c r="D5159" s="30"/>
      <c r="E5159" s="30"/>
      <c r="F5159" s="10"/>
      <c r="G5159" s="10"/>
      <c r="H5159" s="15"/>
      <c r="I5159" s="15"/>
      <c r="J5159" s="15"/>
      <c r="K5159" s="15"/>
      <c r="L5159" s="15"/>
      <c r="M5159" s="15"/>
      <c r="N5159" s="15"/>
      <c r="O5159" s="15"/>
      <c r="P5159" s="15"/>
      <c r="Q5159" s="71"/>
      <c r="R5159" s="84"/>
      <c r="S5159" s="10"/>
      <c r="T5159" s="10"/>
      <c r="U5159" s="10"/>
      <c r="V5159" s="10"/>
      <c r="W5159" s="138"/>
      <c r="Y5159"/>
      <c r="Z5159"/>
      <c r="AA5159"/>
      <c r="AB5159"/>
      <c r="AC5159"/>
      <c r="AD5159"/>
      <c r="AE5159"/>
      <c r="AF5159"/>
      <c r="AG5159"/>
      <c r="AH5159"/>
      <c r="AI5159"/>
      <c r="AJ5159"/>
      <c r="AK5159"/>
      <c r="AL5159"/>
      <c r="AM5159"/>
      <c r="AN5159"/>
      <c r="AO5159"/>
    </row>
    <row r="5160" spans="1:41" ht="15">
      <c r="A5160"/>
      <c r="B5160"/>
      <c r="C5160" s="137"/>
      <c r="D5160" s="30"/>
      <c r="E5160" s="30"/>
      <c r="F5160" s="10"/>
      <c r="G5160" s="10"/>
      <c r="H5160" s="15"/>
      <c r="I5160" s="15"/>
      <c r="J5160" s="15"/>
      <c r="K5160" s="15"/>
      <c r="L5160" s="15"/>
      <c r="M5160" s="15"/>
      <c r="N5160" s="15"/>
      <c r="O5160" s="15"/>
      <c r="P5160" s="15"/>
      <c r="Q5160" s="71"/>
      <c r="R5160" s="84"/>
      <c r="S5160" s="10"/>
      <c r="T5160" s="10"/>
      <c r="U5160" s="10"/>
      <c r="V5160" s="10"/>
      <c r="W5160" s="138"/>
      <c r="Y5160"/>
      <c r="Z5160"/>
      <c r="AA5160"/>
      <c r="AB5160"/>
      <c r="AC5160"/>
      <c r="AD5160"/>
      <c r="AE5160"/>
      <c r="AF5160"/>
      <c r="AG5160"/>
      <c r="AH5160"/>
      <c r="AI5160"/>
      <c r="AJ5160"/>
      <c r="AK5160"/>
      <c r="AL5160"/>
      <c r="AM5160"/>
      <c r="AN5160"/>
      <c r="AO5160"/>
    </row>
    <row r="5161" spans="1:41" ht="15">
      <c r="A5161"/>
      <c r="B5161"/>
      <c r="C5161" s="137"/>
      <c r="D5161" s="30"/>
      <c r="E5161" s="30"/>
      <c r="F5161" s="10"/>
      <c r="G5161" s="10"/>
      <c r="H5161" s="15"/>
      <c r="I5161" s="15"/>
      <c r="J5161" s="15"/>
      <c r="K5161" s="15"/>
      <c r="L5161" s="15"/>
      <c r="M5161" s="15"/>
      <c r="N5161" s="15"/>
      <c r="O5161" s="15"/>
      <c r="P5161" s="15"/>
      <c r="Q5161" s="71"/>
      <c r="R5161" s="84"/>
      <c r="S5161" s="10"/>
      <c r="T5161" s="10"/>
      <c r="U5161" s="10"/>
      <c r="V5161" s="10"/>
      <c r="W5161" s="138"/>
      <c r="Y5161"/>
      <c r="Z5161"/>
      <c r="AA5161"/>
      <c r="AB5161"/>
      <c r="AC5161"/>
      <c r="AD5161"/>
      <c r="AE5161"/>
      <c r="AF5161"/>
      <c r="AG5161"/>
      <c r="AH5161"/>
      <c r="AI5161"/>
      <c r="AJ5161"/>
      <c r="AK5161"/>
      <c r="AL5161"/>
      <c r="AM5161"/>
      <c r="AN5161"/>
      <c r="AO5161"/>
    </row>
    <row r="5162" spans="1:41" ht="15">
      <c r="A5162"/>
      <c r="B5162"/>
      <c r="C5162" s="137"/>
      <c r="D5162" s="30"/>
      <c r="E5162" s="30"/>
      <c r="F5162" s="10"/>
      <c r="G5162" s="10"/>
      <c r="H5162" s="15"/>
      <c r="I5162" s="15"/>
      <c r="J5162" s="15"/>
      <c r="K5162" s="15"/>
      <c r="L5162" s="15"/>
      <c r="M5162" s="15"/>
      <c r="N5162" s="15"/>
      <c r="O5162" s="15"/>
      <c r="P5162" s="15"/>
      <c r="Q5162" s="71"/>
      <c r="R5162" s="84"/>
      <c r="S5162" s="10"/>
      <c r="T5162" s="10"/>
      <c r="U5162" s="10"/>
      <c r="V5162" s="10"/>
      <c r="W5162" s="138"/>
      <c r="Y5162"/>
      <c r="Z5162"/>
      <c r="AA5162"/>
      <c r="AB5162"/>
      <c r="AC5162"/>
      <c r="AD5162"/>
      <c r="AE5162"/>
      <c r="AF5162"/>
      <c r="AG5162"/>
      <c r="AH5162"/>
      <c r="AI5162"/>
      <c r="AJ5162"/>
      <c r="AK5162"/>
      <c r="AL5162"/>
      <c r="AM5162"/>
      <c r="AN5162"/>
      <c r="AO5162"/>
    </row>
    <row r="5163" spans="1:41" ht="15">
      <c r="A5163"/>
      <c r="B5163"/>
      <c r="C5163" s="137"/>
      <c r="D5163" s="30"/>
      <c r="E5163" s="30"/>
      <c r="F5163" s="10"/>
      <c r="G5163" s="10"/>
      <c r="H5163" s="15"/>
      <c r="I5163" s="15"/>
      <c r="J5163" s="15"/>
      <c r="K5163" s="15"/>
      <c r="L5163" s="15"/>
      <c r="M5163" s="15"/>
      <c r="N5163" s="15"/>
      <c r="O5163" s="15"/>
      <c r="P5163" s="15"/>
      <c r="Q5163" s="71"/>
      <c r="R5163" s="84"/>
      <c r="S5163" s="10"/>
      <c r="T5163" s="10"/>
      <c r="U5163" s="10"/>
      <c r="V5163" s="10"/>
      <c r="W5163" s="138"/>
      <c r="Y5163"/>
      <c r="Z5163"/>
      <c r="AA5163"/>
      <c r="AB5163"/>
      <c r="AC5163"/>
      <c r="AD5163"/>
      <c r="AE5163"/>
      <c r="AF5163"/>
      <c r="AG5163"/>
      <c r="AH5163"/>
      <c r="AI5163"/>
      <c r="AJ5163"/>
      <c r="AK5163"/>
      <c r="AL5163"/>
      <c r="AM5163"/>
      <c r="AN5163"/>
      <c r="AO5163"/>
    </row>
    <row r="5164" spans="1:41" ht="15">
      <c r="A5164"/>
      <c r="B5164"/>
      <c r="C5164" s="137"/>
      <c r="D5164" s="30"/>
      <c r="E5164" s="30"/>
      <c r="F5164" s="10"/>
      <c r="G5164" s="10"/>
      <c r="H5164" s="15"/>
      <c r="I5164" s="15"/>
      <c r="J5164" s="15"/>
      <c r="K5164" s="15"/>
      <c r="L5164" s="15"/>
      <c r="M5164" s="15"/>
      <c r="N5164" s="15"/>
      <c r="O5164" s="15"/>
      <c r="P5164" s="15"/>
      <c r="Q5164" s="71"/>
      <c r="R5164" s="84"/>
      <c r="S5164" s="10"/>
      <c r="T5164" s="10"/>
      <c r="U5164" s="10"/>
      <c r="V5164" s="10"/>
      <c r="W5164" s="138"/>
      <c r="Y5164"/>
      <c r="Z5164"/>
      <c r="AA5164"/>
      <c r="AB5164"/>
      <c r="AC5164"/>
      <c r="AD5164"/>
      <c r="AE5164"/>
      <c r="AF5164"/>
      <c r="AG5164"/>
      <c r="AH5164"/>
      <c r="AI5164"/>
      <c r="AJ5164"/>
      <c r="AK5164"/>
      <c r="AL5164"/>
      <c r="AM5164"/>
      <c r="AN5164"/>
      <c r="AO5164"/>
    </row>
    <row r="5165" spans="1:41" ht="15">
      <c r="A5165"/>
      <c r="B5165"/>
      <c r="C5165" s="137"/>
      <c r="D5165" s="30"/>
      <c r="E5165" s="30"/>
      <c r="F5165" s="10"/>
      <c r="G5165" s="10"/>
      <c r="H5165" s="15"/>
      <c r="I5165" s="15"/>
      <c r="J5165" s="15"/>
      <c r="K5165" s="15"/>
      <c r="L5165" s="15"/>
      <c r="M5165" s="15"/>
      <c r="N5165" s="15"/>
      <c r="O5165" s="15"/>
      <c r="P5165" s="15"/>
      <c r="Q5165" s="71"/>
      <c r="R5165" s="84"/>
      <c r="S5165" s="10"/>
      <c r="T5165" s="10"/>
      <c r="U5165" s="10"/>
      <c r="V5165" s="10"/>
      <c r="W5165" s="138"/>
      <c r="Y5165"/>
      <c r="Z5165"/>
      <c r="AA5165"/>
      <c r="AB5165"/>
      <c r="AC5165"/>
      <c r="AD5165"/>
      <c r="AE5165"/>
      <c r="AF5165"/>
      <c r="AG5165"/>
      <c r="AH5165"/>
      <c r="AI5165"/>
      <c r="AJ5165"/>
      <c r="AK5165"/>
      <c r="AL5165"/>
      <c r="AM5165"/>
      <c r="AN5165"/>
      <c r="AO5165"/>
    </row>
    <row r="5166" spans="1:41" ht="15">
      <c r="A5166"/>
      <c r="B5166"/>
      <c r="C5166" s="137"/>
      <c r="D5166" s="30"/>
      <c r="E5166" s="30"/>
      <c r="F5166" s="10"/>
      <c r="G5166" s="10"/>
      <c r="H5166" s="15"/>
      <c r="I5166" s="15"/>
      <c r="J5166" s="15"/>
      <c r="K5166" s="15"/>
      <c r="L5166" s="15"/>
      <c r="M5166" s="15"/>
      <c r="N5166" s="15"/>
      <c r="O5166" s="15"/>
      <c r="P5166" s="15"/>
      <c r="Q5166" s="71"/>
      <c r="R5166" s="84"/>
      <c r="S5166" s="10"/>
      <c r="T5166" s="10"/>
      <c r="U5166" s="10"/>
      <c r="V5166" s="10"/>
      <c r="W5166" s="138"/>
      <c r="Y5166"/>
      <c r="Z5166"/>
      <c r="AA5166"/>
      <c r="AB5166"/>
      <c r="AC5166"/>
      <c r="AD5166"/>
      <c r="AE5166"/>
      <c r="AF5166"/>
      <c r="AG5166"/>
      <c r="AH5166"/>
      <c r="AI5166"/>
      <c r="AJ5166"/>
      <c r="AK5166"/>
      <c r="AL5166"/>
      <c r="AM5166"/>
      <c r="AN5166"/>
      <c r="AO5166"/>
    </row>
    <row r="5167" spans="1:41" ht="15">
      <c r="A5167"/>
      <c r="B5167"/>
      <c r="C5167" s="137"/>
      <c r="D5167" s="30"/>
      <c r="E5167" s="30"/>
      <c r="F5167" s="10"/>
      <c r="G5167" s="10"/>
      <c r="H5167" s="15"/>
      <c r="I5167" s="15"/>
      <c r="J5167" s="15"/>
      <c r="K5167" s="15"/>
      <c r="L5167" s="15"/>
      <c r="M5167" s="15"/>
      <c r="N5167" s="15"/>
      <c r="O5167" s="15"/>
      <c r="P5167" s="15"/>
      <c r="Q5167" s="71"/>
      <c r="R5167" s="84"/>
      <c r="S5167" s="10"/>
      <c r="T5167" s="10"/>
      <c r="U5167" s="10"/>
      <c r="V5167" s="10"/>
      <c r="W5167" s="138"/>
      <c r="Y5167"/>
      <c r="Z5167"/>
      <c r="AA5167"/>
      <c r="AB5167"/>
      <c r="AC5167"/>
      <c r="AD5167"/>
      <c r="AE5167"/>
      <c r="AF5167"/>
      <c r="AG5167"/>
      <c r="AH5167"/>
      <c r="AI5167"/>
      <c r="AJ5167"/>
      <c r="AK5167"/>
      <c r="AL5167"/>
      <c r="AM5167"/>
      <c r="AN5167"/>
      <c r="AO5167"/>
    </row>
    <row r="5168" spans="1:41" ht="15">
      <c r="A5168"/>
      <c r="B5168"/>
      <c r="C5168" s="137"/>
      <c r="D5168" s="30"/>
      <c r="E5168" s="30"/>
      <c r="F5168" s="10"/>
      <c r="G5168" s="10"/>
      <c r="H5168" s="15"/>
      <c r="I5168" s="15"/>
      <c r="J5168" s="15"/>
      <c r="K5168" s="15"/>
      <c r="L5168" s="15"/>
      <c r="M5168" s="15"/>
      <c r="N5168" s="15"/>
      <c r="O5168" s="15"/>
      <c r="P5168" s="15"/>
      <c r="Q5168" s="71"/>
      <c r="R5168" s="84"/>
      <c r="S5168" s="10"/>
      <c r="T5168" s="10"/>
      <c r="U5168" s="10"/>
      <c r="V5168" s="10"/>
      <c r="W5168" s="138"/>
      <c r="Y5168"/>
      <c r="Z5168"/>
      <c r="AA5168"/>
      <c r="AB5168"/>
      <c r="AC5168"/>
      <c r="AD5168"/>
      <c r="AE5168"/>
      <c r="AF5168"/>
      <c r="AG5168"/>
      <c r="AH5168"/>
      <c r="AI5168"/>
      <c r="AJ5168"/>
      <c r="AK5168"/>
      <c r="AL5168"/>
      <c r="AM5168"/>
      <c r="AN5168"/>
      <c r="AO5168"/>
    </row>
    <row r="5169" spans="1:41" ht="15">
      <c r="A5169"/>
      <c r="B5169"/>
      <c r="C5169" s="137"/>
      <c r="D5169" s="30"/>
      <c r="E5169" s="30"/>
      <c r="F5169" s="10"/>
      <c r="G5169" s="10"/>
      <c r="H5169" s="15"/>
      <c r="I5169" s="15"/>
      <c r="J5169" s="15"/>
      <c r="K5169" s="15"/>
      <c r="L5169" s="15"/>
      <c r="M5169" s="15"/>
      <c r="N5169" s="15"/>
      <c r="O5169" s="15"/>
      <c r="P5169" s="15"/>
      <c r="Q5169" s="71"/>
      <c r="R5169" s="84"/>
      <c r="S5169" s="10"/>
      <c r="T5169" s="10"/>
      <c r="U5169" s="10"/>
      <c r="V5169" s="10"/>
      <c r="W5169" s="138"/>
      <c r="Y5169"/>
      <c r="Z5169"/>
      <c r="AA5169"/>
      <c r="AB5169"/>
      <c r="AC5169"/>
      <c r="AD5169"/>
      <c r="AE5169"/>
      <c r="AF5169"/>
      <c r="AG5169"/>
      <c r="AH5169"/>
      <c r="AI5169"/>
      <c r="AJ5169"/>
      <c r="AK5169"/>
      <c r="AL5169"/>
      <c r="AM5169"/>
      <c r="AN5169"/>
      <c r="AO5169"/>
    </row>
    <row r="5170" spans="1:41" ht="15">
      <c r="A5170"/>
      <c r="B5170"/>
      <c r="C5170" s="137"/>
      <c r="D5170" s="30"/>
      <c r="E5170" s="30"/>
      <c r="F5170" s="10"/>
      <c r="G5170" s="10"/>
      <c r="H5170" s="15"/>
      <c r="I5170" s="15"/>
      <c r="J5170" s="15"/>
      <c r="K5170" s="15"/>
      <c r="L5170" s="15"/>
      <c r="M5170" s="15"/>
      <c r="N5170" s="15"/>
      <c r="O5170" s="15"/>
      <c r="P5170" s="15"/>
      <c r="Q5170" s="71"/>
      <c r="R5170" s="84"/>
      <c r="S5170" s="10"/>
      <c r="T5170" s="10"/>
      <c r="U5170" s="10"/>
      <c r="V5170" s="10"/>
      <c r="W5170" s="138"/>
      <c r="Y5170"/>
      <c r="Z5170"/>
      <c r="AA5170"/>
      <c r="AB5170"/>
      <c r="AC5170"/>
      <c r="AD5170"/>
      <c r="AE5170"/>
      <c r="AF5170"/>
      <c r="AG5170"/>
      <c r="AH5170"/>
      <c r="AI5170"/>
      <c r="AJ5170"/>
      <c r="AK5170"/>
      <c r="AL5170"/>
      <c r="AM5170"/>
      <c r="AN5170"/>
      <c r="AO5170"/>
    </row>
    <row r="5171" spans="1:41" ht="15">
      <c r="A5171"/>
      <c r="B5171"/>
      <c r="C5171" s="137"/>
      <c r="D5171" s="30"/>
      <c r="E5171" s="30"/>
      <c r="F5171" s="10"/>
      <c r="G5171" s="10"/>
      <c r="H5171" s="15"/>
      <c r="I5171" s="15"/>
      <c r="J5171" s="15"/>
      <c r="K5171" s="15"/>
      <c r="L5171" s="15"/>
      <c r="M5171" s="15"/>
      <c r="N5171" s="15"/>
      <c r="O5171" s="15"/>
      <c r="P5171" s="15"/>
      <c r="Q5171" s="71"/>
      <c r="R5171" s="84"/>
      <c r="S5171" s="10"/>
      <c r="T5171" s="10"/>
      <c r="U5171" s="10"/>
      <c r="V5171" s="10"/>
      <c r="W5171" s="138"/>
      <c r="Y5171"/>
      <c r="Z5171"/>
      <c r="AA5171"/>
      <c r="AB5171"/>
      <c r="AC5171"/>
      <c r="AD5171"/>
      <c r="AE5171"/>
      <c r="AF5171"/>
      <c r="AG5171"/>
      <c r="AH5171"/>
      <c r="AI5171"/>
      <c r="AJ5171"/>
      <c r="AK5171"/>
      <c r="AL5171"/>
      <c r="AM5171"/>
      <c r="AN5171"/>
      <c r="AO5171"/>
    </row>
    <row r="5172" spans="1:41" ht="15">
      <c r="A5172"/>
      <c r="B5172"/>
      <c r="C5172" s="137"/>
      <c r="D5172" s="30"/>
      <c r="E5172" s="30"/>
      <c r="F5172" s="10"/>
      <c r="G5172" s="10"/>
      <c r="H5172" s="15"/>
      <c r="I5172" s="15"/>
      <c r="J5172" s="15"/>
      <c r="K5172" s="15"/>
      <c r="L5172" s="15"/>
      <c r="M5172" s="15"/>
      <c r="N5172" s="15"/>
      <c r="O5172" s="15"/>
      <c r="P5172" s="15"/>
      <c r="Q5172" s="71"/>
      <c r="R5172" s="84"/>
      <c r="S5172" s="10"/>
      <c r="T5172" s="10"/>
      <c r="U5172" s="10"/>
      <c r="V5172" s="10"/>
      <c r="W5172" s="138"/>
      <c r="Y5172"/>
      <c r="Z5172"/>
      <c r="AA5172"/>
      <c r="AB5172"/>
      <c r="AC5172"/>
      <c r="AD5172"/>
      <c r="AE5172"/>
      <c r="AF5172"/>
      <c r="AG5172"/>
      <c r="AH5172"/>
      <c r="AI5172"/>
      <c r="AJ5172"/>
      <c r="AK5172"/>
      <c r="AL5172"/>
      <c r="AM5172"/>
      <c r="AN5172"/>
      <c r="AO5172"/>
    </row>
    <row r="5173" spans="1:41" ht="15">
      <c r="A5173"/>
      <c r="B5173"/>
      <c r="C5173" s="137"/>
      <c r="D5173" s="30"/>
      <c r="E5173" s="30"/>
      <c r="F5173" s="10"/>
      <c r="G5173" s="10"/>
      <c r="H5173" s="15"/>
      <c r="I5173" s="15"/>
      <c r="J5173" s="15"/>
      <c r="K5173" s="15"/>
      <c r="L5173" s="15"/>
      <c r="M5173" s="15"/>
      <c r="N5173" s="15"/>
      <c r="O5173" s="15"/>
      <c r="P5173" s="15"/>
      <c r="Q5173" s="71"/>
      <c r="R5173" s="84"/>
      <c r="S5173" s="10"/>
      <c r="T5173" s="10"/>
      <c r="U5173" s="10"/>
      <c r="V5173" s="10"/>
      <c r="W5173" s="138"/>
      <c r="Y5173"/>
      <c r="Z5173"/>
      <c r="AA5173"/>
      <c r="AB5173"/>
      <c r="AC5173"/>
      <c r="AD5173"/>
      <c r="AE5173"/>
      <c r="AF5173"/>
      <c r="AG5173"/>
      <c r="AH5173"/>
      <c r="AI5173"/>
      <c r="AJ5173"/>
      <c r="AK5173"/>
      <c r="AL5173"/>
      <c r="AM5173"/>
      <c r="AN5173"/>
      <c r="AO5173"/>
    </row>
    <row r="5174" spans="1:41" ht="15">
      <c r="A5174"/>
      <c r="B5174"/>
      <c r="C5174" s="137"/>
      <c r="D5174" s="30"/>
      <c r="E5174" s="30"/>
      <c r="F5174" s="10"/>
      <c r="G5174" s="10"/>
      <c r="H5174" s="15"/>
      <c r="I5174" s="15"/>
      <c r="J5174" s="15"/>
      <c r="K5174" s="15"/>
      <c r="L5174" s="15"/>
      <c r="M5174" s="15"/>
      <c r="N5174" s="15"/>
      <c r="O5174" s="15"/>
      <c r="P5174" s="15"/>
      <c r="Q5174" s="71"/>
      <c r="R5174" s="84"/>
      <c r="S5174" s="10"/>
      <c r="T5174" s="10"/>
      <c r="U5174" s="10"/>
      <c r="V5174" s="10"/>
      <c r="W5174" s="138"/>
      <c r="Y5174"/>
      <c r="Z5174"/>
      <c r="AA5174"/>
      <c r="AB5174"/>
      <c r="AC5174"/>
      <c r="AD5174"/>
      <c r="AE5174"/>
      <c r="AF5174"/>
      <c r="AG5174"/>
      <c r="AH5174"/>
      <c r="AI5174"/>
      <c r="AJ5174"/>
      <c r="AK5174"/>
      <c r="AL5174"/>
      <c r="AM5174"/>
      <c r="AN5174"/>
      <c r="AO5174"/>
    </row>
    <row r="5175" spans="1:41" ht="15">
      <c r="A5175"/>
      <c r="B5175"/>
      <c r="C5175" s="137"/>
      <c r="D5175" s="30"/>
      <c r="E5175" s="30"/>
      <c r="F5175" s="10"/>
      <c r="G5175" s="10"/>
      <c r="H5175" s="15"/>
      <c r="I5175" s="15"/>
      <c r="J5175" s="15"/>
      <c r="K5175" s="15"/>
      <c r="L5175" s="15"/>
      <c r="M5175" s="15"/>
      <c r="N5175" s="15"/>
      <c r="O5175" s="15"/>
      <c r="P5175" s="15"/>
      <c r="Q5175" s="71"/>
      <c r="R5175" s="84"/>
      <c r="S5175" s="10"/>
      <c r="T5175" s="10"/>
      <c r="U5175" s="10"/>
      <c r="V5175" s="10"/>
      <c r="W5175" s="138"/>
      <c r="Y5175"/>
      <c r="Z5175"/>
      <c r="AA5175"/>
      <c r="AB5175"/>
      <c r="AC5175"/>
      <c r="AD5175"/>
      <c r="AE5175"/>
      <c r="AF5175"/>
      <c r="AG5175"/>
      <c r="AH5175"/>
      <c r="AI5175"/>
      <c r="AJ5175"/>
      <c r="AK5175"/>
      <c r="AL5175"/>
      <c r="AM5175"/>
      <c r="AN5175"/>
      <c r="AO5175"/>
    </row>
    <row r="5176" spans="1:41" ht="15">
      <c r="A5176"/>
      <c r="B5176"/>
      <c r="C5176" s="137"/>
      <c r="D5176" s="30"/>
      <c r="E5176" s="30"/>
      <c r="F5176" s="10"/>
      <c r="G5176" s="10"/>
      <c r="H5176" s="15"/>
      <c r="I5176" s="15"/>
      <c r="J5176" s="15"/>
      <c r="K5176" s="15"/>
      <c r="L5176" s="15"/>
      <c r="M5176" s="15"/>
      <c r="N5176" s="15"/>
      <c r="O5176" s="15"/>
      <c r="P5176" s="15"/>
      <c r="Q5176" s="71"/>
      <c r="R5176" s="84"/>
      <c r="S5176" s="10"/>
      <c r="T5176" s="10"/>
      <c r="U5176" s="10"/>
      <c r="V5176" s="10"/>
      <c r="W5176" s="138"/>
      <c r="Y5176"/>
      <c r="Z5176"/>
      <c r="AA5176"/>
      <c r="AB5176"/>
      <c r="AC5176"/>
      <c r="AD5176"/>
      <c r="AE5176"/>
      <c r="AF5176"/>
      <c r="AG5176"/>
      <c r="AH5176"/>
      <c r="AI5176"/>
      <c r="AJ5176"/>
      <c r="AK5176"/>
      <c r="AL5176"/>
      <c r="AM5176"/>
      <c r="AN5176"/>
      <c r="AO5176"/>
    </row>
    <row r="5177" spans="1:41" ht="15">
      <c r="A5177"/>
      <c r="B5177"/>
      <c r="C5177" s="137"/>
      <c r="D5177" s="30"/>
      <c r="E5177" s="30"/>
      <c r="F5177" s="10"/>
      <c r="G5177" s="10"/>
      <c r="H5177" s="15"/>
      <c r="I5177" s="15"/>
      <c r="J5177" s="15"/>
      <c r="K5177" s="15"/>
      <c r="L5177" s="15"/>
      <c r="M5177" s="15"/>
      <c r="N5177" s="15"/>
      <c r="O5177" s="15"/>
      <c r="P5177" s="15"/>
      <c r="Q5177" s="71"/>
      <c r="R5177" s="84"/>
      <c r="S5177" s="10"/>
      <c r="T5177" s="10"/>
      <c r="U5177" s="10"/>
      <c r="V5177" s="10"/>
      <c r="W5177" s="138"/>
      <c r="Y5177"/>
      <c r="Z5177"/>
      <c r="AA5177"/>
      <c r="AB5177"/>
      <c r="AC5177"/>
      <c r="AD5177"/>
      <c r="AE5177"/>
      <c r="AF5177"/>
      <c r="AG5177"/>
      <c r="AH5177"/>
      <c r="AI5177"/>
      <c r="AJ5177"/>
      <c r="AK5177"/>
      <c r="AL5177"/>
      <c r="AM5177"/>
      <c r="AN5177"/>
      <c r="AO5177"/>
    </row>
    <row r="5178" spans="1:41" ht="15">
      <c r="A5178"/>
      <c r="B5178"/>
      <c r="C5178" s="137"/>
      <c r="D5178" s="30"/>
      <c r="E5178" s="30"/>
      <c r="F5178" s="10"/>
      <c r="G5178" s="10"/>
      <c r="H5178" s="15"/>
      <c r="I5178" s="15"/>
      <c r="J5178" s="15"/>
      <c r="K5178" s="15"/>
      <c r="L5178" s="15"/>
      <c r="M5178" s="15"/>
      <c r="N5178" s="15"/>
      <c r="O5178" s="15"/>
      <c r="P5178" s="15"/>
      <c r="Q5178" s="71"/>
      <c r="R5178" s="84"/>
      <c r="S5178" s="10"/>
      <c r="T5178" s="10"/>
      <c r="U5178" s="10"/>
      <c r="V5178" s="10"/>
      <c r="W5178" s="138"/>
      <c r="Y5178"/>
      <c r="Z5178"/>
      <c r="AA5178"/>
      <c r="AB5178"/>
      <c r="AC5178"/>
      <c r="AD5178"/>
      <c r="AE5178"/>
      <c r="AF5178"/>
      <c r="AG5178"/>
      <c r="AH5178"/>
      <c r="AI5178"/>
      <c r="AJ5178"/>
      <c r="AK5178"/>
      <c r="AL5178"/>
      <c r="AM5178"/>
      <c r="AN5178"/>
      <c r="AO5178"/>
    </row>
    <row r="5179" spans="1:41" ht="15">
      <c r="A5179"/>
      <c r="B5179"/>
      <c r="C5179" s="137"/>
      <c r="D5179" s="30"/>
      <c r="E5179" s="30"/>
      <c r="F5179" s="10"/>
      <c r="G5179" s="10"/>
      <c r="H5179" s="15"/>
      <c r="I5179" s="15"/>
      <c r="J5179" s="15"/>
      <c r="K5179" s="15"/>
      <c r="L5179" s="15"/>
      <c r="M5179" s="15"/>
      <c r="N5179" s="15"/>
      <c r="O5179" s="15"/>
      <c r="P5179" s="15"/>
      <c r="Q5179" s="71"/>
      <c r="R5179" s="84"/>
      <c r="S5179" s="10"/>
      <c r="T5179" s="10"/>
      <c r="U5179" s="10"/>
      <c r="V5179" s="10"/>
      <c r="W5179" s="138"/>
      <c r="Y5179"/>
      <c r="Z5179"/>
      <c r="AA5179"/>
      <c r="AB5179"/>
      <c r="AC5179"/>
      <c r="AD5179"/>
      <c r="AE5179"/>
      <c r="AF5179"/>
      <c r="AG5179"/>
      <c r="AH5179"/>
      <c r="AI5179"/>
      <c r="AJ5179"/>
      <c r="AK5179"/>
      <c r="AL5179"/>
      <c r="AM5179"/>
      <c r="AN5179"/>
      <c r="AO5179"/>
    </row>
    <row r="5180" spans="1:41" ht="15">
      <c r="A5180"/>
      <c r="B5180"/>
      <c r="C5180" s="137"/>
      <c r="D5180" s="30"/>
      <c r="E5180" s="30"/>
      <c r="F5180" s="10"/>
      <c r="G5180" s="10"/>
      <c r="H5180" s="15"/>
      <c r="I5180" s="15"/>
      <c r="J5180" s="15"/>
      <c r="K5180" s="15"/>
      <c r="L5180" s="15"/>
      <c r="M5180" s="15"/>
      <c r="N5180" s="15"/>
      <c r="O5180" s="15"/>
      <c r="P5180" s="15"/>
      <c r="Q5180" s="71"/>
      <c r="R5180" s="84"/>
      <c r="S5180" s="10"/>
      <c r="T5180" s="10"/>
      <c r="U5180" s="10"/>
      <c r="V5180" s="10"/>
      <c r="W5180" s="138"/>
      <c r="Y5180"/>
      <c r="Z5180"/>
      <c r="AA5180"/>
      <c r="AB5180"/>
      <c r="AC5180"/>
      <c r="AD5180"/>
      <c r="AE5180"/>
      <c r="AF5180"/>
      <c r="AG5180"/>
      <c r="AH5180"/>
      <c r="AI5180"/>
      <c r="AJ5180"/>
      <c r="AK5180"/>
      <c r="AL5180"/>
      <c r="AM5180"/>
      <c r="AN5180"/>
      <c r="AO5180"/>
    </row>
    <row r="5181" spans="1:41" ht="15">
      <c r="A5181"/>
      <c r="B5181"/>
      <c r="C5181" s="137"/>
      <c r="D5181" s="30"/>
      <c r="E5181" s="30"/>
      <c r="F5181" s="10"/>
      <c r="G5181" s="10"/>
      <c r="H5181" s="15"/>
      <c r="I5181" s="15"/>
      <c r="J5181" s="15"/>
      <c r="K5181" s="15"/>
      <c r="L5181" s="15"/>
      <c r="M5181" s="15"/>
      <c r="N5181" s="15"/>
      <c r="O5181" s="15"/>
      <c r="P5181" s="15"/>
      <c r="Q5181" s="71"/>
      <c r="R5181" s="84"/>
      <c r="S5181" s="10"/>
      <c r="T5181" s="10"/>
      <c r="U5181" s="10"/>
      <c r="V5181" s="10"/>
      <c r="W5181" s="138"/>
      <c r="Y5181"/>
      <c r="Z5181"/>
      <c r="AA5181"/>
      <c r="AB5181"/>
      <c r="AC5181"/>
      <c r="AD5181"/>
      <c r="AE5181"/>
      <c r="AF5181"/>
      <c r="AG5181"/>
      <c r="AH5181"/>
      <c r="AI5181"/>
      <c r="AJ5181"/>
      <c r="AK5181"/>
      <c r="AL5181"/>
      <c r="AM5181"/>
      <c r="AN5181"/>
      <c r="AO5181"/>
    </row>
    <row r="5182" spans="1:41" ht="15">
      <c r="A5182"/>
      <c r="B5182"/>
      <c r="C5182" s="137"/>
      <c r="D5182" s="30"/>
      <c r="E5182" s="30"/>
      <c r="F5182" s="10"/>
      <c r="G5182" s="10"/>
      <c r="H5182" s="15"/>
      <c r="I5182" s="15"/>
      <c r="J5182" s="15"/>
      <c r="K5182" s="15"/>
      <c r="L5182" s="15"/>
      <c r="M5182" s="15"/>
      <c r="N5182" s="15"/>
      <c r="O5182" s="15"/>
      <c r="P5182" s="15"/>
      <c r="Q5182" s="71"/>
      <c r="R5182" s="84"/>
      <c r="S5182" s="10"/>
      <c r="T5182" s="10"/>
      <c r="U5182" s="10"/>
      <c r="V5182" s="10"/>
      <c r="W5182" s="138"/>
      <c r="Y5182"/>
      <c r="Z5182"/>
      <c r="AA5182"/>
      <c r="AB5182"/>
      <c r="AC5182"/>
      <c r="AD5182"/>
      <c r="AE5182"/>
      <c r="AF5182"/>
      <c r="AG5182"/>
      <c r="AH5182"/>
      <c r="AI5182"/>
      <c r="AJ5182"/>
      <c r="AK5182"/>
      <c r="AL5182"/>
      <c r="AM5182"/>
      <c r="AN5182"/>
      <c r="AO5182"/>
    </row>
    <row r="5183" spans="1:41" ht="15">
      <c r="A5183"/>
      <c r="B5183"/>
      <c r="C5183" s="137"/>
      <c r="D5183" s="30"/>
      <c r="E5183" s="30"/>
      <c r="F5183" s="10"/>
      <c r="G5183" s="10"/>
      <c r="H5183" s="15"/>
      <c r="I5183" s="15"/>
      <c r="J5183" s="15"/>
      <c r="K5183" s="15"/>
      <c r="L5183" s="15"/>
      <c r="M5183" s="15"/>
      <c r="N5183" s="15"/>
      <c r="O5183" s="15"/>
      <c r="P5183" s="15"/>
      <c r="Q5183" s="71"/>
      <c r="R5183" s="84"/>
      <c r="S5183" s="10"/>
      <c r="T5183" s="10"/>
      <c r="U5183" s="10"/>
      <c r="V5183" s="10"/>
      <c r="W5183" s="138"/>
      <c r="Y5183"/>
      <c r="Z5183"/>
      <c r="AA5183"/>
      <c r="AB5183"/>
      <c r="AC5183"/>
      <c r="AD5183"/>
      <c r="AE5183"/>
      <c r="AF5183"/>
      <c r="AG5183"/>
      <c r="AH5183"/>
      <c r="AI5183"/>
      <c r="AJ5183"/>
      <c r="AK5183"/>
      <c r="AL5183"/>
      <c r="AM5183"/>
      <c r="AN5183"/>
      <c r="AO5183"/>
    </row>
    <row r="5184" spans="1:41" ht="15">
      <c r="A5184"/>
      <c r="B5184"/>
      <c r="C5184" s="137"/>
      <c r="D5184" s="30"/>
      <c r="E5184" s="30"/>
      <c r="F5184" s="10"/>
      <c r="G5184" s="10"/>
      <c r="H5184" s="15"/>
      <c r="I5184" s="15"/>
      <c r="J5184" s="15"/>
      <c r="K5184" s="15"/>
      <c r="L5184" s="15"/>
      <c r="M5184" s="15"/>
      <c r="N5184" s="15"/>
      <c r="O5184" s="15"/>
      <c r="P5184" s="15"/>
      <c r="Q5184" s="71"/>
      <c r="R5184" s="84"/>
      <c r="S5184" s="10"/>
      <c r="T5184" s="10"/>
      <c r="U5184" s="10"/>
      <c r="V5184" s="10"/>
      <c r="W5184" s="138"/>
      <c r="Y5184"/>
      <c r="Z5184"/>
      <c r="AA5184"/>
      <c r="AB5184"/>
      <c r="AC5184"/>
      <c r="AD5184"/>
      <c r="AE5184"/>
      <c r="AF5184"/>
      <c r="AG5184"/>
      <c r="AH5184"/>
      <c r="AI5184"/>
      <c r="AJ5184"/>
      <c r="AK5184"/>
      <c r="AL5184"/>
      <c r="AM5184"/>
      <c r="AN5184"/>
      <c r="AO5184"/>
    </row>
    <row r="5185" spans="1:41" ht="15">
      <c r="A5185"/>
      <c r="B5185"/>
      <c r="C5185" s="137"/>
      <c r="D5185" s="30"/>
      <c r="E5185" s="30"/>
      <c r="F5185" s="10"/>
      <c r="G5185" s="10"/>
      <c r="H5185" s="15"/>
      <c r="I5185" s="15"/>
      <c r="J5185" s="15"/>
      <c r="K5185" s="15"/>
      <c r="L5185" s="15"/>
      <c r="M5185" s="15"/>
      <c r="N5185" s="15"/>
      <c r="O5185" s="15"/>
      <c r="P5185" s="15"/>
      <c r="Q5185" s="71"/>
      <c r="R5185" s="84"/>
      <c r="S5185" s="10"/>
      <c r="T5185" s="10"/>
      <c r="U5185" s="10"/>
      <c r="V5185" s="10"/>
      <c r="W5185" s="138"/>
      <c r="Y5185"/>
      <c r="Z5185"/>
      <c r="AA5185"/>
      <c r="AB5185"/>
      <c r="AC5185"/>
      <c r="AD5185"/>
      <c r="AE5185"/>
      <c r="AF5185"/>
      <c r="AG5185"/>
      <c r="AH5185"/>
      <c r="AI5185"/>
      <c r="AJ5185"/>
      <c r="AK5185"/>
      <c r="AL5185"/>
      <c r="AM5185"/>
      <c r="AN5185"/>
      <c r="AO5185"/>
    </row>
    <row r="5186" spans="1:41" ht="15">
      <c r="A5186"/>
      <c r="B5186"/>
      <c r="C5186" s="137"/>
      <c r="D5186" s="30"/>
      <c r="E5186" s="30"/>
      <c r="F5186" s="10"/>
      <c r="G5186" s="10"/>
      <c r="H5186" s="15"/>
      <c r="I5186" s="15"/>
      <c r="J5186" s="15"/>
      <c r="K5186" s="15"/>
      <c r="L5186" s="15"/>
      <c r="M5186" s="15"/>
      <c r="N5186" s="15"/>
      <c r="O5186" s="15"/>
      <c r="P5186" s="15"/>
      <c r="Q5186" s="71"/>
      <c r="R5186" s="84"/>
      <c r="S5186" s="10"/>
      <c r="T5186" s="10"/>
      <c r="U5186" s="10"/>
      <c r="V5186" s="10"/>
      <c r="W5186" s="138"/>
      <c r="Y5186"/>
      <c r="Z5186"/>
      <c r="AA5186"/>
      <c r="AB5186"/>
      <c r="AC5186"/>
      <c r="AD5186"/>
      <c r="AE5186"/>
      <c r="AF5186"/>
      <c r="AG5186"/>
      <c r="AH5186"/>
      <c r="AI5186"/>
      <c r="AJ5186"/>
      <c r="AK5186"/>
      <c r="AL5186"/>
      <c r="AM5186"/>
      <c r="AN5186"/>
      <c r="AO5186"/>
    </row>
    <row r="5187" spans="1:41" ht="15">
      <c r="A5187"/>
      <c r="B5187"/>
      <c r="C5187" s="137"/>
      <c r="D5187" s="30"/>
      <c r="E5187" s="30"/>
      <c r="F5187" s="10"/>
      <c r="G5187" s="10"/>
      <c r="H5187" s="15"/>
      <c r="I5187" s="15"/>
      <c r="J5187" s="15"/>
      <c r="K5187" s="15"/>
      <c r="L5187" s="15"/>
      <c r="M5187" s="15"/>
      <c r="N5187" s="15"/>
      <c r="O5187" s="15"/>
      <c r="P5187" s="15"/>
      <c r="Q5187" s="71"/>
      <c r="R5187" s="84"/>
      <c r="S5187" s="10"/>
      <c r="T5187" s="10"/>
      <c r="U5187" s="10"/>
      <c r="V5187" s="10"/>
      <c r="W5187" s="138"/>
      <c r="Y5187"/>
      <c r="Z5187"/>
      <c r="AA5187"/>
      <c r="AB5187"/>
      <c r="AC5187"/>
      <c r="AD5187"/>
      <c r="AE5187"/>
      <c r="AF5187"/>
      <c r="AG5187"/>
      <c r="AH5187"/>
      <c r="AI5187"/>
      <c r="AJ5187"/>
      <c r="AK5187"/>
      <c r="AL5187"/>
      <c r="AM5187"/>
      <c r="AN5187"/>
      <c r="AO5187"/>
    </row>
    <row r="5188" spans="1:41" ht="15">
      <c r="A5188"/>
      <c r="B5188"/>
      <c r="C5188" s="137"/>
      <c r="D5188" s="30"/>
      <c r="E5188" s="30"/>
      <c r="F5188" s="10"/>
      <c r="G5188" s="10"/>
      <c r="H5188" s="15"/>
      <c r="I5188" s="15"/>
      <c r="J5188" s="15"/>
      <c r="K5188" s="15"/>
      <c r="L5188" s="15"/>
      <c r="M5188" s="15"/>
      <c r="N5188" s="15"/>
      <c r="O5188" s="15"/>
      <c r="P5188" s="15"/>
      <c r="Q5188" s="71"/>
      <c r="R5188" s="84"/>
      <c r="S5188" s="10"/>
      <c r="T5188" s="10"/>
      <c r="U5188" s="10"/>
      <c r="V5188" s="10"/>
      <c r="W5188" s="138"/>
      <c r="Y5188"/>
      <c r="Z5188"/>
      <c r="AA5188"/>
      <c r="AB5188"/>
      <c r="AC5188"/>
      <c r="AD5188"/>
      <c r="AE5188"/>
      <c r="AF5188"/>
      <c r="AG5188"/>
      <c r="AH5188"/>
      <c r="AI5188"/>
      <c r="AJ5188"/>
      <c r="AK5188"/>
      <c r="AL5188"/>
      <c r="AM5188"/>
      <c r="AN5188"/>
      <c r="AO5188"/>
    </row>
    <row r="5189" spans="1:41" ht="15">
      <c r="A5189"/>
      <c r="B5189"/>
      <c r="C5189" s="137"/>
      <c r="D5189" s="30"/>
      <c r="E5189" s="30"/>
      <c r="F5189" s="10"/>
      <c r="G5189" s="10"/>
      <c r="H5189" s="15"/>
      <c r="I5189" s="15"/>
      <c r="J5189" s="15"/>
      <c r="K5189" s="15"/>
      <c r="L5189" s="15"/>
      <c r="M5189" s="15"/>
      <c r="N5189" s="15"/>
      <c r="O5189" s="15"/>
      <c r="P5189" s="15"/>
      <c r="Q5189" s="71"/>
      <c r="R5189" s="84"/>
      <c r="S5189" s="10"/>
      <c r="T5189" s="10"/>
      <c r="U5189" s="10"/>
      <c r="V5189" s="10"/>
      <c r="W5189" s="138"/>
      <c r="Y5189"/>
      <c r="Z5189"/>
      <c r="AA5189"/>
      <c r="AB5189"/>
      <c r="AC5189"/>
      <c r="AD5189"/>
      <c r="AE5189"/>
      <c r="AF5189"/>
      <c r="AG5189"/>
      <c r="AH5189"/>
      <c r="AI5189"/>
      <c r="AJ5189"/>
      <c r="AK5189"/>
      <c r="AL5189"/>
      <c r="AM5189"/>
      <c r="AN5189"/>
      <c r="AO5189"/>
    </row>
    <row r="5190" spans="1:41" ht="15">
      <c r="A5190"/>
      <c r="B5190"/>
      <c r="C5190" s="137"/>
      <c r="D5190" s="30"/>
      <c r="E5190" s="30"/>
      <c r="F5190" s="10"/>
      <c r="G5190" s="10"/>
      <c r="H5190" s="15"/>
      <c r="I5190" s="15"/>
      <c r="J5190" s="15"/>
      <c r="K5190" s="15"/>
      <c r="L5190" s="15"/>
      <c r="M5190" s="15"/>
      <c r="N5190" s="15"/>
      <c r="O5190" s="15"/>
      <c r="P5190" s="15"/>
      <c r="Q5190" s="71"/>
      <c r="R5190" s="84"/>
      <c r="S5190" s="10"/>
      <c r="T5190" s="10"/>
      <c r="U5190" s="10"/>
      <c r="V5190" s="10"/>
      <c r="W5190" s="138"/>
      <c r="Y5190"/>
      <c r="Z5190"/>
      <c r="AA5190"/>
      <c r="AB5190"/>
      <c r="AC5190"/>
      <c r="AD5190"/>
      <c r="AE5190"/>
      <c r="AF5190"/>
      <c r="AG5190"/>
      <c r="AH5190"/>
      <c r="AI5190"/>
      <c r="AJ5190"/>
      <c r="AK5190"/>
      <c r="AL5190"/>
      <c r="AM5190"/>
      <c r="AN5190"/>
      <c r="AO5190"/>
    </row>
    <row r="5191" spans="1:41" ht="15">
      <c r="A5191"/>
      <c r="B5191"/>
      <c r="C5191" s="137"/>
      <c r="D5191" s="30"/>
      <c r="E5191" s="30"/>
      <c r="F5191" s="10"/>
      <c r="G5191" s="10"/>
      <c r="H5191" s="15"/>
      <c r="I5191" s="15"/>
      <c r="J5191" s="15"/>
      <c r="K5191" s="15"/>
      <c r="L5191" s="15"/>
      <c r="M5191" s="15"/>
      <c r="N5191" s="15"/>
      <c r="O5191" s="15"/>
      <c r="P5191" s="15"/>
      <c r="Q5191" s="71"/>
      <c r="R5191" s="84"/>
      <c r="S5191" s="10"/>
      <c r="T5191" s="10"/>
      <c r="U5191" s="10"/>
      <c r="V5191" s="10"/>
      <c r="W5191" s="138"/>
      <c r="Y5191"/>
      <c r="Z5191"/>
      <c r="AA5191"/>
      <c r="AB5191"/>
      <c r="AC5191"/>
      <c r="AD5191"/>
      <c r="AE5191"/>
      <c r="AF5191"/>
      <c r="AG5191"/>
      <c r="AH5191"/>
      <c r="AI5191"/>
      <c r="AJ5191"/>
      <c r="AK5191"/>
      <c r="AL5191"/>
      <c r="AM5191"/>
      <c r="AN5191"/>
      <c r="AO5191"/>
    </row>
    <row r="5192" spans="1:41" ht="15">
      <c r="A5192"/>
      <c r="B5192"/>
      <c r="C5192" s="137"/>
      <c r="D5192" s="30"/>
      <c r="E5192" s="30"/>
      <c r="F5192" s="10"/>
      <c r="G5192" s="10"/>
      <c r="H5192" s="15"/>
      <c r="I5192" s="15"/>
      <c r="J5192" s="15"/>
      <c r="K5192" s="15"/>
      <c r="L5192" s="15"/>
      <c r="M5192" s="15"/>
      <c r="N5192" s="15"/>
      <c r="O5192" s="15"/>
      <c r="P5192" s="15"/>
      <c r="Q5192" s="71"/>
      <c r="R5192" s="84"/>
      <c r="S5192" s="10"/>
      <c r="T5192" s="10"/>
      <c r="U5192" s="10"/>
      <c r="V5192" s="10"/>
      <c r="W5192" s="138"/>
      <c r="Y5192"/>
      <c r="Z5192"/>
      <c r="AA5192"/>
      <c r="AB5192"/>
      <c r="AC5192"/>
      <c r="AD5192"/>
      <c r="AE5192"/>
      <c r="AF5192"/>
      <c r="AG5192"/>
      <c r="AH5192"/>
      <c r="AI5192"/>
      <c r="AJ5192"/>
      <c r="AK5192"/>
      <c r="AL5192"/>
      <c r="AM5192"/>
      <c r="AN5192"/>
      <c r="AO5192"/>
    </row>
    <row r="5193" spans="1:41" ht="15">
      <c r="A5193"/>
      <c r="B5193"/>
      <c r="C5193" s="137"/>
      <c r="D5193" s="30"/>
      <c r="E5193" s="30"/>
      <c r="F5193" s="10"/>
      <c r="G5193" s="10"/>
      <c r="H5193" s="15"/>
      <c r="I5193" s="15"/>
      <c r="J5193" s="15"/>
      <c r="K5193" s="15"/>
      <c r="L5193" s="15"/>
      <c r="M5193" s="15"/>
      <c r="N5193" s="15"/>
      <c r="O5193" s="15"/>
      <c r="P5193" s="15"/>
      <c r="Q5193" s="71"/>
      <c r="R5193" s="84"/>
      <c r="S5193" s="10"/>
      <c r="T5193" s="10"/>
      <c r="U5193" s="10"/>
      <c r="V5193" s="10"/>
      <c r="W5193" s="138"/>
      <c r="Y5193"/>
      <c r="Z5193"/>
      <c r="AA5193"/>
      <c r="AB5193"/>
      <c r="AC5193"/>
      <c r="AD5193"/>
      <c r="AE5193"/>
      <c r="AF5193"/>
      <c r="AG5193"/>
      <c r="AH5193"/>
      <c r="AI5193"/>
      <c r="AJ5193"/>
      <c r="AK5193"/>
      <c r="AL5193"/>
      <c r="AM5193"/>
      <c r="AN5193"/>
      <c r="AO5193"/>
    </row>
    <row r="5194" spans="1:41" ht="15">
      <c r="A5194"/>
      <c r="B5194"/>
      <c r="C5194" s="137"/>
      <c r="D5194" s="30"/>
      <c r="E5194" s="30"/>
      <c r="F5194" s="10"/>
      <c r="G5194" s="10"/>
      <c r="H5194" s="15"/>
      <c r="I5194" s="15"/>
      <c r="J5194" s="15"/>
      <c r="K5194" s="15"/>
      <c r="L5194" s="15"/>
      <c r="M5194" s="15"/>
      <c r="N5194" s="15"/>
      <c r="O5194" s="15"/>
      <c r="P5194" s="15"/>
      <c r="Q5194" s="71"/>
      <c r="R5194" s="84"/>
      <c r="S5194" s="10"/>
      <c r="T5194" s="10"/>
      <c r="U5194" s="10"/>
      <c r="V5194" s="10"/>
      <c r="W5194" s="138"/>
      <c r="Y5194"/>
      <c r="Z5194"/>
      <c r="AA5194"/>
      <c r="AB5194"/>
      <c r="AC5194"/>
      <c r="AD5194"/>
      <c r="AE5194"/>
      <c r="AF5194"/>
      <c r="AG5194"/>
      <c r="AH5194"/>
      <c r="AI5194"/>
      <c r="AJ5194"/>
      <c r="AK5194"/>
      <c r="AL5194"/>
      <c r="AM5194"/>
      <c r="AN5194"/>
      <c r="AO5194"/>
    </row>
    <row r="5195" spans="1:41" ht="15">
      <c r="A5195"/>
      <c r="B5195"/>
      <c r="C5195" s="137"/>
      <c r="D5195" s="30"/>
      <c r="E5195" s="30"/>
      <c r="F5195" s="10"/>
      <c r="G5195" s="10"/>
      <c r="H5195" s="15"/>
      <c r="I5195" s="15"/>
      <c r="J5195" s="15"/>
      <c r="K5195" s="15"/>
      <c r="L5195" s="15"/>
      <c r="M5195" s="15"/>
      <c r="N5195" s="15"/>
      <c r="O5195" s="15"/>
      <c r="P5195" s="15"/>
      <c r="Q5195" s="71"/>
      <c r="R5195" s="84"/>
      <c r="S5195" s="10"/>
      <c r="T5195" s="10"/>
      <c r="U5195" s="10"/>
      <c r="V5195" s="10"/>
      <c r="W5195" s="138"/>
      <c r="Y5195"/>
      <c r="Z5195"/>
      <c r="AA5195"/>
      <c r="AB5195"/>
      <c r="AC5195"/>
      <c r="AD5195"/>
      <c r="AE5195"/>
      <c r="AF5195"/>
      <c r="AG5195"/>
      <c r="AH5195"/>
      <c r="AI5195"/>
      <c r="AJ5195"/>
      <c r="AK5195"/>
      <c r="AL5195"/>
      <c r="AM5195"/>
      <c r="AN5195"/>
      <c r="AO5195"/>
    </row>
    <row r="5196" spans="1:41" ht="15">
      <c r="A5196"/>
      <c r="B5196"/>
      <c r="C5196" s="137"/>
      <c r="D5196" s="30"/>
      <c r="E5196" s="30"/>
      <c r="F5196" s="10"/>
      <c r="G5196" s="10"/>
      <c r="H5196" s="15"/>
      <c r="I5196" s="15"/>
      <c r="J5196" s="15"/>
      <c r="K5196" s="15"/>
      <c r="L5196" s="15"/>
      <c r="M5196" s="15"/>
      <c r="N5196" s="15"/>
      <c r="O5196" s="15"/>
      <c r="P5196" s="15"/>
      <c r="Q5196" s="71"/>
      <c r="R5196" s="84"/>
      <c r="S5196" s="10"/>
      <c r="T5196" s="10"/>
      <c r="U5196" s="10"/>
      <c r="V5196" s="10"/>
      <c r="W5196" s="138"/>
      <c r="Y5196"/>
      <c r="Z5196"/>
      <c r="AA5196"/>
      <c r="AB5196"/>
      <c r="AC5196"/>
      <c r="AD5196"/>
      <c r="AE5196"/>
      <c r="AF5196"/>
      <c r="AG5196"/>
      <c r="AH5196"/>
      <c r="AI5196"/>
      <c r="AJ5196"/>
      <c r="AK5196"/>
      <c r="AL5196"/>
      <c r="AM5196"/>
      <c r="AN5196"/>
      <c r="AO5196"/>
    </row>
    <row r="5197" spans="1:41" ht="15">
      <c r="A5197"/>
      <c r="B5197"/>
      <c r="C5197" s="137"/>
      <c r="D5197" s="30"/>
      <c r="E5197" s="30"/>
      <c r="F5197" s="10"/>
      <c r="G5197" s="10"/>
      <c r="H5197" s="15"/>
      <c r="I5197" s="15"/>
      <c r="J5197" s="15"/>
      <c r="K5197" s="15"/>
      <c r="L5197" s="15"/>
      <c r="M5197" s="15"/>
      <c r="N5197" s="15"/>
      <c r="O5197" s="15"/>
      <c r="P5197" s="15"/>
      <c r="Q5197" s="71"/>
      <c r="R5197" s="84"/>
      <c r="S5197" s="10"/>
      <c r="T5197" s="10"/>
      <c r="U5197" s="10"/>
      <c r="V5197" s="10"/>
      <c r="W5197" s="138"/>
      <c r="Y5197"/>
      <c r="Z5197"/>
      <c r="AA5197"/>
      <c r="AB5197"/>
      <c r="AC5197"/>
      <c r="AD5197"/>
      <c r="AE5197"/>
      <c r="AF5197"/>
      <c r="AG5197"/>
      <c r="AH5197"/>
      <c r="AI5197"/>
      <c r="AJ5197"/>
      <c r="AK5197"/>
      <c r="AL5197"/>
      <c r="AM5197"/>
      <c r="AN5197"/>
      <c r="AO5197"/>
    </row>
    <row r="5198" spans="1:41" ht="15">
      <c r="A5198"/>
      <c r="B5198"/>
      <c r="C5198" s="137"/>
      <c r="D5198" s="30"/>
      <c r="E5198" s="30"/>
      <c r="F5198" s="10"/>
      <c r="G5198" s="10"/>
      <c r="H5198" s="15"/>
      <c r="I5198" s="15"/>
      <c r="J5198" s="15"/>
      <c r="K5198" s="15"/>
      <c r="L5198" s="15"/>
      <c r="M5198" s="15"/>
      <c r="N5198" s="15"/>
      <c r="O5198" s="15"/>
      <c r="P5198" s="15"/>
      <c r="Q5198" s="71"/>
      <c r="R5198" s="84"/>
      <c r="S5198" s="10"/>
      <c r="T5198" s="10"/>
      <c r="U5198" s="10"/>
      <c r="V5198" s="10"/>
      <c r="W5198" s="138"/>
      <c r="Y5198"/>
      <c r="Z5198"/>
      <c r="AA5198"/>
      <c r="AB5198"/>
      <c r="AC5198"/>
      <c r="AD5198"/>
      <c r="AE5198"/>
      <c r="AF5198"/>
      <c r="AG5198"/>
      <c r="AH5198"/>
      <c r="AI5198"/>
      <c r="AJ5198"/>
      <c r="AK5198"/>
      <c r="AL5198"/>
      <c r="AM5198"/>
      <c r="AN5198"/>
      <c r="AO5198"/>
    </row>
    <row r="5199" spans="1:41" ht="15">
      <c r="A5199"/>
      <c r="B5199"/>
      <c r="C5199" s="137"/>
      <c r="D5199" s="30"/>
      <c r="E5199" s="30"/>
      <c r="F5199" s="10"/>
      <c r="G5199" s="10"/>
      <c r="H5199" s="15"/>
      <c r="I5199" s="15"/>
      <c r="J5199" s="15"/>
      <c r="K5199" s="15"/>
      <c r="L5199" s="15"/>
      <c r="M5199" s="15"/>
      <c r="N5199" s="15"/>
      <c r="O5199" s="15"/>
      <c r="P5199" s="15"/>
      <c r="Q5199" s="71"/>
      <c r="R5199" s="84"/>
      <c r="S5199" s="10"/>
      <c r="T5199" s="10"/>
      <c r="U5199" s="10"/>
      <c r="V5199" s="10"/>
      <c r="W5199" s="138"/>
      <c r="Y5199"/>
      <c r="Z5199"/>
      <c r="AA5199"/>
      <c r="AB5199"/>
      <c r="AC5199"/>
      <c r="AD5199"/>
      <c r="AE5199"/>
      <c r="AF5199"/>
      <c r="AG5199"/>
      <c r="AH5199"/>
      <c r="AI5199"/>
      <c r="AJ5199"/>
      <c r="AK5199"/>
      <c r="AL5199"/>
      <c r="AM5199"/>
      <c r="AN5199"/>
      <c r="AO5199"/>
    </row>
    <row r="5200" spans="1:41" ht="15">
      <c r="A5200"/>
      <c r="B5200"/>
      <c r="C5200" s="137"/>
      <c r="D5200" s="30"/>
      <c r="E5200" s="30"/>
      <c r="F5200" s="10"/>
      <c r="G5200" s="10"/>
      <c r="H5200" s="15"/>
      <c r="I5200" s="15"/>
      <c r="J5200" s="15"/>
      <c r="K5200" s="15"/>
      <c r="L5200" s="15"/>
      <c r="M5200" s="15"/>
      <c r="N5200" s="15"/>
      <c r="O5200" s="15"/>
      <c r="P5200" s="15"/>
      <c r="Q5200" s="71"/>
      <c r="R5200" s="84"/>
      <c r="S5200" s="10"/>
      <c r="T5200" s="10"/>
      <c r="U5200" s="10"/>
      <c r="V5200" s="10"/>
      <c r="W5200" s="138"/>
      <c r="Y5200"/>
      <c r="Z5200"/>
      <c r="AA5200"/>
      <c r="AB5200"/>
      <c r="AC5200"/>
      <c r="AD5200"/>
      <c r="AE5200"/>
      <c r="AF5200"/>
      <c r="AG5200"/>
      <c r="AH5200"/>
      <c r="AI5200"/>
      <c r="AJ5200"/>
      <c r="AK5200"/>
      <c r="AL5200"/>
      <c r="AM5200"/>
      <c r="AN5200"/>
      <c r="AO5200"/>
    </row>
    <row r="5201" spans="1:41" ht="15">
      <c r="A5201"/>
      <c r="B5201"/>
      <c r="C5201" s="137"/>
      <c r="D5201" s="30"/>
      <c r="E5201" s="30"/>
      <c r="F5201" s="10"/>
      <c r="G5201" s="10"/>
      <c r="H5201" s="15"/>
      <c r="I5201" s="15"/>
      <c r="J5201" s="15"/>
      <c r="K5201" s="15"/>
      <c r="L5201" s="15"/>
      <c r="M5201" s="15"/>
      <c r="N5201" s="15"/>
      <c r="O5201" s="15"/>
      <c r="P5201" s="15"/>
      <c r="Q5201" s="71"/>
      <c r="R5201" s="84"/>
      <c r="S5201" s="10"/>
      <c r="T5201" s="10"/>
      <c r="U5201" s="10"/>
      <c r="V5201" s="10"/>
      <c r="W5201" s="138"/>
      <c r="Y5201"/>
      <c r="Z5201"/>
      <c r="AA5201"/>
      <c r="AB5201"/>
      <c r="AC5201"/>
      <c r="AD5201"/>
      <c r="AE5201"/>
      <c r="AF5201"/>
      <c r="AG5201"/>
      <c r="AH5201"/>
      <c r="AI5201"/>
      <c r="AJ5201"/>
      <c r="AK5201"/>
      <c r="AL5201"/>
      <c r="AM5201"/>
      <c r="AN5201"/>
      <c r="AO5201"/>
    </row>
    <row r="5202" spans="1:41" ht="15">
      <c r="A5202"/>
      <c r="B5202"/>
      <c r="C5202" s="137"/>
      <c r="D5202" s="30"/>
      <c r="E5202" s="30"/>
      <c r="F5202" s="10"/>
      <c r="G5202" s="10"/>
      <c r="H5202" s="15"/>
      <c r="I5202" s="15"/>
      <c r="J5202" s="15"/>
      <c r="K5202" s="15"/>
      <c r="L5202" s="15"/>
      <c r="M5202" s="15"/>
      <c r="N5202" s="15"/>
      <c r="O5202" s="15"/>
      <c r="P5202" s="15"/>
      <c r="Q5202" s="71"/>
      <c r="R5202" s="84"/>
      <c r="S5202" s="10"/>
      <c r="T5202" s="10"/>
      <c r="U5202" s="10"/>
      <c r="V5202" s="10"/>
      <c r="W5202" s="138"/>
      <c r="Y5202"/>
      <c r="Z5202"/>
      <c r="AA5202"/>
      <c r="AB5202"/>
      <c r="AC5202"/>
      <c r="AD5202"/>
      <c r="AE5202"/>
      <c r="AF5202"/>
      <c r="AG5202"/>
      <c r="AH5202"/>
      <c r="AI5202"/>
      <c r="AJ5202"/>
      <c r="AK5202"/>
      <c r="AL5202"/>
      <c r="AM5202"/>
      <c r="AN5202"/>
      <c r="AO5202"/>
    </row>
    <row r="5203" spans="1:41" ht="15">
      <c r="A5203"/>
      <c r="B5203"/>
      <c r="C5203" s="137"/>
      <c r="D5203" s="30"/>
      <c r="E5203" s="30"/>
      <c r="F5203" s="10"/>
      <c r="G5203" s="10"/>
      <c r="H5203" s="15"/>
      <c r="I5203" s="15"/>
      <c r="J5203" s="15"/>
      <c r="K5203" s="15"/>
      <c r="L5203" s="15"/>
      <c r="M5203" s="15"/>
      <c r="N5203" s="15"/>
      <c r="O5203" s="15"/>
      <c r="P5203" s="15"/>
      <c r="Q5203" s="71"/>
      <c r="R5203" s="84"/>
      <c r="S5203" s="10"/>
      <c r="T5203" s="10"/>
      <c r="U5203" s="10"/>
      <c r="V5203" s="10"/>
      <c r="W5203" s="138"/>
      <c r="Y5203"/>
      <c r="Z5203"/>
      <c r="AA5203"/>
      <c r="AB5203"/>
      <c r="AC5203"/>
      <c r="AD5203"/>
      <c r="AE5203"/>
      <c r="AF5203"/>
      <c r="AG5203"/>
      <c r="AH5203"/>
      <c r="AI5203"/>
      <c r="AJ5203"/>
      <c r="AK5203"/>
      <c r="AL5203"/>
      <c r="AM5203"/>
      <c r="AN5203"/>
      <c r="AO5203"/>
    </row>
    <row r="5204" spans="1:41" ht="15">
      <c r="A5204"/>
      <c r="B5204"/>
      <c r="C5204" s="137"/>
      <c r="D5204" s="30"/>
      <c r="E5204" s="30"/>
      <c r="F5204" s="10"/>
      <c r="G5204" s="10"/>
      <c r="H5204" s="15"/>
      <c r="I5204" s="15"/>
      <c r="J5204" s="15"/>
      <c r="K5204" s="15"/>
      <c r="L5204" s="15"/>
      <c r="M5204" s="15"/>
      <c r="N5204" s="15"/>
      <c r="O5204" s="15"/>
      <c r="P5204" s="15"/>
      <c r="Q5204" s="71"/>
      <c r="R5204" s="84"/>
      <c r="S5204" s="10"/>
      <c r="T5204" s="10"/>
      <c r="U5204" s="10"/>
      <c r="V5204" s="10"/>
      <c r="W5204" s="138"/>
      <c r="Y5204"/>
      <c r="Z5204"/>
      <c r="AA5204"/>
      <c r="AB5204"/>
      <c r="AC5204"/>
      <c r="AD5204"/>
      <c r="AE5204"/>
      <c r="AF5204"/>
      <c r="AG5204"/>
      <c r="AH5204"/>
      <c r="AI5204"/>
      <c r="AJ5204"/>
      <c r="AK5204"/>
      <c r="AL5204"/>
      <c r="AM5204"/>
      <c r="AN5204"/>
      <c r="AO5204"/>
    </row>
    <row r="5205" spans="1:41" ht="15">
      <c r="A5205"/>
      <c r="B5205"/>
      <c r="C5205" s="137"/>
      <c r="D5205" s="30"/>
      <c r="E5205" s="30"/>
      <c r="F5205" s="10"/>
      <c r="G5205" s="10"/>
      <c r="H5205" s="15"/>
      <c r="I5205" s="15"/>
      <c r="J5205" s="15"/>
      <c r="K5205" s="15"/>
      <c r="L5205" s="15"/>
      <c r="M5205" s="15"/>
      <c r="N5205" s="15"/>
      <c r="O5205" s="15"/>
      <c r="P5205" s="15"/>
      <c r="Q5205" s="71"/>
      <c r="R5205" s="84"/>
      <c r="S5205" s="10"/>
      <c r="T5205" s="10"/>
      <c r="U5205" s="10"/>
      <c r="V5205" s="10"/>
      <c r="W5205" s="138"/>
      <c r="Y5205"/>
      <c r="Z5205"/>
      <c r="AA5205"/>
      <c r="AB5205"/>
      <c r="AC5205"/>
      <c r="AD5205"/>
      <c r="AE5205"/>
      <c r="AF5205"/>
      <c r="AG5205"/>
      <c r="AH5205"/>
      <c r="AI5205"/>
      <c r="AJ5205"/>
      <c r="AK5205"/>
      <c r="AL5205"/>
      <c r="AM5205"/>
      <c r="AN5205"/>
      <c r="AO5205"/>
    </row>
    <row r="5206" spans="1:41" ht="15">
      <c r="A5206"/>
      <c r="B5206"/>
      <c r="C5206" s="137"/>
      <c r="D5206" s="30"/>
      <c r="E5206" s="30"/>
      <c r="F5206" s="10"/>
      <c r="G5206" s="10"/>
      <c r="H5206" s="15"/>
      <c r="I5206" s="15"/>
      <c r="J5206" s="15"/>
      <c r="K5206" s="15"/>
      <c r="L5206" s="15"/>
      <c r="M5206" s="15"/>
      <c r="N5206" s="15"/>
      <c r="O5206" s="15"/>
      <c r="P5206" s="15"/>
      <c r="Q5206" s="71"/>
      <c r="R5206" s="84"/>
      <c r="S5206" s="10"/>
      <c r="T5206" s="10"/>
      <c r="U5206" s="10"/>
      <c r="V5206" s="10"/>
      <c r="W5206" s="138"/>
      <c r="Y5206"/>
      <c r="Z5206"/>
      <c r="AA5206"/>
      <c r="AB5206"/>
      <c r="AC5206"/>
      <c r="AD5206"/>
      <c r="AE5206"/>
      <c r="AF5206"/>
      <c r="AG5206"/>
      <c r="AH5206"/>
      <c r="AI5206"/>
      <c r="AJ5206"/>
      <c r="AK5206"/>
      <c r="AL5206"/>
      <c r="AM5206"/>
      <c r="AN5206"/>
      <c r="AO5206"/>
    </row>
    <row r="5207" spans="1:41" ht="15">
      <c r="A5207"/>
      <c r="B5207"/>
      <c r="C5207" s="137"/>
      <c r="D5207" s="30"/>
      <c r="E5207" s="30"/>
      <c r="F5207" s="10"/>
      <c r="G5207" s="10"/>
      <c r="H5207" s="15"/>
      <c r="I5207" s="15"/>
      <c r="J5207" s="15"/>
      <c r="K5207" s="15"/>
      <c r="L5207" s="15"/>
      <c r="M5207" s="15"/>
      <c r="N5207" s="15"/>
      <c r="O5207" s="15"/>
      <c r="P5207" s="15"/>
      <c r="Q5207" s="71"/>
      <c r="R5207" s="84"/>
      <c r="S5207" s="10"/>
      <c r="T5207" s="10"/>
      <c r="U5207" s="10"/>
      <c r="V5207" s="10"/>
      <c r="W5207" s="138"/>
      <c r="Y5207"/>
      <c r="Z5207"/>
      <c r="AA5207"/>
      <c r="AB5207"/>
      <c r="AC5207"/>
      <c r="AD5207"/>
      <c r="AE5207"/>
      <c r="AF5207"/>
      <c r="AG5207"/>
      <c r="AH5207"/>
      <c r="AI5207"/>
      <c r="AJ5207"/>
      <c r="AK5207"/>
      <c r="AL5207"/>
      <c r="AM5207"/>
      <c r="AN5207"/>
      <c r="AO5207"/>
    </row>
    <row r="5208" spans="1:41" ht="15">
      <c r="A5208"/>
      <c r="B5208"/>
      <c r="C5208" s="137"/>
      <c r="D5208" s="30"/>
      <c r="E5208" s="30"/>
      <c r="F5208" s="10"/>
      <c r="G5208" s="10"/>
      <c r="H5208" s="15"/>
      <c r="I5208" s="15"/>
      <c r="J5208" s="15"/>
      <c r="K5208" s="15"/>
      <c r="L5208" s="15"/>
      <c r="M5208" s="15"/>
      <c r="N5208" s="15"/>
      <c r="O5208" s="15"/>
      <c r="P5208" s="15"/>
      <c r="Q5208" s="71"/>
      <c r="R5208" s="84"/>
      <c r="S5208" s="10"/>
      <c r="T5208" s="10"/>
      <c r="U5208" s="10"/>
      <c r="V5208" s="10"/>
      <c r="W5208" s="138"/>
      <c r="Y5208"/>
      <c r="Z5208"/>
      <c r="AA5208"/>
      <c r="AB5208"/>
      <c r="AC5208"/>
      <c r="AD5208"/>
      <c r="AE5208"/>
      <c r="AF5208"/>
      <c r="AG5208"/>
      <c r="AH5208"/>
      <c r="AI5208"/>
      <c r="AJ5208"/>
      <c r="AK5208"/>
      <c r="AL5208"/>
      <c r="AM5208"/>
      <c r="AN5208"/>
      <c r="AO5208"/>
    </row>
    <row r="5209" spans="1:41" ht="15">
      <c r="A5209"/>
      <c r="B5209"/>
      <c r="C5209" s="137"/>
      <c r="D5209" s="30"/>
      <c r="E5209" s="30"/>
      <c r="F5209" s="10"/>
      <c r="G5209" s="10"/>
      <c r="H5209" s="15"/>
      <c r="I5209" s="15"/>
      <c r="J5209" s="15"/>
      <c r="K5209" s="15"/>
      <c r="L5209" s="15"/>
      <c r="M5209" s="15"/>
      <c r="N5209" s="15"/>
      <c r="O5209" s="15"/>
      <c r="P5209" s="15"/>
      <c r="Q5209" s="71"/>
      <c r="R5209" s="84"/>
      <c r="S5209" s="10"/>
      <c r="T5209" s="10"/>
      <c r="U5209" s="10"/>
      <c r="V5209" s="10"/>
      <c r="W5209" s="138"/>
      <c r="Y5209"/>
      <c r="Z5209"/>
      <c r="AA5209"/>
      <c r="AB5209"/>
      <c r="AC5209"/>
      <c r="AD5209"/>
      <c r="AE5209"/>
      <c r="AF5209"/>
      <c r="AG5209"/>
      <c r="AH5209"/>
      <c r="AI5209"/>
      <c r="AJ5209"/>
      <c r="AK5209"/>
      <c r="AL5209"/>
      <c r="AM5209"/>
      <c r="AN5209"/>
      <c r="AO5209"/>
    </row>
    <row r="5210" spans="1:41" ht="15">
      <c r="A5210"/>
      <c r="B5210"/>
      <c r="C5210" s="137"/>
      <c r="D5210" s="30"/>
      <c r="E5210" s="30"/>
      <c r="F5210" s="10"/>
      <c r="G5210" s="10"/>
      <c r="H5210" s="15"/>
      <c r="I5210" s="15"/>
      <c r="J5210" s="15"/>
      <c r="K5210" s="15"/>
      <c r="L5210" s="15"/>
      <c r="M5210" s="15"/>
      <c r="N5210" s="15"/>
      <c r="O5210" s="15"/>
      <c r="P5210" s="15"/>
      <c r="Q5210" s="71"/>
      <c r="R5210" s="84"/>
      <c r="S5210" s="10"/>
      <c r="T5210" s="10"/>
      <c r="U5210" s="10"/>
      <c r="V5210" s="10"/>
      <c r="W5210" s="138"/>
      <c r="Y5210"/>
      <c r="Z5210"/>
      <c r="AA5210"/>
      <c r="AB5210"/>
      <c r="AC5210"/>
      <c r="AD5210"/>
      <c r="AE5210"/>
      <c r="AF5210"/>
      <c r="AG5210"/>
      <c r="AH5210"/>
      <c r="AI5210"/>
      <c r="AJ5210"/>
      <c r="AK5210"/>
      <c r="AL5210"/>
      <c r="AM5210"/>
      <c r="AN5210"/>
      <c r="AO5210"/>
    </row>
    <row r="5211" spans="1:41" ht="15">
      <c r="A5211"/>
      <c r="B5211"/>
      <c r="C5211" s="137"/>
      <c r="D5211" s="30"/>
      <c r="E5211" s="30"/>
      <c r="F5211" s="10"/>
      <c r="G5211" s="10"/>
      <c r="H5211" s="15"/>
      <c r="I5211" s="15"/>
      <c r="J5211" s="15"/>
      <c r="K5211" s="15"/>
      <c r="L5211" s="15"/>
      <c r="M5211" s="15"/>
      <c r="N5211" s="15"/>
      <c r="O5211" s="15"/>
      <c r="P5211" s="15"/>
      <c r="Q5211" s="71"/>
      <c r="R5211" s="84"/>
      <c r="S5211" s="10"/>
      <c r="T5211" s="10"/>
      <c r="U5211" s="10"/>
      <c r="V5211" s="10"/>
      <c r="W5211" s="138"/>
      <c r="Y5211"/>
      <c r="Z5211"/>
      <c r="AA5211"/>
      <c r="AB5211"/>
      <c r="AC5211"/>
      <c r="AD5211"/>
      <c r="AE5211"/>
      <c r="AF5211"/>
      <c r="AG5211"/>
      <c r="AH5211"/>
      <c r="AI5211"/>
      <c r="AJ5211"/>
      <c r="AK5211"/>
      <c r="AL5211"/>
      <c r="AM5211"/>
      <c r="AN5211"/>
      <c r="AO5211"/>
    </row>
    <row r="5212" spans="1:41" ht="15">
      <c r="A5212"/>
      <c r="B5212"/>
      <c r="C5212" s="137"/>
      <c r="D5212" s="30"/>
      <c r="E5212" s="30"/>
      <c r="F5212" s="10"/>
      <c r="G5212" s="10"/>
      <c r="H5212" s="15"/>
      <c r="I5212" s="15"/>
      <c r="J5212" s="15"/>
      <c r="K5212" s="15"/>
      <c r="L5212" s="15"/>
      <c r="M5212" s="15"/>
      <c r="N5212" s="15"/>
      <c r="O5212" s="15"/>
      <c r="P5212" s="15"/>
      <c r="Q5212" s="71"/>
      <c r="R5212" s="84"/>
      <c r="S5212" s="10"/>
      <c r="T5212" s="10"/>
      <c r="U5212" s="10"/>
      <c r="V5212" s="10"/>
      <c r="W5212" s="138"/>
      <c r="Y5212"/>
      <c r="Z5212"/>
      <c r="AA5212"/>
      <c r="AB5212"/>
      <c r="AC5212"/>
      <c r="AD5212"/>
      <c r="AE5212"/>
      <c r="AF5212"/>
      <c r="AG5212"/>
      <c r="AH5212"/>
      <c r="AI5212"/>
      <c r="AJ5212"/>
      <c r="AK5212"/>
      <c r="AL5212"/>
      <c r="AM5212"/>
      <c r="AN5212"/>
      <c r="AO5212"/>
    </row>
    <row r="5213" spans="1:41" ht="15">
      <c r="A5213"/>
      <c r="B5213"/>
      <c r="C5213" s="137"/>
      <c r="D5213" s="30"/>
      <c r="E5213" s="30"/>
      <c r="F5213" s="10"/>
      <c r="G5213" s="10"/>
      <c r="H5213" s="15"/>
      <c r="I5213" s="15"/>
      <c r="J5213" s="15"/>
      <c r="K5213" s="15"/>
      <c r="L5213" s="15"/>
      <c r="M5213" s="15"/>
      <c r="N5213" s="15"/>
      <c r="O5213" s="15"/>
      <c r="P5213" s="15"/>
      <c r="Q5213" s="71"/>
      <c r="R5213" s="84"/>
      <c r="S5213" s="10"/>
      <c r="T5213" s="10"/>
      <c r="U5213" s="10"/>
      <c r="V5213" s="10"/>
      <c r="W5213" s="138"/>
      <c r="Y5213"/>
      <c r="Z5213"/>
      <c r="AA5213"/>
      <c r="AB5213"/>
      <c r="AC5213"/>
      <c r="AD5213"/>
      <c r="AE5213"/>
      <c r="AF5213"/>
      <c r="AG5213"/>
      <c r="AH5213"/>
      <c r="AI5213"/>
      <c r="AJ5213"/>
      <c r="AK5213"/>
      <c r="AL5213"/>
      <c r="AM5213"/>
      <c r="AN5213"/>
      <c r="AO5213"/>
    </row>
    <row r="5214" spans="1:41" ht="15">
      <c r="A5214"/>
      <c r="B5214"/>
      <c r="C5214" s="137"/>
      <c r="D5214" s="30"/>
      <c r="E5214" s="30"/>
      <c r="F5214" s="10"/>
      <c r="G5214" s="10"/>
      <c r="H5214" s="15"/>
      <c r="I5214" s="15"/>
      <c r="J5214" s="15"/>
      <c r="K5214" s="15"/>
      <c r="L5214" s="15"/>
      <c r="M5214" s="15"/>
      <c r="N5214" s="15"/>
      <c r="O5214" s="15"/>
      <c r="P5214" s="15"/>
      <c r="Q5214" s="71"/>
      <c r="R5214" s="84"/>
      <c r="S5214" s="10"/>
      <c r="T5214" s="10"/>
      <c r="U5214" s="10"/>
      <c r="V5214" s="10"/>
      <c r="W5214" s="138"/>
      <c r="Y5214"/>
      <c r="Z5214"/>
      <c r="AA5214"/>
      <c r="AB5214"/>
      <c r="AC5214"/>
      <c r="AD5214"/>
      <c r="AE5214"/>
      <c r="AF5214"/>
      <c r="AG5214"/>
      <c r="AH5214"/>
      <c r="AI5214"/>
      <c r="AJ5214"/>
      <c r="AK5214"/>
      <c r="AL5214"/>
      <c r="AM5214"/>
      <c r="AN5214"/>
      <c r="AO5214"/>
    </row>
    <row r="5215" spans="1:41" ht="15">
      <c r="A5215"/>
      <c r="B5215"/>
      <c r="C5215" s="137"/>
      <c r="D5215" s="30"/>
      <c r="E5215" s="30"/>
      <c r="F5215" s="10"/>
      <c r="G5215" s="10"/>
      <c r="H5215" s="15"/>
      <c r="I5215" s="15"/>
      <c r="J5215" s="15"/>
      <c r="K5215" s="15"/>
      <c r="L5215" s="15"/>
      <c r="M5215" s="15"/>
      <c r="N5215" s="15"/>
      <c r="O5215" s="15"/>
      <c r="P5215" s="15"/>
      <c r="Q5215" s="71"/>
      <c r="R5215" s="84"/>
      <c r="S5215" s="10"/>
      <c r="T5215" s="10"/>
      <c r="U5215" s="10"/>
      <c r="V5215" s="10"/>
      <c r="W5215" s="138"/>
      <c r="Y5215"/>
      <c r="Z5215"/>
      <c r="AA5215"/>
      <c r="AB5215"/>
      <c r="AC5215"/>
      <c r="AD5215"/>
      <c r="AE5215"/>
      <c r="AF5215"/>
      <c r="AG5215"/>
      <c r="AH5215"/>
      <c r="AI5215"/>
      <c r="AJ5215"/>
      <c r="AK5215"/>
      <c r="AL5215"/>
      <c r="AM5215"/>
      <c r="AN5215"/>
      <c r="AO5215"/>
    </row>
    <row r="5216" spans="1:41" ht="15">
      <c r="A5216"/>
      <c r="B5216"/>
      <c r="C5216" s="137"/>
      <c r="D5216" s="30"/>
      <c r="E5216" s="30"/>
      <c r="F5216" s="10"/>
      <c r="G5216" s="10"/>
      <c r="H5216" s="15"/>
      <c r="I5216" s="15"/>
      <c r="J5216" s="15"/>
      <c r="K5216" s="15"/>
      <c r="L5216" s="15"/>
      <c r="M5216" s="15"/>
      <c r="N5216" s="15"/>
      <c r="O5216" s="15"/>
      <c r="P5216" s="15"/>
      <c r="Q5216" s="71"/>
      <c r="R5216" s="84"/>
      <c r="S5216" s="10"/>
      <c r="T5216" s="10"/>
      <c r="U5216" s="10"/>
      <c r="V5216" s="10"/>
      <c r="W5216" s="138"/>
      <c r="Y5216"/>
      <c r="Z5216"/>
      <c r="AA5216"/>
      <c r="AB5216"/>
      <c r="AC5216"/>
      <c r="AD5216"/>
      <c r="AE5216"/>
      <c r="AF5216"/>
      <c r="AG5216"/>
      <c r="AH5216"/>
      <c r="AI5216"/>
      <c r="AJ5216"/>
      <c r="AK5216"/>
      <c r="AL5216"/>
      <c r="AM5216"/>
      <c r="AN5216"/>
      <c r="AO5216"/>
    </row>
    <row r="5217" spans="1:41" ht="15">
      <c r="A5217"/>
      <c r="B5217"/>
      <c r="C5217" s="137"/>
      <c r="D5217" s="30"/>
      <c r="E5217" s="30"/>
      <c r="F5217" s="10"/>
      <c r="G5217" s="10"/>
      <c r="H5217" s="15"/>
      <c r="I5217" s="15"/>
      <c r="J5217" s="15"/>
      <c r="K5217" s="15"/>
      <c r="L5217" s="15"/>
      <c r="M5217" s="15"/>
      <c r="N5217" s="15"/>
      <c r="O5217" s="15"/>
      <c r="P5217" s="15"/>
      <c r="Q5217" s="71"/>
      <c r="R5217" s="84"/>
      <c r="S5217" s="10"/>
      <c r="T5217" s="10"/>
      <c r="U5217" s="10"/>
      <c r="V5217" s="10"/>
      <c r="W5217" s="138"/>
      <c r="Y5217"/>
      <c r="Z5217"/>
      <c r="AA5217"/>
      <c r="AB5217"/>
      <c r="AC5217"/>
      <c r="AD5217"/>
      <c r="AE5217"/>
      <c r="AF5217"/>
      <c r="AG5217"/>
      <c r="AH5217"/>
      <c r="AI5217"/>
      <c r="AJ5217"/>
      <c r="AK5217"/>
      <c r="AL5217"/>
      <c r="AM5217"/>
      <c r="AN5217"/>
      <c r="AO5217"/>
    </row>
    <row r="5218" spans="1:41" ht="15">
      <c r="A5218"/>
      <c r="B5218"/>
      <c r="C5218" s="137"/>
      <c r="D5218" s="30"/>
      <c r="E5218" s="30"/>
      <c r="F5218" s="10"/>
      <c r="G5218" s="10"/>
      <c r="H5218" s="15"/>
      <c r="I5218" s="15"/>
      <c r="J5218" s="15"/>
      <c r="K5218" s="15"/>
      <c r="L5218" s="15"/>
      <c r="M5218" s="15"/>
      <c r="N5218" s="15"/>
      <c r="O5218" s="15"/>
      <c r="P5218" s="15"/>
      <c r="Q5218" s="71"/>
      <c r="R5218" s="84"/>
      <c r="S5218" s="10"/>
      <c r="T5218" s="10"/>
      <c r="U5218" s="10"/>
      <c r="V5218" s="10"/>
      <c r="W5218" s="138"/>
      <c r="Y5218"/>
      <c r="Z5218"/>
      <c r="AA5218"/>
      <c r="AB5218"/>
      <c r="AC5218"/>
      <c r="AD5218"/>
      <c r="AE5218"/>
      <c r="AF5218"/>
      <c r="AG5218"/>
      <c r="AH5218"/>
      <c r="AI5218"/>
      <c r="AJ5218"/>
      <c r="AK5218"/>
      <c r="AL5218"/>
      <c r="AM5218"/>
      <c r="AN5218"/>
      <c r="AO5218"/>
    </row>
    <row r="5219" spans="1:41" ht="15">
      <c r="A5219"/>
      <c r="B5219"/>
      <c r="C5219" s="137"/>
      <c r="D5219" s="30"/>
      <c r="E5219" s="30"/>
      <c r="F5219" s="10"/>
      <c r="G5219" s="10"/>
      <c r="H5219" s="15"/>
      <c r="I5219" s="15"/>
      <c r="J5219" s="15"/>
      <c r="K5219" s="15"/>
      <c r="L5219" s="15"/>
      <c r="M5219" s="15"/>
      <c r="N5219" s="15"/>
      <c r="O5219" s="15"/>
      <c r="P5219" s="15"/>
      <c r="Q5219" s="71"/>
      <c r="R5219" s="84"/>
      <c r="S5219" s="10"/>
      <c r="T5219" s="10"/>
      <c r="U5219" s="10"/>
      <c r="V5219" s="10"/>
      <c r="W5219" s="138"/>
      <c r="Y5219"/>
      <c r="Z5219"/>
      <c r="AA5219"/>
      <c r="AB5219"/>
      <c r="AC5219"/>
      <c r="AD5219"/>
      <c r="AE5219"/>
      <c r="AF5219"/>
      <c r="AG5219"/>
      <c r="AH5219"/>
      <c r="AI5219"/>
      <c r="AJ5219"/>
      <c r="AK5219"/>
      <c r="AL5219"/>
      <c r="AM5219"/>
      <c r="AN5219"/>
      <c r="AO5219"/>
    </row>
    <row r="5220" spans="1:41" ht="15">
      <c r="A5220"/>
      <c r="B5220"/>
      <c r="C5220" s="137"/>
      <c r="D5220" s="30"/>
      <c r="E5220" s="30"/>
      <c r="F5220" s="10"/>
      <c r="G5220" s="10"/>
      <c r="H5220" s="15"/>
      <c r="I5220" s="15"/>
      <c r="J5220" s="15"/>
      <c r="K5220" s="15"/>
      <c r="L5220" s="15"/>
      <c r="M5220" s="15"/>
      <c r="N5220" s="15"/>
      <c r="O5220" s="15"/>
      <c r="P5220" s="15"/>
      <c r="Q5220" s="71"/>
      <c r="R5220" s="84"/>
      <c r="S5220" s="10"/>
      <c r="T5220" s="10"/>
      <c r="U5220" s="10"/>
      <c r="V5220" s="10"/>
      <c r="W5220" s="138"/>
      <c r="Y5220"/>
      <c r="Z5220"/>
      <c r="AA5220"/>
      <c r="AB5220"/>
      <c r="AC5220"/>
      <c r="AD5220"/>
      <c r="AE5220"/>
      <c r="AF5220"/>
      <c r="AG5220"/>
      <c r="AH5220"/>
      <c r="AI5220"/>
      <c r="AJ5220"/>
      <c r="AK5220"/>
      <c r="AL5220"/>
      <c r="AM5220"/>
      <c r="AN5220"/>
      <c r="AO5220"/>
    </row>
    <row r="5221" spans="1:41" ht="15">
      <c r="A5221"/>
      <c r="B5221"/>
      <c r="C5221" s="137"/>
      <c r="D5221" s="30"/>
      <c r="E5221" s="30"/>
      <c r="F5221" s="10"/>
      <c r="G5221" s="10"/>
      <c r="H5221" s="15"/>
      <c r="I5221" s="15"/>
      <c r="J5221" s="15"/>
      <c r="K5221" s="15"/>
      <c r="L5221" s="15"/>
      <c r="M5221" s="15"/>
      <c r="N5221" s="15"/>
      <c r="O5221" s="15"/>
      <c r="P5221" s="15"/>
      <c r="Q5221" s="71"/>
      <c r="R5221" s="84"/>
      <c r="S5221" s="10"/>
      <c r="T5221" s="10"/>
      <c r="U5221" s="10"/>
      <c r="V5221" s="10"/>
      <c r="W5221" s="138"/>
      <c r="Y5221"/>
      <c r="Z5221"/>
      <c r="AA5221"/>
      <c r="AB5221"/>
      <c r="AC5221"/>
      <c r="AD5221"/>
      <c r="AE5221"/>
      <c r="AF5221"/>
      <c r="AG5221"/>
      <c r="AH5221"/>
      <c r="AI5221"/>
      <c r="AJ5221"/>
      <c r="AK5221"/>
      <c r="AL5221"/>
      <c r="AM5221"/>
      <c r="AN5221"/>
      <c r="AO5221"/>
    </row>
    <row r="5222" spans="1:41" ht="15">
      <c r="A5222"/>
      <c r="B5222"/>
      <c r="C5222" s="137"/>
      <c r="D5222" s="30"/>
      <c r="E5222" s="30"/>
      <c r="F5222" s="10"/>
      <c r="G5222" s="10"/>
      <c r="H5222" s="15"/>
      <c r="I5222" s="15"/>
      <c r="J5222" s="15"/>
      <c r="K5222" s="15"/>
      <c r="L5222" s="15"/>
      <c r="M5222" s="15"/>
      <c r="N5222" s="15"/>
      <c r="O5222" s="15"/>
      <c r="P5222" s="15"/>
      <c r="Q5222" s="71"/>
      <c r="R5222" s="84"/>
      <c r="S5222" s="10"/>
      <c r="T5222" s="10"/>
      <c r="U5222" s="10"/>
      <c r="V5222" s="10"/>
      <c r="W5222" s="138"/>
      <c r="Y5222"/>
      <c r="Z5222"/>
      <c r="AA5222"/>
      <c r="AB5222"/>
      <c r="AC5222"/>
      <c r="AD5222"/>
      <c r="AE5222"/>
      <c r="AF5222"/>
      <c r="AG5222"/>
      <c r="AH5222"/>
      <c r="AI5222"/>
      <c r="AJ5222"/>
      <c r="AK5222"/>
      <c r="AL5222"/>
      <c r="AM5222"/>
      <c r="AN5222"/>
      <c r="AO5222"/>
    </row>
    <row r="5223" spans="1:41" ht="15">
      <c r="A5223"/>
      <c r="B5223"/>
      <c r="C5223" s="137"/>
      <c r="D5223" s="30"/>
      <c r="E5223" s="30"/>
      <c r="F5223" s="10"/>
      <c r="G5223" s="10"/>
      <c r="H5223" s="15"/>
      <c r="I5223" s="15"/>
      <c r="J5223" s="15"/>
      <c r="K5223" s="15"/>
      <c r="L5223" s="15"/>
      <c r="M5223" s="15"/>
      <c r="N5223" s="15"/>
      <c r="O5223" s="15"/>
      <c r="P5223" s="15"/>
      <c r="Q5223" s="71"/>
      <c r="R5223" s="84"/>
      <c r="S5223" s="10"/>
      <c r="T5223" s="10"/>
      <c r="U5223" s="10"/>
      <c r="V5223" s="10"/>
      <c r="W5223" s="138"/>
      <c r="Y5223"/>
      <c r="Z5223"/>
      <c r="AA5223"/>
      <c r="AB5223"/>
      <c r="AC5223"/>
      <c r="AD5223"/>
      <c r="AE5223"/>
      <c r="AF5223"/>
      <c r="AG5223"/>
      <c r="AH5223"/>
      <c r="AI5223"/>
      <c r="AJ5223"/>
      <c r="AK5223"/>
      <c r="AL5223"/>
      <c r="AM5223"/>
      <c r="AN5223"/>
      <c r="AO5223"/>
    </row>
    <row r="5224" spans="1:41" ht="15">
      <c r="A5224"/>
      <c r="B5224"/>
      <c r="C5224" s="137"/>
      <c r="D5224" s="30"/>
      <c r="E5224" s="30"/>
      <c r="F5224" s="10"/>
      <c r="G5224" s="10"/>
      <c r="H5224" s="15"/>
      <c r="I5224" s="15"/>
      <c r="J5224" s="15"/>
      <c r="K5224" s="15"/>
      <c r="L5224" s="15"/>
      <c r="M5224" s="15"/>
      <c r="N5224" s="15"/>
      <c r="O5224" s="15"/>
      <c r="P5224" s="15"/>
      <c r="Q5224" s="71"/>
      <c r="R5224" s="84"/>
      <c r="S5224" s="10"/>
      <c r="T5224" s="10"/>
      <c r="U5224" s="10"/>
      <c r="V5224" s="10"/>
      <c r="W5224" s="138"/>
      <c r="Y5224"/>
      <c r="Z5224"/>
      <c r="AA5224"/>
      <c r="AB5224"/>
      <c r="AC5224"/>
      <c r="AD5224"/>
      <c r="AE5224"/>
      <c r="AF5224"/>
      <c r="AG5224"/>
      <c r="AH5224"/>
      <c r="AI5224"/>
      <c r="AJ5224"/>
      <c r="AK5224"/>
      <c r="AL5224"/>
      <c r="AM5224"/>
      <c r="AN5224"/>
      <c r="AO5224"/>
    </row>
    <row r="5225" spans="1:41" ht="15">
      <c r="A5225"/>
      <c r="B5225"/>
      <c r="C5225" s="137"/>
      <c r="D5225" s="30"/>
      <c r="E5225" s="30"/>
      <c r="F5225" s="10"/>
      <c r="G5225" s="10"/>
      <c r="H5225" s="15"/>
      <c r="I5225" s="15"/>
      <c r="J5225" s="15"/>
      <c r="K5225" s="15"/>
      <c r="L5225" s="15"/>
      <c r="M5225" s="15"/>
      <c r="N5225" s="15"/>
      <c r="O5225" s="15"/>
      <c r="P5225" s="15"/>
      <c r="Q5225" s="71"/>
      <c r="R5225" s="84"/>
      <c r="S5225" s="10"/>
      <c r="T5225" s="10"/>
      <c r="U5225" s="10"/>
      <c r="V5225" s="10"/>
      <c r="W5225" s="138"/>
      <c r="Y5225"/>
      <c r="Z5225"/>
      <c r="AA5225"/>
      <c r="AB5225"/>
      <c r="AC5225"/>
      <c r="AD5225"/>
      <c r="AE5225"/>
      <c r="AF5225"/>
      <c r="AG5225"/>
      <c r="AH5225"/>
      <c r="AI5225"/>
      <c r="AJ5225"/>
      <c r="AK5225"/>
      <c r="AL5225"/>
      <c r="AM5225"/>
      <c r="AN5225"/>
      <c r="AO5225"/>
    </row>
    <row r="5226" spans="1:41" ht="15">
      <c r="A5226"/>
      <c r="B5226"/>
      <c r="C5226" s="137"/>
      <c r="D5226" s="30"/>
      <c r="E5226" s="30"/>
      <c r="F5226" s="10"/>
      <c r="G5226" s="10"/>
      <c r="H5226" s="15"/>
      <c r="I5226" s="15"/>
      <c r="J5226" s="15"/>
      <c r="K5226" s="15"/>
      <c r="L5226" s="15"/>
      <c r="M5226" s="15"/>
      <c r="N5226" s="15"/>
      <c r="O5226" s="15"/>
      <c r="P5226" s="15"/>
      <c r="Q5226" s="71"/>
      <c r="R5226" s="84"/>
      <c r="S5226" s="10"/>
      <c r="T5226" s="10"/>
      <c r="U5226" s="10"/>
      <c r="V5226" s="10"/>
      <c r="W5226" s="138"/>
      <c r="Y5226"/>
      <c r="Z5226"/>
      <c r="AA5226"/>
      <c r="AB5226"/>
      <c r="AC5226"/>
      <c r="AD5226"/>
      <c r="AE5226"/>
      <c r="AF5226"/>
      <c r="AG5226"/>
      <c r="AH5226"/>
      <c r="AI5226"/>
      <c r="AJ5226"/>
      <c r="AK5226"/>
      <c r="AL5226"/>
      <c r="AM5226"/>
      <c r="AN5226"/>
      <c r="AO5226"/>
    </row>
    <row r="5227" spans="1:41" ht="15">
      <c r="A5227"/>
      <c r="B5227"/>
      <c r="C5227" s="137"/>
      <c r="D5227" s="30"/>
      <c r="E5227" s="30"/>
      <c r="F5227" s="10"/>
      <c r="G5227" s="10"/>
      <c r="H5227" s="15"/>
      <c r="I5227" s="15"/>
      <c r="J5227" s="15"/>
      <c r="K5227" s="15"/>
      <c r="L5227" s="15"/>
      <c r="M5227" s="15"/>
      <c r="N5227" s="15"/>
      <c r="O5227" s="15"/>
      <c r="P5227" s="15"/>
      <c r="Q5227" s="71"/>
      <c r="R5227" s="84"/>
      <c r="S5227" s="10"/>
      <c r="T5227" s="10"/>
      <c r="U5227" s="10"/>
      <c r="V5227" s="10"/>
      <c r="W5227" s="138"/>
      <c r="Y5227"/>
      <c r="Z5227"/>
      <c r="AA5227"/>
      <c r="AB5227"/>
      <c r="AC5227"/>
      <c r="AD5227"/>
      <c r="AE5227"/>
      <c r="AF5227"/>
      <c r="AG5227"/>
      <c r="AH5227"/>
      <c r="AI5227"/>
      <c r="AJ5227"/>
      <c r="AK5227"/>
      <c r="AL5227"/>
      <c r="AM5227"/>
      <c r="AN5227"/>
      <c r="AO5227"/>
    </row>
    <row r="5228" spans="1:41" ht="15">
      <c r="A5228"/>
      <c r="B5228"/>
      <c r="C5228" s="137"/>
      <c r="D5228" s="30"/>
      <c r="E5228" s="30"/>
      <c r="F5228" s="10"/>
      <c r="G5228" s="10"/>
      <c r="H5228" s="15"/>
      <c r="I5228" s="15"/>
      <c r="J5228" s="15"/>
      <c r="K5228" s="15"/>
      <c r="L5228" s="15"/>
      <c r="M5228" s="15"/>
      <c r="N5228" s="15"/>
      <c r="O5228" s="15"/>
      <c r="P5228" s="15"/>
      <c r="Q5228" s="71"/>
      <c r="R5228" s="84"/>
      <c r="S5228" s="10"/>
      <c r="T5228" s="10"/>
      <c r="U5228" s="10"/>
      <c r="V5228" s="10"/>
      <c r="W5228" s="138"/>
      <c r="Y5228"/>
      <c r="Z5228"/>
      <c r="AA5228"/>
      <c r="AB5228"/>
      <c r="AC5228"/>
      <c r="AD5228"/>
      <c r="AE5228"/>
      <c r="AF5228"/>
      <c r="AG5228"/>
      <c r="AH5228"/>
      <c r="AI5228"/>
      <c r="AJ5228"/>
      <c r="AK5228"/>
      <c r="AL5228"/>
      <c r="AM5228"/>
      <c r="AN5228"/>
      <c r="AO5228"/>
    </row>
    <row r="5229" spans="1:41" ht="15">
      <c r="A5229"/>
      <c r="B5229"/>
      <c r="C5229" s="137"/>
      <c r="D5229" s="30"/>
      <c r="E5229" s="30"/>
      <c r="F5229" s="10"/>
      <c r="G5229" s="10"/>
      <c r="H5229" s="15"/>
      <c r="I5229" s="15"/>
      <c r="J5229" s="15"/>
      <c r="K5229" s="15"/>
      <c r="L5229" s="15"/>
      <c r="M5229" s="15"/>
      <c r="N5229" s="15"/>
      <c r="O5229" s="15"/>
      <c r="P5229" s="15"/>
      <c r="Q5229" s="71"/>
      <c r="R5229" s="84"/>
      <c r="S5229" s="10"/>
      <c r="T5229" s="10"/>
      <c r="U5229" s="10"/>
      <c r="V5229" s="10"/>
      <c r="W5229" s="138"/>
      <c r="Y5229"/>
      <c r="Z5229"/>
      <c r="AA5229"/>
      <c r="AB5229"/>
      <c r="AC5229"/>
      <c r="AD5229"/>
      <c r="AE5229"/>
      <c r="AF5229"/>
      <c r="AG5229"/>
      <c r="AH5229"/>
      <c r="AI5229"/>
      <c r="AJ5229"/>
      <c r="AK5229"/>
      <c r="AL5229"/>
      <c r="AM5229"/>
      <c r="AN5229"/>
      <c r="AO5229"/>
    </row>
    <row r="5230" spans="1:41" ht="15">
      <c r="A5230"/>
      <c r="B5230"/>
      <c r="C5230" s="137"/>
      <c r="D5230" s="30"/>
      <c r="E5230" s="30"/>
      <c r="F5230" s="10"/>
      <c r="G5230" s="10"/>
      <c r="H5230" s="15"/>
      <c r="I5230" s="15"/>
      <c r="J5230" s="15"/>
      <c r="K5230" s="15"/>
      <c r="L5230" s="15"/>
      <c r="M5230" s="15"/>
      <c r="N5230" s="15"/>
      <c r="O5230" s="15"/>
      <c r="P5230" s="15"/>
      <c r="Q5230" s="71"/>
      <c r="R5230" s="84"/>
      <c r="S5230" s="10"/>
      <c r="T5230" s="10"/>
      <c r="U5230" s="10"/>
      <c r="V5230" s="10"/>
      <c r="W5230" s="138"/>
      <c r="Y5230"/>
      <c r="Z5230"/>
      <c r="AA5230"/>
      <c r="AB5230"/>
      <c r="AC5230"/>
      <c r="AD5230"/>
      <c r="AE5230"/>
      <c r="AF5230"/>
      <c r="AG5230"/>
      <c r="AH5230"/>
      <c r="AI5230"/>
      <c r="AJ5230"/>
      <c r="AK5230"/>
      <c r="AL5230"/>
      <c r="AM5230"/>
      <c r="AN5230"/>
      <c r="AO5230"/>
    </row>
    <row r="5231" spans="1:41" ht="15">
      <c r="A5231"/>
      <c r="B5231"/>
      <c r="C5231" s="137"/>
      <c r="D5231" s="30"/>
      <c r="E5231" s="30"/>
      <c r="F5231" s="10"/>
      <c r="G5231" s="10"/>
      <c r="H5231" s="15"/>
      <c r="I5231" s="15"/>
      <c r="J5231" s="15"/>
      <c r="K5231" s="15"/>
      <c r="L5231" s="15"/>
      <c r="M5231" s="15"/>
      <c r="N5231" s="15"/>
      <c r="O5231" s="15"/>
      <c r="P5231" s="15"/>
      <c r="Q5231" s="71"/>
      <c r="R5231" s="84"/>
      <c r="S5231" s="10"/>
      <c r="T5231" s="10"/>
      <c r="U5231" s="10"/>
      <c r="V5231" s="10"/>
      <c r="W5231" s="138"/>
      <c r="Y5231"/>
      <c r="Z5231"/>
      <c r="AA5231"/>
      <c r="AB5231"/>
      <c r="AC5231"/>
      <c r="AD5231"/>
      <c r="AE5231"/>
      <c r="AF5231"/>
      <c r="AG5231"/>
      <c r="AH5231"/>
      <c r="AI5231"/>
      <c r="AJ5231"/>
      <c r="AK5231"/>
      <c r="AL5231"/>
      <c r="AM5231"/>
      <c r="AN5231"/>
      <c r="AO5231"/>
    </row>
    <row r="5232" spans="1:41" ht="15">
      <c r="A5232"/>
      <c r="B5232"/>
      <c r="C5232" s="137"/>
      <c r="D5232" s="30"/>
      <c r="E5232" s="30"/>
      <c r="F5232" s="10"/>
      <c r="G5232" s="10"/>
      <c r="H5232" s="15"/>
      <c r="I5232" s="15"/>
      <c r="J5232" s="15"/>
      <c r="K5232" s="15"/>
      <c r="L5232" s="15"/>
      <c r="M5232" s="15"/>
      <c r="N5232" s="15"/>
      <c r="O5232" s="15"/>
      <c r="P5232" s="15"/>
      <c r="Q5232" s="71"/>
      <c r="R5232" s="84"/>
      <c r="S5232" s="10"/>
      <c r="T5232" s="10"/>
      <c r="U5232" s="10"/>
      <c r="V5232" s="10"/>
      <c r="W5232" s="138"/>
      <c r="Y5232"/>
      <c r="Z5232"/>
      <c r="AA5232"/>
      <c r="AB5232"/>
      <c r="AC5232"/>
      <c r="AD5232"/>
      <c r="AE5232"/>
      <c r="AF5232"/>
      <c r="AG5232"/>
      <c r="AH5232"/>
      <c r="AI5232"/>
      <c r="AJ5232"/>
      <c r="AK5232"/>
      <c r="AL5232"/>
      <c r="AM5232"/>
      <c r="AN5232"/>
      <c r="AO5232"/>
    </row>
    <row r="5233" spans="1:41" ht="15">
      <c r="A5233"/>
      <c r="B5233"/>
      <c r="C5233" s="137"/>
      <c r="D5233" s="30"/>
      <c r="E5233" s="30"/>
      <c r="F5233" s="10"/>
      <c r="G5233" s="10"/>
      <c r="H5233" s="15"/>
      <c r="I5233" s="15"/>
      <c r="J5233" s="15"/>
      <c r="K5233" s="15"/>
      <c r="L5233" s="15"/>
      <c r="M5233" s="15"/>
      <c r="N5233" s="15"/>
      <c r="O5233" s="15"/>
      <c r="P5233" s="15"/>
      <c r="Q5233" s="71"/>
      <c r="R5233" s="84"/>
      <c r="S5233" s="10"/>
      <c r="T5233" s="10"/>
      <c r="U5233" s="10"/>
      <c r="V5233" s="10"/>
      <c r="W5233" s="138"/>
      <c r="Y5233"/>
      <c r="Z5233"/>
      <c r="AA5233"/>
      <c r="AB5233"/>
      <c r="AC5233"/>
      <c r="AD5233"/>
      <c r="AE5233"/>
      <c r="AF5233"/>
      <c r="AG5233"/>
      <c r="AH5233"/>
      <c r="AI5233"/>
      <c r="AJ5233"/>
      <c r="AK5233"/>
      <c r="AL5233"/>
      <c r="AM5233"/>
      <c r="AN5233"/>
      <c r="AO5233"/>
    </row>
    <row r="5234" spans="1:41" ht="15">
      <c r="A5234"/>
      <c r="B5234"/>
      <c r="C5234" s="137"/>
      <c r="D5234" s="30"/>
      <c r="E5234" s="30"/>
      <c r="F5234" s="10"/>
      <c r="G5234" s="10"/>
      <c r="H5234" s="15"/>
      <c r="I5234" s="15"/>
      <c r="J5234" s="15"/>
      <c r="K5234" s="15"/>
      <c r="L5234" s="15"/>
      <c r="M5234" s="15"/>
      <c r="N5234" s="15"/>
      <c r="O5234" s="15"/>
      <c r="P5234" s="15"/>
      <c r="Q5234" s="71"/>
      <c r="R5234" s="84"/>
      <c r="S5234" s="10"/>
      <c r="T5234" s="10"/>
      <c r="U5234" s="10"/>
      <c r="V5234" s="10"/>
      <c r="W5234" s="138"/>
      <c r="Y5234"/>
      <c r="Z5234"/>
      <c r="AA5234"/>
      <c r="AB5234"/>
      <c r="AC5234"/>
      <c r="AD5234"/>
      <c r="AE5234"/>
      <c r="AF5234"/>
      <c r="AG5234"/>
      <c r="AH5234"/>
      <c r="AI5234"/>
      <c r="AJ5234"/>
      <c r="AK5234"/>
      <c r="AL5234"/>
      <c r="AM5234"/>
      <c r="AN5234"/>
      <c r="AO5234"/>
    </row>
    <row r="5235" spans="1:41" ht="15">
      <c r="A5235"/>
      <c r="B5235"/>
      <c r="C5235" s="137"/>
      <c r="D5235" s="30"/>
      <c r="E5235" s="30"/>
      <c r="F5235" s="10"/>
      <c r="G5235" s="10"/>
      <c r="H5235" s="15"/>
      <c r="I5235" s="15"/>
      <c r="J5235" s="15"/>
      <c r="K5235" s="15"/>
      <c r="L5235" s="15"/>
      <c r="M5235" s="15"/>
      <c r="N5235" s="15"/>
      <c r="O5235" s="15"/>
      <c r="P5235" s="15"/>
      <c r="Q5235" s="71"/>
      <c r="R5235" s="84"/>
      <c r="S5235" s="10"/>
      <c r="T5235" s="10"/>
      <c r="U5235" s="10"/>
      <c r="V5235" s="10"/>
      <c r="W5235" s="138"/>
      <c r="Y5235"/>
      <c r="Z5235"/>
      <c r="AA5235"/>
      <c r="AB5235"/>
      <c r="AC5235"/>
      <c r="AD5235"/>
      <c r="AE5235"/>
      <c r="AF5235"/>
      <c r="AG5235"/>
      <c r="AH5235"/>
      <c r="AI5235"/>
      <c r="AJ5235"/>
      <c r="AK5235"/>
      <c r="AL5235"/>
      <c r="AM5235"/>
      <c r="AN5235"/>
      <c r="AO5235"/>
    </row>
    <row r="5236" spans="1:41" ht="15">
      <c r="A5236"/>
      <c r="B5236"/>
      <c r="C5236" s="137"/>
      <c r="D5236" s="30"/>
      <c r="E5236" s="30"/>
      <c r="F5236" s="10"/>
      <c r="G5236" s="10"/>
      <c r="H5236" s="15"/>
      <c r="I5236" s="15"/>
      <c r="J5236" s="15"/>
      <c r="K5236" s="15"/>
      <c r="L5236" s="15"/>
      <c r="M5236" s="15"/>
      <c r="N5236" s="15"/>
      <c r="O5236" s="15"/>
      <c r="P5236" s="15"/>
      <c r="Q5236" s="71"/>
      <c r="R5236" s="84"/>
      <c r="S5236" s="10"/>
      <c r="T5236" s="10"/>
      <c r="U5236" s="10"/>
      <c r="V5236" s="10"/>
      <c r="W5236" s="138"/>
      <c r="Y5236"/>
      <c r="Z5236"/>
      <c r="AA5236"/>
      <c r="AB5236"/>
      <c r="AC5236"/>
      <c r="AD5236"/>
      <c r="AE5236"/>
      <c r="AF5236"/>
      <c r="AG5236"/>
      <c r="AH5236"/>
      <c r="AI5236"/>
      <c r="AJ5236"/>
      <c r="AK5236"/>
      <c r="AL5236"/>
      <c r="AM5236"/>
      <c r="AN5236"/>
      <c r="AO5236"/>
    </row>
    <row r="5237" spans="1:41" ht="15">
      <c r="A5237"/>
      <c r="B5237"/>
      <c r="C5237" s="137"/>
      <c r="D5237" s="30"/>
      <c r="E5237" s="30"/>
      <c r="F5237" s="10"/>
      <c r="G5237" s="10"/>
      <c r="H5237" s="15"/>
      <c r="I5237" s="15"/>
      <c r="J5237" s="15"/>
      <c r="K5237" s="15"/>
      <c r="L5237" s="15"/>
      <c r="M5237" s="15"/>
      <c r="N5237" s="15"/>
      <c r="O5237" s="15"/>
      <c r="P5237" s="15"/>
      <c r="Q5237" s="71"/>
      <c r="R5237" s="84"/>
      <c r="S5237" s="10"/>
      <c r="T5237" s="10"/>
      <c r="U5237" s="10"/>
      <c r="V5237" s="10"/>
      <c r="W5237" s="138"/>
      <c r="Y5237"/>
      <c r="Z5237"/>
      <c r="AA5237"/>
      <c r="AB5237"/>
      <c r="AC5237"/>
      <c r="AD5237"/>
      <c r="AE5237"/>
      <c r="AF5237"/>
      <c r="AG5237"/>
      <c r="AH5237"/>
      <c r="AI5237"/>
      <c r="AJ5237"/>
      <c r="AK5237"/>
      <c r="AL5237"/>
      <c r="AM5237"/>
      <c r="AN5237"/>
      <c r="AO5237"/>
    </row>
    <row r="5238" spans="1:41" ht="15">
      <c r="A5238"/>
      <c r="B5238"/>
      <c r="C5238" s="137"/>
      <c r="D5238" s="30"/>
      <c r="E5238" s="30"/>
      <c r="F5238" s="10"/>
      <c r="G5238" s="10"/>
      <c r="H5238" s="15"/>
      <c r="I5238" s="15"/>
      <c r="J5238" s="15"/>
      <c r="K5238" s="15"/>
      <c r="L5238" s="15"/>
      <c r="M5238" s="15"/>
      <c r="N5238" s="15"/>
      <c r="O5238" s="15"/>
      <c r="P5238" s="15"/>
      <c r="Q5238" s="71"/>
      <c r="R5238" s="84"/>
      <c r="S5238" s="10"/>
      <c r="T5238" s="10"/>
      <c r="U5238" s="10"/>
      <c r="V5238" s="10"/>
      <c r="W5238" s="138"/>
      <c r="Y5238"/>
      <c r="Z5238"/>
      <c r="AA5238"/>
      <c r="AB5238"/>
      <c r="AC5238"/>
      <c r="AD5238"/>
      <c r="AE5238"/>
      <c r="AF5238"/>
      <c r="AG5238"/>
      <c r="AH5238"/>
      <c r="AI5238"/>
      <c r="AJ5238"/>
      <c r="AK5238"/>
      <c r="AL5238"/>
      <c r="AM5238"/>
      <c r="AN5238"/>
      <c r="AO5238"/>
    </row>
    <row r="5239" spans="1:41" ht="15">
      <c r="A5239"/>
      <c r="B5239"/>
      <c r="C5239" s="137"/>
      <c r="D5239" s="30"/>
      <c r="E5239" s="30"/>
      <c r="F5239" s="10"/>
      <c r="G5239" s="10"/>
      <c r="H5239" s="15"/>
      <c r="I5239" s="15"/>
      <c r="J5239" s="15"/>
      <c r="K5239" s="15"/>
      <c r="L5239" s="15"/>
      <c r="M5239" s="15"/>
      <c r="N5239" s="15"/>
      <c r="O5239" s="15"/>
      <c r="P5239" s="15"/>
      <c r="Q5239" s="71"/>
      <c r="R5239" s="84"/>
      <c r="S5239" s="10"/>
      <c r="T5239" s="10"/>
      <c r="U5239" s="10"/>
      <c r="V5239" s="10"/>
      <c r="W5239" s="138"/>
      <c r="Y5239"/>
      <c r="Z5239"/>
      <c r="AA5239"/>
      <c r="AB5239"/>
      <c r="AC5239"/>
      <c r="AD5239"/>
      <c r="AE5239"/>
      <c r="AF5239"/>
      <c r="AG5239"/>
      <c r="AH5239"/>
      <c r="AI5239"/>
      <c r="AJ5239"/>
      <c r="AK5239"/>
      <c r="AL5239"/>
      <c r="AM5239"/>
      <c r="AN5239"/>
      <c r="AO5239"/>
    </row>
    <row r="5240" spans="1:41" ht="15">
      <c r="A5240"/>
      <c r="B5240"/>
      <c r="C5240" s="137"/>
      <c r="D5240" s="30"/>
      <c r="E5240" s="30"/>
      <c r="F5240" s="10"/>
      <c r="G5240" s="10"/>
      <c r="H5240" s="15"/>
      <c r="I5240" s="15"/>
      <c r="J5240" s="15"/>
      <c r="K5240" s="15"/>
      <c r="L5240" s="15"/>
      <c r="M5240" s="15"/>
      <c r="N5240" s="15"/>
      <c r="O5240" s="15"/>
      <c r="P5240" s="15"/>
      <c r="Q5240" s="71"/>
      <c r="R5240" s="84"/>
      <c r="S5240" s="10"/>
      <c r="T5240" s="10"/>
      <c r="U5240" s="10"/>
      <c r="V5240" s="10"/>
      <c r="W5240" s="138"/>
      <c r="Y5240"/>
      <c r="Z5240"/>
      <c r="AA5240"/>
      <c r="AB5240"/>
      <c r="AC5240"/>
      <c r="AD5240"/>
      <c r="AE5240"/>
      <c r="AF5240"/>
      <c r="AG5240"/>
      <c r="AH5240"/>
      <c r="AI5240"/>
      <c r="AJ5240"/>
      <c r="AK5240"/>
      <c r="AL5240"/>
      <c r="AM5240"/>
      <c r="AN5240"/>
      <c r="AO5240"/>
    </row>
    <row r="5241" spans="1:41" ht="15">
      <c r="A5241"/>
      <c r="B5241"/>
      <c r="C5241" s="137"/>
      <c r="D5241" s="30"/>
      <c r="E5241" s="30"/>
      <c r="F5241" s="10"/>
      <c r="G5241" s="10"/>
      <c r="H5241" s="15"/>
      <c r="I5241" s="15"/>
      <c r="J5241" s="15"/>
      <c r="K5241" s="15"/>
      <c r="L5241" s="15"/>
      <c r="M5241" s="15"/>
      <c r="N5241" s="15"/>
      <c r="O5241" s="15"/>
      <c r="P5241" s="15"/>
      <c r="Q5241" s="71"/>
      <c r="R5241" s="84"/>
      <c r="S5241" s="10"/>
      <c r="T5241" s="10"/>
      <c r="U5241" s="10"/>
      <c r="V5241" s="10"/>
      <c r="W5241" s="138"/>
      <c r="Y5241"/>
      <c r="Z5241"/>
      <c r="AA5241"/>
      <c r="AB5241"/>
      <c r="AC5241"/>
      <c r="AD5241"/>
      <c r="AE5241"/>
      <c r="AF5241"/>
      <c r="AG5241"/>
      <c r="AH5241"/>
      <c r="AI5241"/>
      <c r="AJ5241"/>
      <c r="AK5241"/>
      <c r="AL5241"/>
      <c r="AM5241"/>
      <c r="AN5241"/>
      <c r="AO5241"/>
    </row>
    <row r="5242" spans="1:41" ht="15">
      <c r="A5242"/>
      <c r="B5242"/>
      <c r="C5242" s="137"/>
      <c r="D5242" s="30"/>
      <c r="E5242" s="30"/>
      <c r="F5242" s="10"/>
      <c r="G5242" s="10"/>
      <c r="H5242" s="15"/>
      <c r="I5242" s="15"/>
      <c r="J5242" s="15"/>
      <c r="K5242" s="15"/>
      <c r="L5242" s="15"/>
      <c r="M5242" s="15"/>
      <c r="N5242" s="15"/>
      <c r="O5242" s="15"/>
      <c r="P5242" s="15"/>
      <c r="Q5242" s="71"/>
      <c r="R5242" s="84"/>
      <c r="S5242" s="10"/>
      <c r="T5242" s="10"/>
      <c r="U5242" s="10"/>
      <c r="V5242" s="10"/>
      <c r="W5242" s="138"/>
      <c r="Y5242"/>
      <c r="Z5242"/>
      <c r="AA5242"/>
      <c r="AB5242"/>
      <c r="AC5242"/>
      <c r="AD5242"/>
      <c r="AE5242"/>
      <c r="AF5242"/>
      <c r="AG5242"/>
      <c r="AH5242"/>
      <c r="AI5242"/>
      <c r="AJ5242"/>
      <c r="AK5242"/>
      <c r="AL5242"/>
      <c r="AM5242"/>
      <c r="AN5242"/>
      <c r="AO5242"/>
    </row>
    <row r="5243" spans="1:41" ht="15">
      <c r="A5243"/>
      <c r="B5243"/>
      <c r="C5243" s="137"/>
      <c r="D5243" s="30"/>
      <c r="E5243" s="30"/>
      <c r="F5243" s="10"/>
      <c r="G5243" s="10"/>
      <c r="H5243" s="15"/>
      <c r="I5243" s="15"/>
      <c r="J5243" s="15"/>
      <c r="K5243" s="15"/>
      <c r="L5243" s="15"/>
      <c r="M5243" s="15"/>
      <c r="N5243" s="15"/>
      <c r="O5243" s="15"/>
      <c r="P5243" s="15"/>
      <c r="Q5243" s="71"/>
      <c r="R5243" s="84"/>
      <c r="S5243" s="10"/>
      <c r="T5243" s="10"/>
      <c r="U5243" s="10"/>
      <c r="V5243" s="10"/>
      <c r="W5243" s="138"/>
      <c r="Y5243"/>
      <c r="Z5243"/>
      <c r="AA5243"/>
      <c r="AB5243"/>
      <c r="AC5243"/>
      <c r="AD5243"/>
      <c r="AE5243"/>
      <c r="AF5243"/>
      <c r="AG5243"/>
      <c r="AH5243"/>
      <c r="AI5243"/>
      <c r="AJ5243"/>
      <c r="AK5243"/>
      <c r="AL5243"/>
      <c r="AM5243"/>
      <c r="AN5243"/>
      <c r="AO5243"/>
    </row>
    <row r="5244" spans="1:41" ht="15">
      <c r="A5244"/>
      <c r="B5244"/>
      <c r="C5244" s="137"/>
      <c r="D5244" s="30"/>
      <c r="E5244" s="30"/>
      <c r="F5244" s="10"/>
      <c r="G5244" s="10"/>
      <c r="H5244" s="15"/>
      <c r="I5244" s="15"/>
      <c r="J5244" s="15"/>
      <c r="K5244" s="15"/>
      <c r="L5244" s="15"/>
      <c r="M5244" s="15"/>
      <c r="N5244" s="15"/>
      <c r="O5244" s="15"/>
      <c r="P5244" s="15"/>
      <c r="Q5244" s="71"/>
      <c r="R5244" s="84"/>
      <c r="S5244" s="10"/>
      <c r="T5244" s="10"/>
      <c r="U5244" s="10"/>
      <c r="V5244" s="10"/>
      <c r="W5244" s="138"/>
      <c r="Y5244"/>
      <c r="Z5244"/>
      <c r="AA5244"/>
      <c r="AB5244"/>
      <c r="AC5244"/>
      <c r="AD5244"/>
      <c r="AE5244"/>
      <c r="AF5244"/>
      <c r="AG5244"/>
      <c r="AH5244"/>
      <c r="AI5244"/>
      <c r="AJ5244"/>
      <c r="AK5244"/>
      <c r="AL5244"/>
      <c r="AM5244"/>
      <c r="AN5244"/>
      <c r="AO5244"/>
    </row>
    <row r="5245" spans="1:41" ht="15">
      <c r="A5245"/>
      <c r="B5245"/>
      <c r="C5245" s="137"/>
      <c r="D5245" s="30"/>
      <c r="E5245" s="30"/>
      <c r="F5245" s="10"/>
      <c r="G5245" s="10"/>
      <c r="H5245" s="15"/>
      <c r="I5245" s="15"/>
      <c r="J5245" s="15"/>
      <c r="K5245" s="15"/>
      <c r="L5245" s="15"/>
      <c r="M5245" s="15"/>
      <c r="N5245" s="15"/>
      <c r="O5245" s="15"/>
      <c r="P5245" s="15"/>
      <c r="Q5245" s="71"/>
      <c r="R5245" s="84"/>
      <c r="S5245" s="10"/>
      <c r="T5245" s="10"/>
      <c r="U5245" s="10"/>
      <c r="V5245" s="10"/>
      <c r="W5245" s="138"/>
      <c r="Y5245"/>
      <c r="Z5245"/>
      <c r="AA5245"/>
      <c r="AB5245"/>
      <c r="AC5245"/>
      <c r="AD5245"/>
      <c r="AE5245"/>
      <c r="AF5245"/>
      <c r="AG5245"/>
      <c r="AH5245"/>
      <c r="AI5245"/>
      <c r="AJ5245"/>
      <c r="AK5245"/>
      <c r="AL5245"/>
      <c r="AM5245"/>
      <c r="AN5245"/>
      <c r="AO5245"/>
    </row>
    <row r="5246" spans="1:41" ht="15">
      <c r="A5246"/>
      <c r="B5246"/>
      <c r="C5246" s="137"/>
      <c r="D5246" s="30"/>
      <c r="E5246" s="30"/>
      <c r="F5246" s="10"/>
      <c r="G5246" s="10"/>
      <c r="H5246" s="15"/>
      <c r="I5246" s="15"/>
      <c r="J5246" s="15"/>
      <c r="K5246" s="15"/>
      <c r="L5246" s="15"/>
      <c r="M5246" s="15"/>
      <c r="N5246" s="15"/>
      <c r="O5246" s="15"/>
      <c r="P5246" s="15"/>
      <c r="Q5246" s="71"/>
      <c r="R5246" s="84"/>
      <c r="S5246" s="10"/>
      <c r="T5246" s="10"/>
      <c r="U5246" s="10"/>
      <c r="V5246" s="10"/>
      <c r="W5246" s="138"/>
      <c r="Y5246"/>
      <c r="Z5246"/>
      <c r="AA5246"/>
      <c r="AB5246"/>
      <c r="AC5246"/>
      <c r="AD5246"/>
      <c r="AE5246"/>
      <c r="AF5246"/>
      <c r="AG5246"/>
      <c r="AH5246"/>
      <c r="AI5246"/>
      <c r="AJ5246"/>
      <c r="AK5246"/>
      <c r="AL5246"/>
      <c r="AM5246"/>
      <c r="AN5246"/>
      <c r="AO5246"/>
    </row>
    <row r="5247" spans="1:41" ht="15">
      <c r="A5247"/>
      <c r="B5247"/>
      <c r="C5247" s="137"/>
      <c r="D5247" s="30"/>
      <c r="E5247" s="30"/>
      <c r="F5247" s="10"/>
      <c r="G5247" s="10"/>
      <c r="H5247" s="15"/>
      <c r="I5247" s="15"/>
      <c r="J5247" s="15"/>
      <c r="K5247" s="15"/>
      <c r="L5247" s="15"/>
      <c r="M5247" s="15"/>
      <c r="N5247" s="15"/>
      <c r="O5247" s="15"/>
      <c r="P5247" s="15"/>
      <c r="Q5247" s="71"/>
      <c r="R5247" s="84"/>
      <c r="S5247" s="10"/>
      <c r="T5247" s="10"/>
      <c r="U5247" s="10"/>
      <c r="V5247" s="10"/>
      <c r="W5247" s="138"/>
      <c r="Y5247"/>
      <c r="Z5247"/>
      <c r="AA5247"/>
      <c r="AB5247"/>
      <c r="AC5247"/>
      <c r="AD5247"/>
      <c r="AE5247"/>
      <c r="AF5247"/>
      <c r="AG5247"/>
      <c r="AH5247"/>
      <c r="AI5247"/>
      <c r="AJ5247"/>
      <c r="AK5247"/>
      <c r="AL5247"/>
      <c r="AM5247"/>
      <c r="AN5247"/>
      <c r="AO5247"/>
    </row>
    <row r="5248" spans="1:41" ht="15">
      <c r="A5248"/>
      <c r="B5248"/>
      <c r="C5248" s="137"/>
      <c r="D5248" s="30"/>
      <c r="E5248" s="30"/>
      <c r="F5248" s="10"/>
      <c r="G5248" s="10"/>
      <c r="H5248" s="15"/>
      <c r="I5248" s="15"/>
      <c r="J5248" s="15"/>
      <c r="K5248" s="15"/>
      <c r="L5248" s="15"/>
      <c r="M5248" s="15"/>
      <c r="N5248" s="15"/>
      <c r="O5248" s="15"/>
      <c r="P5248" s="15"/>
      <c r="Q5248" s="71"/>
      <c r="R5248" s="84"/>
      <c r="S5248" s="10"/>
      <c r="T5248" s="10"/>
      <c r="U5248" s="10"/>
      <c r="V5248" s="10"/>
      <c r="W5248" s="138"/>
      <c r="Y5248"/>
      <c r="Z5248"/>
      <c r="AA5248"/>
      <c r="AB5248"/>
      <c r="AC5248"/>
      <c r="AD5248"/>
      <c r="AE5248"/>
      <c r="AF5248"/>
      <c r="AG5248"/>
      <c r="AH5248"/>
      <c r="AI5248"/>
      <c r="AJ5248"/>
      <c r="AK5248"/>
      <c r="AL5248"/>
      <c r="AM5248"/>
      <c r="AN5248"/>
      <c r="AO5248"/>
    </row>
    <row r="5249" spans="1:41" ht="15">
      <c r="A5249"/>
      <c r="B5249"/>
      <c r="C5249" s="137"/>
      <c r="D5249" s="30"/>
      <c r="E5249" s="30"/>
      <c r="F5249" s="10"/>
      <c r="G5249" s="10"/>
      <c r="H5249" s="15"/>
      <c r="I5249" s="15"/>
      <c r="J5249" s="15"/>
      <c r="K5249" s="15"/>
      <c r="L5249" s="15"/>
      <c r="M5249" s="15"/>
      <c r="N5249" s="15"/>
      <c r="O5249" s="15"/>
      <c r="P5249" s="15"/>
      <c r="Q5249" s="71"/>
      <c r="R5249" s="84"/>
      <c r="S5249" s="10"/>
      <c r="T5249" s="10"/>
      <c r="U5249" s="10"/>
      <c r="V5249" s="10"/>
      <c r="W5249" s="138"/>
      <c r="Y5249"/>
      <c r="Z5249"/>
      <c r="AA5249"/>
      <c r="AB5249"/>
      <c r="AC5249"/>
      <c r="AD5249"/>
      <c r="AE5249"/>
      <c r="AF5249"/>
      <c r="AG5249"/>
      <c r="AH5249"/>
      <c r="AI5249"/>
      <c r="AJ5249"/>
      <c r="AK5249"/>
      <c r="AL5249"/>
      <c r="AM5249"/>
      <c r="AN5249"/>
      <c r="AO5249"/>
    </row>
    <row r="5250" spans="1:41" ht="15">
      <c r="A5250"/>
      <c r="B5250"/>
      <c r="C5250" s="137"/>
      <c r="D5250" s="30"/>
      <c r="E5250" s="30"/>
      <c r="F5250" s="10"/>
      <c r="G5250" s="10"/>
      <c r="H5250" s="15"/>
      <c r="I5250" s="15"/>
      <c r="J5250" s="15"/>
      <c r="K5250" s="15"/>
      <c r="L5250" s="15"/>
      <c r="M5250" s="15"/>
      <c r="N5250" s="15"/>
      <c r="O5250" s="15"/>
      <c r="P5250" s="15"/>
      <c r="Q5250" s="71"/>
      <c r="R5250" s="84"/>
      <c r="S5250" s="10"/>
      <c r="T5250" s="10"/>
      <c r="U5250" s="10"/>
      <c r="V5250" s="10"/>
      <c r="W5250" s="138"/>
      <c r="Y5250"/>
      <c r="Z5250"/>
      <c r="AA5250"/>
      <c r="AB5250"/>
      <c r="AC5250"/>
      <c r="AD5250"/>
      <c r="AE5250"/>
      <c r="AF5250"/>
      <c r="AG5250"/>
      <c r="AH5250"/>
      <c r="AI5250"/>
      <c r="AJ5250"/>
      <c r="AK5250"/>
      <c r="AL5250"/>
      <c r="AM5250"/>
      <c r="AN5250"/>
      <c r="AO5250"/>
    </row>
    <row r="5251" spans="1:41" ht="15">
      <c r="A5251"/>
      <c r="B5251"/>
      <c r="C5251" s="137"/>
      <c r="D5251" s="30"/>
      <c r="E5251" s="30"/>
      <c r="F5251" s="10"/>
      <c r="G5251" s="10"/>
      <c r="H5251" s="15"/>
      <c r="I5251" s="15"/>
      <c r="J5251" s="15"/>
      <c r="K5251" s="15"/>
      <c r="L5251" s="15"/>
      <c r="M5251" s="15"/>
      <c r="N5251" s="15"/>
      <c r="O5251" s="15"/>
      <c r="P5251" s="15"/>
      <c r="Q5251" s="71"/>
      <c r="R5251" s="84"/>
      <c r="S5251" s="10"/>
      <c r="T5251" s="10"/>
      <c r="U5251" s="10"/>
      <c r="V5251" s="10"/>
      <c r="W5251" s="138"/>
      <c r="Y5251"/>
      <c r="Z5251"/>
      <c r="AA5251"/>
      <c r="AB5251"/>
      <c r="AC5251"/>
      <c r="AD5251"/>
      <c r="AE5251"/>
      <c r="AF5251"/>
      <c r="AG5251"/>
      <c r="AH5251"/>
      <c r="AI5251"/>
      <c r="AJ5251"/>
      <c r="AK5251"/>
      <c r="AL5251"/>
      <c r="AM5251"/>
      <c r="AN5251"/>
      <c r="AO5251"/>
    </row>
    <row r="5252" spans="1:41" ht="15">
      <c r="A5252"/>
      <c r="B5252"/>
      <c r="C5252" s="137"/>
      <c r="D5252" s="30"/>
      <c r="E5252" s="30"/>
      <c r="F5252" s="10"/>
      <c r="G5252" s="10"/>
      <c r="H5252" s="15"/>
      <c r="I5252" s="15"/>
      <c r="J5252" s="15"/>
      <c r="K5252" s="15"/>
      <c r="L5252" s="15"/>
      <c r="M5252" s="15"/>
      <c r="N5252" s="15"/>
      <c r="O5252" s="15"/>
      <c r="P5252" s="15"/>
      <c r="Q5252" s="71"/>
      <c r="R5252" s="84"/>
      <c r="S5252" s="10"/>
      <c r="T5252" s="10"/>
      <c r="U5252" s="10"/>
      <c r="V5252" s="10"/>
      <c r="W5252" s="138"/>
      <c r="Y5252"/>
      <c r="Z5252"/>
      <c r="AA5252"/>
      <c r="AB5252"/>
      <c r="AC5252"/>
      <c r="AD5252"/>
      <c r="AE5252"/>
      <c r="AF5252"/>
      <c r="AG5252"/>
      <c r="AH5252"/>
      <c r="AI5252"/>
      <c r="AJ5252"/>
      <c r="AK5252"/>
      <c r="AL5252"/>
      <c r="AM5252"/>
      <c r="AN5252"/>
      <c r="AO5252"/>
    </row>
    <row r="5253" spans="1:41" ht="15">
      <c r="A5253"/>
      <c r="B5253"/>
      <c r="C5253" s="137"/>
      <c r="D5253" s="30"/>
      <c r="E5253" s="30"/>
      <c r="F5253" s="10"/>
      <c r="G5253" s="10"/>
      <c r="H5253" s="15"/>
      <c r="I5253" s="15"/>
      <c r="J5253" s="15"/>
      <c r="K5253" s="15"/>
      <c r="L5253" s="15"/>
      <c r="M5253" s="15"/>
      <c r="N5253" s="15"/>
      <c r="O5253" s="15"/>
      <c r="P5253" s="15"/>
      <c r="Q5253" s="71"/>
      <c r="R5253" s="84"/>
      <c r="S5253" s="10"/>
      <c r="T5253" s="10"/>
      <c r="U5253" s="10"/>
      <c r="V5253" s="10"/>
      <c r="W5253" s="138"/>
      <c r="Y5253"/>
      <c r="Z5253"/>
      <c r="AA5253"/>
      <c r="AB5253"/>
      <c r="AC5253"/>
      <c r="AD5253"/>
      <c r="AE5253"/>
      <c r="AF5253"/>
      <c r="AG5253"/>
      <c r="AH5253"/>
      <c r="AI5253"/>
      <c r="AJ5253"/>
      <c r="AK5253"/>
      <c r="AL5253"/>
      <c r="AM5253"/>
      <c r="AN5253"/>
      <c r="AO5253"/>
    </row>
    <row r="5254" spans="1:41" ht="15">
      <c r="A5254"/>
      <c r="B5254"/>
      <c r="C5254" s="137"/>
      <c r="D5254" s="30"/>
      <c r="E5254" s="30"/>
      <c r="F5254" s="10"/>
      <c r="G5254" s="10"/>
      <c r="H5254" s="15"/>
      <c r="I5254" s="15"/>
      <c r="J5254" s="15"/>
      <c r="K5254" s="15"/>
      <c r="L5254" s="15"/>
      <c r="M5254" s="15"/>
      <c r="N5254" s="15"/>
      <c r="O5254" s="15"/>
      <c r="P5254" s="15"/>
      <c r="Q5254" s="71"/>
      <c r="R5254" s="84"/>
      <c r="S5254" s="10"/>
      <c r="T5254" s="10"/>
      <c r="U5254" s="10"/>
      <c r="V5254" s="10"/>
      <c r="W5254" s="138"/>
      <c r="Y5254"/>
      <c r="Z5254"/>
      <c r="AA5254"/>
      <c r="AB5254"/>
      <c r="AC5254"/>
      <c r="AD5254"/>
      <c r="AE5254"/>
      <c r="AF5254"/>
      <c r="AG5254"/>
      <c r="AH5254"/>
      <c r="AI5254"/>
      <c r="AJ5254"/>
      <c r="AK5254"/>
      <c r="AL5254"/>
      <c r="AM5254"/>
      <c r="AN5254"/>
      <c r="AO5254"/>
    </row>
    <row r="5255" spans="1:41" ht="15">
      <c r="A5255"/>
      <c r="B5255"/>
      <c r="C5255" s="137"/>
      <c r="D5255" s="30"/>
      <c r="E5255" s="30"/>
      <c r="F5255" s="10"/>
      <c r="G5255" s="10"/>
      <c r="H5255" s="15"/>
      <c r="I5255" s="15"/>
      <c r="J5255" s="15"/>
      <c r="K5255" s="15"/>
      <c r="L5255" s="15"/>
      <c r="M5255" s="15"/>
      <c r="N5255" s="15"/>
      <c r="O5255" s="15"/>
      <c r="P5255" s="15"/>
      <c r="Q5255" s="71"/>
      <c r="R5255" s="84"/>
      <c r="S5255" s="10"/>
      <c r="T5255" s="10"/>
      <c r="U5255" s="10"/>
      <c r="V5255" s="10"/>
      <c r="W5255" s="138"/>
      <c r="Y5255"/>
      <c r="Z5255"/>
      <c r="AA5255"/>
      <c r="AB5255"/>
      <c r="AC5255"/>
      <c r="AD5255"/>
      <c r="AE5255"/>
      <c r="AF5255"/>
      <c r="AG5255"/>
      <c r="AH5255"/>
      <c r="AI5255"/>
      <c r="AJ5255"/>
      <c r="AK5255"/>
      <c r="AL5255"/>
      <c r="AM5255"/>
      <c r="AN5255"/>
      <c r="AO5255"/>
    </row>
    <row r="5256" spans="1:41" ht="15">
      <c r="A5256"/>
      <c r="B5256"/>
      <c r="C5256" s="137"/>
      <c r="D5256" s="30"/>
      <c r="E5256" s="30"/>
      <c r="F5256" s="10"/>
      <c r="G5256" s="10"/>
      <c r="H5256" s="15"/>
      <c r="I5256" s="15"/>
      <c r="J5256" s="15"/>
      <c r="K5256" s="15"/>
      <c r="L5256" s="15"/>
      <c r="M5256" s="15"/>
      <c r="N5256" s="15"/>
      <c r="O5256" s="15"/>
      <c r="P5256" s="15"/>
      <c r="Q5256" s="71"/>
      <c r="R5256" s="84"/>
      <c r="S5256" s="10"/>
      <c r="T5256" s="10"/>
      <c r="U5256" s="10"/>
      <c r="V5256" s="10"/>
      <c r="W5256" s="138"/>
      <c r="Y5256"/>
      <c r="Z5256"/>
      <c r="AA5256"/>
      <c r="AB5256"/>
      <c r="AC5256"/>
      <c r="AD5256"/>
      <c r="AE5256"/>
      <c r="AF5256"/>
      <c r="AG5256"/>
      <c r="AH5256"/>
      <c r="AI5256"/>
      <c r="AJ5256"/>
      <c r="AK5256"/>
      <c r="AL5256"/>
      <c r="AM5256"/>
      <c r="AN5256"/>
      <c r="AO5256"/>
    </row>
    <row r="5257" spans="1:41" ht="15">
      <c r="A5257"/>
      <c r="B5257"/>
      <c r="C5257" s="137"/>
      <c r="D5257" s="30"/>
      <c r="E5257" s="30"/>
      <c r="F5257" s="10"/>
      <c r="G5257" s="10"/>
      <c r="H5257" s="15"/>
      <c r="I5257" s="15"/>
      <c r="J5257" s="15"/>
      <c r="K5257" s="15"/>
      <c r="L5257" s="15"/>
      <c r="M5257" s="15"/>
      <c r="N5257" s="15"/>
      <c r="O5257" s="15"/>
      <c r="P5257" s="15"/>
      <c r="Q5257" s="71"/>
      <c r="R5257" s="84"/>
      <c r="S5257" s="10"/>
      <c r="T5257" s="10"/>
      <c r="U5257" s="10"/>
      <c r="V5257" s="10"/>
      <c r="W5257" s="138"/>
      <c r="Y5257"/>
      <c r="Z5257"/>
      <c r="AA5257"/>
      <c r="AB5257"/>
      <c r="AC5257"/>
      <c r="AD5257"/>
      <c r="AE5257"/>
      <c r="AF5257"/>
      <c r="AG5257"/>
      <c r="AH5257"/>
      <c r="AI5257"/>
      <c r="AJ5257"/>
      <c r="AK5257"/>
      <c r="AL5257"/>
      <c r="AM5257"/>
      <c r="AN5257"/>
      <c r="AO5257"/>
    </row>
    <row r="5258" spans="1:41" ht="15">
      <c r="A5258"/>
      <c r="B5258"/>
      <c r="C5258" s="137"/>
      <c r="D5258" s="30"/>
      <c r="E5258" s="30"/>
      <c r="F5258" s="10"/>
      <c r="G5258" s="10"/>
      <c r="H5258" s="15"/>
      <c r="I5258" s="15"/>
      <c r="J5258" s="15"/>
      <c r="K5258" s="15"/>
      <c r="L5258" s="15"/>
      <c r="M5258" s="15"/>
      <c r="N5258" s="15"/>
      <c r="O5258" s="15"/>
      <c r="P5258" s="15"/>
      <c r="Q5258" s="71"/>
      <c r="R5258" s="84"/>
      <c r="S5258" s="10"/>
      <c r="T5258" s="10"/>
      <c r="U5258" s="10"/>
      <c r="V5258" s="10"/>
      <c r="W5258" s="138"/>
      <c r="Y5258"/>
      <c r="Z5258"/>
      <c r="AA5258"/>
      <c r="AB5258"/>
      <c r="AC5258"/>
      <c r="AD5258"/>
      <c r="AE5258"/>
      <c r="AF5258"/>
      <c r="AG5258"/>
      <c r="AH5258"/>
      <c r="AI5258"/>
      <c r="AJ5258"/>
      <c r="AK5258"/>
      <c r="AL5258"/>
      <c r="AM5258"/>
      <c r="AN5258"/>
      <c r="AO5258"/>
    </row>
    <row r="5259" spans="1:41" ht="15">
      <c r="A5259"/>
      <c r="B5259"/>
      <c r="C5259" s="137"/>
      <c r="D5259" s="30"/>
      <c r="E5259" s="30"/>
      <c r="F5259" s="10"/>
      <c r="G5259" s="10"/>
      <c r="H5259" s="15"/>
      <c r="I5259" s="15"/>
      <c r="J5259" s="15"/>
      <c r="K5259" s="15"/>
      <c r="L5259" s="15"/>
      <c r="M5259" s="15"/>
      <c r="N5259" s="15"/>
      <c r="O5259" s="15"/>
      <c r="P5259" s="15"/>
      <c r="Q5259" s="71"/>
      <c r="R5259" s="84"/>
      <c r="S5259" s="10"/>
      <c r="T5259" s="10"/>
      <c r="U5259" s="10"/>
      <c r="V5259" s="10"/>
      <c r="W5259" s="138"/>
      <c r="Y5259"/>
      <c r="Z5259"/>
      <c r="AA5259"/>
      <c r="AB5259"/>
      <c r="AC5259"/>
      <c r="AD5259"/>
      <c r="AE5259"/>
      <c r="AF5259"/>
      <c r="AG5259"/>
      <c r="AH5259"/>
      <c r="AI5259"/>
      <c r="AJ5259"/>
      <c r="AK5259"/>
      <c r="AL5259"/>
      <c r="AM5259"/>
      <c r="AN5259"/>
      <c r="AO5259"/>
    </row>
    <row r="5260" spans="1:41" ht="15">
      <c r="A5260"/>
      <c r="B5260"/>
      <c r="C5260" s="137"/>
      <c r="D5260" s="30"/>
      <c r="E5260" s="30"/>
      <c r="F5260" s="10"/>
      <c r="G5260" s="10"/>
      <c r="H5260" s="15"/>
      <c r="I5260" s="15"/>
      <c r="J5260" s="15"/>
      <c r="K5260" s="15"/>
      <c r="L5260" s="15"/>
      <c r="M5260" s="15"/>
      <c r="N5260" s="15"/>
      <c r="O5260" s="15"/>
      <c r="P5260" s="15"/>
      <c r="Q5260" s="71"/>
      <c r="R5260" s="84"/>
      <c r="S5260" s="10"/>
      <c r="T5260" s="10"/>
      <c r="U5260" s="10"/>
      <c r="V5260" s="10"/>
      <c r="W5260" s="138"/>
      <c r="Y5260"/>
      <c r="Z5260"/>
      <c r="AA5260"/>
      <c r="AB5260"/>
      <c r="AC5260"/>
      <c r="AD5260"/>
      <c r="AE5260"/>
      <c r="AF5260"/>
      <c r="AG5260"/>
      <c r="AH5260"/>
      <c r="AI5260"/>
      <c r="AJ5260"/>
      <c r="AK5260"/>
      <c r="AL5260"/>
      <c r="AM5260"/>
      <c r="AN5260"/>
      <c r="AO5260"/>
    </row>
    <row r="5261" spans="1:41" ht="15">
      <c r="A5261"/>
      <c r="B5261"/>
      <c r="C5261" s="137"/>
      <c r="D5261" s="30"/>
      <c r="E5261" s="30"/>
      <c r="F5261" s="10"/>
      <c r="G5261" s="10"/>
      <c r="H5261" s="15"/>
      <c r="I5261" s="15"/>
      <c r="J5261" s="15"/>
      <c r="K5261" s="15"/>
      <c r="L5261" s="15"/>
      <c r="M5261" s="15"/>
      <c r="N5261" s="15"/>
      <c r="O5261" s="15"/>
      <c r="P5261" s="15"/>
      <c r="Q5261" s="71"/>
      <c r="R5261" s="84"/>
      <c r="S5261" s="10"/>
      <c r="T5261" s="10"/>
      <c r="U5261" s="10"/>
      <c r="V5261" s="10"/>
      <c r="W5261" s="138"/>
      <c r="Y5261"/>
      <c r="Z5261"/>
      <c r="AA5261"/>
      <c r="AB5261"/>
      <c r="AC5261"/>
      <c r="AD5261"/>
      <c r="AE5261"/>
      <c r="AF5261"/>
      <c r="AG5261"/>
      <c r="AH5261"/>
      <c r="AI5261"/>
      <c r="AJ5261"/>
      <c r="AK5261"/>
      <c r="AL5261"/>
      <c r="AM5261"/>
      <c r="AN5261"/>
      <c r="AO5261"/>
    </row>
    <row r="5262" spans="1:41" ht="15">
      <c r="A5262"/>
      <c r="B5262"/>
      <c r="C5262" s="137"/>
      <c r="D5262" s="30"/>
      <c r="E5262" s="30"/>
      <c r="F5262" s="10"/>
      <c r="G5262" s="10"/>
      <c r="H5262" s="15"/>
      <c r="I5262" s="15"/>
      <c r="J5262" s="15"/>
      <c r="K5262" s="15"/>
      <c r="L5262" s="15"/>
      <c r="M5262" s="15"/>
      <c r="N5262" s="15"/>
      <c r="O5262" s="15"/>
      <c r="P5262" s="15"/>
      <c r="Q5262" s="71"/>
      <c r="R5262" s="84"/>
      <c r="S5262" s="10"/>
      <c r="T5262" s="10"/>
      <c r="U5262" s="10"/>
      <c r="V5262" s="10"/>
      <c r="W5262" s="138"/>
      <c r="Y5262"/>
      <c r="Z5262"/>
      <c r="AA5262"/>
      <c r="AB5262"/>
      <c r="AC5262"/>
      <c r="AD5262"/>
      <c r="AE5262"/>
      <c r="AF5262"/>
      <c r="AG5262"/>
      <c r="AH5262"/>
      <c r="AI5262"/>
      <c r="AJ5262"/>
      <c r="AK5262"/>
      <c r="AL5262"/>
      <c r="AM5262"/>
      <c r="AN5262"/>
      <c r="AO5262"/>
    </row>
    <row r="5263" spans="1:41" ht="15">
      <c r="A5263"/>
      <c r="B5263"/>
      <c r="C5263" s="137"/>
      <c r="D5263" s="30"/>
      <c r="E5263" s="30"/>
      <c r="F5263" s="10"/>
      <c r="G5263" s="10"/>
      <c r="H5263" s="15"/>
      <c r="I5263" s="15"/>
      <c r="J5263" s="15"/>
      <c r="K5263" s="15"/>
      <c r="L5263" s="15"/>
      <c r="M5263" s="15"/>
      <c r="N5263" s="15"/>
      <c r="O5263" s="15"/>
      <c r="P5263" s="15"/>
      <c r="Q5263" s="71"/>
      <c r="R5263" s="84"/>
      <c r="S5263" s="10"/>
      <c r="T5263" s="10"/>
      <c r="U5263" s="10"/>
      <c r="V5263" s="10"/>
      <c r="W5263" s="138"/>
      <c r="Y5263"/>
      <c r="Z5263"/>
      <c r="AA5263"/>
      <c r="AB5263"/>
      <c r="AC5263"/>
      <c r="AD5263"/>
      <c r="AE5263"/>
      <c r="AF5263"/>
      <c r="AG5263"/>
      <c r="AH5263"/>
      <c r="AI5263"/>
      <c r="AJ5263"/>
      <c r="AK5263"/>
      <c r="AL5263"/>
      <c r="AM5263"/>
      <c r="AN5263"/>
      <c r="AO5263"/>
    </row>
    <row r="5264" spans="1:41" ht="15">
      <c r="A5264"/>
      <c r="B5264"/>
      <c r="C5264" s="137"/>
      <c r="D5264" s="30"/>
      <c r="E5264" s="30"/>
      <c r="F5264" s="10"/>
      <c r="G5264" s="10"/>
      <c r="H5264" s="15"/>
      <c r="I5264" s="15"/>
      <c r="J5264" s="15"/>
      <c r="K5264" s="15"/>
      <c r="L5264" s="15"/>
      <c r="M5264" s="15"/>
      <c r="N5264" s="15"/>
      <c r="O5264" s="15"/>
      <c r="P5264" s="15"/>
      <c r="Q5264" s="71"/>
      <c r="R5264" s="84"/>
      <c r="S5264" s="10"/>
      <c r="T5264" s="10"/>
      <c r="U5264" s="10"/>
      <c r="V5264" s="10"/>
      <c r="W5264" s="138"/>
      <c r="Y5264"/>
      <c r="Z5264"/>
      <c r="AA5264"/>
      <c r="AB5264"/>
      <c r="AC5264"/>
      <c r="AD5264"/>
      <c r="AE5264"/>
      <c r="AF5264"/>
      <c r="AG5264"/>
      <c r="AH5264"/>
      <c r="AI5264"/>
      <c r="AJ5264"/>
      <c r="AK5264"/>
      <c r="AL5264"/>
      <c r="AM5264"/>
      <c r="AN5264"/>
      <c r="AO5264"/>
    </row>
    <row r="5265" spans="1:41" ht="15">
      <c r="A5265"/>
      <c r="B5265"/>
      <c r="C5265" s="137"/>
      <c r="D5265" s="30"/>
      <c r="E5265" s="30"/>
      <c r="F5265" s="10"/>
      <c r="G5265" s="10"/>
      <c r="H5265" s="15"/>
      <c r="I5265" s="15"/>
      <c r="J5265" s="15"/>
      <c r="K5265" s="15"/>
      <c r="L5265" s="15"/>
      <c r="M5265" s="15"/>
      <c r="N5265" s="15"/>
      <c r="O5265" s="15"/>
      <c r="P5265" s="15"/>
      <c r="Q5265" s="71"/>
      <c r="R5265" s="84"/>
      <c r="S5265" s="10"/>
      <c r="T5265" s="10"/>
      <c r="U5265" s="10"/>
      <c r="V5265" s="10"/>
      <c r="W5265" s="138"/>
      <c r="Y5265"/>
      <c r="Z5265"/>
      <c r="AA5265"/>
      <c r="AB5265"/>
      <c r="AC5265"/>
      <c r="AD5265"/>
      <c r="AE5265"/>
      <c r="AF5265"/>
      <c r="AG5265"/>
      <c r="AH5265"/>
      <c r="AI5265"/>
      <c r="AJ5265"/>
      <c r="AK5265"/>
      <c r="AL5265"/>
      <c r="AM5265"/>
      <c r="AN5265"/>
      <c r="AO5265"/>
    </row>
    <row r="5266" spans="1:41" ht="15">
      <c r="A5266"/>
      <c r="B5266"/>
      <c r="C5266" s="137"/>
      <c r="D5266" s="30"/>
      <c r="E5266" s="30"/>
      <c r="F5266" s="10"/>
      <c r="G5266" s="10"/>
      <c r="H5266" s="15"/>
      <c r="I5266" s="15"/>
      <c r="J5266" s="15"/>
      <c r="K5266" s="15"/>
      <c r="L5266" s="15"/>
      <c r="M5266" s="15"/>
      <c r="N5266" s="15"/>
      <c r="O5266" s="15"/>
      <c r="P5266" s="15"/>
      <c r="Q5266" s="71"/>
      <c r="R5266" s="84"/>
      <c r="S5266" s="10"/>
      <c r="T5266" s="10"/>
      <c r="U5266" s="10"/>
      <c r="V5266" s="10"/>
      <c r="W5266" s="138"/>
      <c r="Y5266"/>
      <c r="Z5266"/>
      <c r="AA5266"/>
      <c r="AB5266"/>
      <c r="AC5266"/>
      <c r="AD5266"/>
      <c r="AE5266"/>
      <c r="AF5266"/>
      <c r="AG5266"/>
      <c r="AH5266"/>
      <c r="AI5266"/>
      <c r="AJ5266"/>
      <c r="AK5266"/>
      <c r="AL5266"/>
      <c r="AM5266"/>
      <c r="AN5266"/>
      <c r="AO5266"/>
    </row>
    <row r="5267" spans="1:41" ht="15">
      <c r="A5267"/>
      <c r="B5267"/>
      <c r="C5267" s="137"/>
      <c r="D5267" s="30"/>
      <c r="E5267" s="30"/>
      <c r="F5267" s="10"/>
      <c r="G5267" s="10"/>
      <c r="H5267" s="15"/>
      <c r="I5267" s="15"/>
      <c r="J5267" s="15"/>
      <c r="K5267" s="15"/>
      <c r="L5267" s="15"/>
      <c r="M5267" s="15"/>
      <c r="N5267" s="15"/>
      <c r="O5267" s="15"/>
      <c r="P5267" s="15"/>
      <c r="Q5267" s="71"/>
      <c r="R5267" s="84"/>
      <c r="S5267" s="10"/>
      <c r="T5267" s="10"/>
      <c r="U5267" s="10"/>
      <c r="V5267" s="10"/>
      <c r="W5267" s="138"/>
      <c r="Y5267"/>
      <c r="Z5267"/>
      <c r="AA5267"/>
      <c r="AB5267"/>
      <c r="AC5267"/>
      <c r="AD5267"/>
      <c r="AE5267"/>
      <c r="AF5267"/>
      <c r="AG5267"/>
      <c r="AH5267"/>
      <c r="AI5267"/>
      <c r="AJ5267"/>
      <c r="AK5267"/>
      <c r="AL5267"/>
      <c r="AM5267"/>
      <c r="AN5267"/>
      <c r="AO5267"/>
    </row>
    <row r="5268" spans="1:41" ht="15">
      <c r="A5268"/>
      <c r="B5268"/>
      <c r="C5268" s="137"/>
      <c r="D5268" s="30"/>
      <c r="E5268" s="30"/>
      <c r="F5268" s="10"/>
      <c r="G5268" s="10"/>
      <c r="H5268" s="15"/>
      <c r="I5268" s="15"/>
      <c r="J5268" s="15"/>
      <c r="K5268" s="15"/>
      <c r="L5268" s="15"/>
      <c r="M5268" s="15"/>
      <c r="N5268" s="15"/>
      <c r="O5268" s="15"/>
      <c r="P5268" s="15"/>
      <c r="Q5268" s="71"/>
      <c r="R5268" s="84"/>
      <c r="S5268" s="10"/>
      <c r="T5268" s="10"/>
      <c r="U5268" s="10"/>
      <c r="V5268" s="10"/>
      <c r="W5268" s="138"/>
      <c r="Y5268"/>
      <c r="Z5268"/>
      <c r="AA5268"/>
      <c r="AB5268"/>
      <c r="AC5268"/>
      <c r="AD5268"/>
      <c r="AE5268"/>
      <c r="AF5268"/>
      <c r="AG5268"/>
      <c r="AH5268"/>
      <c r="AI5268"/>
      <c r="AJ5268"/>
      <c r="AK5268"/>
      <c r="AL5268"/>
      <c r="AM5268"/>
      <c r="AN5268"/>
      <c r="AO5268"/>
    </row>
    <row r="5269" spans="1:41" ht="15">
      <c r="A5269"/>
      <c r="B5269"/>
      <c r="C5269" s="137"/>
      <c r="D5269" s="30"/>
      <c r="E5269" s="30"/>
      <c r="F5269" s="10"/>
      <c r="G5269" s="10"/>
      <c r="H5269" s="15"/>
      <c r="I5269" s="15"/>
      <c r="J5269" s="15"/>
      <c r="K5269" s="15"/>
      <c r="L5269" s="15"/>
      <c r="M5269" s="15"/>
      <c r="N5269" s="15"/>
      <c r="O5269" s="15"/>
      <c r="P5269" s="15"/>
      <c r="Q5269" s="71"/>
      <c r="R5269" s="84"/>
      <c r="S5269" s="10"/>
      <c r="T5269" s="10"/>
      <c r="U5269" s="10"/>
      <c r="V5269" s="10"/>
      <c r="W5269" s="138"/>
      <c r="Y5269"/>
      <c r="Z5269"/>
      <c r="AA5269"/>
      <c r="AB5269"/>
      <c r="AC5269"/>
      <c r="AD5269"/>
      <c r="AE5269"/>
      <c r="AF5269"/>
      <c r="AG5269"/>
      <c r="AH5269"/>
      <c r="AI5269"/>
      <c r="AJ5269"/>
      <c r="AK5269"/>
      <c r="AL5269"/>
      <c r="AM5269"/>
      <c r="AN5269"/>
      <c r="AO5269"/>
    </row>
    <row r="5270" spans="1:41" ht="15">
      <c r="A5270"/>
      <c r="B5270"/>
      <c r="C5270" s="137"/>
      <c r="D5270" s="30"/>
      <c r="E5270" s="30"/>
      <c r="F5270" s="10"/>
      <c r="G5270" s="10"/>
      <c r="H5270" s="15"/>
      <c r="I5270" s="15"/>
      <c r="J5270" s="15"/>
      <c r="K5270" s="15"/>
      <c r="L5270" s="15"/>
      <c r="M5270" s="15"/>
      <c r="N5270" s="15"/>
      <c r="O5270" s="15"/>
      <c r="P5270" s="15"/>
      <c r="Q5270" s="71"/>
      <c r="R5270" s="84"/>
      <c r="S5270" s="10"/>
      <c r="T5270" s="10"/>
      <c r="U5270" s="10"/>
      <c r="V5270" s="10"/>
      <c r="W5270" s="138"/>
      <c r="Y5270"/>
      <c r="Z5270"/>
      <c r="AA5270"/>
      <c r="AB5270"/>
      <c r="AC5270"/>
      <c r="AD5270"/>
      <c r="AE5270"/>
      <c r="AF5270"/>
      <c r="AG5270"/>
      <c r="AH5270"/>
      <c r="AI5270"/>
      <c r="AJ5270"/>
      <c r="AK5270"/>
      <c r="AL5270"/>
      <c r="AM5270"/>
      <c r="AN5270"/>
      <c r="AO5270"/>
    </row>
    <row r="5271" spans="1:41" ht="15">
      <c r="A5271"/>
      <c r="B5271"/>
      <c r="C5271" s="137"/>
      <c r="D5271" s="30"/>
      <c r="E5271" s="30"/>
      <c r="F5271" s="10"/>
      <c r="G5271" s="10"/>
      <c r="H5271" s="15"/>
      <c r="I5271" s="15"/>
      <c r="J5271" s="15"/>
      <c r="K5271" s="15"/>
      <c r="L5271" s="15"/>
      <c r="M5271" s="15"/>
      <c r="N5271" s="15"/>
      <c r="O5271" s="15"/>
      <c r="P5271" s="15"/>
      <c r="Q5271" s="71"/>
      <c r="R5271" s="84"/>
      <c r="S5271" s="10"/>
      <c r="T5271" s="10"/>
      <c r="U5271" s="10"/>
      <c r="V5271" s="10"/>
      <c r="W5271" s="138"/>
      <c r="Y5271"/>
      <c r="Z5271"/>
      <c r="AA5271"/>
      <c r="AB5271"/>
      <c r="AC5271"/>
      <c r="AD5271"/>
      <c r="AE5271"/>
      <c r="AF5271"/>
      <c r="AG5271"/>
      <c r="AH5271"/>
      <c r="AI5271"/>
      <c r="AJ5271"/>
      <c r="AK5271"/>
      <c r="AL5271"/>
      <c r="AM5271"/>
      <c r="AN5271"/>
      <c r="AO5271"/>
    </row>
    <row r="5272" spans="1:41" ht="15">
      <c r="A5272"/>
      <c r="B5272"/>
      <c r="C5272" s="137"/>
      <c r="D5272" s="30"/>
      <c r="E5272" s="30"/>
      <c r="F5272" s="10"/>
      <c r="G5272" s="10"/>
      <c r="H5272" s="15"/>
      <c r="I5272" s="15"/>
      <c r="J5272" s="15"/>
      <c r="K5272" s="15"/>
      <c r="L5272" s="15"/>
      <c r="M5272" s="15"/>
      <c r="N5272" s="15"/>
      <c r="O5272" s="15"/>
      <c r="P5272" s="15"/>
      <c r="Q5272" s="71"/>
      <c r="R5272" s="84"/>
      <c r="S5272" s="10"/>
      <c r="T5272" s="10"/>
      <c r="U5272" s="10"/>
      <c r="V5272" s="10"/>
      <c r="W5272" s="138"/>
      <c r="Y5272"/>
      <c r="Z5272"/>
      <c r="AA5272"/>
      <c r="AB5272"/>
      <c r="AC5272"/>
      <c r="AD5272"/>
      <c r="AE5272"/>
      <c r="AF5272"/>
      <c r="AG5272"/>
      <c r="AH5272"/>
      <c r="AI5272"/>
      <c r="AJ5272"/>
      <c r="AK5272"/>
      <c r="AL5272"/>
      <c r="AM5272"/>
      <c r="AN5272"/>
      <c r="AO5272"/>
    </row>
    <row r="5273" spans="1:41" ht="15">
      <c r="A5273"/>
      <c r="B5273"/>
      <c r="C5273" s="137"/>
      <c r="D5273" s="30"/>
      <c r="E5273" s="30"/>
      <c r="F5273" s="10"/>
      <c r="G5273" s="10"/>
      <c r="H5273" s="15"/>
      <c r="I5273" s="15"/>
      <c r="J5273" s="15"/>
      <c r="K5273" s="15"/>
      <c r="L5273" s="15"/>
      <c r="M5273" s="15"/>
      <c r="N5273" s="15"/>
      <c r="O5273" s="15"/>
      <c r="P5273" s="15"/>
      <c r="Q5273" s="71"/>
      <c r="R5273" s="84"/>
      <c r="S5273" s="10"/>
      <c r="T5273" s="10"/>
      <c r="U5273" s="10"/>
      <c r="V5273" s="10"/>
      <c r="W5273" s="138"/>
      <c r="Y5273"/>
      <c r="Z5273"/>
      <c r="AA5273"/>
      <c r="AB5273"/>
      <c r="AC5273"/>
      <c r="AD5273"/>
      <c r="AE5273"/>
      <c r="AF5273"/>
      <c r="AG5273"/>
      <c r="AH5273"/>
      <c r="AI5273"/>
      <c r="AJ5273"/>
      <c r="AK5273"/>
      <c r="AL5273"/>
      <c r="AM5273"/>
      <c r="AN5273"/>
      <c r="AO5273"/>
    </row>
    <row r="5274" spans="1:41" ht="15">
      <c r="A5274"/>
      <c r="B5274"/>
      <c r="C5274" s="137"/>
      <c r="D5274" s="30"/>
      <c r="E5274" s="30"/>
      <c r="F5274" s="10"/>
      <c r="G5274" s="10"/>
      <c r="H5274" s="15"/>
      <c r="I5274" s="15"/>
      <c r="J5274" s="15"/>
      <c r="K5274" s="15"/>
      <c r="L5274" s="15"/>
      <c r="M5274" s="15"/>
      <c r="N5274" s="15"/>
      <c r="O5274" s="15"/>
      <c r="P5274" s="15"/>
      <c r="Q5274" s="71"/>
      <c r="R5274" s="84"/>
      <c r="S5274" s="10"/>
      <c r="T5274" s="10"/>
      <c r="U5274" s="10"/>
      <c r="V5274" s="10"/>
      <c r="W5274" s="138"/>
      <c r="Y5274"/>
      <c r="Z5274"/>
      <c r="AA5274"/>
      <c r="AB5274"/>
      <c r="AC5274"/>
      <c r="AD5274"/>
      <c r="AE5274"/>
      <c r="AF5274"/>
      <c r="AG5274"/>
      <c r="AH5274"/>
      <c r="AI5274"/>
      <c r="AJ5274"/>
      <c r="AK5274"/>
      <c r="AL5274"/>
      <c r="AM5274"/>
      <c r="AN5274"/>
      <c r="AO5274"/>
    </row>
    <row r="5275" spans="1:41" ht="15">
      <c r="A5275"/>
      <c r="B5275"/>
      <c r="C5275" s="137"/>
      <c r="D5275" s="30"/>
      <c r="E5275" s="30"/>
      <c r="F5275" s="10"/>
      <c r="G5275" s="10"/>
      <c r="H5275" s="15"/>
      <c r="I5275" s="15"/>
      <c r="J5275" s="15"/>
      <c r="K5275" s="15"/>
      <c r="L5275" s="15"/>
      <c r="M5275" s="15"/>
      <c r="N5275" s="15"/>
      <c r="O5275" s="15"/>
      <c r="P5275" s="15"/>
      <c r="Q5275" s="71"/>
      <c r="R5275" s="84"/>
      <c r="S5275" s="10"/>
      <c r="T5275" s="10"/>
      <c r="U5275" s="10"/>
      <c r="V5275" s="10"/>
      <c r="W5275" s="138"/>
      <c r="Y5275"/>
      <c r="Z5275"/>
      <c r="AA5275"/>
      <c r="AB5275"/>
      <c r="AC5275"/>
      <c r="AD5275"/>
      <c r="AE5275"/>
      <c r="AF5275"/>
      <c r="AG5275"/>
      <c r="AH5275"/>
      <c r="AI5275"/>
      <c r="AJ5275"/>
      <c r="AK5275"/>
      <c r="AL5275"/>
      <c r="AM5275"/>
      <c r="AN5275"/>
      <c r="AO5275"/>
    </row>
    <row r="5276" spans="1:41" ht="15">
      <c r="A5276"/>
      <c r="B5276"/>
      <c r="C5276" s="137"/>
      <c r="D5276" s="30"/>
      <c r="E5276" s="30"/>
      <c r="F5276" s="10"/>
      <c r="G5276" s="10"/>
      <c r="H5276" s="15"/>
      <c r="I5276" s="15"/>
      <c r="J5276" s="15"/>
      <c r="K5276" s="15"/>
      <c r="L5276" s="15"/>
      <c r="M5276" s="15"/>
      <c r="N5276" s="15"/>
      <c r="O5276" s="15"/>
      <c r="P5276" s="15"/>
      <c r="Q5276" s="71"/>
      <c r="R5276" s="84"/>
      <c r="S5276" s="10"/>
      <c r="T5276" s="10"/>
      <c r="U5276" s="10"/>
      <c r="V5276" s="10"/>
      <c r="W5276" s="138"/>
      <c r="Y5276"/>
      <c r="Z5276"/>
      <c r="AA5276"/>
      <c r="AB5276"/>
      <c r="AC5276"/>
      <c r="AD5276"/>
      <c r="AE5276"/>
      <c r="AF5276"/>
      <c r="AG5276"/>
      <c r="AH5276"/>
      <c r="AI5276"/>
      <c r="AJ5276"/>
      <c r="AK5276"/>
      <c r="AL5276"/>
      <c r="AM5276"/>
      <c r="AN5276"/>
      <c r="AO5276"/>
    </row>
    <row r="5277" spans="1:41" ht="15">
      <c r="A5277"/>
      <c r="B5277"/>
      <c r="C5277" s="137"/>
      <c r="D5277" s="30"/>
      <c r="E5277" s="30"/>
      <c r="F5277" s="10"/>
      <c r="G5277" s="10"/>
      <c r="H5277" s="15"/>
      <c r="I5277" s="15"/>
      <c r="J5277" s="15"/>
      <c r="K5277" s="15"/>
      <c r="L5277" s="15"/>
      <c r="M5277" s="15"/>
      <c r="N5277" s="15"/>
      <c r="O5277" s="15"/>
      <c r="P5277" s="15"/>
      <c r="Q5277" s="71"/>
      <c r="R5277" s="84"/>
      <c r="S5277" s="10"/>
      <c r="T5277" s="10"/>
      <c r="U5277" s="10"/>
      <c r="V5277" s="10"/>
      <c r="W5277" s="138"/>
      <c r="Y5277"/>
      <c r="Z5277"/>
      <c r="AA5277"/>
      <c r="AB5277"/>
      <c r="AC5277"/>
      <c r="AD5277"/>
      <c r="AE5277"/>
      <c r="AF5277"/>
      <c r="AG5277"/>
      <c r="AH5277"/>
      <c r="AI5277"/>
      <c r="AJ5277"/>
      <c r="AK5277"/>
      <c r="AL5277"/>
      <c r="AM5277"/>
      <c r="AN5277"/>
      <c r="AO5277"/>
    </row>
    <row r="5278" spans="1:41" ht="15">
      <c r="A5278"/>
      <c r="B5278"/>
      <c r="C5278" s="137"/>
      <c r="D5278" s="30"/>
      <c r="E5278" s="30"/>
      <c r="F5278" s="10"/>
      <c r="G5278" s="10"/>
      <c r="H5278" s="15"/>
      <c r="I5278" s="15"/>
      <c r="J5278" s="15"/>
      <c r="K5278" s="15"/>
      <c r="L5278" s="15"/>
      <c r="M5278" s="15"/>
      <c r="N5278" s="15"/>
      <c r="O5278" s="15"/>
      <c r="P5278" s="15"/>
      <c r="Q5278" s="71"/>
      <c r="R5278" s="84"/>
      <c r="S5278" s="10"/>
      <c r="T5278" s="10"/>
      <c r="U5278" s="10"/>
      <c r="V5278" s="10"/>
      <c r="W5278" s="138"/>
      <c r="Y5278"/>
      <c r="Z5278"/>
      <c r="AA5278"/>
      <c r="AB5278"/>
      <c r="AC5278"/>
      <c r="AD5278"/>
      <c r="AE5278"/>
      <c r="AF5278"/>
      <c r="AG5278"/>
      <c r="AH5278"/>
      <c r="AI5278"/>
      <c r="AJ5278"/>
      <c r="AK5278"/>
      <c r="AL5278"/>
      <c r="AM5278"/>
      <c r="AN5278"/>
      <c r="AO5278"/>
    </row>
    <row r="5279" spans="1:41" ht="15">
      <c r="A5279"/>
      <c r="B5279"/>
      <c r="C5279" s="137"/>
      <c r="D5279" s="30"/>
      <c r="E5279" s="30"/>
      <c r="F5279" s="10"/>
      <c r="G5279" s="10"/>
      <c r="H5279" s="15"/>
      <c r="I5279" s="15"/>
      <c r="J5279" s="15"/>
      <c r="K5279" s="15"/>
      <c r="L5279" s="15"/>
      <c r="M5279" s="15"/>
      <c r="N5279" s="15"/>
      <c r="O5279" s="15"/>
      <c r="P5279" s="15"/>
      <c r="Q5279" s="71"/>
      <c r="R5279" s="84"/>
      <c r="S5279" s="10"/>
      <c r="T5279" s="10"/>
      <c r="U5279" s="10"/>
      <c r="V5279" s="10"/>
      <c r="W5279" s="138"/>
      <c r="Y5279"/>
      <c r="Z5279"/>
      <c r="AA5279"/>
      <c r="AB5279"/>
      <c r="AC5279"/>
      <c r="AD5279"/>
      <c r="AE5279"/>
      <c r="AF5279"/>
      <c r="AG5279"/>
      <c r="AH5279"/>
      <c r="AI5279"/>
      <c r="AJ5279"/>
      <c r="AK5279"/>
      <c r="AL5279"/>
      <c r="AM5279"/>
      <c r="AN5279"/>
      <c r="AO5279"/>
    </row>
    <row r="5280" spans="1:41" ht="15">
      <c r="A5280"/>
      <c r="B5280"/>
      <c r="C5280" s="137"/>
      <c r="D5280" s="30"/>
      <c r="E5280" s="30"/>
      <c r="F5280" s="10"/>
      <c r="G5280" s="10"/>
      <c r="H5280" s="15"/>
      <c r="I5280" s="15"/>
      <c r="J5280" s="15"/>
      <c r="K5280" s="15"/>
      <c r="L5280" s="15"/>
      <c r="M5280" s="15"/>
      <c r="N5280" s="15"/>
      <c r="O5280" s="15"/>
      <c r="P5280" s="15"/>
      <c r="Q5280" s="71"/>
      <c r="R5280" s="84"/>
      <c r="S5280" s="10"/>
      <c r="T5280" s="10"/>
      <c r="U5280" s="10"/>
      <c r="V5280" s="10"/>
      <c r="W5280" s="138"/>
      <c r="Y5280"/>
      <c r="Z5280"/>
      <c r="AA5280"/>
      <c r="AB5280"/>
      <c r="AC5280"/>
      <c r="AD5280"/>
      <c r="AE5280"/>
      <c r="AF5280"/>
      <c r="AG5280"/>
      <c r="AH5280"/>
      <c r="AI5280"/>
      <c r="AJ5280"/>
      <c r="AK5280"/>
      <c r="AL5280"/>
      <c r="AM5280"/>
      <c r="AN5280"/>
      <c r="AO5280"/>
    </row>
    <row r="5281" spans="1:41" ht="15">
      <c r="A5281"/>
      <c r="B5281"/>
      <c r="C5281" s="137"/>
      <c r="D5281" s="30"/>
      <c r="E5281" s="30"/>
      <c r="F5281" s="10"/>
      <c r="G5281" s="10"/>
      <c r="H5281" s="15"/>
      <c r="I5281" s="15"/>
      <c r="J5281" s="15"/>
      <c r="K5281" s="15"/>
      <c r="L5281" s="15"/>
      <c r="M5281" s="15"/>
      <c r="N5281" s="15"/>
      <c r="O5281" s="15"/>
      <c r="P5281" s="15"/>
      <c r="Q5281" s="71"/>
      <c r="R5281" s="84"/>
      <c r="S5281" s="10"/>
      <c r="T5281" s="10"/>
      <c r="U5281" s="10"/>
      <c r="V5281" s="10"/>
      <c r="W5281" s="138"/>
      <c r="Y5281"/>
      <c r="Z5281"/>
      <c r="AA5281"/>
      <c r="AB5281"/>
      <c r="AC5281"/>
      <c r="AD5281"/>
      <c r="AE5281"/>
      <c r="AF5281"/>
      <c r="AG5281"/>
      <c r="AH5281"/>
      <c r="AI5281"/>
      <c r="AJ5281"/>
      <c r="AK5281"/>
      <c r="AL5281"/>
      <c r="AM5281"/>
      <c r="AN5281"/>
      <c r="AO5281"/>
    </row>
    <row r="5282" spans="1:41" ht="15">
      <c r="A5282"/>
      <c r="B5282"/>
      <c r="C5282" s="137"/>
      <c r="D5282" s="30"/>
      <c r="E5282" s="30"/>
      <c r="F5282" s="10"/>
      <c r="G5282" s="10"/>
      <c r="H5282" s="15"/>
      <c r="I5282" s="15"/>
      <c r="J5282" s="15"/>
      <c r="K5282" s="15"/>
      <c r="L5282" s="15"/>
      <c r="M5282" s="15"/>
      <c r="N5282" s="15"/>
      <c r="O5282" s="15"/>
      <c r="P5282" s="15"/>
      <c r="Q5282" s="71"/>
      <c r="R5282" s="84"/>
      <c r="S5282" s="10"/>
      <c r="T5282" s="10"/>
      <c r="U5282" s="10"/>
      <c r="V5282" s="10"/>
      <c r="W5282" s="138"/>
      <c r="Y5282"/>
      <c r="Z5282"/>
      <c r="AA5282"/>
      <c r="AB5282"/>
      <c r="AC5282"/>
      <c r="AD5282"/>
      <c r="AE5282"/>
      <c r="AF5282"/>
      <c r="AG5282"/>
      <c r="AH5282"/>
      <c r="AI5282"/>
      <c r="AJ5282"/>
      <c r="AK5282"/>
      <c r="AL5282"/>
      <c r="AM5282"/>
      <c r="AN5282"/>
      <c r="AO5282"/>
    </row>
    <row r="5283" spans="1:41" ht="15">
      <c r="A5283"/>
      <c r="B5283"/>
      <c r="C5283" s="137"/>
      <c r="D5283" s="30"/>
      <c r="E5283" s="30"/>
      <c r="F5283" s="10"/>
      <c r="G5283" s="10"/>
      <c r="H5283" s="15"/>
      <c r="I5283" s="15"/>
      <c r="J5283" s="15"/>
      <c r="K5283" s="15"/>
      <c r="L5283" s="15"/>
      <c r="M5283" s="15"/>
      <c r="N5283" s="15"/>
      <c r="O5283" s="15"/>
      <c r="P5283" s="15"/>
      <c r="Q5283" s="71"/>
      <c r="R5283" s="84"/>
      <c r="S5283" s="10"/>
      <c r="T5283" s="10"/>
      <c r="U5283" s="10"/>
      <c r="V5283" s="10"/>
      <c r="W5283" s="138"/>
      <c r="Y5283"/>
      <c r="Z5283"/>
      <c r="AA5283"/>
      <c r="AB5283"/>
      <c r="AC5283"/>
      <c r="AD5283"/>
      <c r="AE5283"/>
      <c r="AF5283"/>
      <c r="AG5283"/>
      <c r="AH5283"/>
      <c r="AI5283"/>
      <c r="AJ5283"/>
      <c r="AK5283"/>
      <c r="AL5283"/>
      <c r="AM5283"/>
      <c r="AN5283"/>
      <c r="AO5283"/>
    </row>
    <row r="5284" spans="1:41" ht="15">
      <c r="A5284"/>
      <c r="B5284"/>
      <c r="C5284" s="137"/>
      <c r="D5284" s="30"/>
      <c r="E5284" s="30"/>
      <c r="F5284" s="10"/>
      <c r="G5284" s="10"/>
      <c r="H5284" s="15"/>
      <c r="I5284" s="15"/>
      <c r="J5284" s="15"/>
      <c r="K5284" s="15"/>
      <c r="L5284" s="15"/>
      <c r="M5284" s="15"/>
      <c r="N5284" s="15"/>
      <c r="O5284" s="15"/>
      <c r="P5284" s="15"/>
      <c r="Q5284" s="71"/>
      <c r="R5284" s="84"/>
      <c r="S5284" s="10"/>
      <c r="T5284" s="10"/>
      <c r="U5284" s="10"/>
      <c r="V5284" s="10"/>
      <c r="W5284" s="138"/>
      <c r="Y5284"/>
      <c r="Z5284"/>
      <c r="AA5284"/>
      <c r="AB5284"/>
      <c r="AC5284"/>
      <c r="AD5284"/>
      <c r="AE5284"/>
      <c r="AF5284"/>
      <c r="AG5284"/>
      <c r="AH5284"/>
      <c r="AI5284"/>
      <c r="AJ5284"/>
      <c r="AK5284"/>
      <c r="AL5284"/>
      <c r="AM5284"/>
      <c r="AN5284"/>
      <c r="AO5284"/>
    </row>
    <row r="5285" spans="1:41" ht="15">
      <c r="A5285"/>
      <c r="B5285"/>
      <c r="C5285" s="137"/>
      <c r="D5285" s="30"/>
      <c r="E5285" s="30"/>
      <c r="F5285" s="10"/>
      <c r="G5285" s="10"/>
      <c r="H5285" s="15"/>
      <c r="I5285" s="15"/>
      <c r="J5285" s="15"/>
      <c r="K5285" s="15"/>
      <c r="L5285" s="15"/>
      <c r="M5285" s="15"/>
      <c r="N5285" s="15"/>
      <c r="O5285" s="15"/>
      <c r="P5285" s="15"/>
      <c r="Q5285" s="71"/>
      <c r="R5285" s="84"/>
      <c r="S5285" s="10"/>
      <c r="T5285" s="10"/>
      <c r="U5285" s="10"/>
      <c r="V5285" s="10"/>
      <c r="W5285" s="138"/>
      <c r="Y5285"/>
      <c r="Z5285"/>
      <c r="AA5285"/>
      <c r="AB5285"/>
      <c r="AC5285"/>
      <c r="AD5285"/>
      <c r="AE5285"/>
      <c r="AF5285"/>
      <c r="AG5285"/>
      <c r="AH5285"/>
      <c r="AI5285"/>
      <c r="AJ5285"/>
      <c r="AK5285"/>
      <c r="AL5285"/>
      <c r="AM5285"/>
      <c r="AN5285"/>
      <c r="AO5285"/>
    </row>
    <row r="5286" spans="1:41" ht="15">
      <c r="A5286"/>
      <c r="B5286"/>
      <c r="C5286" s="137"/>
      <c r="D5286" s="30"/>
      <c r="E5286" s="30"/>
      <c r="F5286" s="10"/>
      <c r="G5286" s="10"/>
      <c r="H5286" s="15"/>
      <c r="I5286" s="15"/>
      <c r="J5286" s="15"/>
      <c r="K5286" s="15"/>
      <c r="L5286" s="15"/>
      <c r="M5286" s="15"/>
      <c r="N5286" s="15"/>
      <c r="O5286" s="15"/>
      <c r="P5286" s="15"/>
      <c r="Q5286" s="71"/>
      <c r="R5286" s="84"/>
      <c r="S5286" s="10"/>
      <c r="T5286" s="10"/>
      <c r="U5286" s="10"/>
      <c r="V5286" s="10"/>
      <c r="W5286" s="138"/>
      <c r="Y5286"/>
      <c r="Z5286"/>
      <c r="AA5286"/>
      <c r="AB5286"/>
      <c r="AC5286"/>
      <c r="AD5286"/>
      <c r="AE5286"/>
      <c r="AF5286"/>
      <c r="AG5286"/>
      <c r="AH5286"/>
      <c r="AI5286"/>
      <c r="AJ5286"/>
      <c r="AK5286"/>
      <c r="AL5286"/>
      <c r="AM5286"/>
      <c r="AN5286"/>
      <c r="AO5286"/>
    </row>
    <row r="5287" spans="1:41" ht="15">
      <c r="A5287"/>
      <c r="B5287"/>
      <c r="C5287" s="137"/>
      <c r="D5287" s="30"/>
      <c r="E5287" s="30"/>
      <c r="F5287" s="10"/>
      <c r="G5287" s="10"/>
      <c r="H5287" s="15"/>
      <c r="I5287" s="15"/>
      <c r="J5287" s="15"/>
      <c r="K5287" s="15"/>
      <c r="L5287" s="15"/>
      <c r="M5287" s="15"/>
      <c r="N5287" s="15"/>
      <c r="O5287" s="15"/>
      <c r="P5287" s="15"/>
      <c r="Q5287" s="71"/>
      <c r="R5287" s="84"/>
      <c r="S5287" s="10"/>
      <c r="T5287" s="10"/>
      <c r="U5287" s="10"/>
      <c r="V5287" s="10"/>
      <c r="W5287" s="138"/>
      <c r="Y5287"/>
      <c r="Z5287"/>
      <c r="AA5287"/>
      <c r="AB5287"/>
      <c r="AC5287"/>
      <c r="AD5287"/>
      <c r="AE5287"/>
      <c r="AF5287"/>
      <c r="AG5287"/>
      <c r="AH5287"/>
      <c r="AI5287"/>
      <c r="AJ5287"/>
      <c r="AK5287"/>
      <c r="AL5287"/>
      <c r="AM5287"/>
      <c r="AN5287"/>
      <c r="AO5287"/>
    </row>
    <row r="5288" spans="1:41" ht="15">
      <c r="A5288"/>
      <c r="B5288"/>
      <c r="C5288" s="137"/>
      <c r="D5288" s="30"/>
      <c r="E5288" s="30"/>
      <c r="F5288" s="10"/>
      <c r="G5288" s="10"/>
      <c r="H5288" s="15"/>
      <c r="I5288" s="15"/>
      <c r="J5288" s="15"/>
      <c r="K5288" s="15"/>
      <c r="L5288" s="15"/>
      <c r="M5288" s="15"/>
      <c r="N5288" s="15"/>
      <c r="O5288" s="15"/>
      <c r="P5288" s="15"/>
      <c r="Q5288" s="71"/>
      <c r="R5288" s="84"/>
      <c r="S5288" s="10"/>
      <c r="T5288" s="10"/>
      <c r="U5288" s="10"/>
      <c r="V5288" s="10"/>
      <c r="W5288" s="138"/>
      <c r="Y5288"/>
      <c r="Z5288"/>
      <c r="AA5288"/>
      <c r="AB5288"/>
      <c r="AC5288"/>
      <c r="AD5288"/>
      <c r="AE5288"/>
      <c r="AF5288"/>
      <c r="AG5288"/>
      <c r="AH5288"/>
      <c r="AI5288"/>
      <c r="AJ5288"/>
      <c r="AK5288"/>
      <c r="AL5288"/>
      <c r="AM5288"/>
      <c r="AN5288"/>
      <c r="AO5288"/>
    </row>
    <row r="5289" spans="1:41" ht="15">
      <c r="A5289"/>
      <c r="B5289"/>
      <c r="C5289" s="137"/>
      <c r="D5289" s="30"/>
      <c r="E5289" s="30"/>
      <c r="F5289" s="10"/>
      <c r="G5289" s="10"/>
      <c r="H5289" s="15"/>
      <c r="I5289" s="15"/>
      <c r="J5289" s="15"/>
      <c r="K5289" s="15"/>
      <c r="L5289" s="15"/>
      <c r="M5289" s="15"/>
      <c r="N5289" s="15"/>
      <c r="O5289" s="15"/>
      <c r="P5289" s="15"/>
      <c r="Q5289" s="71"/>
      <c r="R5289" s="84"/>
      <c r="S5289" s="10"/>
      <c r="T5289" s="10"/>
      <c r="U5289" s="10"/>
      <c r="V5289" s="10"/>
      <c r="W5289" s="138"/>
      <c r="Y5289"/>
      <c r="Z5289"/>
      <c r="AA5289"/>
      <c r="AB5289"/>
      <c r="AC5289"/>
      <c r="AD5289"/>
      <c r="AE5289"/>
      <c r="AF5289"/>
      <c r="AG5289"/>
      <c r="AH5289"/>
      <c r="AI5289"/>
      <c r="AJ5289"/>
      <c r="AK5289"/>
      <c r="AL5289"/>
      <c r="AM5289"/>
      <c r="AN5289"/>
      <c r="AO5289"/>
    </row>
    <row r="5290" spans="1:41" ht="15">
      <c r="A5290"/>
      <c r="B5290"/>
      <c r="C5290" s="137"/>
      <c r="D5290" s="30"/>
      <c r="E5290" s="30"/>
      <c r="F5290" s="10"/>
      <c r="G5290" s="10"/>
      <c r="H5290" s="15"/>
      <c r="I5290" s="15"/>
      <c r="J5290" s="15"/>
      <c r="K5290" s="15"/>
      <c r="L5290" s="15"/>
      <c r="M5290" s="15"/>
      <c r="N5290" s="15"/>
      <c r="O5290" s="15"/>
      <c r="P5290" s="15"/>
      <c r="Q5290" s="71"/>
      <c r="R5290" s="84"/>
      <c r="S5290" s="10"/>
      <c r="T5290" s="10"/>
      <c r="U5290" s="10"/>
      <c r="V5290" s="10"/>
      <c r="W5290" s="138"/>
      <c r="Y5290"/>
      <c r="Z5290"/>
      <c r="AA5290"/>
      <c r="AB5290"/>
      <c r="AC5290"/>
      <c r="AD5290"/>
      <c r="AE5290"/>
      <c r="AF5290"/>
      <c r="AG5290"/>
      <c r="AH5290"/>
      <c r="AI5290"/>
      <c r="AJ5290"/>
      <c r="AK5290"/>
      <c r="AL5290"/>
      <c r="AM5290"/>
      <c r="AN5290"/>
      <c r="AO5290"/>
    </row>
    <row r="5291" spans="1:41" ht="15">
      <c r="A5291"/>
      <c r="B5291"/>
      <c r="C5291" s="137"/>
      <c r="D5291" s="30"/>
      <c r="E5291" s="30"/>
      <c r="F5291" s="10"/>
      <c r="G5291" s="10"/>
      <c r="H5291" s="15"/>
      <c r="I5291" s="15"/>
      <c r="J5291" s="15"/>
      <c r="K5291" s="15"/>
      <c r="L5291" s="15"/>
      <c r="M5291" s="15"/>
      <c r="N5291" s="15"/>
      <c r="O5291" s="15"/>
      <c r="P5291" s="15"/>
      <c r="Q5291" s="71"/>
      <c r="R5291" s="84"/>
      <c r="S5291" s="10"/>
      <c r="T5291" s="10"/>
      <c r="U5291" s="10"/>
      <c r="V5291" s="10"/>
      <c r="W5291" s="138"/>
      <c r="Y5291"/>
      <c r="Z5291"/>
      <c r="AA5291"/>
      <c r="AB5291"/>
      <c r="AC5291"/>
      <c r="AD5291"/>
      <c r="AE5291"/>
      <c r="AF5291"/>
      <c r="AG5291"/>
      <c r="AH5291"/>
      <c r="AI5291"/>
      <c r="AJ5291"/>
      <c r="AK5291"/>
      <c r="AL5291"/>
      <c r="AM5291"/>
      <c r="AN5291"/>
      <c r="AO5291"/>
    </row>
    <row r="5292" spans="1:41" ht="15">
      <c r="A5292"/>
      <c r="B5292"/>
      <c r="C5292" s="137"/>
      <c r="D5292" s="30"/>
      <c r="E5292" s="30"/>
      <c r="F5292" s="10"/>
      <c r="G5292" s="10"/>
      <c r="H5292" s="15"/>
      <c r="I5292" s="15"/>
      <c r="J5292" s="15"/>
      <c r="K5292" s="15"/>
      <c r="L5292" s="15"/>
      <c r="M5292" s="15"/>
      <c r="N5292" s="15"/>
      <c r="O5292" s="15"/>
      <c r="P5292" s="15"/>
      <c r="Q5292" s="71"/>
      <c r="R5292" s="84"/>
      <c r="S5292" s="10"/>
      <c r="T5292" s="10"/>
      <c r="U5292" s="10"/>
      <c r="V5292" s="10"/>
      <c r="W5292" s="138"/>
      <c r="Y5292"/>
      <c r="Z5292"/>
      <c r="AA5292"/>
      <c r="AB5292"/>
      <c r="AC5292"/>
      <c r="AD5292"/>
      <c r="AE5292"/>
      <c r="AF5292"/>
      <c r="AG5292"/>
      <c r="AH5292"/>
      <c r="AI5292"/>
      <c r="AJ5292"/>
      <c r="AK5292"/>
      <c r="AL5292"/>
      <c r="AM5292"/>
      <c r="AN5292"/>
      <c r="AO5292"/>
    </row>
    <row r="5293" spans="1:41" ht="15">
      <c r="A5293"/>
      <c r="B5293"/>
      <c r="C5293" s="137"/>
      <c r="D5293" s="30"/>
      <c r="E5293" s="30"/>
      <c r="F5293" s="10"/>
      <c r="G5293" s="10"/>
      <c r="H5293" s="15"/>
      <c r="I5293" s="15"/>
      <c r="J5293" s="15"/>
      <c r="K5293" s="15"/>
      <c r="L5293" s="15"/>
      <c r="M5293" s="15"/>
      <c r="N5293" s="15"/>
      <c r="O5293" s="15"/>
      <c r="P5293" s="15"/>
      <c r="Q5293" s="71"/>
      <c r="R5293" s="84"/>
      <c r="S5293" s="10"/>
      <c r="T5293" s="10"/>
      <c r="U5293" s="10"/>
      <c r="V5293" s="10"/>
      <c r="W5293" s="138"/>
      <c r="Y5293"/>
      <c r="Z5293"/>
      <c r="AA5293"/>
      <c r="AB5293"/>
      <c r="AC5293"/>
      <c r="AD5293"/>
      <c r="AE5293"/>
      <c r="AF5293"/>
      <c r="AG5293"/>
      <c r="AH5293"/>
      <c r="AI5293"/>
      <c r="AJ5293"/>
      <c r="AK5293"/>
      <c r="AL5293"/>
      <c r="AM5293"/>
      <c r="AN5293"/>
      <c r="AO5293"/>
    </row>
    <row r="5294" spans="1:41" ht="15">
      <c r="A5294"/>
      <c r="B5294"/>
      <c r="C5294" s="137"/>
      <c r="D5294" s="30"/>
      <c r="E5294" s="30"/>
      <c r="F5294" s="10"/>
      <c r="G5294" s="10"/>
      <c r="H5294" s="15"/>
      <c r="I5294" s="15"/>
      <c r="J5294" s="15"/>
      <c r="K5294" s="15"/>
      <c r="L5294" s="15"/>
      <c r="M5294" s="15"/>
      <c r="N5294" s="15"/>
      <c r="O5294" s="15"/>
      <c r="P5294" s="15"/>
      <c r="Q5294" s="71"/>
      <c r="R5294" s="84"/>
      <c r="S5294" s="10"/>
      <c r="T5294" s="10"/>
      <c r="U5294" s="10"/>
      <c r="V5294" s="10"/>
      <c r="W5294" s="138"/>
      <c r="Y5294"/>
      <c r="Z5294"/>
      <c r="AA5294"/>
      <c r="AB5294"/>
      <c r="AC5294"/>
      <c r="AD5294"/>
      <c r="AE5294"/>
      <c r="AF5294"/>
      <c r="AG5294"/>
      <c r="AH5294"/>
      <c r="AI5294"/>
      <c r="AJ5294"/>
      <c r="AK5294"/>
      <c r="AL5294"/>
      <c r="AM5294"/>
      <c r="AN5294"/>
      <c r="AO5294"/>
    </row>
    <row r="5295" spans="1:41" ht="15">
      <c r="A5295"/>
      <c r="B5295"/>
      <c r="C5295" s="137"/>
      <c r="D5295" s="30"/>
      <c r="E5295" s="30"/>
      <c r="F5295" s="10"/>
      <c r="G5295" s="10"/>
      <c r="H5295" s="15"/>
      <c r="I5295" s="15"/>
      <c r="J5295" s="15"/>
      <c r="K5295" s="15"/>
      <c r="L5295" s="15"/>
      <c r="M5295" s="15"/>
      <c r="N5295" s="15"/>
      <c r="O5295" s="15"/>
      <c r="P5295" s="15"/>
      <c r="Q5295" s="71"/>
      <c r="R5295" s="84"/>
      <c r="S5295" s="10"/>
      <c r="T5295" s="10"/>
      <c r="U5295" s="10"/>
      <c r="V5295" s="10"/>
      <c r="W5295" s="138"/>
      <c r="Y5295"/>
      <c r="Z5295"/>
      <c r="AA5295"/>
      <c r="AB5295"/>
      <c r="AC5295"/>
      <c r="AD5295"/>
      <c r="AE5295"/>
      <c r="AF5295"/>
      <c r="AG5295"/>
      <c r="AH5295"/>
      <c r="AI5295"/>
      <c r="AJ5295"/>
      <c r="AK5295"/>
      <c r="AL5295"/>
      <c r="AM5295"/>
      <c r="AN5295"/>
      <c r="AO5295"/>
    </row>
    <row r="5296" spans="1:41" ht="15">
      <c r="A5296"/>
      <c r="B5296"/>
      <c r="C5296" s="137"/>
      <c r="D5296" s="30"/>
      <c r="E5296" s="30"/>
      <c r="F5296" s="10"/>
      <c r="G5296" s="10"/>
      <c r="H5296" s="15"/>
      <c r="I5296" s="15"/>
      <c r="J5296" s="15"/>
      <c r="K5296" s="15"/>
      <c r="L5296" s="15"/>
      <c r="M5296" s="15"/>
      <c r="N5296" s="15"/>
      <c r="O5296" s="15"/>
      <c r="P5296" s="15"/>
      <c r="Q5296" s="71"/>
      <c r="R5296" s="84"/>
      <c r="S5296" s="10"/>
      <c r="T5296" s="10"/>
      <c r="U5296" s="10"/>
      <c r="V5296" s="10"/>
      <c r="W5296" s="138"/>
      <c r="Y5296"/>
      <c r="Z5296"/>
      <c r="AA5296"/>
      <c r="AB5296"/>
      <c r="AC5296"/>
      <c r="AD5296"/>
      <c r="AE5296"/>
      <c r="AF5296"/>
      <c r="AG5296"/>
      <c r="AH5296"/>
      <c r="AI5296"/>
      <c r="AJ5296"/>
      <c r="AK5296"/>
      <c r="AL5296"/>
      <c r="AM5296"/>
      <c r="AN5296"/>
      <c r="AO5296"/>
    </row>
    <row r="5297" spans="1:41" ht="15">
      <c r="A5297"/>
      <c r="B5297"/>
      <c r="C5297" s="137"/>
      <c r="D5297" s="30"/>
      <c r="E5297" s="30"/>
      <c r="F5297" s="10"/>
      <c r="G5297" s="10"/>
      <c r="H5297" s="15"/>
      <c r="I5297" s="15"/>
      <c r="J5297" s="15"/>
      <c r="K5297" s="15"/>
      <c r="L5297" s="15"/>
      <c r="M5297" s="15"/>
      <c r="N5297" s="15"/>
      <c r="O5297" s="15"/>
      <c r="P5297" s="15"/>
      <c r="Q5297" s="71"/>
      <c r="R5297" s="84"/>
      <c r="S5297" s="10"/>
      <c r="T5297" s="10"/>
      <c r="U5297" s="10"/>
      <c r="V5297" s="10"/>
      <c r="W5297" s="138"/>
      <c r="Y5297"/>
      <c r="Z5297"/>
      <c r="AA5297"/>
      <c r="AB5297"/>
      <c r="AC5297"/>
      <c r="AD5297"/>
      <c r="AE5297"/>
      <c r="AF5297"/>
      <c r="AG5297"/>
      <c r="AH5297"/>
      <c r="AI5297"/>
      <c r="AJ5297"/>
      <c r="AK5297"/>
      <c r="AL5297"/>
      <c r="AM5297"/>
      <c r="AN5297"/>
      <c r="AO5297"/>
    </row>
    <row r="5298" spans="1:41" ht="15">
      <c r="A5298"/>
      <c r="B5298"/>
      <c r="C5298" s="137"/>
      <c r="D5298" s="30"/>
      <c r="E5298" s="30"/>
      <c r="F5298" s="10"/>
      <c r="G5298" s="10"/>
      <c r="H5298" s="15"/>
      <c r="I5298" s="15"/>
      <c r="J5298" s="15"/>
      <c r="K5298" s="15"/>
      <c r="L5298" s="15"/>
      <c r="M5298" s="15"/>
      <c r="N5298" s="15"/>
      <c r="O5298" s="15"/>
      <c r="P5298" s="15"/>
      <c r="Q5298" s="71"/>
      <c r="R5298" s="84"/>
      <c r="S5298" s="10"/>
      <c r="T5298" s="10"/>
      <c r="U5298" s="10"/>
      <c r="V5298" s="10"/>
      <c r="W5298" s="138"/>
      <c r="Y5298"/>
      <c r="Z5298"/>
      <c r="AA5298"/>
      <c r="AB5298"/>
      <c r="AC5298"/>
      <c r="AD5298"/>
      <c r="AE5298"/>
      <c r="AF5298"/>
      <c r="AG5298"/>
      <c r="AH5298"/>
      <c r="AI5298"/>
      <c r="AJ5298"/>
      <c r="AK5298"/>
      <c r="AL5298"/>
      <c r="AM5298"/>
      <c r="AN5298"/>
      <c r="AO5298"/>
    </row>
    <row r="5299" spans="1:41" ht="15">
      <c r="A5299"/>
      <c r="B5299"/>
      <c r="C5299" s="137"/>
      <c r="D5299" s="30"/>
      <c r="E5299" s="30"/>
      <c r="F5299" s="10"/>
      <c r="G5299" s="10"/>
      <c r="H5299" s="15"/>
      <c r="I5299" s="15"/>
      <c r="J5299" s="15"/>
      <c r="K5299" s="15"/>
      <c r="L5299" s="15"/>
      <c r="M5299" s="15"/>
      <c r="N5299" s="15"/>
      <c r="O5299" s="15"/>
      <c r="P5299" s="15"/>
      <c r="Q5299" s="71"/>
      <c r="R5299" s="84"/>
      <c r="S5299" s="10"/>
      <c r="T5299" s="10"/>
      <c r="U5299" s="10"/>
      <c r="V5299" s="10"/>
      <c r="W5299" s="138"/>
      <c r="Y5299"/>
      <c r="Z5299"/>
      <c r="AA5299"/>
      <c r="AB5299"/>
      <c r="AC5299"/>
      <c r="AD5299"/>
      <c r="AE5299"/>
      <c r="AF5299"/>
      <c r="AG5299"/>
      <c r="AH5299"/>
      <c r="AI5299"/>
      <c r="AJ5299"/>
      <c r="AK5299"/>
      <c r="AL5299"/>
      <c r="AM5299"/>
      <c r="AN5299"/>
      <c r="AO5299"/>
    </row>
    <row r="5300" spans="1:41" ht="15">
      <c r="A5300"/>
      <c r="B5300"/>
      <c r="C5300" s="137"/>
      <c r="D5300" s="30"/>
      <c r="E5300" s="30"/>
      <c r="F5300" s="10"/>
      <c r="G5300" s="10"/>
      <c r="H5300" s="15"/>
      <c r="I5300" s="15"/>
      <c r="J5300" s="15"/>
      <c r="K5300" s="15"/>
      <c r="L5300" s="15"/>
      <c r="M5300" s="15"/>
      <c r="N5300" s="15"/>
      <c r="O5300" s="15"/>
      <c r="P5300" s="15"/>
      <c r="Q5300" s="71"/>
      <c r="R5300" s="84"/>
      <c r="S5300" s="10"/>
      <c r="T5300" s="10"/>
      <c r="U5300" s="10"/>
      <c r="V5300" s="10"/>
      <c r="W5300" s="138"/>
      <c r="Y5300"/>
      <c r="Z5300"/>
      <c r="AA5300"/>
      <c r="AB5300"/>
      <c r="AC5300"/>
      <c r="AD5300"/>
      <c r="AE5300"/>
      <c r="AF5300"/>
      <c r="AG5300"/>
      <c r="AH5300"/>
      <c r="AI5300"/>
      <c r="AJ5300"/>
      <c r="AK5300"/>
      <c r="AL5300"/>
      <c r="AM5300"/>
      <c r="AN5300"/>
      <c r="AO5300"/>
    </row>
    <row r="5301" spans="1:41" ht="15">
      <c r="A5301"/>
      <c r="B5301"/>
      <c r="C5301" s="137"/>
      <c r="D5301" s="30"/>
      <c r="E5301" s="30"/>
      <c r="F5301" s="10"/>
      <c r="G5301" s="10"/>
      <c r="H5301" s="15"/>
      <c r="I5301" s="15"/>
      <c r="J5301" s="15"/>
      <c r="K5301" s="15"/>
      <c r="L5301" s="15"/>
      <c r="M5301" s="15"/>
      <c r="N5301" s="15"/>
      <c r="O5301" s="15"/>
      <c r="P5301" s="15"/>
      <c r="Q5301" s="71"/>
      <c r="R5301" s="84"/>
      <c r="S5301" s="10"/>
      <c r="T5301" s="10"/>
      <c r="U5301" s="10"/>
      <c r="V5301" s="10"/>
      <c r="W5301" s="138"/>
      <c r="Y5301"/>
      <c r="Z5301"/>
      <c r="AA5301"/>
      <c r="AB5301"/>
      <c r="AC5301"/>
      <c r="AD5301"/>
      <c r="AE5301"/>
      <c r="AF5301"/>
      <c r="AG5301"/>
      <c r="AH5301"/>
      <c r="AI5301"/>
      <c r="AJ5301"/>
      <c r="AK5301"/>
      <c r="AL5301"/>
      <c r="AM5301"/>
      <c r="AN5301"/>
      <c r="AO5301"/>
    </row>
    <row r="5302" spans="1:41" ht="15">
      <c r="A5302"/>
      <c r="B5302"/>
      <c r="C5302" s="137"/>
      <c r="D5302" s="30"/>
      <c r="E5302" s="30"/>
      <c r="F5302" s="10"/>
      <c r="G5302" s="10"/>
      <c r="H5302" s="15"/>
      <c r="I5302" s="15"/>
      <c r="J5302" s="15"/>
      <c r="K5302" s="15"/>
      <c r="L5302" s="15"/>
      <c r="M5302" s="15"/>
      <c r="N5302" s="15"/>
      <c r="O5302" s="15"/>
      <c r="P5302" s="15"/>
      <c r="Q5302" s="71"/>
      <c r="R5302" s="84"/>
      <c r="S5302" s="10"/>
      <c r="T5302" s="10"/>
      <c r="U5302" s="10"/>
      <c r="V5302" s="10"/>
      <c r="W5302" s="138"/>
      <c r="Y5302"/>
      <c r="Z5302"/>
      <c r="AA5302"/>
      <c r="AB5302"/>
      <c r="AC5302"/>
      <c r="AD5302"/>
      <c r="AE5302"/>
      <c r="AF5302"/>
      <c r="AG5302"/>
      <c r="AH5302"/>
      <c r="AI5302"/>
      <c r="AJ5302"/>
      <c r="AK5302"/>
      <c r="AL5302"/>
      <c r="AM5302"/>
      <c r="AN5302"/>
      <c r="AO5302"/>
    </row>
    <row r="5303" spans="1:41" ht="15">
      <c r="A5303"/>
      <c r="B5303"/>
      <c r="C5303" s="137"/>
      <c r="D5303" s="30"/>
      <c r="E5303" s="30"/>
      <c r="F5303" s="10"/>
      <c r="G5303" s="10"/>
      <c r="H5303" s="15"/>
      <c r="I5303" s="15"/>
      <c r="J5303" s="15"/>
      <c r="K5303" s="15"/>
      <c r="L5303" s="15"/>
      <c r="M5303" s="15"/>
      <c r="N5303" s="15"/>
      <c r="O5303" s="15"/>
      <c r="P5303" s="15"/>
      <c r="Q5303" s="71"/>
      <c r="R5303" s="84"/>
      <c r="S5303" s="10"/>
      <c r="T5303" s="10"/>
      <c r="U5303" s="10"/>
      <c r="V5303" s="10"/>
      <c r="W5303" s="138"/>
      <c r="Y5303"/>
      <c r="Z5303"/>
      <c r="AA5303"/>
      <c r="AB5303"/>
      <c r="AC5303"/>
      <c r="AD5303"/>
      <c r="AE5303"/>
      <c r="AF5303"/>
      <c r="AG5303"/>
      <c r="AH5303"/>
      <c r="AI5303"/>
      <c r="AJ5303"/>
      <c r="AK5303"/>
      <c r="AL5303"/>
      <c r="AM5303"/>
      <c r="AN5303"/>
      <c r="AO5303"/>
    </row>
    <row r="5304" spans="1:41" ht="15">
      <c r="A5304"/>
      <c r="B5304"/>
      <c r="C5304" s="137"/>
      <c r="D5304" s="30"/>
      <c r="E5304" s="30"/>
      <c r="F5304" s="10"/>
      <c r="G5304" s="10"/>
      <c r="H5304" s="15"/>
      <c r="I5304" s="15"/>
      <c r="J5304" s="15"/>
      <c r="K5304" s="15"/>
      <c r="L5304" s="15"/>
      <c r="M5304" s="15"/>
      <c r="N5304" s="15"/>
      <c r="O5304" s="15"/>
      <c r="P5304" s="15"/>
      <c r="Q5304" s="71"/>
      <c r="R5304" s="84"/>
      <c r="S5304" s="10"/>
      <c r="T5304" s="10"/>
      <c r="U5304" s="10"/>
      <c r="V5304" s="10"/>
      <c r="W5304" s="138"/>
      <c r="Y5304"/>
      <c r="Z5304"/>
      <c r="AA5304"/>
      <c r="AB5304"/>
      <c r="AC5304"/>
      <c r="AD5304"/>
      <c r="AE5304"/>
      <c r="AF5304"/>
      <c r="AG5304"/>
      <c r="AH5304"/>
      <c r="AI5304"/>
      <c r="AJ5304"/>
      <c r="AK5304"/>
      <c r="AL5304"/>
      <c r="AM5304"/>
      <c r="AN5304"/>
      <c r="AO5304"/>
    </row>
    <row r="5305" spans="1:41" ht="15">
      <c r="A5305"/>
      <c r="B5305"/>
      <c r="C5305" s="137"/>
      <c r="D5305" s="30"/>
      <c r="E5305" s="30"/>
      <c r="F5305" s="10"/>
      <c r="G5305" s="10"/>
      <c r="H5305" s="15"/>
      <c r="I5305" s="15"/>
      <c r="J5305" s="15"/>
      <c r="K5305" s="15"/>
      <c r="L5305" s="15"/>
      <c r="M5305" s="15"/>
      <c r="N5305" s="15"/>
      <c r="O5305" s="15"/>
      <c r="P5305" s="15"/>
      <c r="Q5305" s="71"/>
      <c r="R5305" s="84"/>
      <c r="S5305" s="10"/>
      <c r="T5305" s="10"/>
      <c r="U5305" s="10"/>
      <c r="V5305" s="10"/>
      <c r="W5305" s="138"/>
      <c r="Y5305"/>
      <c r="Z5305"/>
      <c r="AA5305"/>
      <c r="AB5305"/>
      <c r="AC5305"/>
      <c r="AD5305"/>
      <c r="AE5305"/>
      <c r="AF5305"/>
      <c r="AG5305"/>
      <c r="AH5305"/>
      <c r="AI5305"/>
      <c r="AJ5305"/>
      <c r="AK5305"/>
      <c r="AL5305"/>
      <c r="AM5305"/>
      <c r="AN5305"/>
      <c r="AO5305"/>
    </row>
    <row r="5306" spans="1:41" ht="15">
      <c r="A5306"/>
      <c r="B5306"/>
      <c r="C5306" s="137"/>
      <c r="D5306" s="30"/>
      <c r="E5306" s="30"/>
      <c r="F5306" s="10"/>
      <c r="G5306" s="10"/>
      <c r="H5306" s="15"/>
      <c r="I5306" s="15"/>
      <c r="J5306" s="15"/>
      <c r="K5306" s="15"/>
      <c r="L5306" s="15"/>
      <c r="M5306" s="15"/>
      <c r="N5306" s="15"/>
      <c r="O5306" s="15"/>
      <c r="P5306" s="15"/>
      <c r="Q5306" s="71"/>
      <c r="R5306" s="84"/>
      <c r="S5306" s="10"/>
      <c r="T5306" s="10"/>
      <c r="U5306" s="10"/>
      <c r="V5306" s="10"/>
      <c r="W5306" s="138"/>
      <c r="Y5306"/>
      <c r="Z5306"/>
      <c r="AA5306"/>
      <c r="AB5306"/>
      <c r="AC5306"/>
      <c r="AD5306"/>
      <c r="AE5306"/>
      <c r="AF5306"/>
      <c r="AG5306"/>
      <c r="AH5306"/>
      <c r="AI5306"/>
      <c r="AJ5306"/>
      <c r="AK5306"/>
      <c r="AL5306"/>
      <c r="AM5306"/>
      <c r="AN5306"/>
      <c r="AO5306"/>
    </row>
    <row r="5307" spans="1:41" ht="15">
      <c r="A5307"/>
      <c r="B5307"/>
      <c r="C5307" s="137"/>
      <c r="D5307" s="30"/>
      <c r="E5307" s="30"/>
      <c r="F5307" s="10"/>
      <c r="G5307" s="10"/>
      <c r="H5307" s="15"/>
      <c r="I5307" s="15"/>
      <c r="J5307" s="15"/>
      <c r="K5307" s="15"/>
      <c r="L5307" s="15"/>
      <c r="M5307" s="15"/>
      <c r="N5307" s="15"/>
      <c r="O5307" s="15"/>
      <c r="P5307" s="15"/>
      <c r="Q5307" s="71"/>
      <c r="R5307" s="84"/>
      <c r="S5307" s="10"/>
      <c r="T5307" s="10"/>
      <c r="U5307" s="10"/>
      <c r="V5307" s="10"/>
      <c r="W5307" s="138"/>
      <c r="Y5307"/>
      <c r="Z5307"/>
      <c r="AA5307"/>
      <c r="AB5307"/>
      <c r="AC5307"/>
      <c r="AD5307"/>
      <c r="AE5307"/>
      <c r="AF5307"/>
      <c r="AG5307"/>
      <c r="AH5307"/>
      <c r="AI5307"/>
      <c r="AJ5307"/>
      <c r="AK5307"/>
      <c r="AL5307"/>
      <c r="AM5307"/>
      <c r="AN5307"/>
      <c r="AO5307"/>
    </row>
    <row r="5308" spans="1:41" ht="15">
      <c r="A5308"/>
      <c r="B5308"/>
      <c r="C5308" s="137"/>
      <c r="D5308" s="30"/>
      <c r="E5308" s="30"/>
      <c r="F5308" s="10"/>
      <c r="G5308" s="10"/>
      <c r="H5308" s="15"/>
      <c r="I5308" s="15"/>
      <c r="J5308" s="15"/>
      <c r="K5308" s="15"/>
      <c r="L5308" s="15"/>
      <c r="M5308" s="15"/>
      <c r="N5308" s="15"/>
      <c r="O5308" s="15"/>
      <c r="P5308" s="15"/>
      <c r="Q5308" s="71"/>
      <c r="R5308" s="84"/>
      <c r="S5308" s="10"/>
      <c r="T5308" s="10"/>
      <c r="U5308" s="10"/>
      <c r="V5308" s="10"/>
      <c r="W5308" s="138"/>
      <c r="Y5308"/>
      <c r="Z5308"/>
      <c r="AA5308"/>
      <c r="AB5308"/>
      <c r="AC5308"/>
      <c r="AD5308"/>
      <c r="AE5308"/>
      <c r="AF5308"/>
      <c r="AG5308"/>
      <c r="AH5308"/>
      <c r="AI5308"/>
      <c r="AJ5308"/>
      <c r="AK5308"/>
      <c r="AL5308"/>
      <c r="AM5308"/>
      <c r="AN5308"/>
      <c r="AO5308"/>
    </row>
    <row r="5309" spans="1:41" ht="15">
      <c r="A5309"/>
      <c r="B5309"/>
      <c r="C5309" s="137"/>
      <c r="D5309" s="30"/>
      <c r="E5309" s="30"/>
      <c r="F5309" s="10"/>
      <c r="G5309" s="10"/>
      <c r="H5309" s="15"/>
      <c r="I5309" s="15"/>
      <c r="J5309" s="15"/>
      <c r="K5309" s="15"/>
      <c r="L5309" s="15"/>
      <c r="M5309" s="15"/>
      <c r="N5309" s="15"/>
      <c r="O5309" s="15"/>
      <c r="P5309" s="15"/>
      <c r="Q5309" s="71"/>
      <c r="R5309" s="84"/>
      <c r="S5309" s="10"/>
      <c r="T5309" s="10"/>
      <c r="U5309" s="10"/>
      <c r="V5309" s="10"/>
      <c r="W5309" s="138"/>
      <c r="Y5309"/>
      <c r="Z5309"/>
      <c r="AA5309"/>
      <c r="AB5309"/>
      <c r="AC5309"/>
      <c r="AD5309"/>
      <c r="AE5309"/>
      <c r="AF5309"/>
      <c r="AG5309"/>
      <c r="AH5309"/>
      <c r="AI5309"/>
      <c r="AJ5309"/>
      <c r="AK5309"/>
      <c r="AL5309"/>
      <c r="AM5309"/>
      <c r="AN5309"/>
      <c r="AO5309"/>
    </row>
    <row r="5310" spans="1:41" ht="15">
      <c r="A5310"/>
      <c r="B5310"/>
      <c r="C5310" s="137"/>
      <c r="D5310" s="30"/>
      <c r="E5310" s="30"/>
      <c r="F5310" s="10"/>
      <c r="G5310" s="10"/>
      <c r="H5310" s="15"/>
      <c r="I5310" s="15"/>
      <c r="J5310" s="15"/>
      <c r="K5310" s="15"/>
      <c r="L5310" s="15"/>
      <c r="M5310" s="15"/>
      <c r="N5310" s="15"/>
      <c r="O5310" s="15"/>
      <c r="P5310" s="15"/>
      <c r="Q5310" s="71"/>
      <c r="R5310" s="84"/>
      <c r="S5310" s="10"/>
      <c r="T5310" s="10"/>
      <c r="U5310" s="10"/>
      <c r="V5310" s="10"/>
      <c r="W5310" s="138"/>
      <c r="Y5310"/>
      <c r="Z5310"/>
      <c r="AA5310"/>
      <c r="AB5310"/>
      <c r="AC5310"/>
      <c r="AD5310"/>
      <c r="AE5310"/>
      <c r="AF5310"/>
      <c r="AG5310"/>
      <c r="AH5310"/>
      <c r="AI5310"/>
      <c r="AJ5310"/>
      <c r="AK5310"/>
      <c r="AL5310"/>
      <c r="AM5310"/>
      <c r="AN5310"/>
      <c r="AO5310"/>
    </row>
    <row r="5311" spans="1:41" ht="15">
      <c r="A5311"/>
      <c r="B5311"/>
      <c r="C5311" s="137"/>
      <c r="D5311" s="30"/>
      <c r="E5311" s="30"/>
      <c r="F5311" s="10"/>
      <c r="G5311" s="10"/>
      <c r="H5311" s="15"/>
      <c r="I5311" s="15"/>
      <c r="J5311" s="15"/>
      <c r="K5311" s="15"/>
      <c r="L5311" s="15"/>
      <c r="M5311" s="15"/>
      <c r="N5311" s="15"/>
      <c r="O5311" s="15"/>
      <c r="P5311" s="15"/>
      <c r="Q5311" s="71"/>
      <c r="R5311" s="84"/>
      <c r="S5311" s="10"/>
      <c r="T5311" s="10"/>
      <c r="U5311" s="10"/>
      <c r="V5311" s="10"/>
      <c r="W5311" s="138"/>
      <c r="Y5311"/>
      <c r="Z5311"/>
      <c r="AA5311"/>
      <c r="AB5311"/>
      <c r="AC5311"/>
      <c r="AD5311"/>
      <c r="AE5311"/>
      <c r="AF5311"/>
      <c r="AG5311"/>
      <c r="AH5311"/>
      <c r="AI5311"/>
      <c r="AJ5311"/>
      <c r="AK5311"/>
      <c r="AL5311"/>
      <c r="AM5311"/>
      <c r="AN5311"/>
      <c r="AO5311"/>
    </row>
    <row r="5312" spans="1:41" ht="15">
      <c r="A5312"/>
      <c r="B5312"/>
      <c r="C5312" s="137"/>
      <c r="D5312" s="30"/>
      <c r="E5312" s="30"/>
      <c r="F5312" s="10"/>
      <c r="G5312" s="10"/>
      <c r="H5312" s="15"/>
      <c r="I5312" s="15"/>
      <c r="J5312" s="15"/>
      <c r="K5312" s="15"/>
      <c r="L5312" s="15"/>
      <c r="M5312" s="15"/>
      <c r="N5312" s="15"/>
      <c r="O5312" s="15"/>
      <c r="P5312" s="15"/>
      <c r="Q5312" s="71"/>
      <c r="R5312" s="84"/>
      <c r="S5312" s="10"/>
      <c r="T5312" s="10"/>
      <c r="U5312" s="10"/>
      <c r="V5312" s="10"/>
      <c r="W5312" s="138"/>
      <c r="Y5312"/>
      <c r="Z5312"/>
      <c r="AA5312"/>
      <c r="AB5312"/>
      <c r="AC5312"/>
      <c r="AD5312"/>
      <c r="AE5312"/>
      <c r="AF5312"/>
      <c r="AG5312"/>
      <c r="AH5312"/>
      <c r="AI5312"/>
      <c r="AJ5312"/>
      <c r="AK5312"/>
      <c r="AL5312"/>
      <c r="AM5312"/>
      <c r="AN5312"/>
      <c r="AO5312"/>
    </row>
    <row r="5313" spans="1:41" ht="15">
      <c r="A5313"/>
      <c r="B5313"/>
      <c r="C5313" s="137"/>
      <c r="D5313" s="30"/>
      <c r="E5313" s="30"/>
      <c r="F5313" s="10"/>
      <c r="G5313" s="10"/>
      <c r="H5313" s="15"/>
      <c r="I5313" s="15"/>
      <c r="J5313" s="15"/>
      <c r="K5313" s="15"/>
      <c r="L5313" s="15"/>
      <c r="M5313" s="15"/>
      <c r="N5313" s="15"/>
      <c r="O5313" s="15"/>
      <c r="P5313" s="15"/>
      <c r="Q5313" s="71"/>
      <c r="R5313" s="84"/>
      <c r="S5313" s="10"/>
      <c r="T5313" s="10"/>
      <c r="U5313" s="10"/>
      <c r="V5313" s="10"/>
      <c r="W5313" s="138"/>
      <c r="Y5313"/>
      <c r="Z5313"/>
      <c r="AA5313"/>
      <c r="AB5313"/>
      <c r="AC5313"/>
      <c r="AD5313"/>
      <c r="AE5313"/>
      <c r="AF5313"/>
      <c r="AG5313"/>
      <c r="AH5313"/>
      <c r="AI5313"/>
      <c r="AJ5313"/>
      <c r="AK5313"/>
      <c r="AL5313"/>
      <c r="AM5313"/>
      <c r="AN5313"/>
      <c r="AO5313"/>
    </row>
    <row r="5314" spans="1:41" ht="15">
      <c r="A5314"/>
      <c r="B5314"/>
      <c r="C5314" s="137"/>
      <c r="D5314" s="30"/>
      <c r="E5314" s="30"/>
      <c r="F5314" s="10"/>
      <c r="G5314" s="10"/>
      <c r="H5314" s="15"/>
      <c r="I5314" s="15"/>
      <c r="J5314" s="15"/>
      <c r="K5314" s="15"/>
      <c r="L5314" s="15"/>
      <c r="M5314" s="15"/>
      <c r="N5314" s="15"/>
      <c r="O5314" s="15"/>
      <c r="P5314" s="15"/>
      <c r="Q5314" s="71"/>
      <c r="R5314" s="84"/>
      <c r="S5314" s="10"/>
      <c r="T5314" s="10"/>
      <c r="U5314" s="10"/>
      <c r="V5314" s="10"/>
      <c r="W5314" s="138"/>
      <c r="Y5314"/>
      <c r="Z5314"/>
      <c r="AA5314"/>
      <c r="AB5314"/>
      <c r="AC5314"/>
      <c r="AD5314"/>
      <c r="AE5314"/>
      <c r="AF5314"/>
      <c r="AG5314"/>
      <c r="AH5314"/>
      <c r="AI5314"/>
      <c r="AJ5314"/>
      <c r="AK5314"/>
      <c r="AL5314"/>
      <c r="AM5314"/>
      <c r="AN5314"/>
      <c r="AO5314"/>
    </row>
    <row r="5315" spans="1:41" ht="15">
      <c r="A5315"/>
      <c r="B5315"/>
      <c r="C5315" s="137"/>
      <c r="D5315" s="30"/>
      <c r="E5315" s="30"/>
      <c r="F5315" s="10"/>
      <c r="G5315" s="10"/>
      <c r="H5315" s="15"/>
      <c r="I5315" s="15"/>
      <c r="J5315" s="15"/>
      <c r="K5315" s="15"/>
      <c r="L5315" s="15"/>
      <c r="M5315" s="15"/>
      <c r="N5315" s="15"/>
      <c r="O5315" s="15"/>
      <c r="P5315" s="15"/>
      <c r="Q5315" s="71"/>
      <c r="R5315" s="84"/>
      <c r="S5315" s="10"/>
      <c r="T5315" s="10"/>
      <c r="U5315" s="10"/>
      <c r="V5315" s="10"/>
      <c r="W5315" s="138"/>
      <c r="Y5315"/>
      <c r="Z5315"/>
      <c r="AA5315"/>
      <c r="AB5315"/>
      <c r="AC5315"/>
      <c r="AD5315"/>
      <c r="AE5315"/>
      <c r="AF5315"/>
      <c r="AG5315"/>
      <c r="AH5315"/>
      <c r="AI5315"/>
      <c r="AJ5315"/>
      <c r="AK5315"/>
      <c r="AL5315"/>
      <c r="AM5315"/>
      <c r="AN5315"/>
      <c r="AO5315"/>
    </row>
    <row r="5316" spans="1:41" ht="15">
      <c r="A5316"/>
      <c r="B5316"/>
      <c r="C5316" s="137"/>
      <c r="D5316" s="30"/>
      <c r="E5316" s="30"/>
      <c r="F5316" s="10"/>
      <c r="G5316" s="10"/>
      <c r="H5316" s="15"/>
      <c r="I5316" s="15"/>
      <c r="J5316" s="15"/>
      <c r="K5316" s="15"/>
      <c r="L5316" s="15"/>
      <c r="M5316" s="15"/>
      <c r="N5316" s="15"/>
      <c r="O5316" s="15"/>
      <c r="P5316" s="15"/>
      <c r="Q5316" s="71"/>
      <c r="R5316" s="84"/>
      <c r="S5316" s="10"/>
      <c r="T5316" s="10"/>
      <c r="U5316" s="10"/>
      <c r="V5316" s="10"/>
      <c r="W5316" s="138"/>
      <c r="Y5316"/>
      <c r="Z5316"/>
      <c r="AA5316"/>
      <c r="AB5316"/>
      <c r="AC5316"/>
      <c r="AD5316"/>
      <c r="AE5316"/>
      <c r="AF5316"/>
      <c r="AG5316"/>
      <c r="AH5316"/>
      <c r="AI5316"/>
      <c r="AJ5316"/>
      <c r="AK5316"/>
      <c r="AL5316"/>
      <c r="AM5316"/>
      <c r="AN5316"/>
      <c r="AO5316"/>
    </row>
    <row r="5317" spans="1:41" ht="15">
      <c r="A5317"/>
      <c r="B5317"/>
      <c r="C5317" s="137"/>
      <c r="D5317" s="30"/>
      <c r="E5317" s="30"/>
      <c r="F5317" s="10"/>
      <c r="G5317" s="10"/>
      <c r="H5317" s="15"/>
      <c r="I5317" s="15"/>
      <c r="J5317" s="15"/>
      <c r="K5317" s="15"/>
      <c r="L5317" s="15"/>
      <c r="M5317" s="15"/>
      <c r="N5317" s="15"/>
      <c r="O5317" s="15"/>
      <c r="P5317" s="15"/>
      <c r="Q5317" s="71"/>
      <c r="R5317" s="84"/>
      <c r="S5317" s="10"/>
      <c r="T5317" s="10"/>
      <c r="U5317" s="10"/>
      <c r="V5317" s="10"/>
      <c r="W5317" s="138"/>
      <c r="Y5317"/>
      <c r="Z5317"/>
      <c r="AA5317"/>
      <c r="AB5317"/>
      <c r="AC5317"/>
      <c r="AD5317"/>
      <c r="AE5317"/>
      <c r="AF5317"/>
      <c r="AG5317"/>
      <c r="AH5317"/>
      <c r="AI5317"/>
      <c r="AJ5317"/>
      <c r="AK5317"/>
      <c r="AL5317"/>
      <c r="AM5317"/>
      <c r="AN5317"/>
      <c r="AO5317"/>
    </row>
    <row r="5318" spans="1:41" ht="15">
      <c r="A5318"/>
      <c r="B5318"/>
      <c r="C5318" s="137"/>
      <c r="D5318" s="30"/>
      <c r="E5318" s="30"/>
      <c r="F5318" s="10"/>
      <c r="G5318" s="10"/>
      <c r="H5318" s="15"/>
      <c r="I5318" s="15"/>
      <c r="J5318" s="15"/>
      <c r="K5318" s="15"/>
      <c r="L5318" s="15"/>
      <c r="M5318" s="15"/>
      <c r="N5318" s="15"/>
      <c r="O5318" s="15"/>
      <c r="P5318" s="15"/>
      <c r="Q5318" s="71"/>
      <c r="R5318" s="84"/>
      <c r="S5318" s="10"/>
      <c r="T5318" s="10"/>
      <c r="U5318" s="10"/>
      <c r="V5318" s="10"/>
      <c r="W5318" s="138"/>
      <c r="Y5318"/>
      <c r="Z5318"/>
      <c r="AA5318"/>
      <c r="AB5318"/>
      <c r="AC5318"/>
      <c r="AD5318"/>
      <c r="AE5318"/>
      <c r="AF5318"/>
      <c r="AG5318"/>
      <c r="AH5318"/>
      <c r="AI5318"/>
      <c r="AJ5318"/>
      <c r="AK5318"/>
      <c r="AL5318"/>
      <c r="AM5318"/>
      <c r="AN5318"/>
      <c r="AO5318"/>
    </row>
    <row r="5319" spans="1:41" ht="15">
      <c r="A5319"/>
      <c r="B5319"/>
      <c r="C5319" s="137"/>
      <c r="D5319" s="30"/>
      <c r="E5319" s="30"/>
      <c r="F5319" s="10"/>
      <c r="G5319" s="10"/>
      <c r="H5319" s="15"/>
      <c r="I5319" s="15"/>
      <c r="J5319" s="15"/>
      <c r="K5319" s="15"/>
      <c r="L5319" s="15"/>
      <c r="M5319" s="15"/>
      <c r="N5319" s="15"/>
      <c r="O5319" s="15"/>
      <c r="P5319" s="15"/>
      <c r="Q5319" s="71"/>
      <c r="R5319" s="84"/>
      <c r="S5319" s="10"/>
      <c r="T5319" s="10"/>
      <c r="U5319" s="10"/>
      <c r="V5319" s="10"/>
      <c r="W5319" s="138"/>
      <c r="Y5319"/>
      <c r="Z5319"/>
      <c r="AA5319"/>
      <c r="AB5319"/>
      <c r="AC5319"/>
      <c r="AD5319"/>
      <c r="AE5319"/>
      <c r="AF5319"/>
      <c r="AG5319"/>
      <c r="AH5319"/>
      <c r="AI5319"/>
      <c r="AJ5319"/>
      <c r="AK5319"/>
      <c r="AL5319"/>
      <c r="AM5319"/>
      <c r="AN5319"/>
      <c r="AO5319"/>
    </row>
    <row r="5320" spans="1:41" ht="15">
      <c r="A5320"/>
      <c r="B5320"/>
      <c r="C5320" s="137"/>
      <c r="D5320" s="30"/>
      <c r="E5320" s="30"/>
      <c r="F5320" s="10"/>
      <c r="G5320" s="10"/>
      <c r="H5320" s="15"/>
      <c r="I5320" s="15"/>
      <c r="J5320" s="15"/>
      <c r="K5320" s="15"/>
      <c r="L5320" s="15"/>
      <c r="M5320" s="15"/>
      <c r="N5320" s="15"/>
      <c r="O5320" s="15"/>
      <c r="P5320" s="15"/>
      <c r="Q5320" s="71"/>
      <c r="R5320" s="84"/>
      <c r="S5320" s="10"/>
      <c r="T5320" s="10"/>
      <c r="U5320" s="10"/>
      <c r="V5320" s="10"/>
      <c r="W5320" s="138"/>
      <c r="Y5320"/>
      <c r="Z5320"/>
      <c r="AA5320"/>
      <c r="AB5320"/>
      <c r="AC5320"/>
      <c r="AD5320"/>
      <c r="AE5320"/>
      <c r="AF5320"/>
      <c r="AG5320"/>
      <c r="AH5320"/>
      <c r="AI5320"/>
      <c r="AJ5320"/>
      <c r="AK5320"/>
      <c r="AL5320"/>
      <c r="AM5320"/>
      <c r="AN5320"/>
      <c r="AO5320"/>
    </row>
    <row r="5321" spans="1:41" ht="15">
      <c r="A5321"/>
      <c r="B5321"/>
      <c r="C5321" s="137"/>
      <c r="D5321" s="30"/>
      <c r="E5321" s="30"/>
      <c r="F5321" s="10"/>
      <c r="G5321" s="10"/>
      <c r="H5321" s="15"/>
      <c r="I5321" s="15"/>
      <c r="J5321" s="15"/>
      <c r="K5321" s="15"/>
      <c r="L5321" s="15"/>
      <c r="M5321" s="15"/>
      <c r="N5321" s="15"/>
      <c r="O5321" s="15"/>
      <c r="P5321" s="15"/>
      <c r="Q5321" s="71"/>
      <c r="R5321" s="84"/>
      <c r="S5321" s="10"/>
      <c r="T5321" s="10"/>
      <c r="U5321" s="10"/>
      <c r="V5321" s="10"/>
      <c r="W5321" s="138"/>
      <c r="Y5321"/>
      <c r="Z5321"/>
      <c r="AA5321"/>
      <c r="AB5321"/>
      <c r="AC5321"/>
      <c r="AD5321"/>
      <c r="AE5321"/>
      <c r="AF5321"/>
      <c r="AG5321"/>
      <c r="AH5321"/>
      <c r="AI5321"/>
      <c r="AJ5321"/>
      <c r="AK5321"/>
      <c r="AL5321"/>
      <c r="AM5321"/>
      <c r="AN5321"/>
      <c r="AO5321"/>
    </row>
    <row r="5322" spans="1:41" ht="15">
      <c r="A5322"/>
      <c r="B5322"/>
      <c r="C5322" s="137"/>
      <c r="D5322" s="30"/>
      <c r="E5322" s="30"/>
      <c r="F5322" s="10"/>
      <c r="G5322" s="10"/>
      <c r="H5322" s="15"/>
      <c r="I5322" s="15"/>
      <c r="J5322" s="15"/>
      <c r="K5322" s="15"/>
      <c r="L5322" s="15"/>
      <c r="M5322" s="15"/>
      <c r="N5322" s="15"/>
      <c r="O5322" s="15"/>
      <c r="P5322" s="15"/>
      <c r="Q5322" s="71"/>
      <c r="R5322" s="84"/>
      <c r="S5322" s="10"/>
      <c r="T5322" s="10"/>
      <c r="U5322" s="10"/>
      <c r="V5322" s="10"/>
      <c r="W5322" s="138"/>
      <c r="Y5322"/>
      <c r="Z5322"/>
      <c r="AA5322"/>
      <c r="AB5322"/>
      <c r="AC5322"/>
      <c r="AD5322"/>
      <c r="AE5322"/>
      <c r="AF5322"/>
      <c r="AG5322"/>
      <c r="AH5322"/>
      <c r="AI5322"/>
      <c r="AJ5322"/>
      <c r="AK5322"/>
      <c r="AL5322"/>
      <c r="AM5322"/>
      <c r="AN5322"/>
      <c r="AO5322"/>
    </row>
    <row r="5323" spans="1:41" ht="15">
      <c r="A5323"/>
      <c r="B5323"/>
      <c r="C5323" s="137"/>
      <c r="D5323" s="30"/>
      <c r="E5323" s="30"/>
      <c r="F5323" s="10"/>
      <c r="G5323" s="10"/>
      <c r="H5323" s="15"/>
      <c r="I5323" s="15"/>
      <c r="J5323" s="15"/>
      <c r="K5323" s="15"/>
      <c r="L5323" s="15"/>
      <c r="M5323" s="15"/>
      <c r="N5323" s="15"/>
      <c r="O5323" s="15"/>
      <c r="P5323" s="15"/>
      <c r="Q5323" s="71"/>
      <c r="R5323" s="84"/>
      <c r="S5323" s="10"/>
      <c r="T5323" s="10"/>
      <c r="U5323" s="10"/>
      <c r="V5323" s="10"/>
      <c r="W5323" s="138"/>
      <c r="Y5323"/>
      <c r="Z5323"/>
      <c r="AA5323"/>
      <c r="AB5323"/>
      <c r="AC5323"/>
      <c r="AD5323"/>
      <c r="AE5323"/>
      <c r="AF5323"/>
      <c r="AG5323"/>
      <c r="AH5323"/>
      <c r="AI5323"/>
      <c r="AJ5323"/>
      <c r="AK5323"/>
      <c r="AL5323"/>
      <c r="AM5323"/>
      <c r="AN5323"/>
      <c r="AO5323"/>
    </row>
    <row r="5324" spans="1:41" ht="15">
      <c r="A5324"/>
      <c r="B5324"/>
      <c r="C5324" s="137"/>
      <c r="D5324" s="30"/>
      <c r="E5324" s="30"/>
      <c r="F5324" s="10"/>
      <c r="G5324" s="10"/>
      <c r="H5324" s="15"/>
      <c r="I5324" s="15"/>
      <c r="J5324" s="15"/>
      <c r="K5324" s="15"/>
      <c r="L5324" s="15"/>
      <c r="M5324" s="15"/>
      <c r="N5324" s="15"/>
      <c r="O5324" s="15"/>
      <c r="P5324" s="15"/>
      <c r="Q5324" s="71"/>
      <c r="R5324" s="84"/>
      <c r="S5324" s="10"/>
      <c r="T5324" s="10"/>
      <c r="U5324" s="10"/>
      <c r="V5324" s="10"/>
      <c r="W5324" s="138"/>
      <c r="Y5324"/>
      <c r="Z5324"/>
      <c r="AA5324"/>
      <c r="AB5324"/>
      <c r="AC5324"/>
      <c r="AD5324"/>
      <c r="AE5324"/>
      <c r="AF5324"/>
      <c r="AG5324"/>
      <c r="AH5324"/>
      <c r="AI5324"/>
      <c r="AJ5324"/>
      <c r="AK5324"/>
      <c r="AL5324"/>
      <c r="AM5324"/>
      <c r="AN5324"/>
      <c r="AO5324"/>
    </row>
    <row r="5325" spans="1:41" ht="15">
      <c r="A5325"/>
      <c r="B5325"/>
      <c r="C5325" s="137"/>
      <c r="D5325" s="30"/>
      <c r="E5325" s="30"/>
      <c r="F5325" s="10"/>
      <c r="G5325" s="10"/>
      <c r="H5325" s="15"/>
      <c r="I5325" s="15"/>
      <c r="J5325" s="15"/>
      <c r="K5325" s="15"/>
      <c r="L5325" s="15"/>
      <c r="M5325" s="15"/>
      <c r="N5325" s="15"/>
      <c r="O5325" s="15"/>
      <c r="P5325" s="15"/>
      <c r="Q5325" s="71"/>
      <c r="R5325" s="84"/>
      <c r="S5325" s="10"/>
      <c r="T5325" s="10"/>
      <c r="U5325" s="10"/>
      <c r="V5325" s="10"/>
      <c r="W5325" s="138"/>
      <c r="Y5325"/>
      <c r="Z5325"/>
      <c r="AA5325"/>
      <c r="AB5325"/>
      <c r="AC5325"/>
      <c r="AD5325"/>
      <c r="AE5325"/>
      <c r="AF5325"/>
      <c r="AG5325"/>
      <c r="AH5325"/>
      <c r="AI5325"/>
      <c r="AJ5325"/>
      <c r="AK5325"/>
      <c r="AL5325"/>
      <c r="AM5325"/>
      <c r="AN5325"/>
      <c r="AO5325"/>
    </row>
    <row r="5326" spans="1:41" ht="15">
      <c r="A5326"/>
      <c r="B5326"/>
      <c r="C5326" s="137"/>
      <c r="D5326" s="30"/>
      <c r="E5326" s="30"/>
      <c r="F5326" s="10"/>
      <c r="G5326" s="10"/>
      <c r="H5326" s="15"/>
      <c r="I5326" s="15"/>
      <c r="J5326" s="15"/>
      <c r="K5326" s="15"/>
      <c r="L5326" s="15"/>
      <c r="M5326" s="15"/>
      <c r="N5326" s="15"/>
      <c r="O5326" s="15"/>
      <c r="P5326" s="15"/>
      <c r="Q5326" s="71"/>
      <c r="R5326" s="84"/>
      <c r="S5326" s="10"/>
      <c r="T5326" s="10"/>
      <c r="U5326" s="10"/>
      <c r="V5326" s="10"/>
      <c r="W5326" s="138"/>
      <c r="Y5326"/>
      <c r="Z5326"/>
      <c r="AA5326"/>
      <c r="AB5326"/>
      <c r="AC5326"/>
      <c r="AD5326"/>
      <c r="AE5326"/>
      <c r="AF5326"/>
      <c r="AG5326"/>
      <c r="AH5326"/>
      <c r="AI5326"/>
      <c r="AJ5326"/>
      <c r="AK5326"/>
      <c r="AL5326"/>
      <c r="AM5326"/>
      <c r="AN5326"/>
      <c r="AO5326"/>
    </row>
    <row r="5327" spans="1:41" ht="15">
      <c r="A5327"/>
      <c r="B5327"/>
      <c r="C5327" s="137"/>
      <c r="D5327" s="30"/>
      <c r="E5327" s="30"/>
      <c r="F5327" s="10"/>
      <c r="G5327" s="10"/>
      <c r="H5327" s="15"/>
      <c r="I5327" s="15"/>
      <c r="J5327" s="15"/>
      <c r="K5327" s="15"/>
      <c r="L5327" s="15"/>
      <c r="M5327" s="15"/>
      <c r="N5327" s="15"/>
      <c r="O5327" s="15"/>
      <c r="P5327" s="15"/>
      <c r="Q5327" s="71"/>
      <c r="R5327" s="84"/>
      <c r="S5327" s="10"/>
      <c r="T5327" s="10"/>
      <c r="U5327" s="10"/>
      <c r="V5327" s="10"/>
      <c r="W5327" s="138"/>
      <c r="Y5327"/>
      <c r="Z5327"/>
      <c r="AA5327"/>
      <c r="AB5327"/>
      <c r="AC5327"/>
      <c r="AD5327"/>
      <c r="AE5327"/>
      <c r="AF5327"/>
      <c r="AG5327"/>
      <c r="AH5327"/>
      <c r="AI5327"/>
      <c r="AJ5327"/>
      <c r="AK5327"/>
      <c r="AL5327"/>
      <c r="AM5327"/>
      <c r="AN5327"/>
      <c r="AO5327"/>
    </row>
    <row r="5328" spans="1:41" ht="15">
      <c r="A5328"/>
      <c r="B5328"/>
      <c r="C5328" s="137"/>
      <c r="D5328" s="30"/>
      <c r="E5328" s="30"/>
      <c r="F5328" s="10"/>
      <c r="G5328" s="10"/>
      <c r="H5328" s="15"/>
      <c r="I5328" s="15"/>
      <c r="J5328" s="15"/>
      <c r="K5328" s="15"/>
      <c r="L5328" s="15"/>
      <c r="M5328" s="15"/>
      <c r="N5328" s="15"/>
      <c r="O5328" s="15"/>
      <c r="P5328" s="15"/>
      <c r="Q5328" s="71"/>
      <c r="R5328" s="84"/>
      <c r="S5328" s="10"/>
      <c r="T5328" s="10"/>
      <c r="U5328" s="10"/>
      <c r="V5328" s="10"/>
      <c r="W5328" s="138"/>
      <c r="Y5328"/>
      <c r="Z5328"/>
      <c r="AA5328"/>
      <c r="AB5328"/>
      <c r="AC5328"/>
      <c r="AD5328"/>
      <c r="AE5328"/>
      <c r="AF5328"/>
      <c r="AG5328"/>
      <c r="AH5328"/>
      <c r="AI5328"/>
      <c r="AJ5328"/>
      <c r="AK5328"/>
      <c r="AL5328"/>
      <c r="AM5328"/>
      <c r="AN5328"/>
      <c r="AO5328"/>
    </row>
    <row r="5329" spans="1:41" ht="15">
      <c r="A5329"/>
      <c r="B5329"/>
      <c r="C5329" s="137"/>
      <c r="D5329" s="30"/>
      <c r="E5329" s="30"/>
      <c r="F5329" s="10"/>
      <c r="G5329" s="10"/>
      <c r="H5329" s="15"/>
      <c r="I5329" s="15"/>
      <c r="J5329" s="15"/>
      <c r="K5329" s="15"/>
      <c r="L5329" s="15"/>
      <c r="M5329" s="15"/>
      <c r="N5329" s="15"/>
      <c r="O5329" s="15"/>
      <c r="P5329" s="15"/>
      <c r="Q5329" s="71"/>
      <c r="R5329" s="84"/>
      <c r="S5329" s="10"/>
      <c r="T5329" s="10"/>
      <c r="U5329" s="10"/>
      <c r="V5329" s="10"/>
      <c r="W5329" s="138"/>
      <c r="Y5329"/>
      <c r="Z5329"/>
      <c r="AA5329"/>
      <c r="AB5329"/>
      <c r="AC5329"/>
      <c r="AD5329"/>
      <c r="AE5329"/>
      <c r="AF5329"/>
      <c r="AG5329"/>
      <c r="AH5329"/>
      <c r="AI5329"/>
      <c r="AJ5329"/>
      <c r="AK5329"/>
      <c r="AL5329"/>
      <c r="AM5329"/>
      <c r="AN5329"/>
      <c r="AO5329"/>
    </row>
    <row r="5330" spans="1:41" ht="15">
      <c r="A5330"/>
      <c r="B5330"/>
      <c r="C5330" s="137"/>
      <c r="D5330" s="30"/>
      <c r="E5330" s="30"/>
      <c r="F5330" s="10"/>
      <c r="G5330" s="10"/>
      <c r="H5330" s="15"/>
      <c r="I5330" s="15"/>
      <c r="J5330" s="15"/>
      <c r="K5330" s="15"/>
      <c r="L5330" s="15"/>
      <c r="M5330" s="15"/>
      <c r="N5330" s="15"/>
      <c r="O5330" s="15"/>
      <c r="P5330" s="15"/>
      <c r="Q5330" s="71"/>
      <c r="R5330" s="84"/>
      <c r="S5330" s="10"/>
      <c r="T5330" s="10"/>
      <c r="U5330" s="10"/>
      <c r="V5330" s="10"/>
      <c r="W5330" s="138"/>
      <c r="Y5330"/>
      <c r="Z5330"/>
      <c r="AA5330"/>
      <c r="AB5330"/>
      <c r="AC5330"/>
      <c r="AD5330"/>
      <c r="AE5330"/>
      <c r="AF5330"/>
      <c r="AG5330"/>
      <c r="AH5330"/>
      <c r="AI5330"/>
      <c r="AJ5330"/>
      <c r="AK5330"/>
      <c r="AL5330"/>
      <c r="AM5330"/>
      <c r="AN5330"/>
      <c r="AO5330"/>
    </row>
    <row r="5331" spans="1:41" ht="15">
      <c r="A5331"/>
      <c r="B5331"/>
      <c r="C5331" s="137"/>
      <c r="D5331" s="30"/>
      <c r="E5331" s="30"/>
      <c r="F5331" s="10"/>
      <c r="G5331" s="10"/>
      <c r="H5331" s="15"/>
      <c r="I5331" s="15"/>
      <c r="J5331" s="15"/>
      <c r="K5331" s="15"/>
      <c r="L5331" s="15"/>
      <c r="M5331" s="15"/>
      <c r="N5331" s="15"/>
      <c r="O5331" s="15"/>
      <c r="P5331" s="15"/>
      <c r="Q5331" s="71"/>
      <c r="R5331" s="84"/>
      <c r="S5331" s="10"/>
      <c r="T5331" s="10"/>
      <c r="U5331" s="10"/>
      <c r="V5331" s="10"/>
      <c r="W5331" s="138"/>
      <c r="Y5331"/>
      <c r="Z5331"/>
      <c r="AA5331"/>
      <c r="AB5331"/>
      <c r="AC5331"/>
      <c r="AD5331"/>
      <c r="AE5331"/>
      <c r="AF5331"/>
      <c r="AG5331"/>
      <c r="AH5331"/>
      <c r="AI5331"/>
      <c r="AJ5331"/>
      <c r="AK5331"/>
      <c r="AL5331"/>
      <c r="AM5331"/>
      <c r="AN5331"/>
      <c r="AO5331"/>
    </row>
    <row r="5332" spans="1:41" ht="15">
      <c r="A5332"/>
      <c r="B5332"/>
      <c r="C5332" s="137"/>
      <c r="D5332" s="30"/>
      <c r="E5332" s="30"/>
      <c r="F5332" s="10"/>
      <c r="G5332" s="10"/>
      <c r="H5332" s="15"/>
      <c r="I5332" s="15"/>
      <c r="J5332" s="15"/>
      <c r="K5332" s="15"/>
      <c r="L5332" s="15"/>
      <c r="M5332" s="15"/>
      <c r="N5332" s="15"/>
      <c r="O5332" s="15"/>
      <c r="P5332" s="15"/>
      <c r="Q5332" s="71"/>
      <c r="R5332" s="84"/>
      <c r="S5332" s="10"/>
      <c r="T5332" s="10"/>
      <c r="U5332" s="10"/>
      <c r="V5332" s="10"/>
      <c r="W5332" s="138"/>
      <c r="Y5332"/>
      <c r="Z5332"/>
      <c r="AA5332"/>
      <c r="AB5332"/>
      <c r="AC5332"/>
      <c r="AD5332"/>
      <c r="AE5332"/>
      <c r="AF5332"/>
      <c r="AG5332"/>
      <c r="AH5332"/>
      <c r="AI5332"/>
      <c r="AJ5332"/>
      <c r="AK5332"/>
      <c r="AL5332"/>
      <c r="AM5332"/>
      <c r="AN5332"/>
      <c r="AO5332"/>
    </row>
    <row r="5333" spans="1:41" ht="15">
      <c r="A5333"/>
      <c r="B5333"/>
      <c r="C5333" s="137"/>
      <c r="D5333" s="30"/>
      <c r="E5333" s="30"/>
      <c r="F5333" s="10"/>
      <c r="G5333" s="10"/>
      <c r="H5333" s="15"/>
      <c r="I5333" s="15"/>
      <c r="J5333" s="15"/>
      <c r="K5333" s="15"/>
      <c r="L5333" s="15"/>
      <c r="M5333" s="15"/>
      <c r="N5333" s="15"/>
      <c r="O5333" s="15"/>
      <c r="P5333" s="15"/>
      <c r="Q5333" s="71"/>
      <c r="R5333" s="84"/>
      <c r="S5333" s="10"/>
      <c r="T5333" s="10"/>
      <c r="U5333" s="10"/>
      <c r="V5333" s="10"/>
      <c r="W5333" s="138"/>
      <c r="Y5333"/>
      <c r="Z5333"/>
      <c r="AA5333"/>
      <c r="AB5333"/>
      <c r="AC5333"/>
      <c r="AD5333"/>
      <c r="AE5333"/>
      <c r="AF5333"/>
      <c r="AG5333"/>
      <c r="AH5333"/>
      <c r="AI5333"/>
      <c r="AJ5333"/>
      <c r="AK5333"/>
      <c r="AL5333"/>
      <c r="AM5333"/>
      <c r="AN5333"/>
      <c r="AO5333"/>
    </row>
    <row r="5334" spans="1:41" ht="15">
      <c r="A5334"/>
      <c r="B5334"/>
      <c r="C5334" s="137"/>
      <c r="D5334" s="30"/>
      <c r="E5334" s="30"/>
      <c r="F5334" s="10"/>
      <c r="G5334" s="10"/>
      <c r="H5334" s="15"/>
      <c r="I5334" s="15"/>
      <c r="J5334" s="15"/>
      <c r="K5334" s="15"/>
      <c r="L5334" s="15"/>
      <c r="M5334" s="15"/>
      <c r="N5334" s="15"/>
      <c r="O5334" s="15"/>
      <c r="P5334" s="15"/>
      <c r="Q5334" s="71"/>
      <c r="R5334" s="84"/>
      <c r="S5334" s="10"/>
      <c r="T5334" s="10"/>
      <c r="U5334" s="10"/>
      <c r="V5334" s="10"/>
      <c r="W5334" s="138"/>
      <c r="Y5334"/>
      <c r="Z5334"/>
      <c r="AA5334"/>
      <c r="AB5334"/>
      <c r="AC5334"/>
      <c r="AD5334"/>
      <c r="AE5334"/>
      <c r="AF5334"/>
      <c r="AG5334"/>
      <c r="AH5334"/>
      <c r="AI5334"/>
      <c r="AJ5334"/>
      <c r="AK5334"/>
      <c r="AL5334"/>
      <c r="AM5334"/>
      <c r="AN5334"/>
      <c r="AO5334"/>
    </row>
    <row r="5335" spans="1:41" ht="15">
      <c r="A5335"/>
      <c r="B5335"/>
      <c r="C5335" s="137"/>
      <c r="D5335" s="30"/>
      <c r="E5335" s="30"/>
      <c r="F5335" s="10"/>
      <c r="G5335" s="10"/>
      <c r="H5335" s="15"/>
      <c r="I5335" s="15"/>
      <c r="J5335" s="15"/>
      <c r="K5335" s="15"/>
      <c r="L5335" s="15"/>
      <c r="M5335" s="15"/>
      <c r="N5335" s="15"/>
      <c r="O5335" s="15"/>
      <c r="P5335" s="15"/>
      <c r="Q5335" s="71"/>
      <c r="R5335" s="84"/>
      <c r="S5335" s="10"/>
      <c r="T5335" s="10"/>
      <c r="U5335" s="10"/>
      <c r="V5335" s="10"/>
      <c r="W5335" s="138"/>
      <c r="Y5335"/>
      <c r="Z5335"/>
      <c r="AA5335"/>
      <c r="AB5335"/>
      <c r="AC5335"/>
      <c r="AD5335"/>
      <c r="AE5335"/>
      <c r="AF5335"/>
      <c r="AG5335"/>
      <c r="AH5335"/>
      <c r="AI5335"/>
      <c r="AJ5335"/>
      <c r="AK5335"/>
      <c r="AL5335"/>
      <c r="AM5335"/>
      <c r="AN5335"/>
      <c r="AO5335"/>
    </row>
    <row r="5336" spans="1:41" ht="15">
      <c r="A5336"/>
      <c r="B5336"/>
      <c r="C5336" s="137"/>
      <c r="D5336" s="30"/>
      <c r="E5336" s="30"/>
      <c r="F5336" s="10"/>
      <c r="G5336" s="10"/>
      <c r="H5336" s="15"/>
      <c r="I5336" s="15"/>
      <c r="J5336" s="15"/>
      <c r="K5336" s="15"/>
      <c r="L5336" s="15"/>
      <c r="M5336" s="15"/>
      <c r="N5336" s="15"/>
      <c r="O5336" s="15"/>
      <c r="P5336" s="15"/>
      <c r="Q5336" s="71"/>
      <c r="R5336" s="84"/>
      <c r="S5336" s="10"/>
      <c r="T5336" s="10"/>
      <c r="U5336" s="10"/>
      <c r="V5336" s="10"/>
      <c r="W5336" s="138"/>
      <c r="Y5336"/>
      <c r="Z5336"/>
      <c r="AA5336"/>
      <c r="AB5336"/>
      <c r="AC5336"/>
      <c r="AD5336"/>
      <c r="AE5336"/>
      <c r="AF5336"/>
      <c r="AG5336"/>
      <c r="AH5336"/>
      <c r="AI5336"/>
      <c r="AJ5336"/>
      <c r="AK5336"/>
      <c r="AL5336"/>
      <c r="AM5336"/>
      <c r="AN5336"/>
      <c r="AO5336"/>
    </row>
    <row r="5337" spans="1:41" ht="15">
      <c r="A5337"/>
      <c r="B5337"/>
      <c r="C5337" s="137"/>
      <c r="D5337" s="30"/>
      <c r="E5337" s="30"/>
      <c r="F5337" s="10"/>
      <c r="G5337" s="10"/>
      <c r="H5337" s="15"/>
      <c r="I5337" s="15"/>
      <c r="J5337" s="15"/>
      <c r="K5337" s="15"/>
      <c r="L5337" s="15"/>
      <c r="M5337" s="15"/>
      <c r="N5337" s="15"/>
      <c r="O5337" s="15"/>
      <c r="P5337" s="15"/>
      <c r="Q5337" s="71"/>
      <c r="R5337" s="84"/>
      <c r="S5337" s="10"/>
      <c r="T5337" s="10"/>
      <c r="U5337" s="10"/>
      <c r="V5337" s="10"/>
      <c r="W5337" s="138"/>
      <c r="Y5337"/>
      <c r="Z5337"/>
      <c r="AA5337"/>
      <c r="AB5337"/>
      <c r="AC5337"/>
      <c r="AD5337"/>
      <c r="AE5337"/>
      <c r="AF5337"/>
      <c r="AG5337"/>
      <c r="AH5337"/>
      <c r="AI5337"/>
      <c r="AJ5337"/>
      <c r="AK5337"/>
      <c r="AL5337"/>
      <c r="AM5337"/>
      <c r="AN5337"/>
      <c r="AO5337"/>
    </row>
    <row r="5338" spans="1:41" ht="15">
      <c r="A5338"/>
      <c r="B5338"/>
      <c r="C5338" s="137"/>
      <c r="D5338" s="30"/>
      <c r="E5338" s="30"/>
      <c r="F5338" s="10"/>
      <c r="G5338" s="10"/>
      <c r="H5338" s="15"/>
      <c r="I5338" s="15"/>
      <c r="J5338" s="15"/>
      <c r="K5338" s="15"/>
      <c r="L5338" s="15"/>
      <c r="M5338" s="15"/>
      <c r="N5338" s="15"/>
      <c r="O5338" s="15"/>
      <c r="P5338" s="15"/>
      <c r="Q5338" s="71"/>
      <c r="R5338" s="84"/>
      <c r="S5338" s="10"/>
      <c r="T5338" s="10"/>
      <c r="U5338" s="10"/>
      <c r="V5338" s="10"/>
      <c r="W5338" s="138"/>
      <c r="Y5338"/>
      <c r="Z5338"/>
      <c r="AA5338"/>
      <c r="AB5338"/>
      <c r="AC5338"/>
      <c r="AD5338"/>
      <c r="AE5338"/>
      <c r="AF5338"/>
      <c r="AG5338"/>
      <c r="AH5338"/>
      <c r="AI5338"/>
      <c r="AJ5338"/>
      <c r="AK5338"/>
      <c r="AL5338"/>
      <c r="AM5338"/>
      <c r="AN5338"/>
      <c r="AO5338"/>
    </row>
    <row r="5339" spans="1:41" ht="15">
      <c r="A5339"/>
      <c r="B5339"/>
      <c r="C5339" s="137"/>
      <c r="D5339" s="30"/>
      <c r="E5339" s="30"/>
      <c r="F5339" s="10"/>
      <c r="G5339" s="10"/>
      <c r="H5339" s="15"/>
      <c r="I5339" s="15"/>
      <c r="J5339" s="15"/>
      <c r="K5339" s="15"/>
      <c r="L5339" s="15"/>
      <c r="M5339" s="15"/>
      <c r="N5339" s="15"/>
      <c r="O5339" s="15"/>
      <c r="P5339" s="15"/>
      <c r="Q5339" s="71"/>
      <c r="R5339" s="84"/>
      <c r="S5339" s="10"/>
      <c r="T5339" s="10"/>
      <c r="U5339" s="10"/>
      <c r="V5339" s="10"/>
      <c r="W5339" s="138"/>
      <c r="Y5339"/>
      <c r="Z5339"/>
      <c r="AA5339"/>
      <c r="AB5339"/>
      <c r="AC5339"/>
      <c r="AD5339"/>
      <c r="AE5339"/>
      <c r="AF5339"/>
      <c r="AG5339"/>
      <c r="AH5339"/>
      <c r="AI5339"/>
      <c r="AJ5339"/>
      <c r="AK5339"/>
      <c r="AL5339"/>
      <c r="AM5339"/>
      <c r="AN5339"/>
      <c r="AO5339"/>
    </row>
    <row r="5340" spans="1:41" ht="15">
      <c r="A5340"/>
      <c r="B5340"/>
      <c r="C5340" s="137"/>
      <c r="D5340" s="30"/>
      <c r="E5340" s="30"/>
      <c r="F5340" s="10"/>
      <c r="G5340" s="10"/>
      <c r="H5340" s="15"/>
      <c r="I5340" s="15"/>
      <c r="J5340" s="15"/>
      <c r="K5340" s="15"/>
      <c r="L5340" s="15"/>
      <c r="M5340" s="15"/>
      <c r="N5340" s="15"/>
      <c r="O5340" s="15"/>
      <c r="P5340" s="15"/>
      <c r="Q5340" s="71"/>
      <c r="R5340" s="84"/>
      <c r="S5340" s="10"/>
      <c r="T5340" s="10"/>
      <c r="U5340" s="10"/>
      <c r="V5340" s="10"/>
      <c r="W5340" s="138"/>
      <c r="Y5340"/>
      <c r="Z5340"/>
      <c r="AA5340"/>
      <c r="AB5340"/>
      <c r="AC5340"/>
      <c r="AD5340"/>
      <c r="AE5340"/>
      <c r="AF5340"/>
      <c r="AG5340"/>
      <c r="AH5340"/>
      <c r="AI5340"/>
      <c r="AJ5340"/>
      <c r="AK5340"/>
      <c r="AL5340"/>
      <c r="AM5340"/>
      <c r="AN5340"/>
      <c r="AO5340"/>
    </row>
    <row r="5341" spans="1:41" ht="15">
      <c r="A5341"/>
      <c r="B5341"/>
      <c r="C5341" s="137"/>
      <c r="D5341" s="30"/>
      <c r="E5341" s="30"/>
      <c r="F5341" s="10"/>
      <c r="G5341" s="10"/>
      <c r="H5341" s="15"/>
      <c r="I5341" s="15"/>
      <c r="J5341" s="15"/>
      <c r="K5341" s="15"/>
      <c r="L5341" s="15"/>
      <c r="M5341" s="15"/>
      <c r="N5341" s="15"/>
      <c r="O5341" s="15"/>
      <c r="P5341" s="15"/>
      <c r="Q5341" s="71"/>
      <c r="R5341" s="84"/>
      <c r="S5341" s="10"/>
      <c r="T5341" s="10"/>
      <c r="U5341" s="10"/>
      <c r="V5341" s="10"/>
      <c r="W5341" s="138"/>
      <c r="Y5341"/>
      <c r="Z5341"/>
      <c r="AA5341"/>
      <c r="AB5341"/>
      <c r="AC5341"/>
      <c r="AD5341"/>
      <c r="AE5341"/>
      <c r="AF5341"/>
      <c r="AG5341"/>
      <c r="AH5341"/>
      <c r="AI5341"/>
      <c r="AJ5341"/>
      <c r="AK5341"/>
      <c r="AL5341"/>
      <c r="AM5341"/>
      <c r="AN5341"/>
      <c r="AO5341"/>
    </row>
    <row r="5342" spans="1:41" ht="15">
      <c r="A5342"/>
      <c r="B5342"/>
      <c r="C5342" s="137"/>
      <c r="D5342" s="30"/>
      <c r="E5342" s="30"/>
      <c r="F5342" s="10"/>
      <c r="G5342" s="10"/>
      <c r="H5342" s="15"/>
      <c r="I5342" s="15"/>
      <c r="J5342" s="15"/>
      <c r="K5342" s="15"/>
      <c r="L5342" s="15"/>
      <c r="M5342" s="15"/>
      <c r="N5342" s="15"/>
      <c r="O5342" s="15"/>
      <c r="P5342" s="15"/>
      <c r="Q5342" s="71"/>
      <c r="R5342" s="84"/>
      <c r="S5342" s="10"/>
      <c r="T5342" s="10"/>
      <c r="U5342" s="10"/>
      <c r="V5342" s="10"/>
      <c r="W5342" s="138"/>
      <c r="Y5342"/>
      <c r="Z5342"/>
      <c r="AA5342"/>
      <c r="AB5342"/>
      <c r="AC5342"/>
      <c r="AD5342"/>
      <c r="AE5342"/>
      <c r="AF5342"/>
      <c r="AG5342"/>
      <c r="AH5342"/>
      <c r="AI5342"/>
      <c r="AJ5342"/>
      <c r="AK5342"/>
      <c r="AL5342"/>
      <c r="AM5342"/>
      <c r="AN5342"/>
      <c r="AO5342"/>
    </row>
    <row r="5343" spans="1:41" ht="15">
      <c r="A5343"/>
      <c r="B5343"/>
      <c r="C5343" s="137"/>
      <c r="D5343" s="30"/>
      <c r="E5343" s="30"/>
      <c r="F5343" s="10"/>
      <c r="G5343" s="10"/>
      <c r="H5343" s="15"/>
      <c r="I5343" s="15"/>
      <c r="J5343" s="15"/>
      <c r="K5343" s="15"/>
      <c r="L5343" s="15"/>
      <c r="M5343" s="15"/>
      <c r="N5343" s="15"/>
      <c r="O5343" s="15"/>
      <c r="P5343" s="15"/>
      <c r="Q5343" s="71"/>
      <c r="R5343" s="84"/>
      <c r="S5343" s="10"/>
      <c r="T5343" s="10"/>
      <c r="U5343" s="10"/>
      <c r="V5343" s="10"/>
      <c r="W5343" s="138"/>
      <c r="Y5343"/>
      <c r="Z5343"/>
      <c r="AA5343"/>
      <c r="AB5343"/>
      <c r="AC5343"/>
      <c r="AD5343"/>
      <c r="AE5343"/>
      <c r="AF5343"/>
      <c r="AG5343"/>
      <c r="AH5343"/>
      <c r="AI5343"/>
      <c r="AJ5343"/>
      <c r="AK5343"/>
      <c r="AL5343"/>
      <c r="AM5343"/>
      <c r="AN5343"/>
      <c r="AO5343"/>
    </row>
    <row r="5344" spans="1:41" ht="15">
      <c r="A5344"/>
      <c r="B5344"/>
      <c r="C5344" s="137"/>
      <c r="D5344" s="30"/>
      <c r="E5344" s="30"/>
      <c r="F5344" s="10"/>
      <c r="G5344" s="10"/>
      <c r="H5344" s="15"/>
      <c r="I5344" s="15"/>
      <c r="J5344" s="15"/>
      <c r="K5344" s="15"/>
      <c r="L5344" s="15"/>
      <c r="M5344" s="15"/>
      <c r="N5344" s="15"/>
      <c r="O5344" s="15"/>
      <c r="P5344" s="15"/>
      <c r="Q5344" s="71"/>
      <c r="R5344" s="84"/>
      <c r="S5344" s="10"/>
      <c r="T5344" s="10"/>
      <c r="U5344" s="10"/>
      <c r="V5344" s="10"/>
      <c r="W5344" s="138"/>
      <c r="Y5344"/>
      <c r="Z5344"/>
      <c r="AA5344"/>
      <c r="AB5344"/>
      <c r="AC5344"/>
      <c r="AD5344"/>
      <c r="AE5344"/>
      <c r="AF5344"/>
      <c r="AG5344"/>
      <c r="AH5344"/>
      <c r="AI5344"/>
      <c r="AJ5344"/>
      <c r="AK5344"/>
      <c r="AL5344"/>
      <c r="AM5344"/>
      <c r="AN5344"/>
      <c r="AO5344"/>
    </row>
    <row r="5345" spans="1:41" ht="15">
      <c r="A5345"/>
      <c r="B5345"/>
      <c r="C5345" s="137"/>
      <c r="D5345" s="30"/>
      <c r="E5345" s="30"/>
      <c r="F5345" s="10"/>
      <c r="G5345" s="10"/>
      <c r="H5345" s="15"/>
      <c r="I5345" s="15"/>
      <c r="J5345" s="15"/>
      <c r="K5345" s="15"/>
      <c r="L5345" s="15"/>
      <c r="M5345" s="15"/>
      <c r="N5345" s="15"/>
      <c r="O5345" s="15"/>
      <c r="P5345" s="15"/>
      <c r="Q5345" s="71"/>
      <c r="R5345" s="84"/>
      <c r="S5345" s="10"/>
      <c r="T5345" s="10"/>
      <c r="U5345" s="10"/>
      <c r="V5345" s="10"/>
      <c r="W5345" s="138"/>
      <c r="Y5345"/>
      <c r="Z5345"/>
      <c r="AA5345"/>
      <c r="AB5345"/>
      <c r="AC5345"/>
      <c r="AD5345"/>
      <c r="AE5345"/>
      <c r="AF5345"/>
      <c r="AG5345"/>
      <c r="AH5345"/>
      <c r="AI5345"/>
      <c r="AJ5345"/>
      <c r="AK5345"/>
      <c r="AL5345"/>
      <c r="AM5345"/>
      <c r="AN5345"/>
      <c r="AO5345"/>
    </row>
    <row r="5346" spans="1:41" ht="15">
      <c r="A5346"/>
      <c r="B5346"/>
      <c r="C5346" s="137"/>
      <c r="D5346" s="30"/>
      <c r="E5346" s="30"/>
      <c r="F5346" s="10"/>
      <c r="G5346" s="10"/>
      <c r="H5346" s="15"/>
      <c r="I5346" s="15"/>
      <c r="J5346" s="15"/>
      <c r="K5346" s="15"/>
      <c r="L5346" s="15"/>
      <c r="M5346" s="15"/>
      <c r="N5346" s="15"/>
      <c r="O5346" s="15"/>
      <c r="P5346" s="15"/>
      <c r="Q5346" s="71"/>
      <c r="R5346" s="84"/>
      <c r="S5346" s="10"/>
      <c r="T5346" s="10"/>
      <c r="U5346" s="10"/>
      <c r="V5346" s="10"/>
      <c r="W5346" s="138"/>
      <c r="Y5346"/>
      <c r="Z5346"/>
      <c r="AA5346"/>
      <c r="AB5346"/>
      <c r="AC5346"/>
      <c r="AD5346"/>
      <c r="AE5346"/>
      <c r="AF5346"/>
      <c r="AG5346"/>
      <c r="AH5346"/>
      <c r="AI5346"/>
      <c r="AJ5346"/>
      <c r="AK5346"/>
      <c r="AL5346"/>
      <c r="AM5346"/>
      <c r="AN5346"/>
      <c r="AO5346"/>
    </row>
    <row r="5347" spans="1:41" ht="15">
      <c r="A5347"/>
      <c r="B5347"/>
      <c r="C5347" s="137"/>
      <c r="D5347" s="30"/>
      <c r="E5347" s="30"/>
      <c r="F5347" s="10"/>
      <c r="G5347" s="10"/>
      <c r="H5347" s="15"/>
      <c r="I5347" s="15"/>
      <c r="J5347" s="15"/>
      <c r="K5347" s="15"/>
      <c r="L5347" s="15"/>
      <c r="M5347" s="15"/>
      <c r="N5347" s="15"/>
      <c r="O5347" s="15"/>
      <c r="P5347" s="15"/>
      <c r="Q5347" s="71"/>
      <c r="R5347" s="84"/>
      <c r="S5347" s="10"/>
      <c r="T5347" s="10"/>
      <c r="U5347" s="10"/>
      <c r="V5347" s="10"/>
      <c r="W5347" s="138"/>
      <c r="Y5347"/>
      <c r="Z5347"/>
      <c r="AA5347"/>
      <c r="AB5347"/>
      <c r="AC5347"/>
      <c r="AD5347"/>
      <c r="AE5347"/>
      <c r="AF5347"/>
      <c r="AG5347"/>
      <c r="AH5347"/>
      <c r="AI5347"/>
      <c r="AJ5347"/>
      <c r="AK5347"/>
      <c r="AL5347"/>
      <c r="AM5347"/>
      <c r="AN5347"/>
      <c r="AO5347"/>
    </row>
    <row r="5348" spans="1:41" ht="15">
      <c r="A5348"/>
      <c r="B5348"/>
      <c r="C5348" s="137"/>
      <c r="D5348" s="30"/>
      <c r="E5348" s="30"/>
      <c r="F5348" s="10"/>
      <c r="G5348" s="10"/>
      <c r="H5348" s="15"/>
      <c r="I5348" s="15"/>
      <c r="J5348" s="15"/>
      <c r="K5348" s="15"/>
      <c r="L5348" s="15"/>
      <c r="M5348" s="15"/>
      <c r="N5348" s="15"/>
      <c r="O5348" s="15"/>
      <c r="P5348" s="15"/>
      <c r="Q5348" s="71"/>
      <c r="R5348" s="84"/>
      <c r="S5348" s="10"/>
      <c r="T5348" s="10"/>
      <c r="U5348" s="10"/>
      <c r="V5348" s="10"/>
      <c r="W5348" s="138"/>
      <c r="Y5348"/>
      <c r="Z5348"/>
      <c r="AA5348"/>
      <c r="AB5348"/>
      <c r="AC5348"/>
      <c r="AD5348"/>
      <c r="AE5348"/>
      <c r="AF5348"/>
      <c r="AG5348"/>
      <c r="AH5348"/>
      <c r="AI5348"/>
      <c r="AJ5348"/>
      <c r="AK5348"/>
      <c r="AL5348"/>
      <c r="AM5348"/>
      <c r="AN5348"/>
      <c r="AO5348"/>
    </row>
    <row r="5349" spans="1:41" ht="15">
      <c r="A5349"/>
      <c r="B5349"/>
      <c r="C5349" s="137"/>
      <c r="D5349" s="30"/>
      <c r="E5349" s="30"/>
      <c r="F5349" s="10"/>
      <c r="G5349" s="10"/>
      <c r="H5349" s="15"/>
      <c r="I5349" s="15"/>
      <c r="J5349" s="15"/>
      <c r="K5349" s="15"/>
      <c r="L5349" s="15"/>
      <c r="M5349" s="15"/>
      <c r="N5349" s="15"/>
      <c r="O5349" s="15"/>
      <c r="P5349" s="15"/>
      <c r="Q5349" s="71"/>
      <c r="R5349" s="84"/>
      <c r="S5349" s="10"/>
      <c r="T5349" s="10"/>
      <c r="U5349" s="10"/>
      <c r="V5349" s="10"/>
      <c r="W5349" s="138"/>
      <c r="Y5349"/>
      <c r="Z5349"/>
      <c r="AA5349"/>
      <c r="AB5349"/>
      <c r="AC5349"/>
      <c r="AD5349"/>
      <c r="AE5349"/>
      <c r="AF5349"/>
      <c r="AG5349"/>
      <c r="AH5349"/>
      <c r="AI5349"/>
      <c r="AJ5349"/>
      <c r="AK5349"/>
      <c r="AL5349"/>
      <c r="AM5349"/>
      <c r="AN5349"/>
      <c r="AO5349"/>
    </row>
    <row r="5350" spans="1:41" ht="15">
      <c r="A5350"/>
      <c r="B5350"/>
      <c r="C5350" s="137"/>
      <c r="D5350" s="30"/>
      <c r="E5350" s="30"/>
      <c r="F5350" s="10"/>
      <c r="G5350" s="10"/>
      <c r="H5350" s="15"/>
      <c r="I5350" s="15"/>
      <c r="J5350" s="15"/>
      <c r="K5350" s="15"/>
      <c r="L5350" s="15"/>
      <c r="M5350" s="15"/>
      <c r="N5350" s="15"/>
      <c r="O5350" s="15"/>
      <c r="P5350" s="15"/>
      <c r="Q5350" s="71"/>
      <c r="R5350" s="84"/>
      <c r="S5350" s="10"/>
      <c r="T5350" s="10"/>
      <c r="U5350" s="10"/>
      <c r="V5350" s="10"/>
      <c r="W5350" s="138"/>
      <c r="Y5350"/>
      <c r="Z5350"/>
      <c r="AA5350"/>
      <c r="AB5350"/>
      <c r="AC5350"/>
      <c r="AD5350"/>
      <c r="AE5350"/>
      <c r="AF5350"/>
      <c r="AG5350"/>
      <c r="AH5350"/>
      <c r="AI5350"/>
      <c r="AJ5350"/>
      <c r="AK5350"/>
      <c r="AL5350"/>
      <c r="AM5350"/>
      <c r="AN5350"/>
      <c r="AO5350"/>
    </row>
    <row r="5351" spans="1:41" ht="15">
      <c r="A5351"/>
      <c r="B5351"/>
      <c r="C5351" s="137"/>
      <c r="D5351" s="30"/>
      <c r="E5351" s="30"/>
      <c r="F5351" s="10"/>
      <c r="G5351" s="10"/>
      <c r="H5351" s="15"/>
      <c r="I5351" s="15"/>
      <c r="J5351" s="15"/>
      <c r="K5351" s="15"/>
      <c r="L5351" s="15"/>
      <c r="M5351" s="15"/>
      <c r="N5351" s="15"/>
      <c r="O5351" s="15"/>
      <c r="P5351" s="15"/>
      <c r="Q5351" s="71"/>
      <c r="R5351" s="84"/>
      <c r="S5351" s="10"/>
      <c r="T5351" s="10"/>
      <c r="U5351" s="10"/>
      <c r="V5351" s="10"/>
      <c r="W5351" s="138"/>
      <c r="Y5351"/>
      <c r="Z5351"/>
      <c r="AA5351"/>
      <c r="AB5351"/>
      <c r="AC5351"/>
      <c r="AD5351"/>
      <c r="AE5351"/>
      <c r="AF5351"/>
      <c r="AG5351"/>
      <c r="AH5351"/>
      <c r="AI5351"/>
      <c r="AJ5351"/>
      <c r="AK5351"/>
      <c r="AL5351"/>
      <c r="AM5351"/>
      <c r="AN5351"/>
      <c r="AO5351"/>
    </row>
    <row r="5352" spans="1:41" ht="15">
      <c r="A5352"/>
      <c r="B5352"/>
      <c r="C5352" s="137"/>
      <c r="D5352" s="30"/>
      <c r="E5352" s="30"/>
      <c r="F5352" s="10"/>
      <c r="G5352" s="10"/>
      <c r="H5352" s="15"/>
      <c r="I5352" s="15"/>
      <c r="J5352" s="15"/>
      <c r="K5352" s="15"/>
      <c r="L5352" s="15"/>
      <c r="M5352" s="15"/>
      <c r="N5352" s="15"/>
      <c r="O5352" s="15"/>
      <c r="P5352" s="15"/>
      <c r="Q5352" s="71"/>
      <c r="R5352" s="84"/>
      <c r="S5352" s="10"/>
      <c r="T5352" s="10"/>
      <c r="U5352" s="10"/>
      <c r="V5352" s="10"/>
      <c r="W5352" s="138"/>
      <c r="Y5352"/>
      <c r="Z5352"/>
      <c r="AA5352"/>
      <c r="AB5352"/>
      <c r="AC5352"/>
      <c r="AD5352"/>
      <c r="AE5352"/>
      <c r="AF5352"/>
      <c r="AG5352"/>
      <c r="AH5352"/>
      <c r="AI5352"/>
      <c r="AJ5352"/>
      <c r="AK5352"/>
      <c r="AL5352"/>
      <c r="AM5352"/>
      <c r="AN5352"/>
      <c r="AO5352"/>
    </row>
    <row r="5353" spans="1:41" ht="15">
      <c r="A5353"/>
      <c r="B5353"/>
      <c r="C5353" s="137"/>
      <c r="D5353" s="30"/>
      <c r="E5353" s="30"/>
      <c r="F5353" s="10"/>
      <c r="G5353" s="10"/>
      <c r="H5353" s="15"/>
      <c r="I5353" s="15"/>
      <c r="J5353" s="15"/>
      <c r="K5353" s="15"/>
      <c r="L5353" s="15"/>
      <c r="M5353" s="15"/>
      <c r="N5353" s="15"/>
      <c r="O5353" s="15"/>
      <c r="P5353" s="15"/>
      <c r="Q5353" s="71"/>
      <c r="R5353" s="84"/>
      <c r="S5353" s="10"/>
      <c r="T5353" s="10"/>
      <c r="U5353" s="10"/>
      <c r="V5353" s="10"/>
      <c r="W5353" s="138"/>
      <c r="Y5353"/>
      <c r="Z5353"/>
      <c r="AA5353"/>
      <c r="AB5353"/>
      <c r="AC5353"/>
      <c r="AD5353"/>
      <c r="AE5353"/>
      <c r="AF5353"/>
      <c r="AG5353"/>
      <c r="AH5353"/>
      <c r="AI5353"/>
      <c r="AJ5353"/>
      <c r="AK5353"/>
      <c r="AL5353"/>
      <c r="AM5353"/>
      <c r="AN5353"/>
      <c r="AO5353"/>
    </row>
    <row r="5354" spans="1:41" ht="15">
      <c r="A5354"/>
      <c r="B5354"/>
      <c r="C5354" s="137"/>
      <c r="D5354" s="30"/>
      <c r="E5354" s="30"/>
      <c r="F5354" s="10"/>
      <c r="G5354" s="10"/>
      <c r="H5354" s="15"/>
      <c r="I5354" s="15"/>
      <c r="J5354" s="15"/>
      <c r="K5354" s="15"/>
      <c r="L5354" s="15"/>
      <c r="M5354" s="15"/>
      <c r="N5354" s="15"/>
      <c r="O5354" s="15"/>
      <c r="P5354" s="15"/>
      <c r="Q5354" s="71"/>
      <c r="R5354" s="84"/>
      <c r="S5354" s="10"/>
      <c r="T5354" s="10"/>
      <c r="U5354" s="10"/>
      <c r="V5354" s="10"/>
      <c r="W5354" s="138"/>
      <c r="Y5354"/>
      <c r="Z5354"/>
      <c r="AA5354"/>
      <c r="AB5354"/>
      <c r="AC5354"/>
      <c r="AD5354"/>
      <c r="AE5354"/>
      <c r="AF5354"/>
      <c r="AG5354"/>
      <c r="AH5354"/>
      <c r="AI5354"/>
      <c r="AJ5354"/>
      <c r="AK5354"/>
      <c r="AL5354"/>
      <c r="AM5354"/>
      <c r="AN5354"/>
      <c r="AO5354"/>
    </row>
    <row r="5355" spans="1:41" ht="15">
      <c r="A5355"/>
      <c r="B5355"/>
      <c r="C5355" s="137"/>
      <c r="D5355" s="30"/>
      <c r="E5355" s="30"/>
      <c r="F5355" s="10"/>
      <c r="G5355" s="10"/>
      <c r="H5355" s="15"/>
      <c r="I5355" s="15"/>
      <c r="J5355" s="15"/>
      <c r="K5355" s="15"/>
      <c r="L5355" s="15"/>
      <c r="M5355" s="15"/>
      <c r="N5355" s="15"/>
      <c r="O5355" s="15"/>
      <c r="P5355" s="15"/>
      <c r="Q5355" s="71"/>
      <c r="R5355" s="84"/>
      <c r="S5355" s="10"/>
      <c r="T5355" s="10"/>
      <c r="U5355" s="10"/>
      <c r="V5355" s="10"/>
      <c r="W5355" s="138"/>
      <c r="Y5355"/>
      <c r="Z5355"/>
      <c r="AA5355"/>
      <c r="AB5355"/>
      <c r="AC5355"/>
      <c r="AD5355"/>
      <c r="AE5355"/>
      <c r="AF5355"/>
      <c r="AG5355"/>
      <c r="AH5355"/>
      <c r="AI5355"/>
      <c r="AJ5355"/>
      <c r="AK5355"/>
      <c r="AL5355"/>
      <c r="AM5355"/>
      <c r="AN5355"/>
      <c r="AO5355"/>
    </row>
    <row r="5356" spans="1:41" ht="15">
      <c r="A5356"/>
      <c r="B5356"/>
      <c r="C5356" s="137"/>
      <c r="D5356" s="30"/>
      <c r="E5356" s="30"/>
      <c r="F5356" s="10"/>
      <c r="G5356" s="10"/>
      <c r="H5356" s="15"/>
      <c r="I5356" s="15"/>
      <c r="J5356" s="15"/>
      <c r="K5356" s="15"/>
      <c r="L5356" s="15"/>
      <c r="M5356" s="15"/>
      <c r="N5356" s="15"/>
      <c r="O5356" s="15"/>
      <c r="P5356" s="15"/>
      <c r="Q5356" s="71"/>
      <c r="R5356" s="84"/>
      <c r="S5356" s="10"/>
      <c r="T5356" s="10"/>
      <c r="U5356" s="10"/>
      <c r="V5356" s="10"/>
      <c r="W5356" s="138"/>
      <c r="Y5356"/>
      <c r="Z5356"/>
      <c r="AA5356"/>
      <c r="AB5356"/>
      <c r="AC5356"/>
      <c r="AD5356"/>
      <c r="AE5356"/>
      <c r="AF5356"/>
      <c r="AG5356"/>
      <c r="AH5356"/>
      <c r="AI5356"/>
      <c r="AJ5356"/>
      <c r="AK5356"/>
      <c r="AL5356"/>
      <c r="AM5356"/>
      <c r="AN5356"/>
      <c r="AO5356"/>
    </row>
    <row r="5357" spans="1:41" ht="15">
      <c r="A5357"/>
      <c r="B5357"/>
      <c r="C5357" s="137"/>
      <c r="D5357" s="30"/>
      <c r="E5357" s="30"/>
      <c r="F5357" s="10"/>
      <c r="G5357" s="10"/>
      <c r="H5357" s="15"/>
      <c r="I5357" s="15"/>
      <c r="J5357" s="15"/>
      <c r="K5357" s="15"/>
      <c r="L5357" s="15"/>
      <c r="M5357" s="15"/>
      <c r="N5357" s="15"/>
      <c r="O5357" s="15"/>
      <c r="P5357" s="15"/>
      <c r="Q5357" s="71"/>
      <c r="R5357" s="84"/>
      <c r="S5357" s="10"/>
      <c r="T5357" s="10"/>
      <c r="U5357" s="10"/>
      <c r="V5357" s="10"/>
      <c r="W5357" s="138"/>
      <c r="Y5357"/>
      <c r="Z5357"/>
      <c r="AA5357"/>
      <c r="AB5357"/>
      <c r="AC5357"/>
      <c r="AD5357"/>
      <c r="AE5357"/>
      <c r="AF5357"/>
      <c r="AG5357"/>
      <c r="AH5357"/>
      <c r="AI5357"/>
      <c r="AJ5357"/>
      <c r="AK5357"/>
      <c r="AL5357"/>
      <c r="AM5357"/>
      <c r="AN5357"/>
      <c r="AO5357"/>
    </row>
    <row r="5358" spans="1:41" ht="15">
      <c r="A5358"/>
      <c r="B5358"/>
      <c r="C5358" s="137"/>
      <c r="D5358" s="30"/>
      <c r="E5358" s="30"/>
      <c r="F5358" s="10"/>
      <c r="G5358" s="10"/>
      <c r="H5358" s="15"/>
      <c r="I5358" s="15"/>
      <c r="J5358" s="15"/>
      <c r="K5358" s="15"/>
      <c r="L5358" s="15"/>
      <c r="M5358" s="15"/>
      <c r="N5358" s="15"/>
      <c r="O5358" s="15"/>
      <c r="P5358" s="15"/>
      <c r="Q5358" s="71"/>
      <c r="R5358" s="84"/>
      <c r="S5358" s="10"/>
      <c r="T5358" s="10"/>
      <c r="U5358" s="10"/>
      <c r="V5358" s="10"/>
      <c r="W5358" s="138"/>
      <c r="Y5358"/>
      <c r="Z5358"/>
      <c r="AA5358"/>
      <c r="AB5358"/>
      <c r="AC5358"/>
      <c r="AD5358"/>
      <c r="AE5358"/>
      <c r="AF5358"/>
      <c r="AG5358"/>
      <c r="AH5358"/>
      <c r="AI5358"/>
      <c r="AJ5358"/>
      <c r="AK5358"/>
      <c r="AL5358"/>
      <c r="AM5358"/>
      <c r="AN5358"/>
      <c r="AO5358"/>
    </row>
    <row r="5359" spans="1:41" ht="15">
      <c r="A5359"/>
      <c r="B5359"/>
      <c r="C5359" s="137"/>
      <c r="D5359" s="30"/>
      <c r="E5359" s="30"/>
      <c r="F5359" s="10"/>
      <c r="G5359" s="10"/>
      <c r="H5359" s="15"/>
      <c r="I5359" s="15"/>
      <c r="J5359" s="15"/>
      <c r="K5359" s="15"/>
      <c r="L5359" s="15"/>
      <c r="M5359" s="15"/>
      <c r="N5359" s="15"/>
      <c r="O5359" s="15"/>
      <c r="P5359" s="15"/>
      <c r="Q5359" s="71"/>
      <c r="R5359" s="84"/>
      <c r="S5359" s="10"/>
      <c r="T5359" s="10"/>
      <c r="U5359" s="10"/>
      <c r="V5359" s="10"/>
      <c r="W5359" s="138"/>
      <c r="Y5359"/>
      <c r="Z5359"/>
      <c r="AA5359"/>
      <c r="AB5359"/>
      <c r="AC5359"/>
      <c r="AD5359"/>
      <c r="AE5359"/>
      <c r="AF5359"/>
      <c r="AG5359"/>
      <c r="AH5359"/>
      <c r="AI5359"/>
      <c r="AJ5359"/>
      <c r="AK5359"/>
      <c r="AL5359"/>
      <c r="AM5359"/>
      <c r="AN5359"/>
      <c r="AO5359"/>
    </row>
    <row r="5360" spans="1:41" ht="15">
      <c r="A5360"/>
      <c r="B5360"/>
      <c r="C5360" s="137"/>
      <c r="D5360" s="30"/>
      <c r="E5360" s="30"/>
      <c r="F5360" s="10"/>
      <c r="G5360" s="10"/>
      <c r="H5360" s="15"/>
      <c r="I5360" s="15"/>
      <c r="J5360" s="15"/>
      <c r="K5360" s="15"/>
      <c r="L5360" s="15"/>
      <c r="M5360" s="15"/>
      <c r="N5360" s="15"/>
      <c r="O5360" s="15"/>
      <c r="P5360" s="15"/>
      <c r="Q5360" s="71"/>
      <c r="R5360" s="84"/>
      <c r="S5360" s="10"/>
      <c r="T5360" s="10"/>
      <c r="U5360" s="10"/>
      <c r="V5360" s="10"/>
      <c r="W5360" s="138"/>
      <c r="Y5360"/>
      <c r="Z5360"/>
      <c r="AA5360"/>
      <c r="AB5360"/>
      <c r="AC5360"/>
      <c r="AD5360"/>
      <c r="AE5360"/>
      <c r="AF5360"/>
      <c r="AG5360"/>
      <c r="AH5360"/>
      <c r="AI5360"/>
      <c r="AJ5360"/>
      <c r="AK5360"/>
      <c r="AL5360"/>
      <c r="AM5360"/>
      <c r="AN5360"/>
      <c r="AO5360"/>
    </row>
    <row r="5361" spans="1:41" ht="15">
      <c r="A5361"/>
      <c r="B5361"/>
      <c r="C5361" s="137"/>
      <c r="D5361" s="30"/>
      <c r="E5361" s="30"/>
      <c r="F5361" s="10"/>
      <c r="G5361" s="10"/>
      <c r="H5361" s="15"/>
      <c r="I5361" s="15"/>
      <c r="J5361" s="15"/>
      <c r="K5361" s="15"/>
      <c r="L5361" s="15"/>
      <c r="M5361" s="15"/>
      <c r="N5361" s="15"/>
      <c r="O5361" s="15"/>
      <c r="P5361" s="15"/>
      <c r="Q5361" s="71"/>
      <c r="R5361" s="84"/>
      <c r="S5361" s="10"/>
      <c r="T5361" s="10"/>
      <c r="U5361" s="10"/>
      <c r="V5361" s="10"/>
      <c r="W5361" s="138"/>
      <c r="Y5361"/>
      <c r="Z5361"/>
      <c r="AA5361"/>
      <c r="AB5361"/>
      <c r="AC5361"/>
      <c r="AD5361"/>
      <c r="AE5361"/>
      <c r="AF5361"/>
      <c r="AG5361"/>
      <c r="AH5361"/>
      <c r="AI5361"/>
      <c r="AJ5361"/>
      <c r="AK5361"/>
      <c r="AL5361"/>
      <c r="AM5361"/>
      <c r="AN5361"/>
      <c r="AO5361"/>
    </row>
    <row r="5362" spans="1:41" ht="15">
      <c r="A5362"/>
      <c r="B5362"/>
      <c r="C5362" s="137"/>
      <c r="D5362" s="30"/>
      <c r="E5362" s="30"/>
      <c r="F5362" s="10"/>
      <c r="G5362" s="10"/>
      <c r="H5362" s="15"/>
      <c r="I5362" s="15"/>
      <c r="J5362" s="15"/>
      <c r="K5362" s="15"/>
      <c r="L5362" s="15"/>
      <c r="M5362" s="15"/>
      <c r="N5362" s="15"/>
      <c r="O5362" s="15"/>
      <c r="P5362" s="15"/>
      <c r="Q5362" s="71"/>
      <c r="R5362" s="84"/>
      <c r="S5362" s="10"/>
      <c r="T5362" s="10"/>
      <c r="U5362" s="10"/>
      <c r="V5362" s="10"/>
      <c r="W5362" s="138"/>
      <c r="Y5362"/>
      <c r="Z5362"/>
      <c r="AA5362"/>
      <c r="AB5362"/>
      <c r="AC5362"/>
      <c r="AD5362"/>
      <c r="AE5362"/>
      <c r="AF5362"/>
      <c r="AG5362"/>
      <c r="AH5362"/>
      <c r="AI5362"/>
      <c r="AJ5362"/>
      <c r="AK5362"/>
      <c r="AL5362"/>
      <c r="AM5362"/>
      <c r="AN5362"/>
      <c r="AO5362"/>
    </row>
    <row r="5363" spans="1:41" ht="15">
      <c r="A5363"/>
      <c r="B5363"/>
      <c r="C5363" s="137"/>
      <c r="D5363" s="30"/>
      <c r="E5363" s="30"/>
      <c r="F5363" s="10"/>
      <c r="G5363" s="10"/>
      <c r="H5363" s="15"/>
      <c r="I5363" s="15"/>
      <c r="J5363" s="15"/>
      <c r="K5363" s="15"/>
      <c r="L5363" s="15"/>
      <c r="M5363" s="15"/>
      <c r="N5363" s="15"/>
      <c r="O5363" s="15"/>
      <c r="P5363" s="15"/>
      <c r="Q5363" s="71"/>
      <c r="R5363" s="84"/>
      <c r="S5363" s="10"/>
      <c r="T5363" s="10"/>
      <c r="U5363" s="10"/>
      <c r="V5363" s="10"/>
      <c r="W5363" s="138"/>
      <c r="Y5363"/>
      <c r="Z5363"/>
      <c r="AA5363"/>
      <c r="AB5363"/>
      <c r="AC5363"/>
      <c r="AD5363"/>
      <c r="AE5363"/>
      <c r="AF5363"/>
      <c r="AG5363"/>
      <c r="AH5363"/>
      <c r="AI5363"/>
      <c r="AJ5363"/>
      <c r="AK5363"/>
      <c r="AL5363"/>
      <c r="AM5363"/>
      <c r="AN5363"/>
      <c r="AO5363"/>
    </row>
    <row r="5364" spans="1:41" ht="15">
      <c r="A5364"/>
      <c r="B5364"/>
      <c r="C5364" s="137"/>
      <c r="D5364" s="30"/>
      <c r="E5364" s="30"/>
      <c r="F5364" s="10"/>
      <c r="G5364" s="10"/>
      <c r="H5364" s="15"/>
      <c r="I5364" s="15"/>
      <c r="J5364" s="15"/>
      <c r="K5364" s="15"/>
      <c r="L5364" s="15"/>
      <c r="M5364" s="15"/>
      <c r="N5364" s="15"/>
      <c r="O5364" s="15"/>
      <c r="P5364" s="15"/>
      <c r="Q5364" s="71"/>
      <c r="R5364" s="84"/>
      <c r="S5364" s="10"/>
      <c r="T5364" s="10"/>
      <c r="U5364" s="10"/>
      <c r="V5364" s="10"/>
      <c r="W5364" s="138"/>
      <c r="Y5364"/>
      <c r="Z5364"/>
      <c r="AA5364"/>
      <c r="AB5364"/>
      <c r="AC5364"/>
      <c r="AD5364"/>
      <c r="AE5364"/>
      <c r="AF5364"/>
      <c r="AG5364"/>
      <c r="AH5364"/>
      <c r="AI5364"/>
      <c r="AJ5364"/>
      <c r="AK5364"/>
      <c r="AL5364"/>
      <c r="AM5364"/>
      <c r="AN5364"/>
      <c r="AO5364"/>
    </row>
    <row r="5365" spans="1:41" ht="15">
      <c r="A5365"/>
      <c r="B5365"/>
      <c r="C5365" s="137"/>
      <c r="D5365" s="30"/>
      <c r="E5365" s="30"/>
      <c r="F5365" s="10"/>
      <c r="G5365" s="10"/>
      <c r="H5365" s="15"/>
      <c r="I5365" s="15"/>
      <c r="J5365" s="15"/>
      <c r="K5365" s="15"/>
      <c r="L5365" s="15"/>
      <c r="M5365" s="15"/>
      <c r="N5365" s="15"/>
      <c r="O5365" s="15"/>
      <c r="P5365" s="15"/>
      <c r="Q5365" s="71"/>
      <c r="R5365" s="84"/>
      <c r="S5365" s="10"/>
      <c r="T5365" s="10"/>
      <c r="U5365" s="10"/>
      <c r="V5365" s="10"/>
      <c r="W5365" s="138"/>
      <c r="Y5365"/>
      <c r="Z5365"/>
      <c r="AA5365"/>
      <c r="AB5365"/>
      <c r="AC5365"/>
      <c r="AD5365"/>
      <c r="AE5365"/>
      <c r="AF5365"/>
      <c r="AG5365"/>
      <c r="AH5365"/>
      <c r="AI5365"/>
      <c r="AJ5365"/>
      <c r="AK5365"/>
      <c r="AL5365"/>
      <c r="AM5365"/>
      <c r="AN5365"/>
      <c r="AO5365"/>
    </row>
    <row r="5366" spans="1:41" ht="15">
      <c r="A5366"/>
      <c r="B5366"/>
      <c r="C5366" s="137"/>
      <c r="D5366" s="30"/>
      <c r="E5366" s="30"/>
      <c r="F5366" s="10"/>
      <c r="G5366" s="10"/>
      <c r="H5366" s="15"/>
      <c r="I5366" s="15"/>
      <c r="J5366" s="15"/>
      <c r="K5366" s="15"/>
      <c r="L5366" s="15"/>
      <c r="M5366" s="15"/>
      <c r="N5366" s="15"/>
      <c r="O5366" s="15"/>
      <c r="P5366" s="15"/>
      <c r="Q5366" s="71"/>
      <c r="R5366" s="84"/>
      <c r="S5366" s="10"/>
      <c r="T5366" s="10"/>
      <c r="U5366" s="10"/>
      <c r="V5366" s="10"/>
      <c r="W5366" s="138"/>
      <c r="Y5366"/>
      <c r="Z5366"/>
      <c r="AA5366"/>
      <c r="AB5366"/>
      <c r="AC5366"/>
      <c r="AD5366"/>
      <c r="AE5366"/>
      <c r="AF5366"/>
      <c r="AG5366"/>
      <c r="AH5366"/>
      <c r="AI5366"/>
      <c r="AJ5366"/>
      <c r="AK5366"/>
      <c r="AL5366"/>
      <c r="AM5366"/>
      <c r="AN5366"/>
      <c r="AO5366"/>
    </row>
    <row r="5367" spans="1:41" ht="15">
      <c r="A5367"/>
      <c r="B5367"/>
      <c r="C5367" s="137"/>
      <c r="D5367" s="30"/>
      <c r="E5367" s="30"/>
      <c r="F5367" s="10"/>
      <c r="G5367" s="10"/>
      <c r="H5367" s="15"/>
      <c r="I5367" s="15"/>
      <c r="J5367" s="15"/>
      <c r="K5367" s="15"/>
      <c r="L5367" s="15"/>
      <c r="M5367" s="15"/>
      <c r="N5367" s="15"/>
      <c r="O5367" s="15"/>
      <c r="P5367" s="15"/>
      <c r="Q5367" s="71"/>
      <c r="R5367" s="84"/>
      <c r="S5367" s="10"/>
      <c r="T5367" s="10"/>
      <c r="U5367" s="10"/>
      <c r="V5367" s="10"/>
      <c r="W5367" s="138"/>
      <c r="Y5367"/>
      <c r="Z5367"/>
      <c r="AA5367"/>
      <c r="AB5367"/>
      <c r="AC5367"/>
      <c r="AD5367"/>
      <c r="AE5367"/>
      <c r="AF5367"/>
      <c r="AG5367"/>
      <c r="AH5367"/>
      <c r="AI5367"/>
      <c r="AJ5367"/>
      <c r="AK5367"/>
      <c r="AL5367"/>
      <c r="AM5367"/>
      <c r="AN5367"/>
      <c r="AO5367"/>
    </row>
    <row r="5368" spans="1:41" ht="15">
      <c r="A5368"/>
      <c r="B5368"/>
      <c r="C5368" s="137"/>
      <c r="D5368" s="30"/>
      <c r="E5368" s="30"/>
      <c r="F5368" s="10"/>
      <c r="G5368" s="10"/>
      <c r="H5368" s="15"/>
      <c r="I5368" s="15"/>
      <c r="J5368" s="15"/>
      <c r="K5368" s="15"/>
      <c r="L5368" s="15"/>
      <c r="M5368" s="15"/>
      <c r="N5368" s="15"/>
      <c r="O5368" s="15"/>
      <c r="P5368" s="15"/>
      <c r="Q5368" s="71"/>
      <c r="R5368" s="84"/>
      <c r="S5368" s="10"/>
      <c r="T5368" s="10"/>
      <c r="U5368" s="10"/>
      <c r="V5368" s="10"/>
      <c r="W5368" s="138"/>
      <c r="Y5368"/>
      <c r="Z5368"/>
      <c r="AA5368"/>
      <c r="AB5368"/>
      <c r="AC5368"/>
      <c r="AD5368"/>
      <c r="AE5368"/>
      <c r="AF5368"/>
      <c r="AG5368"/>
      <c r="AH5368"/>
      <c r="AI5368"/>
      <c r="AJ5368"/>
      <c r="AK5368"/>
      <c r="AL5368"/>
      <c r="AM5368"/>
      <c r="AN5368"/>
      <c r="AO5368"/>
    </row>
    <row r="5369" spans="1:41" ht="15">
      <c r="A5369"/>
      <c r="B5369"/>
      <c r="C5369" s="137"/>
      <c r="D5369" s="30"/>
      <c r="E5369" s="30"/>
      <c r="F5369" s="10"/>
      <c r="G5369" s="10"/>
      <c r="H5369" s="15"/>
      <c r="I5369" s="15"/>
      <c r="J5369" s="15"/>
      <c r="K5369" s="15"/>
      <c r="L5369" s="15"/>
      <c r="M5369" s="15"/>
      <c r="N5369" s="15"/>
      <c r="O5369" s="15"/>
      <c r="P5369" s="15"/>
      <c r="Q5369" s="71"/>
      <c r="R5369" s="84"/>
      <c r="S5369" s="10"/>
      <c r="T5369" s="10"/>
      <c r="U5369" s="10"/>
      <c r="V5369" s="10"/>
      <c r="W5369" s="138"/>
      <c r="Y5369"/>
      <c r="Z5369"/>
      <c r="AA5369"/>
      <c r="AB5369"/>
      <c r="AC5369"/>
      <c r="AD5369"/>
      <c r="AE5369"/>
      <c r="AF5369"/>
      <c r="AG5369"/>
      <c r="AH5369"/>
      <c r="AI5369"/>
      <c r="AJ5369"/>
      <c r="AK5369"/>
      <c r="AL5369"/>
      <c r="AM5369"/>
      <c r="AN5369"/>
      <c r="AO5369"/>
    </row>
    <row r="5370" spans="1:41" ht="15">
      <c r="A5370"/>
      <c r="B5370"/>
      <c r="C5370" s="137"/>
      <c r="D5370" s="30"/>
      <c r="E5370" s="30"/>
      <c r="F5370" s="10"/>
      <c r="G5370" s="10"/>
      <c r="H5370" s="15"/>
      <c r="I5370" s="15"/>
      <c r="J5370" s="15"/>
      <c r="K5370" s="15"/>
      <c r="L5370" s="15"/>
      <c r="M5370" s="15"/>
      <c r="N5370" s="15"/>
      <c r="O5370" s="15"/>
      <c r="P5370" s="15"/>
      <c r="Q5370" s="71"/>
      <c r="R5370" s="84"/>
      <c r="S5370" s="10"/>
      <c r="T5370" s="10"/>
      <c r="U5370" s="10"/>
      <c r="V5370" s="10"/>
      <c r="W5370" s="138"/>
      <c r="Y5370"/>
      <c r="Z5370"/>
      <c r="AA5370"/>
      <c r="AB5370"/>
      <c r="AC5370"/>
      <c r="AD5370"/>
      <c r="AE5370"/>
      <c r="AF5370"/>
      <c r="AG5370"/>
      <c r="AH5370"/>
      <c r="AI5370"/>
      <c r="AJ5370"/>
      <c r="AK5370"/>
      <c r="AL5370"/>
      <c r="AM5370"/>
      <c r="AN5370"/>
      <c r="AO5370"/>
    </row>
    <row r="5371" spans="1:41" ht="15">
      <c r="A5371"/>
      <c r="B5371"/>
      <c r="C5371" s="137"/>
      <c r="D5371" s="30"/>
      <c r="E5371" s="30"/>
      <c r="F5371" s="10"/>
      <c r="G5371" s="10"/>
      <c r="H5371" s="15"/>
      <c r="I5371" s="15"/>
      <c r="J5371" s="15"/>
      <c r="K5371" s="15"/>
      <c r="L5371" s="15"/>
      <c r="M5371" s="15"/>
      <c r="N5371" s="15"/>
      <c r="O5371" s="15"/>
      <c r="P5371" s="15"/>
      <c r="Q5371" s="71"/>
      <c r="R5371" s="84"/>
      <c r="S5371" s="10"/>
      <c r="T5371" s="10"/>
      <c r="U5371" s="10"/>
      <c r="V5371" s="10"/>
      <c r="W5371" s="138"/>
      <c r="Y5371"/>
      <c r="Z5371"/>
      <c r="AA5371"/>
      <c r="AB5371"/>
      <c r="AC5371"/>
      <c r="AD5371"/>
      <c r="AE5371"/>
      <c r="AF5371"/>
      <c r="AG5371"/>
      <c r="AH5371"/>
      <c r="AI5371"/>
      <c r="AJ5371"/>
      <c r="AK5371"/>
      <c r="AL5371"/>
      <c r="AM5371"/>
      <c r="AN5371"/>
      <c r="AO5371"/>
    </row>
    <row r="5372" spans="1:41" ht="15">
      <c r="A5372"/>
      <c r="B5372"/>
      <c r="C5372" s="137"/>
      <c r="D5372" s="30"/>
      <c r="E5372" s="30"/>
      <c r="F5372" s="10"/>
      <c r="G5372" s="10"/>
      <c r="H5372" s="15"/>
      <c r="I5372" s="15"/>
      <c r="J5372" s="15"/>
      <c r="K5372" s="15"/>
      <c r="L5372" s="15"/>
      <c r="M5372" s="15"/>
      <c r="N5372" s="15"/>
      <c r="O5372" s="15"/>
      <c r="P5372" s="15"/>
      <c r="Q5372" s="71"/>
      <c r="R5372" s="84"/>
      <c r="S5372" s="10"/>
      <c r="T5372" s="10"/>
      <c r="U5372" s="10"/>
      <c r="V5372" s="10"/>
      <c r="W5372" s="138"/>
      <c r="Y5372"/>
      <c r="Z5372"/>
      <c r="AA5372"/>
      <c r="AB5372"/>
      <c r="AC5372"/>
      <c r="AD5372"/>
      <c r="AE5372"/>
      <c r="AF5372"/>
      <c r="AG5372"/>
      <c r="AH5372"/>
      <c r="AI5372"/>
      <c r="AJ5372"/>
      <c r="AK5372"/>
      <c r="AL5372"/>
      <c r="AM5372"/>
      <c r="AN5372"/>
      <c r="AO5372"/>
    </row>
    <row r="5373" spans="1:41" ht="15">
      <c r="A5373"/>
      <c r="B5373"/>
      <c r="C5373" s="137"/>
      <c r="D5373" s="30"/>
      <c r="E5373" s="30"/>
      <c r="F5373" s="10"/>
      <c r="G5373" s="10"/>
      <c r="H5373" s="15"/>
      <c r="I5373" s="15"/>
      <c r="J5373" s="15"/>
      <c r="K5373" s="15"/>
      <c r="L5373" s="15"/>
      <c r="M5373" s="15"/>
      <c r="N5373" s="15"/>
      <c r="O5373" s="15"/>
      <c r="P5373" s="15"/>
      <c r="Q5373" s="71"/>
      <c r="R5373" s="84"/>
      <c r="S5373" s="10"/>
      <c r="T5373" s="10"/>
      <c r="U5373" s="10"/>
      <c r="V5373" s="10"/>
      <c r="W5373" s="138"/>
      <c r="Y5373"/>
      <c r="Z5373"/>
      <c r="AA5373"/>
      <c r="AB5373"/>
      <c r="AC5373"/>
      <c r="AD5373"/>
      <c r="AE5373"/>
      <c r="AF5373"/>
      <c r="AG5373"/>
      <c r="AH5373"/>
      <c r="AI5373"/>
      <c r="AJ5373"/>
      <c r="AK5373"/>
      <c r="AL5373"/>
      <c r="AM5373"/>
      <c r="AN5373"/>
      <c r="AO5373"/>
    </row>
    <row r="5374" spans="1:41" ht="15">
      <c r="A5374"/>
      <c r="B5374"/>
      <c r="C5374" s="137"/>
      <c r="D5374" s="30"/>
      <c r="E5374" s="30"/>
      <c r="F5374" s="10"/>
      <c r="G5374" s="10"/>
      <c r="H5374" s="15"/>
      <c r="I5374" s="15"/>
      <c r="J5374" s="15"/>
      <c r="K5374" s="15"/>
      <c r="L5374" s="15"/>
      <c r="M5374" s="15"/>
      <c r="N5374" s="15"/>
      <c r="O5374" s="15"/>
      <c r="P5374" s="15"/>
      <c r="Q5374" s="71"/>
      <c r="R5374" s="84"/>
      <c r="S5374" s="10"/>
      <c r="T5374" s="10"/>
      <c r="U5374" s="10"/>
      <c r="V5374" s="10"/>
      <c r="W5374" s="138"/>
      <c r="Y5374"/>
      <c r="Z5374"/>
      <c r="AA5374"/>
      <c r="AB5374"/>
      <c r="AC5374"/>
      <c r="AD5374"/>
      <c r="AE5374"/>
      <c r="AF5374"/>
      <c r="AG5374"/>
      <c r="AH5374"/>
      <c r="AI5374"/>
      <c r="AJ5374"/>
      <c r="AK5374"/>
      <c r="AL5374"/>
      <c r="AM5374"/>
      <c r="AN5374"/>
      <c r="AO5374"/>
    </row>
    <row r="5375" spans="1:41" ht="15">
      <c r="A5375"/>
      <c r="B5375"/>
      <c r="C5375" s="137"/>
      <c r="D5375" s="30"/>
      <c r="E5375" s="30"/>
      <c r="F5375" s="10"/>
      <c r="G5375" s="10"/>
      <c r="H5375" s="15"/>
      <c r="I5375" s="15"/>
      <c r="J5375" s="15"/>
      <c r="K5375" s="15"/>
      <c r="L5375" s="15"/>
      <c r="M5375" s="15"/>
      <c r="N5375" s="15"/>
      <c r="O5375" s="15"/>
      <c r="P5375" s="15"/>
      <c r="Q5375" s="71"/>
      <c r="R5375" s="84"/>
      <c r="S5375" s="10"/>
      <c r="T5375" s="10"/>
      <c r="U5375" s="10"/>
      <c r="V5375" s="10"/>
      <c r="W5375" s="138"/>
      <c r="Y5375"/>
      <c r="Z5375"/>
      <c r="AA5375"/>
      <c r="AB5375"/>
      <c r="AC5375"/>
      <c r="AD5375"/>
      <c r="AE5375"/>
      <c r="AF5375"/>
      <c r="AG5375"/>
      <c r="AH5375"/>
      <c r="AI5375"/>
      <c r="AJ5375"/>
      <c r="AK5375"/>
      <c r="AL5375"/>
      <c r="AM5375"/>
      <c r="AN5375"/>
      <c r="AO5375"/>
    </row>
    <row r="5376" spans="1:41" ht="15">
      <c r="A5376"/>
      <c r="B5376"/>
      <c r="C5376" s="137"/>
      <c r="D5376" s="30"/>
      <c r="E5376" s="30"/>
      <c r="F5376" s="10"/>
      <c r="G5376" s="10"/>
      <c r="H5376" s="15"/>
      <c r="I5376" s="15"/>
      <c r="J5376" s="15"/>
      <c r="K5376" s="15"/>
      <c r="L5376" s="15"/>
      <c r="M5376" s="15"/>
      <c r="N5376" s="15"/>
      <c r="O5376" s="15"/>
      <c r="P5376" s="15"/>
      <c r="Q5376" s="71"/>
      <c r="R5376" s="84"/>
      <c r="S5376" s="10"/>
      <c r="T5376" s="10"/>
      <c r="U5376" s="10"/>
      <c r="V5376" s="10"/>
      <c r="W5376" s="138"/>
      <c r="Y5376"/>
      <c r="Z5376"/>
      <c r="AA5376"/>
      <c r="AB5376"/>
      <c r="AC5376"/>
      <c r="AD5376"/>
      <c r="AE5376"/>
      <c r="AF5376"/>
      <c r="AG5376"/>
      <c r="AH5376"/>
      <c r="AI5376"/>
      <c r="AJ5376"/>
      <c r="AK5376"/>
      <c r="AL5376"/>
      <c r="AM5376"/>
      <c r="AN5376"/>
      <c r="AO5376"/>
    </row>
    <row r="5377" spans="1:41" ht="15">
      <c r="A5377"/>
      <c r="B5377"/>
      <c r="C5377" s="137"/>
      <c r="D5377" s="30"/>
      <c r="E5377" s="30"/>
      <c r="F5377" s="10"/>
      <c r="G5377" s="10"/>
      <c r="H5377" s="15"/>
      <c r="I5377" s="15"/>
      <c r="J5377" s="15"/>
      <c r="K5377" s="15"/>
      <c r="L5377" s="15"/>
      <c r="M5377" s="15"/>
      <c r="N5377" s="15"/>
      <c r="O5377" s="15"/>
      <c r="P5377" s="15"/>
      <c r="Q5377" s="71"/>
      <c r="R5377" s="84"/>
      <c r="S5377" s="10"/>
      <c r="T5377" s="10"/>
      <c r="U5377" s="10"/>
      <c r="V5377" s="10"/>
      <c r="W5377" s="138"/>
      <c r="Y5377"/>
      <c r="Z5377"/>
      <c r="AA5377"/>
      <c r="AB5377"/>
      <c r="AC5377"/>
      <c r="AD5377"/>
      <c r="AE5377"/>
      <c r="AF5377"/>
      <c r="AG5377"/>
      <c r="AH5377"/>
      <c r="AI5377"/>
      <c r="AJ5377"/>
      <c r="AK5377"/>
      <c r="AL5377"/>
      <c r="AM5377"/>
      <c r="AN5377"/>
      <c r="AO5377"/>
    </row>
    <row r="5378" spans="1:41" ht="15">
      <c r="A5378"/>
      <c r="B5378"/>
      <c r="C5378" s="137"/>
      <c r="D5378" s="30"/>
      <c r="E5378" s="30"/>
      <c r="F5378" s="10"/>
      <c r="G5378" s="10"/>
      <c r="H5378" s="15"/>
      <c r="I5378" s="15"/>
      <c r="J5378" s="15"/>
      <c r="K5378" s="15"/>
      <c r="L5378" s="15"/>
      <c r="M5378" s="15"/>
      <c r="N5378" s="15"/>
      <c r="O5378" s="15"/>
      <c r="P5378" s="15"/>
      <c r="Q5378" s="71"/>
      <c r="R5378" s="84"/>
      <c r="S5378" s="10"/>
      <c r="T5378" s="10"/>
      <c r="U5378" s="10"/>
      <c r="V5378" s="10"/>
      <c r="W5378" s="138"/>
      <c r="Y5378"/>
      <c r="Z5378"/>
      <c r="AA5378"/>
      <c r="AB5378"/>
      <c r="AC5378"/>
      <c r="AD5378"/>
      <c r="AE5378"/>
      <c r="AF5378"/>
      <c r="AG5378"/>
      <c r="AH5378"/>
      <c r="AI5378"/>
      <c r="AJ5378"/>
      <c r="AK5378"/>
      <c r="AL5378"/>
      <c r="AM5378"/>
      <c r="AN5378"/>
      <c r="AO5378"/>
    </row>
    <row r="5379" spans="1:41" ht="15">
      <c r="A5379"/>
      <c r="B5379"/>
      <c r="C5379" s="137"/>
      <c r="D5379" s="30"/>
      <c r="E5379" s="30"/>
      <c r="F5379" s="10"/>
      <c r="G5379" s="10"/>
      <c r="H5379" s="15"/>
      <c r="I5379" s="15"/>
      <c r="J5379" s="15"/>
      <c r="K5379" s="15"/>
      <c r="L5379" s="15"/>
      <c r="M5379" s="15"/>
      <c r="N5379" s="15"/>
      <c r="O5379" s="15"/>
      <c r="P5379" s="15"/>
      <c r="Q5379" s="71"/>
      <c r="R5379" s="84"/>
      <c r="S5379" s="10"/>
      <c r="T5379" s="10"/>
      <c r="U5379" s="10"/>
      <c r="V5379" s="10"/>
      <c r="W5379" s="138"/>
      <c r="Y5379"/>
      <c r="Z5379"/>
      <c r="AA5379"/>
      <c r="AB5379"/>
      <c r="AC5379"/>
      <c r="AD5379"/>
      <c r="AE5379"/>
      <c r="AF5379"/>
      <c r="AG5379"/>
      <c r="AH5379"/>
      <c r="AI5379"/>
      <c r="AJ5379"/>
      <c r="AK5379"/>
      <c r="AL5379"/>
      <c r="AM5379"/>
      <c r="AN5379"/>
      <c r="AO5379"/>
    </row>
    <row r="5380" spans="1:41" ht="15">
      <c r="A5380"/>
      <c r="B5380"/>
      <c r="C5380" s="137"/>
      <c r="D5380" s="30"/>
      <c r="E5380" s="30"/>
      <c r="F5380" s="10"/>
      <c r="G5380" s="10"/>
      <c r="H5380" s="15"/>
      <c r="I5380" s="15"/>
      <c r="J5380" s="15"/>
      <c r="K5380" s="15"/>
      <c r="L5380" s="15"/>
      <c r="M5380" s="15"/>
      <c r="N5380" s="15"/>
      <c r="O5380" s="15"/>
      <c r="P5380" s="15"/>
      <c r="Q5380" s="71"/>
      <c r="R5380" s="84"/>
      <c r="S5380" s="10"/>
      <c r="T5380" s="10"/>
      <c r="U5380" s="10"/>
      <c r="V5380" s="10"/>
      <c r="W5380" s="138"/>
      <c r="Y5380"/>
      <c r="Z5380"/>
      <c r="AA5380"/>
      <c r="AB5380"/>
      <c r="AC5380"/>
      <c r="AD5380"/>
      <c r="AE5380"/>
      <c r="AF5380"/>
      <c r="AG5380"/>
      <c r="AH5380"/>
      <c r="AI5380"/>
      <c r="AJ5380"/>
      <c r="AK5380"/>
      <c r="AL5380"/>
      <c r="AM5380"/>
      <c r="AN5380"/>
      <c r="AO5380"/>
    </row>
    <row r="5381" spans="1:41" ht="15">
      <c r="A5381"/>
      <c r="B5381"/>
      <c r="C5381" s="137"/>
      <c r="D5381" s="30"/>
      <c r="E5381" s="30"/>
      <c r="F5381" s="10"/>
      <c r="G5381" s="10"/>
      <c r="H5381" s="15"/>
      <c r="I5381" s="15"/>
      <c r="J5381" s="15"/>
      <c r="K5381" s="15"/>
      <c r="L5381" s="15"/>
      <c r="M5381" s="15"/>
      <c r="N5381" s="15"/>
      <c r="O5381" s="15"/>
      <c r="P5381" s="15"/>
      <c r="Q5381" s="71"/>
      <c r="R5381" s="84"/>
      <c r="S5381" s="10"/>
      <c r="T5381" s="10"/>
      <c r="U5381" s="10"/>
      <c r="V5381" s="10"/>
      <c r="W5381" s="138"/>
      <c r="Y5381"/>
      <c r="Z5381"/>
      <c r="AA5381"/>
      <c r="AB5381"/>
      <c r="AC5381"/>
      <c r="AD5381"/>
      <c r="AE5381"/>
      <c r="AF5381"/>
      <c r="AG5381"/>
      <c r="AH5381"/>
      <c r="AI5381"/>
      <c r="AJ5381"/>
      <c r="AK5381"/>
      <c r="AL5381"/>
      <c r="AM5381"/>
      <c r="AN5381"/>
      <c r="AO5381"/>
    </row>
    <row r="5382" spans="1:41" ht="15">
      <c r="A5382"/>
      <c r="B5382"/>
      <c r="C5382" s="137"/>
      <c r="D5382" s="30"/>
      <c r="E5382" s="30"/>
      <c r="F5382" s="10"/>
      <c r="G5382" s="10"/>
      <c r="H5382" s="15"/>
      <c r="I5382" s="15"/>
      <c r="J5382" s="15"/>
      <c r="K5382" s="15"/>
      <c r="L5382" s="15"/>
      <c r="M5382" s="15"/>
      <c r="N5382" s="15"/>
      <c r="O5382" s="15"/>
      <c r="P5382" s="15"/>
      <c r="Q5382" s="71"/>
      <c r="R5382" s="84"/>
      <c r="S5382" s="10"/>
      <c r="T5382" s="10"/>
      <c r="U5382" s="10"/>
      <c r="V5382" s="10"/>
      <c r="W5382" s="138"/>
      <c r="Y5382"/>
      <c r="Z5382"/>
      <c r="AA5382"/>
      <c r="AB5382"/>
      <c r="AC5382"/>
      <c r="AD5382"/>
      <c r="AE5382"/>
      <c r="AF5382"/>
      <c r="AG5382"/>
      <c r="AH5382"/>
      <c r="AI5382"/>
      <c r="AJ5382"/>
      <c r="AK5382"/>
      <c r="AL5382"/>
      <c r="AM5382"/>
      <c r="AN5382"/>
      <c r="AO5382"/>
    </row>
    <row r="5383" spans="1:41" ht="15">
      <c r="A5383"/>
      <c r="B5383"/>
      <c r="C5383" s="137"/>
      <c r="D5383" s="30"/>
      <c r="E5383" s="30"/>
      <c r="F5383" s="10"/>
      <c r="G5383" s="10"/>
      <c r="H5383" s="15"/>
      <c r="I5383" s="15"/>
      <c r="J5383" s="15"/>
      <c r="K5383" s="15"/>
      <c r="L5383" s="15"/>
      <c r="M5383" s="15"/>
      <c r="N5383" s="15"/>
      <c r="O5383" s="15"/>
      <c r="P5383" s="15"/>
      <c r="Q5383" s="71"/>
      <c r="R5383" s="84"/>
      <c r="S5383" s="10"/>
      <c r="T5383" s="10"/>
      <c r="U5383" s="10"/>
      <c r="V5383" s="10"/>
      <c r="W5383" s="138"/>
      <c r="Y5383"/>
      <c r="Z5383"/>
      <c r="AA5383"/>
      <c r="AB5383"/>
      <c r="AC5383"/>
      <c r="AD5383"/>
      <c r="AE5383"/>
      <c r="AF5383"/>
      <c r="AG5383"/>
      <c r="AH5383"/>
      <c r="AI5383"/>
      <c r="AJ5383"/>
      <c r="AK5383"/>
      <c r="AL5383"/>
      <c r="AM5383"/>
      <c r="AN5383"/>
      <c r="AO5383"/>
    </row>
    <row r="5384" spans="1:41" ht="15">
      <c r="A5384"/>
      <c r="B5384"/>
      <c r="C5384" s="137"/>
      <c r="D5384" s="30"/>
      <c r="E5384" s="30"/>
      <c r="F5384" s="10"/>
      <c r="G5384" s="10"/>
      <c r="H5384" s="15"/>
      <c r="I5384" s="15"/>
      <c r="J5384" s="15"/>
      <c r="K5384" s="15"/>
      <c r="L5384" s="15"/>
      <c r="M5384" s="15"/>
      <c r="N5384" s="15"/>
      <c r="O5384" s="15"/>
      <c r="P5384" s="15"/>
      <c r="Q5384" s="71"/>
      <c r="R5384" s="84"/>
      <c r="S5384" s="10"/>
      <c r="T5384" s="10"/>
      <c r="U5384" s="10"/>
      <c r="V5384" s="10"/>
      <c r="W5384" s="138"/>
      <c r="Y5384"/>
      <c r="Z5384"/>
      <c r="AA5384"/>
      <c r="AB5384"/>
      <c r="AC5384"/>
      <c r="AD5384"/>
      <c r="AE5384"/>
      <c r="AF5384"/>
      <c r="AG5384"/>
      <c r="AH5384"/>
      <c r="AI5384"/>
      <c r="AJ5384"/>
      <c r="AK5384"/>
      <c r="AL5384"/>
      <c r="AM5384"/>
      <c r="AN5384"/>
      <c r="AO5384"/>
    </row>
    <row r="5385" spans="1:41" ht="15">
      <c r="A5385"/>
      <c r="B5385"/>
      <c r="C5385" s="137"/>
      <c r="D5385" s="30"/>
      <c r="E5385" s="30"/>
      <c r="F5385" s="10"/>
      <c r="G5385" s="10"/>
      <c r="H5385" s="15"/>
      <c r="I5385" s="15"/>
      <c r="J5385" s="15"/>
      <c r="K5385" s="15"/>
      <c r="L5385" s="15"/>
      <c r="M5385" s="15"/>
      <c r="N5385" s="15"/>
      <c r="O5385" s="15"/>
      <c r="P5385" s="15"/>
      <c r="Q5385" s="71"/>
      <c r="R5385" s="84"/>
      <c r="S5385" s="10"/>
      <c r="T5385" s="10"/>
      <c r="U5385" s="10"/>
      <c r="V5385" s="10"/>
      <c r="W5385" s="138"/>
      <c r="Y5385"/>
      <c r="Z5385"/>
      <c r="AA5385"/>
      <c r="AB5385"/>
      <c r="AC5385"/>
      <c r="AD5385"/>
      <c r="AE5385"/>
      <c r="AF5385"/>
      <c r="AG5385"/>
      <c r="AH5385"/>
      <c r="AI5385"/>
      <c r="AJ5385"/>
      <c r="AK5385"/>
      <c r="AL5385"/>
      <c r="AM5385"/>
      <c r="AN5385"/>
      <c r="AO5385"/>
    </row>
    <row r="5386" spans="1:41" ht="15">
      <c r="A5386"/>
      <c r="B5386"/>
      <c r="C5386" s="137"/>
      <c r="D5386" s="30"/>
      <c r="E5386" s="30"/>
      <c r="F5386" s="10"/>
      <c r="G5386" s="10"/>
      <c r="H5386" s="15"/>
      <c r="I5386" s="15"/>
      <c r="J5386" s="15"/>
      <c r="K5386" s="15"/>
      <c r="L5386" s="15"/>
      <c r="M5386" s="15"/>
      <c r="N5386" s="15"/>
      <c r="O5386" s="15"/>
      <c r="P5386" s="15"/>
      <c r="Q5386" s="71"/>
      <c r="R5386" s="84"/>
      <c r="S5386" s="10"/>
      <c r="T5386" s="10"/>
      <c r="U5386" s="10"/>
      <c r="V5386" s="10"/>
      <c r="W5386" s="138"/>
      <c r="Y5386"/>
      <c r="Z5386"/>
      <c r="AA5386"/>
      <c r="AB5386"/>
      <c r="AC5386"/>
      <c r="AD5386"/>
      <c r="AE5386"/>
      <c r="AF5386"/>
      <c r="AG5386"/>
      <c r="AH5386"/>
      <c r="AI5386"/>
      <c r="AJ5386"/>
      <c r="AK5386"/>
      <c r="AL5386"/>
      <c r="AM5386"/>
      <c r="AN5386"/>
      <c r="AO5386"/>
    </row>
    <row r="5387" spans="1:41" ht="15">
      <c r="A5387"/>
      <c r="B5387"/>
      <c r="C5387" s="137"/>
      <c r="D5387" s="30"/>
      <c r="E5387" s="30"/>
      <c r="F5387" s="10"/>
      <c r="G5387" s="10"/>
      <c r="H5387" s="15"/>
      <c r="I5387" s="15"/>
      <c r="J5387" s="15"/>
      <c r="K5387" s="15"/>
      <c r="L5387" s="15"/>
      <c r="M5387" s="15"/>
      <c r="N5387" s="15"/>
      <c r="O5387" s="15"/>
      <c r="P5387" s="15"/>
      <c r="Q5387" s="71"/>
      <c r="R5387" s="84"/>
      <c r="S5387" s="10"/>
      <c r="T5387" s="10"/>
      <c r="U5387" s="10"/>
      <c r="V5387" s="10"/>
      <c r="W5387" s="138"/>
      <c r="Y5387"/>
      <c r="Z5387"/>
      <c r="AA5387"/>
      <c r="AB5387"/>
      <c r="AC5387"/>
      <c r="AD5387"/>
      <c r="AE5387"/>
      <c r="AF5387"/>
      <c r="AG5387"/>
      <c r="AH5387"/>
      <c r="AI5387"/>
      <c r="AJ5387"/>
      <c r="AK5387"/>
      <c r="AL5387"/>
      <c r="AM5387"/>
      <c r="AN5387"/>
      <c r="AO5387"/>
    </row>
    <row r="5388" spans="1:41" ht="15">
      <c r="A5388"/>
      <c r="B5388"/>
      <c r="C5388" s="137"/>
      <c r="D5388" s="30"/>
      <c r="E5388" s="30"/>
      <c r="F5388" s="10"/>
      <c r="G5388" s="10"/>
      <c r="H5388" s="15"/>
      <c r="I5388" s="15"/>
      <c r="J5388" s="15"/>
      <c r="K5388" s="15"/>
      <c r="L5388" s="15"/>
      <c r="M5388" s="15"/>
      <c r="N5388" s="15"/>
      <c r="O5388" s="15"/>
      <c r="P5388" s="15"/>
      <c r="Q5388" s="71"/>
      <c r="R5388" s="84"/>
      <c r="S5388" s="10"/>
      <c r="T5388" s="10"/>
      <c r="U5388" s="10"/>
      <c r="V5388" s="10"/>
      <c r="W5388" s="138"/>
      <c r="Y5388"/>
      <c r="Z5388"/>
      <c r="AA5388"/>
      <c r="AB5388"/>
      <c r="AC5388"/>
      <c r="AD5388"/>
      <c r="AE5388"/>
      <c r="AF5388"/>
      <c r="AG5388"/>
      <c r="AH5388"/>
      <c r="AI5388"/>
      <c r="AJ5388"/>
      <c r="AK5388"/>
      <c r="AL5388"/>
      <c r="AM5388"/>
      <c r="AN5388"/>
      <c r="AO5388"/>
    </row>
    <row r="5389" spans="1:41" ht="15">
      <c r="A5389"/>
      <c r="B5389"/>
      <c r="C5389" s="137"/>
      <c r="D5389" s="30"/>
      <c r="E5389" s="30"/>
      <c r="F5389" s="10"/>
      <c r="G5389" s="10"/>
      <c r="H5389" s="15"/>
      <c r="I5389" s="15"/>
      <c r="J5389" s="15"/>
      <c r="K5389" s="15"/>
      <c r="L5389" s="15"/>
      <c r="M5389" s="15"/>
      <c r="N5389" s="15"/>
      <c r="O5389" s="15"/>
      <c r="P5389" s="15"/>
      <c r="Q5389" s="71"/>
      <c r="R5389" s="84"/>
      <c r="S5389" s="10"/>
      <c r="T5389" s="10"/>
      <c r="U5389" s="10"/>
      <c r="V5389" s="10"/>
      <c r="W5389" s="138"/>
      <c r="Y5389"/>
      <c r="Z5389"/>
      <c r="AA5389"/>
      <c r="AB5389"/>
      <c r="AC5389"/>
      <c r="AD5389"/>
      <c r="AE5389"/>
      <c r="AF5389"/>
      <c r="AG5389"/>
      <c r="AH5389"/>
      <c r="AI5389"/>
      <c r="AJ5389"/>
      <c r="AK5389"/>
      <c r="AL5389"/>
      <c r="AM5389"/>
      <c r="AN5389"/>
      <c r="AO5389"/>
    </row>
    <row r="5390" spans="1:41" ht="15">
      <c r="A5390"/>
      <c r="B5390"/>
      <c r="C5390" s="137"/>
      <c r="D5390" s="30"/>
      <c r="E5390" s="30"/>
      <c r="F5390" s="10"/>
      <c r="G5390" s="10"/>
      <c r="H5390" s="15"/>
      <c r="I5390" s="15"/>
      <c r="J5390" s="15"/>
      <c r="K5390" s="15"/>
      <c r="L5390" s="15"/>
      <c r="M5390" s="15"/>
      <c r="N5390" s="15"/>
      <c r="O5390" s="15"/>
      <c r="P5390" s="15"/>
      <c r="Q5390" s="71"/>
      <c r="R5390" s="84"/>
      <c r="S5390" s="10"/>
      <c r="T5390" s="10"/>
      <c r="U5390" s="10"/>
      <c r="V5390" s="10"/>
      <c r="W5390" s="138"/>
      <c r="Y5390"/>
      <c r="Z5390"/>
      <c r="AA5390"/>
      <c r="AB5390"/>
      <c r="AC5390"/>
      <c r="AD5390"/>
      <c r="AE5390"/>
      <c r="AF5390"/>
      <c r="AG5390"/>
      <c r="AH5390"/>
      <c r="AI5390"/>
      <c r="AJ5390"/>
      <c r="AK5390"/>
      <c r="AL5390"/>
      <c r="AM5390"/>
      <c r="AN5390"/>
      <c r="AO5390"/>
    </row>
    <row r="5391" spans="1:41" ht="15">
      <c r="A5391"/>
      <c r="B5391"/>
      <c r="C5391" s="137"/>
      <c r="D5391" s="30"/>
      <c r="E5391" s="30"/>
      <c r="F5391" s="10"/>
      <c r="G5391" s="10"/>
      <c r="H5391" s="15"/>
      <c r="I5391" s="15"/>
      <c r="J5391" s="15"/>
      <c r="K5391" s="15"/>
      <c r="L5391" s="15"/>
      <c r="M5391" s="15"/>
      <c r="N5391" s="15"/>
      <c r="O5391" s="15"/>
      <c r="P5391" s="15"/>
      <c r="Q5391" s="71"/>
      <c r="R5391" s="84"/>
      <c r="S5391" s="10"/>
      <c r="T5391" s="10"/>
      <c r="U5391" s="10"/>
      <c r="V5391" s="10"/>
      <c r="W5391" s="138"/>
      <c r="Y5391"/>
      <c r="Z5391"/>
      <c r="AA5391"/>
      <c r="AB5391"/>
      <c r="AC5391"/>
      <c r="AD5391"/>
      <c r="AE5391"/>
      <c r="AF5391"/>
      <c r="AG5391"/>
      <c r="AH5391"/>
      <c r="AI5391"/>
      <c r="AJ5391"/>
      <c r="AK5391"/>
      <c r="AL5391"/>
      <c r="AM5391"/>
      <c r="AN5391"/>
      <c r="AO5391"/>
    </row>
    <row r="5392" spans="1:41" ht="15">
      <c r="A5392"/>
      <c r="B5392"/>
      <c r="C5392" s="137"/>
      <c r="D5392" s="30"/>
      <c r="E5392" s="30"/>
      <c r="F5392" s="10"/>
      <c r="G5392" s="10"/>
      <c r="H5392" s="15"/>
      <c r="I5392" s="15"/>
      <c r="J5392" s="15"/>
      <c r="K5392" s="15"/>
      <c r="L5392" s="15"/>
      <c r="M5392" s="15"/>
      <c r="N5392" s="15"/>
      <c r="O5392" s="15"/>
      <c r="P5392" s="15"/>
      <c r="Q5392" s="71"/>
      <c r="R5392" s="84"/>
      <c r="S5392" s="10"/>
      <c r="T5392" s="10"/>
      <c r="U5392" s="10"/>
      <c r="V5392" s="10"/>
      <c r="W5392" s="138"/>
      <c r="Y5392"/>
      <c r="Z5392"/>
      <c r="AA5392"/>
      <c r="AB5392"/>
      <c r="AC5392"/>
      <c r="AD5392"/>
      <c r="AE5392"/>
      <c r="AF5392"/>
      <c r="AG5392"/>
      <c r="AH5392"/>
      <c r="AI5392"/>
      <c r="AJ5392"/>
      <c r="AK5392"/>
      <c r="AL5392"/>
      <c r="AM5392"/>
      <c r="AN5392"/>
      <c r="AO5392"/>
    </row>
    <row r="5393" spans="1:41" ht="15">
      <c r="A5393"/>
      <c r="B5393"/>
      <c r="C5393" s="137"/>
      <c r="D5393" s="30"/>
      <c r="E5393" s="30"/>
      <c r="F5393" s="10"/>
      <c r="G5393" s="10"/>
      <c r="H5393" s="15"/>
      <c r="I5393" s="15"/>
      <c r="J5393" s="15"/>
      <c r="K5393" s="15"/>
      <c r="L5393" s="15"/>
      <c r="M5393" s="15"/>
      <c r="N5393" s="15"/>
      <c r="O5393" s="15"/>
      <c r="P5393" s="15"/>
      <c r="Q5393" s="71"/>
      <c r="R5393" s="84"/>
      <c r="S5393" s="10"/>
      <c r="T5393" s="10"/>
      <c r="U5393" s="10"/>
      <c r="V5393" s="10"/>
      <c r="W5393" s="138"/>
      <c r="Y5393"/>
      <c r="Z5393"/>
      <c r="AA5393"/>
      <c r="AB5393"/>
      <c r="AC5393"/>
      <c r="AD5393"/>
      <c r="AE5393"/>
      <c r="AF5393"/>
      <c r="AG5393"/>
      <c r="AH5393"/>
      <c r="AI5393"/>
      <c r="AJ5393"/>
      <c r="AK5393"/>
      <c r="AL5393"/>
      <c r="AM5393"/>
      <c r="AN5393"/>
      <c r="AO5393"/>
    </row>
    <row r="5394" spans="1:41" ht="15">
      <c r="A5394"/>
      <c r="B5394"/>
      <c r="C5394" s="137"/>
      <c r="D5394" s="30"/>
      <c r="E5394" s="30"/>
      <c r="F5394" s="10"/>
      <c r="G5394" s="10"/>
      <c r="H5394" s="15"/>
      <c r="I5394" s="15"/>
      <c r="J5394" s="15"/>
      <c r="K5394" s="15"/>
      <c r="L5394" s="15"/>
      <c r="M5394" s="15"/>
      <c r="N5394" s="15"/>
      <c r="O5394" s="15"/>
      <c r="P5394" s="15"/>
      <c r="Q5394" s="71"/>
      <c r="R5394" s="84"/>
      <c r="S5394" s="10"/>
      <c r="T5394" s="10"/>
      <c r="U5394" s="10"/>
      <c r="V5394" s="10"/>
      <c r="W5394" s="138"/>
      <c r="Y5394"/>
      <c r="Z5394"/>
      <c r="AA5394"/>
      <c r="AB5394"/>
      <c r="AC5394"/>
      <c r="AD5394"/>
      <c r="AE5394"/>
      <c r="AF5394"/>
      <c r="AG5394"/>
      <c r="AH5394"/>
      <c r="AI5394"/>
      <c r="AJ5394"/>
      <c r="AK5394"/>
      <c r="AL5394"/>
      <c r="AM5394"/>
      <c r="AN5394"/>
      <c r="AO5394"/>
    </row>
    <row r="5395" spans="1:41" ht="15">
      <c r="A5395"/>
      <c r="B5395"/>
      <c r="C5395" s="137"/>
      <c r="D5395" s="30"/>
      <c r="E5395" s="30"/>
      <c r="F5395" s="10"/>
      <c r="G5395" s="10"/>
      <c r="H5395" s="15"/>
      <c r="I5395" s="15"/>
      <c r="J5395" s="15"/>
      <c r="K5395" s="15"/>
      <c r="L5395" s="15"/>
      <c r="M5395" s="15"/>
      <c r="N5395" s="15"/>
      <c r="O5395" s="15"/>
      <c r="P5395" s="15"/>
      <c r="Q5395" s="71"/>
      <c r="R5395" s="84"/>
      <c r="S5395" s="10"/>
      <c r="T5395" s="10"/>
      <c r="U5395" s="10"/>
      <c r="V5395" s="10"/>
      <c r="W5395" s="138"/>
      <c r="Y5395"/>
      <c r="Z5395"/>
      <c r="AA5395"/>
      <c r="AB5395"/>
      <c r="AC5395"/>
      <c r="AD5395"/>
      <c r="AE5395"/>
      <c r="AF5395"/>
      <c r="AG5395"/>
      <c r="AH5395"/>
      <c r="AI5395"/>
      <c r="AJ5395"/>
      <c r="AK5395"/>
      <c r="AL5395"/>
      <c r="AM5395"/>
      <c r="AN5395"/>
      <c r="AO5395"/>
    </row>
    <row r="5396" spans="1:41" ht="15">
      <c r="A5396"/>
      <c r="B5396"/>
      <c r="C5396" s="137"/>
      <c r="D5396" s="30"/>
      <c r="E5396" s="30"/>
      <c r="F5396" s="10"/>
      <c r="G5396" s="10"/>
      <c r="H5396" s="15"/>
      <c r="I5396" s="15"/>
      <c r="J5396" s="15"/>
      <c r="K5396" s="15"/>
      <c r="L5396" s="15"/>
      <c r="M5396" s="15"/>
      <c r="N5396" s="15"/>
      <c r="O5396" s="15"/>
      <c r="P5396" s="15"/>
      <c r="Q5396" s="71"/>
      <c r="R5396" s="84"/>
      <c r="S5396" s="10"/>
      <c r="T5396" s="10"/>
      <c r="U5396" s="10"/>
      <c r="V5396" s="10"/>
      <c r="W5396" s="138"/>
      <c r="Y5396"/>
      <c r="Z5396"/>
      <c r="AA5396"/>
      <c r="AB5396"/>
      <c r="AC5396"/>
      <c r="AD5396"/>
      <c r="AE5396"/>
      <c r="AF5396"/>
      <c r="AG5396"/>
      <c r="AH5396"/>
      <c r="AI5396"/>
      <c r="AJ5396"/>
      <c r="AK5396"/>
      <c r="AL5396"/>
      <c r="AM5396"/>
      <c r="AN5396"/>
      <c r="AO5396"/>
    </row>
    <row r="5397" spans="1:41" ht="15">
      <c r="A5397"/>
      <c r="B5397"/>
      <c r="C5397" s="137"/>
      <c r="D5397" s="30"/>
      <c r="E5397" s="30"/>
      <c r="F5397" s="10"/>
      <c r="G5397" s="10"/>
      <c r="H5397" s="15"/>
      <c r="I5397" s="15"/>
      <c r="J5397" s="15"/>
      <c r="K5397" s="15"/>
      <c r="L5397" s="15"/>
      <c r="M5397" s="15"/>
      <c r="N5397" s="15"/>
      <c r="O5397" s="15"/>
      <c r="P5397" s="15"/>
      <c r="Q5397" s="71"/>
      <c r="R5397" s="84"/>
      <c r="S5397" s="10"/>
      <c r="T5397" s="10"/>
      <c r="U5397" s="10"/>
      <c r="V5397" s="10"/>
      <c r="W5397" s="138"/>
      <c r="Y5397"/>
      <c r="Z5397"/>
      <c r="AA5397"/>
      <c r="AB5397"/>
      <c r="AC5397"/>
      <c r="AD5397"/>
      <c r="AE5397"/>
      <c r="AF5397"/>
      <c r="AG5397"/>
      <c r="AH5397"/>
      <c r="AI5397"/>
      <c r="AJ5397"/>
      <c r="AK5397"/>
      <c r="AL5397"/>
      <c r="AM5397"/>
      <c r="AN5397"/>
      <c r="AO5397"/>
    </row>
    <row r="5398" spans="1:41" ht="15">
      <c r="A5398"/>
      <c r="B5398"/>
      <c r="C5398" s="137"/>
      <c r="D5398" s="30"/>
      <c r="E5398" s="30"/>
      <c r="F5398" s="10"/>
      <c r="G5398" s="10"/>
      <c r="H5398" s="15"/>
      <c r="I5398" s="15"/>
      <c r="J5398" s="15"/>
      <c r="K5398" s="15"/>
      <c r="L5398" s="15"/>
      <c r="M5398" s="15"/>
      <c r="N5398" s="15"/>
      <c r="O5398" s="15"/>
      <c r="P5398" s="15"/>
      <c r="Q5398" s="71"/>
      <c r="R5398" s="84"/>
      <c r="S5398" s="10"/>
      <c r="T5398" s="10"/>
      <c r="U5398" s="10"/>
      <c r="V5398" s="10"/>
      <c r="W5398" s="138"/>
      <c r="Y5398"/>
      <c r="Z5398"/>
      <c r="AA5398"/>
      <c r="AB5398"/>
      <c r="AC5398"/>
      <c r="AD5398"/>
      <c r="AE5398"/>
      <c r="AF5398"/>
      <c r="AG5398"/>
      <c r="AH5398"/>
      <c r="AI5398"/>
      <c r="AJ5398"/>
      <c r="AK5398"/>
      <c r="AL5398"/>
      <c r="AM5398"/>
      <c r="AN5398"/>
      <c r="AO5398"/>
    </row>
    <row r="5399" spans="1:41" ht="15">
      <c r="A5399"/>
      <c r="B5399"/>
      <c r="C5399" s="137"/>
      <c r="D5399" s="30"/>
      <c r="E5399" s="30"/>
      <c r="F5399" s="10"/>
      <c r="G5399" s="10"/>
      <c r="H5399" s="15"/>
      <c r="I5399" s="15"/>
      <c r="J5399" s="15"/>
      <c r="K5399" s="15"/>
      <c r="L5399" s="15"/>
      <c r="M5399" s="15"/>
      <c r="N5399" s="15"/>
      <c r="O5399" s="15"/>
      <c r="P5399" s="15"/>
      <c r="Q5399" s="71"/>
      <c r="R5399" s="84"/>
      <c r="S5399" s="10"/>
      <c r="T5399" s="10"/>
      <c r="U5399" s="10"/>
      <c r="V5399" s="10"/>
      <c r="W5399" s="138"/>
      <c r="Y5399"/>
      <c r="Z5399"/>
      <c r="AA5399"/>
      <c r="AB5399"/>
      <c r="AC5399"/>
      <c r="AD5399"/>
      <c r="AE5399"/>
      <c r="AF5399"/>
      <c r="AG5399"/>
      <c r="AH5399"/>
      <c r="AI5399"/>
      <c r="AJ5399"/>
      <c r="AK5399"/>
      <c r="AL5399"/>
      <c r="AM5399"/>
      <c r="AN5399"/>
      <c r="AO5399"/>
    </row>
    <row r="5400" spans="1:41" ht="15">
      <c r="A5400"/>
      <c r="B5400"/>
      <c r="C5400" s="137"/>
      <c r="D5400" s="30"/>
      <c r="E5400" s="30"/>
      <c r="F5400" s="10"/>
      <c r="G5400" s="10"/>
      <c r="H5400" s="15"/>
      <c r="I5400" s="15"/>
      <c r="J5400" s="15"/>
      <c r="K5400" s="15"/>
      <c r="L5400" s="15"/>
      <c r="M5400" s="15"/>
      <c r="N5400" s="15"/>
      <c r="O5400" s="15"/>
      <c r="P5400" s="15"/>
      <c r="Q5400" s="71"/>
      <c r="R5400" s="84"/>
      <c r="S5400" s="10"/>
      <c r="T5400" s="10"/>
      <c r="U5400" s="10"/>
      <c r="V5400" s="10"/>
      <c r="W5400" s="138"/>
      <c r="Y5400"/>
      <c r="Z5400"/>
      <c r="AA5400"/>
      <c r="AB5400"/>
      <c r="AC5400"/>
      <c r="AD5400"/>
      <c r="AE5400"/>
      <c r="AF5400"/>
      <c r="AG5400"/>
      <c r="AH5400"/>
      <c r="AI5400"/>
      <c r="AJ5400"/>
      <c r="AK5400"/>
      <c r="AL5400"/>
      <c r="AM5400"/>
      <c r="AN5400"/>
      <c r="AO5400"/>
    </row>
    <row r="5401" spans="1:41" ht="15">
      <c r="A5401"/>
      <c r="B5401"/>
      <c r="C5401" s="137"/>
      <c r="D5401" s="30"/>
      <c r="E5401" s="30"/>
      <c r="F5401" s="10"/>
      <c r="G5401" s="10"/>
      <c r="H5401" s="15"/>
      <c r="I5401" s="15"/>
      <c r="J5401" s="15"/>
      <c r="K5401" s="15"/>
      <c r="L5401" s="15"/>
      <c r="M5401" s="15"/>
      <c r="N5401" s="15"/>
      <c r="O5401" s="15"/>
      <c r="P5401" s="15"/>
      <c r="Q5401" s="71"/>
      <c r="R5401" s="84"/>
      <c r="S5401" s="10"/>
      <c r="T5401" s="10"/>
      <c r="U5401" s="10"/>
      <c r="V5401" s="10"/>
      <c r="W5401" s="138"/>
      <c r="Y5401"/>
      <c r="Z5401"/>
      <c r="AA5401"/>
      <c r="AB5401"/>
      <c r="AC5401"/>
      <c r="AD5401"/>
      <c r="AE5401"/>
      <c r="AF5401"/>
      <c r="AG5401"/>
      <c r="AH5401"/>
      <c r="AI5401"/>
      <c r="AJ5401"/>
      <c r="AK5401"/>
      <c r="AL5401"/>
      <c r="AM5401"/>
      <c r="AN5401"/>
      <c r="AO5401"/>
    </row>
    <row r="5402" spans="1:41" ht="15">
      <c r="A5402"/>
      <c r="B5402"/>
      <c r="C5402" s="137"/>
      <c r="D5402" s="30"/>
      <c r="E5402" s="30"/>
      <c r="F5402" s="10"/>
      <c r="G5402" s="10"/>
      <c r="H5402" s="15"/>
      <c r="I5402" s="15"/>
      <c r="J5402" s="15"/>
      <c r="K5402" s="15"/>
      <c r="L5402" s="15"/>
      <c r="M5402" s="15"/>
      <c r="N5402" s="15"/>
      <c r="O5402" s="15"/>
      <c r="P5402" s="15"/>
      <c r="Q5402" s="71"/>
      <c r="R5402" s="84"/>
      <c r="S5402" s="10"/>
      <c r="T5402" s="10"/>
      <c r="U5402" s="10"/>
      <c r="V5402" s="10"/>
      <c r="W5402" s="138"/>
      <c r="Y5402"/>
      <c r="Z5402"/>
      <c r="AA5402"/>
      <c r="AB5402"/>
      <c r="AC5402"/>
      <c r="AD5402"/>
      <c r="AE5402"/>
      <c r="AF5402"/>
      <c r="AG5402"/>
      <c r="AH5402"/>
      <c r="AI5402"/>
      <c r="AJ5402"/>
      <c r="AK5402"/>
      <c r="AL5402"/>
      <c r="AM5402"/>
      <c r="AN5402"/>
      <c r="AO5402"/>
    </row>
    <row r="5403" spans="1:41" ht="15">
      <c r="A5403"/>
      <c r="B5403"/>
      <c r="C5403" s="137"/>
      <c r="D5403" s="30"/>
      <c r="E5403" s="30"/>
      <c r="F5403" s="10"/>
      <c r="G5403" s="10"/>
      <c r="H5403" s="15"/>
      <c r="I5403" s="15"/>
      <c r="J5403" s="15"/>
      <c r="K5403" s="15"/>
      <c r="L5403" s="15"/>
      <c r="M5403" s="15"/>
      <c r="N5403" s="15"/>
      <c r="O5403" s="15"/>
      <c r="P5403" s="15"/>
      <c r="Q5403" s="71"/>
      <c r="R5403" s="84"/>
      <c r="S5403" s="10"/>
      <c r="T5403" s="10"/>
      <c r="U5403" s="10"/>
      <c r="V5403" s="10"/>
      <c r="W5403" s="138"/>
      <c r="Y5403"/>
      <c r="Z5403"/>
      <c r="AA5403"/>
      <c r="AB5403"/>
      <c r="AC5403"/>
      <c r="AD5403"/>
      <c r="AE5403"/>
      <c r="AF5403"/>
      <c r="AG5403"/>
      <c r="AH5403"/>
      <c r="AI5403"/>
      <c r="AJ5403"/>
      <c r="AK5403"/>
      <c r="AL5403"/>
      <c r="AM5403"/>
      <c r="AN5403"/>
      <c r="AO5403"/>
    </row>
    <row r="5404" spans="1:41" ht="15">
      <c r="A5404"/>
      <c r="B5404"/>
      <c r="C5404" s="137"/>
      <c r="D5404" s="30"/>
      <c r="E5404" s="30"/>
      <c r="F5404" s="10"/>
      <c r="G5404" s="10"/>
      <c r="H5404" s="15"/>
      <c r="I5404" s="15"/>
      <c r="J5404" s="15"/>
      <c r="K5404" s="15"/>
      <c r="L5404" s="15"/>
      <c r="M5404" s="15"/>
      <c r="N5404" s="15"/>
      <c r="O5404" s="15"/>
      <c r="P5404" s="15"/>
      <c r="Q5404" s="71"/>
      <c r="R5404" s="84"/>
      <c r="S5404" s="10"/>
      <c r="T5404" s="10"/>
      <c r="U5404" s="10"/>
      <c r="V5404" s="10"/>
      <c r="W5404" s="138"/>
      <c r="Y5404"/>
      <c r="Z5404"/>
      <c r="AA5404"/>
      <c r="AB5404"/>
      <c r="AC5404"/>
      <c r="AD5404"/>
      <c r="AE5404"/>
      <c r="AF5404"/>
      <c r="AG5404"/>
      <c r="AH5404"/>
      <c r="AI5404"/>
      <c r="AJ5404"/>
      <c r="AK5404"/>
      <c r="AL5404"/>
      <c r="AM5404"/>
      <c r="AN5404"/>
      <c r="AO5404"/>
    </row>
    <row r="5405" spans="1:41" ht="15">
      <c r="A5405"/>
      <c r="B5405"/>
      <c r="C5405" s="137"/>
      <c r="D5405" s="30"/>
      <c r="E5405" s="30"/>
      <c r="F5405" s="10"/>
      <c r="G5405" s="10"/>
      <c r="H5405" s="15"/>
      <c r="I5405" s="15"/>
      <c r="J5405" s="15"/>
      <c r="K5405" s="15"/>
      <c r="L5405" s="15"/>
      <c r="M5405" s="15"/>
      <c r="N5405" s="15"/>
      <c r="O5405" s="15"/>
      <c r="P5405" s="15"/>
      <c r="Q5405" s="71"/>
      <c r="R5405" s="84"/>
      <c r="S5405" s="10"/>
      <c r="T5405" s="10"/>
      <c r="U5405" s="10"/>
      <c r="V5405" s="10"/>
      <c r="W5405" s="138"/>
      <c r="Y5405"/>
      <c r="Z5405"/>
      <c r="AA5405"/>
      <c r="AB5405"/>
      <c r="AC5405"/>
      <c r="AD5405"/>
      <c r="AE5405"/>
      <c r="AF5405"/>
      <c r="AG5405"/>
      <c r="AH5405"/>
      <c r="AI5405"/>
      <c r="AJ5405"/>
      <c r="AK5405"/>
      <c r="AL5405"/>
      <c r="AM5405"/>
      <c r="AN5405"/>
      <c r="AO5405"/>
    </row>
    <row r="5406" spans="1:41" ht="15">
      <c r="A5406"/>
      <c r="B5406"/>
      <c r="C5406" s="137"/>
      <c r="D5406" s="30"/>
      <c r="E5406" s="30"/>
      <c r="F5406" s="10"/>
      <c r="G5406" s="10"/>
      <c r="H5406" s="15"/>
      <c r="I5406" s="15"/>
      <c r="J5406" s="15"/>
      <c r="K5406" s="15"/>
      <c r="L5406" s="15"/>
      <c r="M5406" s="15"/>
      <c r="N5406" s="15"/>
      <c r="O5406" s="15"/>
      <c r="P5406" s="15"/>
      <c r="Q5406" s="71"/>
      <c r="R5406" s="84"/>
      <c r="S5406" s="10"/>
      <c r="T5406" s="10"/>
      <c r="U5406" s="10"/>
      <c r="V5406" s="10"/>
      <c r="W5406" s="138"/>
      <c r="Y5406"/>
      <c r="Z5406"/>
      <c r="AA5406"/>
      <c r="AB5406"/>
      <c r="AC5406"/>
      <c r="AD5406"/>
      <c r="AE5406"/>
      <c r="AF5406"/>
      <c r="AG5406"/>
      <c r="AH5406"/>
      <c r="AI5406"/>
      <c r="AJ5406"/>
      <c r="AK5406"/>
      <c r="AL5406"/>
      <c r="AM5406"/>
      <c r="AN5406"/>
      <c r="AO5406"/>
    </row>
    <row r="5407" spans="1:41" ht="15">
      <c r="A5407"/>
      <c r="B5407"/>
      <c r="C5407" s="137"/>
      <c r="D5407" s="30"/>
      <c r="E5407" s="30"/>
      <c r="F5407" s="10"/>
      <c r="G5407" s="10"/>
      <c r="H5407" s="15"/>
      <c r="I5407" s="15"/>
      <c r="J5407" s="15"/>
      <c r="K5407" s="15"/>
      <c r="L5407" s="15"/>
      <c r="M5407" s="15"/>
      <c r="N5407" s="15"/>
      <c r="O5407" s="15"/>
      <c r="P5407" s="15"/>
      <c r="Q5407" s="71"/>
      <c r="R5407" s="84"/>
      <c r="S5407" s="10"/>
      <c r="T5407" s="10"/>
      <c r="U5407" s="10"/>
      <c r="V5407" s="10"/>
      <c r="W5407" s="138"/>
      <c r="Y5407"/>
      <c r="Z5407"/>
      <c r="AA5407"/>
      <c r="AB5407"/>
      <c r="AC5407"/>
      <c r="AD5407"/>
      <c r="AE5407"/>
      <c r="AF5407"/>
      <c r="AG5407"/>
      <c r="AH5407"/>
      <c r="AI5407"/>
      <c r="AJ5407"/>
      <c r="AK5407"/>
      <c r="AL5407"/>
      <c r="AM5407"/>
      <c r="AN5407"/>
      <c r="AO5407"/>
    </row>
    <row r="5408" spans="1:41" ht="15">
      <c r="A5408"/>
      <c r="B5408"/>
      <c r="C5408" s="137"/>
      <c r="D5408" s="30"/>
      <c r="E5408" s="30"/>
      <c r="F5408" s="10"/>
      <c r="G5408" s="10"/>
      <c r="H5408" s="15"/>
      <c r="I5408" s="15"/>
      <c r="J5408" s="15"/>
      <c r="K5408" s="15"/>
      <c r="L5408" s="15"/>
      <c r="M5408" s="15"/>
      <c r="N5408" s="15"/>
      <c r="O5408" s="15"/>
      <c r="P5408" s="15"/>
      <c r="Q5408" s="71"/>
      <c r="R5408" s="84"/>
      <c r="S5408" s="10"/>
      <c r="T5408" s="10"/>
      <c r="U5408" s="10"/>
      <c r="V5408" s="10"/>
      <c r="W5408" s="138"/>
      <c r="Y5408"/>
      <c r="Z5408"/>
      <c r="AA5408"/>
      <c r="AB5408"/>
      <c r="AC5408"/>
      <c r="AD5408"/>
      <c r="AE5408"/>
      <c r="AF5408"/>
      <c r="AG5408"/>
      <c r="AH5408"/>
      <c r="AI5408"/>
      <c r="AJ5408"/>
      <c r="AK5408"/>
      <c r="AL5408"/>
      <c r="AM5408"/>
      <c r="AN5408"/>
      <c r="AO5408"/>
    </row>
    <row r="5409" spans="1:41" ht="15">
      <c r="A5409"/>
      <c r="B5409"/>
      <c r="C5409" s="137"/>
      <c r="D5409" s="30"/>
      <c r="E5409" s="30"/>
      <c r="F5409" s="10"/>
      <c r="G5409" s="10"/>
      <c r="H5409" s="15"/>
      <c r="I5409" s="15"/>
      <c r="J5409" s="15"/>
      <c r="K5409" s="15"/>
      <c r="L5409" s="15"/>
      <c r="M5409" s="15"/>
      <c r="N5409" s="15"/>
      <c r="O5409" s="15"/>
      <c r="P5409" s="15"/>
      <c r="Q5409" s="71"/>
      <c r="R5409" s="84"/>
      <c r="S5409" s="10"/>
      <c r="T5409" s="10"/>
      <c r="U5409" s="10"/>
      <c r="V5409" s="10"/>
      <c r="W5409" s="138"/>
      <c r="Y5409"/>
      <c r="Z5409"/>
      <c r="AA5409"/>
      <c r="AB5409"/>
      <c r="AC5409"/>
      <c r="AD5409"/>
      <c r="AE5409"/>
      <c r="AF5409"/>
      <c r="AG5409"/>
      <c r="AH5409"/>
      <c r="AI5409"/>
      <c r="AJ5409"/>
      <c r="AK5409"/>
      <c r="AL5409"/>
      <c r="AM5409"/>
      <c r="AN5409"/>
      <c r="AO5409"/>
    </row>
    <row r="5410" spans="1:41" ht="15">
      <c r="A5410"/>
      <c r="B5410"/>
      <c r="C5410" s="137"/>
      <c r="D5410" s="30"/>
      <c r="E5410" s="30"/>
      <c r="F5410" s="10"/>
      <c r="G5410" s="10"/>
      <c r="H5410" s="15"/>
      <c r="I5410" s="15"/>
      <c r="J5410" s="15"/>
      <c r="K5410" s="15"/>
      <c r="L5410" s="15"/>
      <c r="M5410" s="15"/>
      <c r="N5410" s="15"/>
      <c r="O5410" s="15"/>
      <c r="P5410" s="15"/>
      <c r="Q5410" s="71"/>
      <c r="R5410" s="84"/>
      <c r="S5410" s="10"/>
      <c r="T5410" s="10"/>
      <c r="U5410" s="10"/>
      <c r="V5410" s="10"/>
      <c r="W5410" s="138"/>
      <c r="Y5410"/>
      <c r="Z5410"/>
      <c r="AA5410"/>
      <c r="AB5410"/>
      <c r="AC5410"/>
      <c r="AD5410"/>
      <c r="AE5410"/>
      <c r="AF5410"/>
      <c r="AG5410"/>
      <c r="AH5410"/>
      <c r="AI5410"/>
      <c r="AJ5410"/>
      <c r="AK5410"/>
      <c r="AL5410"/>
      <c r="AM5410"/>
      <c r="AN5410"/>
      <c r="AO5410"/>
    </row>
    <row r="5411" spans="1:41" ht="15">
      <c r="A5411"/>
      <c r="B5411"/>
      <c r="C5411" s="137"/>
      <c r="D5411" s="30"/>
      <c r="E5411" s="30"/>
      <c r="F5411" s="10"/>
      <c r="G5411" s="10"/>
      <c r="H5411" s="15"/>
      <c r="I5411" s="15"/>
      <c r="J5411" s="15"/>
      <c r="K5411" s="15"/>
      <c r="L5411" s="15"/>
      <c r="M5411" s="15"/>
      <c r="N5411" s="15"/>
      <c r="O5411" s="15"/>
      <c r="P5411" s="15"/>
      <c r="Q5411" s="71"/>
      <c r="R5411" s="84"/>
      <c r="S5411" s="10"/>
      <c r="T5411" s="10"/>
      <c r="U5411" s="10"/>
      <c r="V5411" s="10"/>
      <c r="W5411" s="138"/>
      <c r="Y5411"/>
      <c r="Z5411"/>
      <c r="AA5411"/>
      <c r="AB5411"/>
      <c r="AC5411"/>
      <c r="AD5411"/>
      <c r="AE5411"/>
      <c r="AF5411"/>
      <c r="AG5411"/>
      <c r="AH5411"/>
      <c r="AI5411"/>
      <c r="AJ5411"/>
      <c r="AK5411"/>
      <c r="AL5411"/>
      <c r="AM5411"/>
      <c r="AN5411"/>
      <c r="AO5411"/>
    </row>
    <row r="5412" spans="1:41" ht="15">
      <c r="A5412"/>
      <c r="B5412"/>
      <c r="C5412" s="137"/>
      <c r="D5412" s="30"/>
      <c r="E5412" s="30"/>
      <c r="F5412" s="10"/>
      <c r="G5412" s="10"/>
      <c r="H5412" s="15"/>
      <c r="I5412" s="15"/>
      <c r="J5412" s="15"/>
      <c r="K5412" s="15"/>
      <c r="L5412" s="15"/>
      <c r="M5412" s="15"/>
      <c r="N5412" s="15"/>
      <c r="O5412" s="15"/>
      <c r="P5412" s="15"/>
      <c r="Q5412" s="71"/>
      <c r="R5412" s="84"/>
      <c r="S5412" s="10"/>
      <c r="T5412" s="10"/>
      <c r="U5412" s="10"/>
      <c r="V5412" s="10"/>
      <c r="W5412" s="138"/>
      <c r="Y5412"/>
      <c r="Z5412"/>
      <c r="AA5412"/>
      <c r="AB5412"/>
      <c r="AC5412"/>
      <c r="AD5412"/>
      <c r="AE5412"/>
      <c r="AF5412"/>
      <c r="AG5412"/>
      <c r="AH5412"/>
      <c r="AI5412"/>
      <c r="AJ5412"/>
      <c r="AK5412"/>
      <c r="AL5412"/>
      <c r="AM5412"/>
      <c r="AN5412"/>
      <c r="AO5412"/>
    </row>
    <row r="5413" spans="1:41" ht="15">
      <c r="A5413"/>
      <c r="B5413"/>
      <c r="C5413" s="137"/>
      <c r="D5413" s="30"/>
      <c r="E5413" s="30"/>
      <c r="F5413" s="10"/>
      <c r="G5413" s="10"/>
      <c r="H5413" s="15"/>
      <c r="I5413" s="15"/>
      <c r="J5413" s="15"/>
      <c r="K5413" s="15"/>
      <c r="L5413" s="15"/>
      <c r="M5413" s="15"/>
      <c r="N5413" s="15"/>
      <c r="O5413" s="15"/>
      <c r="P5413" s="15"/>
      <c r="Q5413" s="71"/>
      <c r="R5413" s="84"/>
      <c r="S5413" s="10"/>
      <c r="T5413" s="10"/>
      <c r="U5413" s="10"/>
      <c r="V5413" s="10"/>
      <c r="W5413" s="138"/>
      <c r="Y5413"/>
      <c r="Z5413"/>
      <c r="AA5413"/>
      <c r="AB5413"/>
      <c r="AC5413"/>
      <c r="AD5413"/>
      <c r="AE5413"/>
      <c r="AF5413"/>
      <c r="AG5413"/>
      <c r="AH5413"/>
      <c r="AI5413"/>
      <c r="AJ5413"/>
      <c r="AK5413"/>
      <c r="AL5413"/>
      <c r="AM5413"/>
      <c r="AN5413"/>
      <c r="AO5413"/>
    </row>
    <row r="5414" spans="1:41" ht="15">
      <c r="A5414"/>
      <c r="B5414"/>
      <c r="C5414" s="137"/>
      <c r="D5414" s="30"/>
      <c r="E5414" s="30"/>
      <c r="F5414" s="10"/>
      <c r="G5414" s="10"/>
      <c r="H5414" s="15"/>
      <c r="I5414" s="15"/>
      <c r="J5414" s="15"/>
      <c r="K5414" s="15"/>
      <c r="L5414" s="15"/>
      <c r="M5414" s="15"/>
      <c r="N5414" s="15"/>
      <c r="O5414" s="15"/>
      <c r="P5414" s="15"/>
      <c r="Q5414" s="71"/>
      <c r="R5414" s="84"/>
      <c r="S5414" s="10"/>
      <c r="T5414" s="10"/>
      <c r="U5414" s="10"/>
      <c r="V5414" s="10"/>
      <c r="W5414" s="138"/>
      <c r="Y5414"/>
      <c r="Z5414"/>
      <c r="AA5414"/>
      <c r="AB5414"/>
      <c r="AC5414"/>
      <c r="AD5414"/>
      <c r="AE5414"/>
      <c r="AF5414"/>
      <c r="AG5414"/>
      <c r="AH5414"/>
      <c r="AI5414"/>
      <c r="AJ5414"/>
      <c r="AK5414"/>
      <c r="AL5414"/>
      <c r="AM5414"/>
      <c r="AN5414"/>
      <c r="AO5414"/>
    </row>
    <row r="5415" spans="1:41" ht="15">
      <c r="A5415"/>
      <c r="B5415"/>
      <c r="C5415" s="137"/>
      <c r="D5415" s="30"/>
      <c r="E5415" s="30"/>
      <c r="F5415" s="10"/>
      <c r="G5415" s="10"/>
      <c r="H5415" s="15"/>
      <c r="I5415" s="15"/>
      <c r="J5415" s="15"/>
      <c r="K5415" s="15"/>
      <c r="L5415" s="15"/>
      <c r="M5415" s="15"/>
      <c r="N5415" s="15"/>
      <c r="O5415" s="15"/>
      <c r="P5415" s="15"/>
      <c r="Q5415" s="71"/>
      <c r="R5415" s="84"/>
      <c r="S5415" s="10"/>
      <c r="T5415" s="10"/>
      <c r="U5415" s="10"/>
      <c r="V5415" s="10"/>
      <c r="W5415" s="138"/>
      <c r="Y5415"/>
      <c r="Z5415"/>
      <c r="AA5415"/>
      <c r="AB5415"/>
      <c r="AC5415"/>
      <c r="AD5415"/>
      <c r="AE5415"/>
      <c r="AF5415"/>
      <c r="AG5415"/>
      <c r="AH5415"/>
      <c r="AI5415"/>
      <c r="AJ5415"/>
      <c r="AK5415"/>
      <c r="AL5415"/>
      <c r="AM5415"/>
      <c r="AN5415"/>
      <c r="AO5415"/>
    </row>
    <row r="5416" spans="1:41" ht="15">
      <c r="A5416"/>
      <c r="B5416"/>
      <c r="C5416" s="137"/>
      <c r="D5416" s="30"/>
      <c r="E5416" s="30"/>
      <c r="F5416" s="10"/>
      <c r="G5416" s="10"/>
      <c r="H5416" s="15"/>
      <c r="I5416" s="15"/>
      <c r="J5416" s="15"/>
      <c r="K5416" s="15"/>
      <c r="L5416" s="15"/>
      <c r="M5416" s="15"/>
      <c r="N5416" s="15"/>
      <c r="O5416" s="15"/>
      <c r="P5416" s="15"/>
      <c r="Q5416" s="71"/>
      <c r="R5416" s="84"/>
      <c r="S5416" s="10"/>
      <c r="T5416" s="10"/>
      <c r="U5416" s="10"/>
      <c r="V5416" s="10"/>
      <c r="W5416" s="138"/>
      <c r="Y5416"/>
      <c r="Z5416"/>
      <c r="AA5416"/>
      <c r="AB5416"/>
      <c r="AC5416"/>
      <c r="AD5416"/>
      <c r="AE5416"/>
      <c r="AF5416"/>
      <c r="AG5416"/>
      <c r="AH5416"/>
      <c r="AI5416"/>
      <c r="AJ5416"/>
      <c r="AK5416"/>
      <c r="AL5416"/>
      <c r="AM5416"/>
      <c r="AN5416"/>
      <c r="AO5416"/>
    </row>
    <row r="5417" spans="1:41" ht="15">
      <c r="A5417"/>
      <c r="B5417"/>
      <c r="C5417" s="137"/>
      <c r="D5417" s="30"/>
      <c r="E5417" s="30"/>
      <c r="F5417" s="10"/>
      <c r="G5417" s="10"/>
      <c r="H5417" s="15"/>
      <c r="I5417" s="15"/>
      <c r="J5417" s="15"/>
      <c r="K5417" s="15"/>
      <c r="L5417" s="15"/>
      <c r="M5417" s="15"/>
      <c r="N5417" s="15"/>
      <c r="O5417" s="15"/>
      <c r="P5417" s="15"/>
      <c r="Q5417" s="71"/>
      <c r="R5417" s="84"/>
      <c r="S5417" s="10"/>
      <c r="T5417" s="10"/>
      <c r="U5417" s="10"/>
      <c r="V5417" s="10"/>
      <c r="W5417" s="138"/>
      <c r="Y5417"/>
      <c r="Z5417"/>
      <c r="AA5417"/>
      <c r="AB5417"/>
      <c r="AC5417"/>
      <c r="AD5417"/>
      <c r="AE5417"/>
      <c r="AF5417"/>
      <c r="AG5417"/>
      <c r="AH5417"/>
      <c r="AI5417"/>
      <c r="AJ5417"/>
      <c r="AK5417"/>
      <c r="AL5417"/>
      <c r="AM5417"/>
      <c r="AN5417"/>
      <c r="AO5417"/>
    </row>
    <row r="5418" spans="1:41" ht="15">
      <c r="A5418"/>
      <c r="B5418"/>
      <c r="C5418" s="137"/>
      <c r="D5418" s="30"/>
      <c r="E5418" s="30"/>
      <c r="F5418" s="10"/>
      <c r="G5418" s="10"/>
      <c r="H5418" s="15"/>
      <c r="I5418" s="15"/>
      <c r="J5418" s="15"/>
      <c r="K5418" s="15"/>
      <c r="L5418" s="15"/>
      <c r="M5418" s="15"/>
      <c r="N5418" s="15"/>
      <c r="O5418" s="15"/>
      <c r="P5418" s="15"/>
      <c r="Q5418" s="71"/>
      <c r="R5418" s="84"/>
      <c r="S5418" s="10"/>
      <c r="T5418" s="10"/>
      <c r="U5418" s="10"/>
      <c r="V5418" s="10"/>
      <c r="W5418" s="138"/>
      <c r="Y5418"/>
      <c r="Z5418"/>
      <c r="AA5418"/>
      <c r="AB5418"/>
      <c r="AC5418"/>
      <c r="AD5418"/>
      <c r="AE5418"/>
      <c r="AF5418"/>
      <c r="AG5418"/>
      <c r="AH5418"/>
      <c r="AI5418"/>
      <c r="AJ5418"/>
      <c r="AK5418"/>
      <c r="AL5418"/>
      <c r="AM5418"/>
      <c r="AN5418"/>
      <c r="AO5418"/>
    </row>
    <row r="5419" spans="1:41" ht="15">
      <c r="A5419"/>
      <c r="B5419"/>
      <c r="C5419" s="137"/>
      <c r="D5419" s="30"/>
      <c r="E5419" s="30"/>
      <c r="F5419" s="10"/>
      <c r="G5419" s="10"/>
      <c r="H5419" s="15"/>
      <c r="I5419" s="15"/>
      <c r="J5419" s="15"/>
      <c r="K5419" s="15"/>
      <c r="L5419" s="15"/>
      <c r="M5419" s="15"/>
      <c r="N5419" s="15"/>
      <c r="O5419" s="15"/>
      <c r="P5419" s="15"/>
      <c r="Q5419" s="71"/>
      <c r="R5419" s="84"/>
      <c r="S5419" s="10"/>
      <c r="T5419" s="10"/>
      <c r="U5419" s="10"/>
      <c r="V5419" s="10"/>
      <c r="W5419" s="138"/>
      <c r="Y5419"/>
      <c r="Z5419"/>
      <c r="AA5419"/>
      <c r="AB5419"/>
      <c r="AC5419"/>
      <c r="AD5419"/>
      <c r="AE5419"/>
      <c r="AF5419"/>
      <c r="AG5419"/>
      <c r="AH5419"/>
      <c r="AI5419"/>
      <c r="AJ5419"/>
      <c r="AK5419"/>
      <c r="AL5419"/>
      <c r="AM5419"/>
      <c r="AN5419"/>
      <c r="AO5419"/>
    </row>
    <row r="5420" spans="1:41" ht="15">
      <c r="A5420"/>
      <c r="B5420"/>
      <c r="C5420" s="137"/>
      <c r="D5420" s="30"/>
      <c r="E5420" s="30"/>
      <c r="F5420" s="10"/>
      <c r="G5420" s="10"/>
      <c r="H5420" s="15"/>
      <c r="I5420" s="15"/>
      <c r="J5420" s="15"/>
      <c r="K5420" s="15"/>
      <c r="L5420" s="15"/>
      <c r="M5420" s="15"/>
      <c r="N5420" s="15"/>
      <c r="O5420" s="15"/>
      <c r="P5420" s="15"/>
      <c r="Q5420" s="71"/>
      <c r="R5420" s="84"/>
      <c r="S5420" s="10"/>
      <c r="T5420" s="10"/>
      <c r="U5420" s="10"/>
      <c r="V5420" s="10"/>
      <c r="W5420" s="138"/>
      <c r="Y5420"/>
      <c r="Z5420"/>
      <c r="AA5420"/>
      <c r="AB5420"/>
      <c r="AC5420"/>
      <c r="AD5420"/>
      <c r="AE5420"/>
      <c r="AF5420"/>
      <c r="AG5420"/>
      <c r="AH5420"/>
      <c r="AI5420"/>
      <c r="AJ5420"/>
      <c r="AK5420"/>
      <c r="AL5420"/>
      <c r="AM5420"/>
      <c r="AN5420"/>
      <c r="AO5420"/>
    </row>
    <row r="5421" spans="1:41" ht="15">
      <c r="A5421"/>
      <c r="B5421"/>
      <c r="C5421" s="137"/>
      <c r="D5421" s="30"/>
      <c r="E5421" s="30"/>
      <c r="F5421" s="10"/>
      <c r="G5421" s="10"/>
      <c r="H5421" s="15"/>
      <c r="I5421" s="15"/>
      <c r="J5421" s="15"/>
      <c r="K5421" s="15"/>
      <c r="L5421" s="15"/>
      <c r="M5421" s="15"/>
      <c r="N5421" s="15"/>
      <c r="O5421" s="15"/>
      <c r="P5421" s="15"/>
      <c r="Q5421" s="71"/>
      <c r="R5421" s="84"/>
      <c r="S5421" s="10"/>
      <c r="T5421" s="10"/>
      <c r="U5421" s="10"/>
      <c r="V5421" s="10"/>
      <c r="W5421" s="138"/>
      <c r="Y5421"/>
      <c r="Z5421"/>
      <c r="AA5421"/>
      <c r="AB5421"/>
      <c r="AC5421"/>
      <c r="AD5421"/>
      <c r="AE5421"/>
      <c r="AF5421"/>
      <c r="AG5421"/>
      <c r="AH5421"/>
      <c r="AI5421"/>
      <c r="AJ5421"/>
      <c r="AK5421"/>
      <c r="AL5421"/>
      <c r="AM5421"/>
      <c r="AN5421"/>
      <c r="AO5421"/>
    </row>
    <row r="5422" spans="1:41" ht="15">
      <c r="A5422"/>
      <c r="B5422"/>
      <c r="C5422" s="137"/>
      <c r="D5422" s="30"/>
      <c r="E5422" s="30"/>
      <c r="F5422" s="10"/>
      <c r="G5422" s="10"/>
      <c r="H5422" s="15"/>
      <c r="I5422" s="15"/>
      <c r="J5422" s="15"/>
      <c r="K5422" s="15"/>
      <c r="L5422" s="15"/>
      <c r="M5422" s="15"/>
      <c r="N5422" s="15"/>
      <c r="O5422" s="15"/>
      <c r="P5422" s="15"/>
      <c r="Q5422" s="71"/>
      <c r="R5422" s="84"/>
      <c r="S5422" s="10"/>
      <c r="T5422" s="10"/>
      <c r="U5422" s="10"/>
      <c r="V5422" s="10"/>
      <c r="W5422" s="138"/>
      <c r="Y5422"/>
      <c r="Z5422"/>
      <c r="AA5422"/>
      <c r="AB5422"/>
      <c r="AC5422"/>
      <c r="AD5422"/>
      <c r="AE5422"/>
      <c r="AF5422"/>
      <c r="AG5422"/>
      <c r="AH5422"/>
      <c r="AI5422"/>
      <c r="AJ5422"/>
      <c r="AK5422"/>
      <c r="AL5422"/>
      <c r="AM5422"/>
      <c r="AN5422"/>
      <c r="AO5422"/>
    </row>
    <row r="5423" spans="1:41" ht="15">
      <c r="A5423"/>
      <c r="B5423"/>
      <c r="C5423" s="137"/>
      <c r="D5423" s="30"/>
      <c r="E5423" s="30"/>
      <c r="F5423" s="10"/>
      <c r="G5423" s="10"/>
      <c r="H5423" s="15"/>
      <c r="I5423" s="15"/>
      <c r="J5423" s="15"/>
      <c r="K5423" s="15"/>
      <c r="L5423" s="15"/>
      <c r="M5423" s="15"/>
      <c r="N5423" s="15"/>
      <c r="O5423" s="15"/>
      <c r="P5423" s="15"/>
      <c r="Q5423" s="71"/>
      <c r="R5423" s="84"/>
      <c r="S5423" s="10"/>
      <c r="T5423" s="10"/>
      <c r="U5423" s="10"/>
      <c r="V5423" s="10"/>
      <c r="W5423" s="138"/>
      <c r="Y5423"/>
      <c r="Z5423"/>
      <c r="AA5423"/>
      <c r="AB5423"/>
      <c r="AC5423"/>
      <c r="AD5423"/>
      <c r="AE5423"/>
      <c r="AF5423"/>
      <c r="AG5423"/>
      <c r="AH5423"/>
      <c r="AI5423"/>
      <c r="AJ5423"/>
      <c r="AK5423"/>
      <c r="AL5423"/>
      <c r="AM5423"/>
      <c r="AN5423"/>
      <c r="AO5423"/>
    </row>
    <row r="5424" spans="1:41" ht="15">
      <c r="A5424"/>
      <c r="B5424"/>
      <c r="C5424" s="137"/>
      <c r="D5424" s="30"/>
      <c r="E5424" s="30"/>
      <c r="F5424" s="10"/>
      <c r="G5424" s="10"/>
      <c r="H5424" s="15"/>
      <c r="I5424" s="15"/>
      <c r="J5424" s="15"/>
      <c r="K5424" s="15"/>
      <c r="L5424" s="15"/>
      <c r="M5424" s="15"/>
      <c r="N5424" s="15"/>
      <c r="O5424" s="15"/>
      <c r="P5424" s="15"/>
      <c r="Q5424" s="71"/>
      <c r="R5424" s="84"/>
      <c r="S5424" s="10"/>
      <c r="T5424" s="10"/>
      <c r="U5424" s="10"/>
      <c r="V5424" s="10"/>
      <c r="W5424" s="138"/>
      <c r="Y5424"/>
      <c r="Z5424"/>
      <c r="AA5424"/>
      <c r="AB5424"/>
      <c r="AC5424"/>
      <c r="AD5424"/>
      <c r="AE5424"/>
      <c r="AF5424"/>
      <c r="AG5424"/>
      <c r="AH5424"/>
      <c r="AI5424"/>
      <c r="AJ5424"/>
      <c r="AK5424"/>
      <c r="AL5424"/>
      <c r="AM5424"/>
      <c r="AN5424"/>
      <c r="AO5424"/>
    </row>
    <row r="5425" spans="1:41" ht="15">
      <c r="A5425"/>
      <c r="B5425"/>
      <c r="C5425" s="137"/>
      <c r="D5425" s="30"/>
      <c r="E5425" s="30"/>
      <c r="F5425" s="10"/>
      <c r="G5425" s="10"/>
      <c r="H5425" s="15"/>
      <c r="I5425" s="15"/>
      <c r="J5425" s="15"/>
      <c r="K5425" s="15"/>
      <c r="L5425" s="15"/>
      <c r="M5425" s="15"/>
      <c r="N5425" s="15"/>
      <c r="O5425" s="15"/>
      <c r="P5425" s="15"/>
      <c r="Q5425" s="71"/>
      <c r="R5425" s="84"/>
      <c r="S5425" s="10"/>
      <c r="T5425" s="10"/>
      <c r="U5425" s="10"/>
      <c r="V5425" s="10"/>
      <c r="W5425" s="138"/>
      <c r="Y5425"/>
      <c r="Z5425"/>
      <c r="AA5425"/>
      <c r="AB5425"/>
      <c r="AC5425"/>
      <c r="AD5425"/>
      <c r="AE5425"/>
      <c r="AF5425"/>
      <c r="AG5425"/>
      <c r="AH5425"/>
      <c r="AI5425"/>
      <c r="AJ5425"/>
      <c r="AK5425"/>
      <c r="AL5425"/>
      <c r="AM5425"/>
      <c r="AN5425"/>
      <c r="AO5425"/>
    </row>
    <row r="5426" spans="1:41" ht="15">
      <c r="A5426"/>
      <c r="B5426"/>
      <c r="C5426" s="137"/>
      <c r="D5426" s="30"/>
      <c r="E5426" s="30"/>
      <c r="F5426" s="10"/>
      <c r="G5426" s="10"/>
      <c r="H5426" s="15"/>
      <c r="I5426" s="15"/>
      <c r="J5426" s="15"/>
      <c r="K5426" s="15"/>
      <c r="L5426" s="15"/>
      <c r="M5426" s="15"/>
      <c r="N5426" s="15"/>
      <c r="O5426" s="15"/>
      <c r="P5426" s="15"/>
      <c r="Q5426" s="71"/>
      <c r="R5426" s="84"/>
      <c r="S5426" s="10"/>
      <c r="T5426" s="10"/>
      <c r="U5426" s="10"/>
      <c r="V5426" s="10"/>
      <c r="W5426" s="138"/>
      <c r="Y5426"/>
      <c r="Z5426"/>
      <c r="AA5426"/>
      <c r="AB5426"/>
      <c r="AC5426"/>
      <c r="AD5426"/>
      <c r="AE5426"/>
      <c r="AF5426"/>
      <c r="AG5426"/>
      <c r="AH5426"/>
      <c r="AI5426"/>
      <c r="AJ5426"/>
      <c r="AK5426"/>
      <c r="AL5426"/>
      <c r="AM5426"/>
      <c r="AN5426"/>
      <c r="AO5426"/>
    </row>
    <row r="5427" spans="1:41" ht="15">
      <c r="A5427"/>
      <c r="B5427"/>
      <c r="C5427" s="137"/>
      <c r="D5427" s="30"/>
      <c r="E5427" s="30"/>
      <c r="F5427" s="10"/>
      <c r="G5427" s="10"/>
      <c r="H5427" s="15"/>
      <c r="I5427" s="15"/>
      <c r="J5427" s="15"/>
      <c r="K5427" s="15"/>
      <c r="L5427" s="15"/>
      <c r="M5427" s="15"/>
      <c r="N5427" s="15"/>
      <c r="O5427" s="15"/>
      <c r="P5427" s="15"/>
      <c r="Q5427" s="71"/>
      <c r="R5427" s="84"/>
      <c r="S5427" s="10"/>
      <c r="T5427" s="10"/>
      <c r="U5427" s="10"/>
      <c r="V5427" s="10"/>
      <c r="W5427" s="138"/>
      <c r="Y5427"/>
      <c r="Z5427"/>
      <c r="AA5427"/>
      <c r="AB5427"/>
      <c r="AC5427"/>
      <c r="AD5427"/>
      <c r="AE5427"/>
      <c r="AF5427"/>
      <c r="AG5427"/>
      <c r="AH5427"/>
      <c r="AI5427"/>
      <c r="AJ5427"/>
      <c r="AK5427"/>
      <c r="AL5427"/>
      <c r="AM5427"/>
      <c r="AN5427"/>
      <c r="AO5427"/>
    </row>
    <row r="5428" spans="1:41" ht="15">
      <c r="A5428"/>
      <c r="B5428"/>
      <c r="C5428" s="137"/>
      <c r="D5428" s="30"/>
      <c r="E5428" s="30"/>
      <c r="F5428" s="10"/>
      <c r="G5428" s="10"/>
      <c r="H5428" s="15"/>
      <c r="I5428" s="15"/>
      <c r="J5428" s="15"/>
      <c r="K5428" s="15"/>
      <c r="L5428" s="15"/>
      <c r="M5428" s="15"/>
      <c r="N5428" s="15"/>
      <c r="O5428" s="15"/>
      <c r="P5428" s="15"/>
      <c r="Q5428" s="71"/>
      <c r="R5428" s="84"/>
      <c r="S5428" s="10"/>
      <c r="T5428" s="10"/>
      <c r="U5428" s="10"/>
      <c r="V5428" s="10"/>
      <c r="W5428" s="138"/>
      <c r="Y5428"/>
      <c r="Z5428"/>
      <c r="AA5428"/>
      <c r="AB5428"/>
      <c r="AC5428"/>
      <c r="AD5428"/>
      <c r="AE5428"/>
      <c r="AF5428"/>
      <c r="AG5428"/>
      <c r="AH5428"/>
      <c r="AI5428"/>
      <c r="AJ5428"/>
      <c r="AK5428"/>
      <c r="AL5428"/>
      <c r="AM5428"/>
      <c r="AN5428"/>
      <c r="AO5428"/>
    </row>
    <row r="5429" spans="1:41" ht="15">
      <c r="A5429"/>
      <c r="B5429"/>
      <c r="C5429" s="137"/>
      <c r="D5429" s="30"/>
      <c r="E5429" s="30"/>
      <c r="F5429" s="10"/>
      <c r="G5429" s="10"/>
      <c r="H5429" s="15"/>
      <c r="I5429" s="15"/>
      <c r="J5429" s="15"/>
      <c r="K5429" s="15"/>
      <c r="L5429" s="15"/>
      <c r="M5429" s="15"/>
      <c r="N5429" s="15"/>
      <c r="O5429" s="15"/>
      <c r="P5429" s="15"/>
      <c r="Q5429" s="71"/>
      <c r="R5429" s="84"/>
      <c r="S5429" s="10"/>
      <c r="T5429" s="10"/>
      <c r="U5429" s="10"/>
      <c r="V5429" s="10"/>
      <c r="W5429" s="138"/>
      <c r="Y5429"/>
      <c r="Z5429"/>
      <c r="AA5429"/>
      <c r="AB5429"/>
      <c r="AC5429"/>
      <c r="AD5429"/>
      <c r="AE5429"/>
      <c r="AF5429"/>
      <c r="AG5429"/>
      <c r="AH5429"/>
      <c r="AI5429"/>
      <c r="AJ5429"/>
      <c r="AK5429"/>
      <c r="AL5429"/>
      <c r="AM5429"/>
      <c r="AN5429"/>
      <c r="AO5429"/>
    </row>
    <row r="5430" spans="1:41" ht="15">
      <c r="A5430"/>
      <c r="B5430"/>
      <c r="C5430" s="137"/>
      <c r="D5430" s="30"/>
      <c r="E5430" s="30"/>
      <c r="F5430" s="10"/>
      <c r="G5430" s="10"/>
      <c r="H5430" s="15"/>
      <c r="I5430" s="15"/>
      <c r="J5430" s="15"/>
      <c r="K5430" s="15"/>
      <c r="L5430" s="15"/>
      <c r="M5430" s="15"/>
      <c r="N5430" s="15"/>
      <c r="O5430" s="15"/>
      <c r="P5430" s="15"/>
      <c r="Q5430" s="71"/>
      <c r="R5430" s="84"/>
      <c r="S5430" s="10"/>
      <c r="T5430" s="10"/>
      <c r="U5430" s="10"/>
      <c r="V5430" s="10"/>
      <c r="W5430" s="138"/>
      <c r="Y5430"/>
      <c r="Z5430"/>
      <c r="AA5430"/>
      <c r="AB5430"/>
      <c r="AC5430"/>
      <c r="AD5430"/>
      <c r="AE5430"/>
      <c r="AF5430"/>
      <c r="AG5430"/>
      <c r="AH5430"/>
      <c r="AI5430"/>
      <c r="AJ5430"/>
      <c r="AK5430"/>
      <c r="AL5430"/>
      <c r="AM5430"/>
      <c r="AN5430"/>
      <c r="AO5430"/>
    </row>
    <row r="5431" spans="1:41" ht="15">
      <c r="A5431"/>
      <c r="B5431"/>
      <c r="C5431" s="137"/>
      <c r="D5431" s="30"/>
      <c r="E5431" s="30"/>
      <c r="F5431" s="10"/>
      <c r="G5431" s="10"/>
      <c r="H5431" s="15"/>
      <c r="I5431" s="15"/>
      <c r="J5431" s="15"/>
      <c r="K5431" s="15"/>
      <c r="L5431" s="15"/>
      <c r="M5431" s="15"/>
      <c r="N5431" s="15"/>
      <c r="O5431" s="15"/>
      <c r="P5431" s="15"/>
      <c r="Q5431" s="71"/>
      <c r="R5431" s="84"/>
      <c r="S5431" s="10"/>
      <c r="T5431" s="10"/>
      <c r="U5431" s="10"/>
      <c r="V5431" s="10"/>
      <c r="W5431" s="138"/>
      <c r="Y5431"/>
      <c r="Z5431"/>
      <c r="AA5431"/>
      <c r="AB5431"/>
      <c r="AC5431"/>
      <c r="AD5431"/>
      <c r="AE5431"/>
      <c r="AF5431"/>
      <c r="AG5431"/>
      <c r="AH5431"/>
      <c r="AI5431"/>
      <c r="AJ5431"/>
      <c r="AK5431"/>
      <c r="AL5431"/>
      <c r="AM5431"/>
      <c r="AN5431"/>
      <c r="AO5431"/>
    </row>
    <row r="5432" spans="1:41" ht="15">
      <c r="A5432"/>
      <c r="B5432"/>
      <c r="C5432" s="137"/>
      <c r="D5432" s="30"/>
      <c r="E5432" s="30"/>
      <c r="F5432" s="10"/>
      <c r="G5432" s="10"/>
      <c r="H5432" s="15"/>
      <c r="I5432" s="15"/>
      <c r="J5432" s="15"/>
      <c r="K5432" s="15"/>
      <c r="L5432" s="15"/>
      <c r="M5432" s="15"/>
      <c r="N5432" s="15"/>
      <c r="O5432" s="15"/>
      <c r="P5432" s="15"/>
      <c r="Q5432" s="71"/>
      <c r="R5432" s="84"/>
      <c r="S5432" s="10"/>
      <c r="T5432" s="10"/>
      <c r="U5432" s="10"/>
      <c r="V5432" s="10"/>
      <c r="W5432" s="138"/>
      <c r="Y5432"/>
      <c r="Z5432"/>
      <c r="AA5432"/>
      <c r="AB5432"/>
      <c r="AC5432"/>
      <c r="AD5432"/>
      <c r="AE5432"/>
      <c r="AF5432"/>
      <c r="AG5432"/>
      <c r="AH5432"/>
      <c r="AI5432"/>
      <c r="AJ5432"/>
      <c r="AK5432"/>
      <c r="AL5432"/>
      <c r="AM5432"/>
      <c r="AN5432"/>
      <c r="AO5432"/>
    </row>
    <row r="5433" spans="1:41" ht="15">
      <c r="A5433"/>
      <c r="B5433"/>
      <c r="C5433" s="137"/>
      <c r="D5433" s="30"/>
      <c r="E5433" s="30"/>
      <c r="F5433" s="10"/>
      <c r="G5433" s="10"/>
      <c r="H5433" s="15"/>
      <c r="I5433" s="15"/>
      <c r="J5433" s="15"/>
      <c r="K5433" s="15"/>
      <c r="L5433" s="15"/>
      <c r="M5433" s="15"/>
      <c r="N5433" s="15"/>
      <c r="O5433" s="15"/>
      <c r="P5433" s="15"/>
      <c r="Q5433" s="71"/>
      <c r="R5433" s="84"/>
      <c r="S5433" s="10"/>
      <c r="T5433" s="10"/>
      <c r="U5433" s="10"/>
      <c r="V5433" s="10"/>
      <c r="W5433" s="138"/>
      <c r="Y5433"/>
      <c r="Z5433"/>
      <c r="AA5433"/>
      <c r="AB5433"/>
      <c r="AC5433"/>
      <c r="AD5433"/>
      <c r="AE5433"/>
      <c r="AF5433"/>
      <c r="AG5433"/>
      <c r="AH5433"/>
      <c r="AI5433"/>
      <c r="AJ5433"/>
      <c r="AK5433"/>
      <c r="AL5433"/>
      <c r="AM5433"/>
      <c r="AN5433"/>
      <c r="AO5433"/>
    </row>
    <row r="5434" spans="1:41" ht="15">
      <c r="A5434"/>
      <c r="B5434"/>
      <c r="C5434" s="137"/>
      <c r="D5434" s="30"/>
      <c r="E5434" s="30"/>
      <c r="F5434" s="10"/>
      <c r="G5434" s="10"/>
      <c r="H5434" s="15"/>
      <c r="I5434" s="15"/>
      <c r="J5434" s="15"/>
      <c r="K5434" s="15"/>
      <c r="L5434" s="15"/>
      <c r="M5434" s="15"/>
      <c r="N5434" s="15"/>
      <c r="O5434" s="15"/>
      <c r="P5434" s="15"/>
      <c r="Q5434" s="71"/>
      <c r="R5434" s="84"/>
      <c r="S5434" s="10"/>
      <c r="T5434" s="10"/>
      <c r="U5434" s="10"/>
      <c r="V5434" s="10"/>
      <c r="W5434" s="138"/>
      <c r="Y5434"/>
      <c r="Z5434"/>
      <c r="AA5434"/>
      <c r="AB5434"/>
      <c r="AC5434"/>
      <c r="AD5434"/>
      <c r="AE5434"/>
      <c r="AF5434"/>
      <c r="AG5434"/>
      <c r="AH5434"/>
      <c r="AI5434"/>
      <c r="AJ5434"/>
      <c r="AK5434"/>
      <c r="AL5434"/>
      <c r="AM5434"/>
      <c r="AN5434"/>
      <c r="AO5434"/>
    </row>
    <row r="5435" spans="1:41" ht="15">
      <c r="A5435"/>
      <c r="B5435"/>
      <c r="C5435" s="137"/>
      <c r="D5435" s="30"/>
      <c r="E5435" s="30"/>
      <c r="F5435" s="10"/>
      <c r="G5435" s="10"/>
      <c r="H5435" s="15"/>
      <c r="I5435" s="15"/>
      <c r="J5435" s="15"/>
      <c r="K5435" s="15"/>
      <c r="L5435" s="15"/>
      <c r="M5435" s="15"/>
      <c r="N5435" s="15"/>
      <c r="O5435" s="15"/>
      <c r="P5435" s="15"/>
      <c r="Q5435" s="71"/>
      <c r="R5435" s="84"/>
      <c r="S5435" s="10"/>
      <c r="T5435" s="10"/>
      <c r="U5435" s="10"/>
      <c r="V5435" s="10"/>
      <c r="W5435" s="138"/>
      <c r="Y5435"/>
      <c r="Z5435"/>
      <c r="AA5435"/>
      <c r="AB5435"/>
      <c r="AC5435"/>
      <c r="AD5435"/>
      <c r="AE5435"/>
      <c r="AF5435"/>
      <c r="AG5435"/>
      <c r="AH5435"/>
      <c r="AI5435"/>
      <c r="AJ5435"/>
      <c r="AK5435"/>
      <c r="AL5435"/>
      <c r="AM5435"/>
      <c r="AN5435"/>
      <c r="AO5435"/>
    </row>
    <row r="5436" spans="1:41" ht="15">
      <c r="A5436"/>
      <c r="B5436"/>
      <c r="C5436" s="137"/>
      <c r="D5436" s="30"/>
      <c r="E5436" s="30"/>
      <c r="F5436" s="10"/>
      <c r="G5436" s="10"/>
      <c r="H5436" s="15"/>
      <c r="I5436" s="15"/>
      <c r="J5436" s="15"/>
      <c r="K5436" s="15"/>
      <c r="L5436" s="15"/>
      <c r="M5436" s="15"/>
      <c r="N5436" s="15"/>
      <c r="O5436" s="15"/>
      <c r="P5436" s="15"/>
      <c r="Q5436" s="71"/>
      <c r="R5436" s="84"/>
      <c r="S5436" s="10"/>
      <c r="T5436" s="10"/>
      <c r="U5436" s="10"/>
      <c r="V5436" s="10"/>
      <c r="W5436" s="138"/>
      <c r="Y5436"/>
      <c r="Z5436"/>
      <c r="AA5436"/>
      <c r="AB5436"/>
      <c r="AC5436"/>
      <c r="AD5436"/>
      <c r="AE5436"/>
      <c r="AF5436"/>
      <c r="AG5436"/>
      <c r="AH5436"/>
      <c r="AI5436"/>
      <c r="AJ5436"/>
      <c r="AK5436"/>
      <c r="AL5436"/>
      <c r="AM5436"/>
      <c r="AN5436"/>
      <c r="AO5436"/>
    </row>
    <row r="5437" spans="1:41" ht="15">
      <c r="A5437"/>
      <c r="B5437"/>
      <c r="C5437" s="137"/>
      <c r="D5437" s="30"/>
      <c r="E5437" s="30"/>
      <c r="F5437" s="10"/>
      <c r="G5437" s="10"/>
      <c r="H5437" s="15"/>
      <c r="I5437" s="15"/>
      <c r="J5437" s="15"/>
      <c r="K5437" s="15"/>
      <c r="L5437" s="15"/>
      <c r="M5437" s="15"/>
      <c r="N5437" s="15"/>
      <c r="O5437" s="15"/>
      <c r="P5437" s="15"/>
      <c r="Q5437" s="71"/>
      <c r="R5437" s="84"/>
      <c r="S5437" s="10"/>
      <c r="T5437" s="10"/>
      <c r="U5437" s="10"/>
      <c r="V5437" s="10"/>
      <c r="W5437" s="138"/>
      <c r="Y5437"/>
      <c r="Z5437"/>
      <c r="AA5437"/>
      <c r="AB5437"/>
      <c r="AC5437"/>
      <c r="AD5437"/>
      <c r="AE5437"/>
      <c r="AF5437"/>
      <c r="AG5437"/>
      <c r="AH5437"/>
      <c r="AI5437"/>
      <c r="AJ5437"/>
      <c r="AK5437"/>
      <c r="AL5437"/>
      <c r="AM5437"/>
      <c r="AN5437"/>
      <c r="AO5437"/>
    </row>
    <row r="5438" spans="1:41" ht="15">
      <c r="A5438"/>
      <c r="B5438"/>
      <c r="C5438" s="137"/>
      <c r="D5438" s="30"/>
      <c r="E5438" s="30"/>
      <c r="F5438" s="10"/>
      <c r="G5438" s="10"/>
      <c r="H5438" s="15"/>
      <c r="I5438" s="15"/>
      <c r="J5438" s="15"/>
      <c r="K5438" s="15"/>
      <c r="L5438" s="15"/>
      <c r="M5438" s="15"/>
      <c r="N5438" s="15"/>
      <c r="O5438" s="15"/>
      <c r="P5438" s="15"/>
      <c r="Q5438" s="71"/>
      <c r="R5438" s="84"/>
      <c r="S5438" s="10"/>
      <c r="T5438" s="10"/>
      <c r="U5438" s="10"/>
      <c r="V5438" s="10"/>
      <c r="W5438" s="138"/>
      <c r="Y5438"/>
      <c r="Z5438"/>
      <c r="AA5438"/>
      <c r="AB5438"/>
      <c r="AC5438"/>
      <c r="AD5438"/>
      <c r="AE5438"/>
      <c r="AF5438"/>
      <c r="AG5438"/>
      <c r="AH5438"/>
      <c r="AI5438"/>
      <c r="AJ5438"/>
      <c r="AK5438"/>
      <c r="AL5438"/>
      <c r="AM5438"/>
      <c r="AN5438"/>
      <c r="AO5438"/>
    </row>
    <row r="5439" spans="1:41" ht="15">
      <c r="A5439"/>
      <c r="B5439"/>
      <c r="C5439" s="137"/>
      <c r="D5439" s="30"/>
      <c r="E5439" s="30"/>
      <c r="F5439" s="10"/>
      <c r="G5439" s="10"/>
      <c r="H5439" s="15"/>
      <c r="I5439" s="15"/>
      <c r="J5439" s="15"/>
      <c r="K5439" s="15"/>
      <c r="L5439" s="15"/>
      <c r="M5439" s="15"/>
      <c r="N5439" s="15"/>
      <c r="O5439" s="15"/>
      <c r="P5439" s="15"/>
      <c r="Q5439" s="71"/>
      <c r="R5439" s="84"/>
      <c r="S5439" s="10"/>
      <c r="T5439" s="10"/>
      <c r="U5439" s="10"/>
      <c r="V5439" s="10"/>
      <c r="W5439" s="138"/>
      <c r="Y5439"/>
      <c r="Z5439"/>
      <c r="AA5439"/>
      <c r="AB5439"/>
      <c r="AC5439"/>
      <c r="AD5439"/>
      <c r="AE5439"/>
      <c r="AF5439"/>
      <c r="AG5439"/>
      <c r="AH5439"/>
      <c r="AI5439"/>
      <c r="AJ5439"/>
      <c r="AK5439"/>
      <c r="AL5439"/>
      <c r="AM5439"/>
      <c r="AN5439"/>
      <c r="AO5439"/>
    </row>
    <row r="5440" spans="1:41" ht="15">
      <c r="A5440"/>
      <c r="B5440"/>
      <c r="C5440" s="137"/>
      <c r="D5440" s="30"/>
      <c r="E5440" s="30"/>
      <c r="F5440" s="10"/>
      <c r="G5440" s="10"/>
      <c r="H5440" s="15"/>
      <c r="I5440" s="15"/>
      <c r="J5440" s="15"/>
      <c r="K5440" s="15"/>
      <c r="L5440" s="15"/>
      <c r="M5440" s="15"/>
      <c r="N5440" s="15"/>
      <c r="O5440" s="15"/>
      <c r="P5440" s="15"/>
      <c r="Q5440" s="71"/>
      <c r="R5440" s="84"/>
      <c r="S5440" s="10"/>
      <c r="T5440" s="10"/>
      <c r="U5440" s="10"/>
      <c r="V5440" s="10"/>
      <c r="W5440" s="138"/>
      <c r="Y5440"/>
      <c r="Z5440"/>
      <c r="AA5440"/>
      <c r="AB5440"/>
      <c r="AC5440"/>
      <c r="AD5440"/>
      <c r="AE5440"/>
      <c r="AF5440"/>
      <c r="AG5440"/>
      <c r="AH5440"/>
      <c r="AI5440"/>
      <c r="AJ5440"/>
      <c r="AK5440"/>
      <c r="AL5440"/>
      <c r="AM5440"/>
      <c r="AN5440"/>
      <c r="AO5440"/>
    </row>
    <row r="5441" spans="1:41" ht="15">
      <c r="A5441"/>
      <c r="B5441"/>
      <c r="C5441" s="137"/>
      <c r="D5441" s="30"/>
      <c r="E5441" s="30"/>
      <c r="F5441" s="10"/>
      <c r="G5441" s="10"/>
      <c r="H5441" s="15"/>
      <c r="I5441" s="15"/>
      <c r="J5441" s="15"/>
      <c r="K5441" s="15"/>
      <c r="L5441" s="15"/>
      <c r="M5441" s="15"/>
      <c r="N5441" s="15"/>
      <c r="O5441" s="15"/>
      <c r="P5441" s="15"/>
      <c r="Q5441" s="71"/>
      <c r="R5441" s="84"/>
      <c r="S5441" s="10"/>
      <c r="T5441" s="10"/>
      <c r="U5441" s="10"/>
      <c r="V5441" s="10"/>
      <c r="W5441" s="138"/>
      <c r="Y5441"/>
      <c r="Z5441"/>
      <c r="AA5441"/>
      <c r="AB5441"/>
      <c r="AC5441"/>
      <c r="AD5441"/>
      <c r="AE5441"/>
      <c r="AF5441"/>
      <c r="AG5441"/>
      <c r="AH5441"/>
      <c r="AI5441"/>
      <c r="AJ5441"/>
      <c r="AK5441"/>
      <c r="AL5441"/>
      <c r="AM5441"/>
      <c r="AN5441"/>
      <c r="AO5441"/>
    </row>
    <row r="5442" spans="1:41" ht="15">
      <c r="A5442"/>
      <c r="B5442"/>
      <c r="C5442" s="137"/>
      <c r="D5442" s="30"/>
      <c r="E5442" s="30"/>
      <c r="F5442" s="10"/>
      <c r="G5442" s="10"/>
      <c r="H5442" s="15"/>
      <c r="I5442" s="15"/>
      <c r="J5442" s="15"/>
      <c r="K5442" s="15"/>
      <c r="L5442" s="15"/>
      <c r="M5442" s="15"/>
      <c r="N5442" s="15"/>
      <c r="O5442" s="15"/>
      <c r="P5442" s="15"/>
      <c r="Q5442" s="71"/>
      <c r="R5442" s="84"/>
      <c r="S5442" s="10"/>
      <c r="T5442" s="10"/>
      <c r="U5442" s="10"/>
      <c r="V5442" s="10"/>
      <c r="W5442" s="138"/>
      <c r="Y5442"/>
      <c r="Z5442"/>
      <c r="AA5442"/>
      <c r="AB5442"/>
      <c r="AC5442"/>
      <c r="AD5442"/>
      <c r="AE5442"/>
      <c r="AF5442"/>
      <c r="AG5442"/>
      <c r="AH5442"/>
      <c r="AI5442"/>
      <c r="AJ5442"/>
      <c r="AK5442"/>
      <c r="AL5442"/>
      <c r="AM5442"/>
      <c r="AN5442"/>
      <c r="AO5442"/>
    </row>
    <row r="5443" spans="1:41" ht="15">
      <c r="A5443"/>
      <c r="B5443"/>
      <c r="C5443" s="137"/>
      <c r="D5443" s="30"/>
      <c r="E5443" s="30"/>
      <c r="F5443" s="10"/>
      <c r="G5443" s="10"/>
      <c r="H5443" s="15"/>
      <c r="I5443" s="15"/>
      <c r="J5443" s="15"/>
      <c r="K5443" s="15"/>
      <c r="L5443" s="15"/>
      <c r="M5443" s="15"/>
      <c r="N5443" s="15"/>
      <c r="O5443" s="15"/>
      <c r="P5443" s="15"/>
      <c r="Q5443" s="71"/>
      <c r="R5443" s="84"/>
      <c r="S5443" s="10"/>
      <c r="T5443" s="10"/>
      <c r="U5443" s="10"/>
      <c r="V5443" s="10"/>
      <c r="W5443" s="138"/>
      <c r="Y5443"/>
      <c r="Z5443"/>
      <c r="AA5443"/>
      <c r="AB5443"/>
      <c r="AC5443"/>
      <c r="AD5443"/>
      <c r="AE5443"/>
      <c r="AF5443"/>
      <c r="AG5443"/>
      <c r="AH5443"/>
      <c r="AI5443"/>
      <c r="AJ5443"/>
      <c r="AK5443"/>
      <c r="AL5443"/>
      <c r="AM5443"/>
      <c r="AN5443"/>
      <c r="AO5443"/>
    </row>
    <row r="5444" spans="1:41" ht="15">
      <c r="A5444"/>
      <c r="B5444"/>
      <c r="C5444" s="137"/>
      <c r="D5444" s="30"/>
      <c r="E5444" s="30"/>
      <c r="F5444" s="10"/>
      <c r="G5444" s="10"/>
      <c r="H5444" s="15"/>
      <c r="I5444" s="15"/>
      <c r="J5444" s="15"/>
      <c r="K5444" s="15"/>
      <c r="L5444" s="15"/>
      <c r="M5444" s="15"/>
      <c r="N5444" s="15"/>
      <c r="O5444" s="15"/>
      <c r="P5444" s="15"/>
      <c r="Q5444" s="71"/>
      <c r="R5444" s="84"/>
      <c r="S5444" s="10"/>
      <c r="T5444" s="10"/>
      <c r="U5444" s="10"/>
      <c r="V5444" s="10"/>
      <c r="W5444" s="138"/>
      <c r="Y5444"/>
      <c r="Z5444"/>
      <c r="AA5444"/>
      <c r="AB5444"/>
      <c r="AC5444"/>
      <c r="AD5444"/>
      <c r="AE5444"/>
      <c r="AF5444"/>
      <c r="AG5444"/>
      <c r="AH5444"/>
      <c r="AI5444"/>
      <c r="AJ5444"/>
      <c r="AK5444"/>
      <c r="AL5444"/>
      <c r="AM5444"/>
      <c r="AN5444"/>
      <c r="AO5444"/>
    </row>
    <row r="5445" spans="1:41" ht="15">
      <c r="A5445"/>
      <c r="B5445"/>
      <c r="C5445" s="137"/>
      <c r="D5445" s="30"/>
      <c r="E5445" s="30"/>
      <c r="F5445" s="10"/>
      <c r="G5445" s="10"/>
      <c r="H5445" s="15"/>
      <c r="I5445" s="15"/>
      <c r="J5445" s="15"/>
      <c r="K5445" s="15"/>
      <c r="L5445" s="15"/>
      <c r="M5445" s="15"/>
      <c r="N5445" s="15"/>
      <c r="O5445" s="15"/>
      <c r="P5445" s="15"/>
      <c r="Q5445" s="71"/>
      <c r="R5445" s="84"/>
      <c r="S5445" s="10"/>
      <c r="T5445" s="10"/>
      <c r="U5445" s="10"/>
      <c r="V5445" s="10"/>
      <c r="W5445" s="138"/>
      <c r="Y5445"/>
      <c r="Z5445"/>
      <c r="AA5445"/>
      <c r="AB5445"/>
      <c r="AC5445"/>
      <c r="AD5445"/>
      <c r="AE5445"/>
      <c r="AF5445"/>
      <c r="AG5445"/>
      <c r="AH5445"/>
      <c r="AI5445"/>
      <c r="AJ5445"/>
      <c r="AK5445"/>
      <c r="AL5445"/>
      <c r="AM5445"/>
      <c r="AN5445"/>
      <c r="AO5445"/>
    </row>
    <row r="5446" spans="1:41" ht="15">
      <c r="A5446"/>
      <c r="B5446"/>
      <c r="C5446" s="137"/>
      <c r="D5446" s="30"/>
      <c r="E5446" s="30"/>
      <c r="F5446" s="10"/>
      <c r="G5446" s="10"/>
      <c r="H5446" s="15"/>
      <c r="I5446" s="15"/>
      <c r="J5446" s="15"/>
      <c r="K5446" s="15"/>
      <c r="L5446" s="15"/>
      <c r="M5446" s="15"/>
      <c r="N5446" s="15"/>
      <c r="O5446" s="15"/>
      <c r="P5446" s="15"/>
      <c r="Q5446" s="71"/>
      <c r="R5446" s="84"/>
      <c r="S5446" s="10"/>
      <c r="T5446" s="10"/>
      <c r="U5446" s="10"/>
      <c r="V5446" s="10"/>
      <c r="W5446" s="138"/>
      <c r="Y5446"/>
      <c r="Z5446"/>
      <c r="AA5446"/>
      <c r="AB5446"/>
      <c r="AC5446"/>
      <c r="AD5446"/>
      <c r="AE5446"/>
      <c r="AF5446"/>
      <c r="AG5446"/>
      <c r="AH5446"/>
      <c r="AI5446"/>
      <c r="AJ5446"/>
      <c r="AK5446"/>
      <c r="AL5446"/>
      <c r="AM5446"/>
      <c r="AN5446"/>
      <c r="AO5446"/>
    </row>
    <row r="5447" spans="1:41" ht="15">
      <c r="A5447"/>
      <c r="B5447"/>
      <c r="C5447" s="137"/>
      <c r="D5447" s="30"/>
      <c r="E5447" s="30"/>
      <c r="F5447" s="10"/>
      <c r="G5447" s="10"/>
      <c r="H5447" s="15"/>
      <c r="I5447" s="15"/>
      <c r="J5447" s="15"/>
      <c r="K5447" s="15"/>
      <c r="L5447" s="15"/>
      <c r="M5447" s="15"/>
      <c r="N5447" s="15"/>
      <c r="O5447" s="15"/>
      <c r="P5447" s="15"/>
      <c r="Q5447" s="71"/>
      <c r="R5447" s="84"/>
      <c r="S5447" s="10"/>
      <c r="T5447" s="10"/>
      <c r="U5447" s="10"/>
      <c r="V5447" s="10"/>
      <c r="W5447" s="138"/>
      <c r="Y5447"/>
      <c r="Z5447"/>
      <c r="AA5447"/>
      <c r="AB5447"/>
      <c r="AC5447"/>
      <c r="AD5447"/>
      <c r="AE5447"/>
      <c r="AF5447"/>
      <c r="AG5447"/>
      <c r="AH5447"/>
      <c r="AI5447"/>
      <c r="AJ5447"/>
      <c r="AK5447"/>
      <c r="AL5447"/>
      <c r="AM5447"/>
      <c r="AN5447"/>
      <c r="AO5447"/>
    </row>
    <row r="5448" spans="1:41" ht="15">
      <c r="A5448"/>
      <c r="B5448"/>
      <c r="C5448" s="137"/>
      <c r="D5448" s="30"/>
      <c r="E5448" s="30"/>
      <c r="F5448" s="10"/>
      <c r="G5448" s="10"/>
      <c r="H5448" s="15"/>
      <c r="I5448" s="15"/>
      <c r="J5448" s="15"/>
      <c r="K5448" s="15"/>
      <c r="L5448" s="15"/>
      <c r="M5448" s="15"/>
      <c r="N5448" s="15"/>
      <c r="O5448" s="15"/>
      <c r="P5448" s="15"/>
      <c r="Q5448" s="71"/>
      <c r="R5448" s="84"/>
      <c r="S5448" s="10"/>
      <c r="T5448" s="10"/>
      <c r="U5448" s="10"/>
      <c r="V5448" s="10"/>
      <c r="W5448" s="138"/>
      <c r="Y5448"/>
      <c r="Z5448"/>
      <c r="AA5448"/>
      <c r="AB5448"/>
      <c r="AC5448"/>
      <c r="AD5448"/>
      <c r="AE5448"/>
      <c r="AF5448"/>
      <c r="AG5448"/>
      <c r="AH5448"/>
      <c r="AI5448"/>
      <c r="AJ5448"/>
      <c r="AK5448"/>
      <c r="AL5448"/>
      <c r="AM5448"/>
      <c r="AN5448"/>
      <c r="AO5448"/>
    </row>
    <row r="5449" spans="1:41" ht="15">
      <c r="A5449"/>
      <c r="B5449"/>
      <c r="C5449" s="137"/>
      <c r="D5449" s="30"/>
      <c r="E5449" s="30"/>
      <c r="F5449" s="10"/>
      <c r="G5449" s="10"/>
      <c r="H5449" s="15"/>
      <c r="I5449" s="15"/>
      <c r="J5449" s="15"/>
      <c r="K5449" s="15"/>
      <c r="L5449" s="15"/>
      <c r="M5449" s="15"/>
      <c r="N5449" s="15"/>
      <c r="O5449" s="15"/>
      <c r="P5449" s="15"/>
      <c r="Q5449" s="71"/>
      <c r="R5449" s="84"/>
      <c r="S5449" s="10"/>
      <c r="T5449" s="10"/>
      <c r="U5449" s="10"/>
      <c r="V5449" s="10"/>
      <c r="W5449" s="138"/>
      <c r="Y5449"/>
      <c r="Z5449"/>
      <c r="AA5449"/>
      <c r="AB5449"/>
      <c r="AC5449"/>
      <c r="AD5449"/>
      <c r="AE5449"/>
      <c r="AF5449"/>
      <c r="AG5449"/>
      <c r="AH5449"/>
      <c r="AI5449"/>
      <c r="AJ5449"/>
      <c r="AK5449"/>
      <c r="AL5449"/>
      <c r="AM5449"/>
      <c r="AN5449"/>
      <c r="AO5449"/>
    </row>
    <row r="5450" spans="1:41" ht="15">
      <c r="A5450"/>
      <c r="B5450"/>
      <c r="C5450" s="137"/>
      <c r="D5450" s="30"/>
      <c r="E5450" s="30"/>
      <c r="F5450" s="10"/>
      <c r="G5450" s="10"/>
      <c r="H5450" s="15"/>
      <c r="I5450" s="15"/>
      <c r="J5450" s="15"/>
      <c r="K5450" s="15"/>
      <c r="L5450" s="15"/>
      <c r="M5450" s="15"/>
      <c r="N5450" s="15"/>
      <c r="O5450" s="15"/>
      <c r="P5450" s="15"/>
      <c r="Q5450" s="71"/>
      <c r="R5450" s="84"/>
      <c r="S5450" s="10"/>
      <c r="T5450" s="10"/>
      <c r="U5450" s="10"/>
      <c r="V5450" s="10"/>
      <c r="W5450" s="138"/>
      <c r="Y5450"/>
      <c r="Z5450"/>
      <c r="AA5450"/>
      <c r="AB5450"/>
      <c r="AC5450"/>
      <c r="AD5450"/>
      <c r="AE5450"/>
      <c r="AF5450"/>
      <c r="AG5450"/>
      <c r="AH5450"/>
      <c r="AI5450"/>
      <c r="AJ5450"/>
      <c r="AK5450"/>
      <c r="AL5450"/>
      <c r="AM5450"/>
      <c r="AN5450"/>
      <c r="AO5450"/>
    </row>
    <row r="5451" spans="1:41" ht="15">
      <c r="A5451"/>
      <c r="B5451"/>
      <c r="C5451" s="137"/>
      <c r="D5451" s="30"/>
      <c r="E5451" s="30"/>
      <c r="F5451" s="10"/>
      <c r="G5451" s="10"/>
      <c r="H5451" s="15"/>
      <c r="I5451" s="15"/>
      <c r="J5451" s="15"/>
      <c r="K5451" s="15"/>
      <c r="L5451" s="15"/>
      <c r="M5451" s="15"/>
      <c r="N5451" s="15"/>
      <c r="O5451" s="15"/>
      <c r="P5451" s="15"/>
      <c r="Q5451" s="71"/>
      <c r="R5451" s="84"/>
      <c r="S5451" s="10"/>
      <c r="T5451" s="10"/>
      <c r="U5451" s="10"/>
      <c r="V5451" s="10"/>
      <c r="W5451" s="138"/>
      <c r="Y5451"/>
      <c r="Z5451"/>
      <c r="AA5451"/>
      <c r="AB5451"/>
      <c r="AC5451"/>
      <c r="AD5451"/>
      <c r="AE5451"/>
      <c r="AF5451"/>
      <c r="AG5451"/>
      <c r="AH5451"/>
      <c r="AI5451"/>
      <c r="AJ5451"/>
      <c r="AK5451"/>
      <c r="AL5451"/>
      <c r="AM5451"/>
      <c r="AN5451"/>
      <c r="AO5451"/>
    </row>
    <row r="5452" spans="1:41" ht="15">
      <c r="A5452"/>
      <c r="B5452"/>
      <c r="C5452" s="137"/>
      <c r="D5452" s="30"/>
      <c r="E5452" s="30"/>
      <c r="F5452" s="10"/>
      <c r="G5452" s="10"/>
      <c r="H5452" s="15"/>
      <c r="I5452" s="15"/>
      <c r="J5452" s="15"/>
      <c r="K5452" s="15"/>
      <c r="L5452" s="15"/>
      <c r="M5452" s="15"/>
      <c r="N5452" s="15"/>
      <c r="O5452" s="15"/>
      <c r="P5452" s="15"/>
      <c r="Q5452" s="71"/>
      <c r="R5452" s="84"/>
      <c r="S5452" s="10"/>
      <c r="T5452" s="10"/>
      <c r="U5452" s="10"/>
      <c r="V5452" s="10"/>
      <c r="W5452" s="138"/>
      <c r="Y5452"/>
      <c r="Z5452"/>
      <c r="AA5452"/>
      <c r="AB5452"/>
      <c r="AC5452"/>
      <c r="AD5452"/>
      <c r="AE5452"/>
      <c r="AF5452"/>
      <c r="AG5452"/>
      <c r="AH5452"/>
      <c r="AI5452"/>
      <c r="AJ5452"/>
      <c r="AK5452"/>
      <c r="AL5452"/>
      <c r="AM5452"/>
      <c r="AN5452"/>
      <c r="AO5452"/>
    </row>
    <row r="5453" spans="1:41" ht="15">
      <c r="A5453"/>
      <c r="B5453"/>
      <c r="C5453" s="137"/>
      <c r="D5453" s="30"/>
      <c r="E5453" s="30"/>
      <c r="F5453" s="10"/>
      <c r="G5453" s="10"/>
      <c r="H5453" s="15"/>
      <c r="I5453" s="15"/>
      <c r="J5453" s="15"/>
      <c r="K5453" s="15"/>
      <c r="L5453" s="15"/>
      <c r="M5453" s="15"/>
      <c r="N5453" s="15"/>
      <c r="O5453" s="15"/>
      <c r="P5453" s="15"/>
      <c r="Q5453" s="71"/>
      <c r="R5453" s="84"/>
      <c r="S5453" s="10"/>
      <c r="T5453" s="10"/>
      <c r="U5453" s="10"/>
      <c r="V5453" s="10"/>
      <c r="W5453" s="138"/>
      <c r="Y5453"/>
      <c r="Z5453"/>
      <c r="AA5453"/>
      <c r="AB5453"/>
      <c r="AC5453"/>
      <c r="AD5453"/>
      <c r="AE5453"/>
      <c r="AF5453"/>
      <c r="AG5453"/>
      <c r="AH5453"/>
      <c r="AI5453"/>
      <c r="AJ5453"/>
      <c r="AK5453"/>
      <c r="AL5453"/>
      <c r="AM5453"/>
      <c r="AN5453"/>
      <c r="AO5453"/>
    </row>
    <row r="5454" spans="1:41" ht="15">
      <c r="A5454"/>
      <c r="B5454"/>
      <c r="C5454" s="137"/>
      <c r="D5454" s="30"/>
      <c r="E5454" s="30"/>
      <c r="F5454" s="10"/>
      <c r="G5454" s="10"/>
      <c r="H5454" s="15"/>
      <c r="I5454" s="15"/>
      <c r="J5454" s="15"/>
      <c r="K5454" s="15"/>
      <c r="L5454" s="15"/>
      <c r="M5454" s="15"/>
      <c r="N5454" s="15"/>
      <c r="O5454" s="15"/>
      <c r="P5454" s="15"/>
      <c r="Q5454" s="71"/>
      <c r="R5454" s="84"/>
      <c r="S5454" s="10"/>
      <c r="T5454" s="10"/>
      <c r="U5454" s="10"/>
      <c r="V5454" s="10"/>
      <c r="W5454" s="138"/>
      <c r="Y5454"/>
      <c r="Z5454"/>
      <c r="AA5454"/>
      <c r="AB5454"/>
      <c r="AC5454"/>
      <c r="AD5454"/>
      <c r="AE5454"/>
      <c r="AF5454"/>
      <c r="AG5454"/>
      <c r="AH5454"/>
      <c r="AI5454"/>
      <c r="AJ5454"/>
      <c r="AK5454"/>
      <c r="AL5454"/>
      <c r="AM5454"/>
      <c r="AN5454"/>
      <c r="AO5454"/>
    </row>
    <row r="5455" spans="1:41" ht="15">
      <c r="A5455"/>
      <c r="B5455"/>
      <c r="C5455" s="137"/>
      <c r="D5455" s="30"/>
      <c r="E5455" s="30"/>
      <c r="F5455" s="10"/>
      <c r="G5455" s="10"/>
      <c r="H5455" s="15"/>
      <c r="I5455" s="15"/>
      <c r="J5455" s="15"/>
      <c r="K5455" s="15"/>
      <c r="L5455" s="15"/>
      <c r="M5455" s="15"/>
      <c r="N5455" s="15"/>
      <c r="O5455" s="15"/>
      <c r="P5455" s="15"/>
      <c r="Q5455" s="71"/>
      <c r="R5455" s="84"/>
      <c r="S5455" s="10"/>
      <c r="T5455" s="10"/>
      <c r="U5455" s="10"/>
      <c r="V5455" s="10"/>
      <c r="W5455" s="138"/>
      <c r="Y5455"/>
      <c r="Z5455"/>
      <c r="AA5455"/>
      <c r="AB5455"/>
      <c r="AC5455"/>
      <c r="AD5455"/>
      <c r="AE5455"/>
      <c r="AF5455"/>
      <c r="AG5455"/>
      <c r="AH5455"/>
      <c r="AI5455"/>
      <c r="AJ5455"/>
      <c r="AK5455"/>
      <c r="AL5455"/>
      <c r="AM5455"/>
      <c r="AN5455"/>
      <c r="AO5455"/>
    </row>
    <row r="5456" spans="1:41" ht="15">
      <c r="A5456"/>
      <c r="B5456"/>
      <c r="C5456" s="137"/>
      <c r="D5456" s="30"/>
      <c r="E5456" s="30"/>
      <c r="F5456" s="10"/>
      <c r="G5456" s="10"/>
      <c r="H5456" s="15"/>
      <c r="I5456" s="15"/>
      <c r="J5456" s="15"/>
      <c r="K5456" s="15"/>
      <c r="L5456" s="15"/>
      <c r="M5456" s="15"/>
      <c r="N5456" s="15"/>
      <c r="O5456" s="15"/>
      <c r="P5456" s="15"/>
      <c r="Q5456" s="71"/>
      <c r="R5456" s="84"/>
      <c r="S5456" s="10"/>
      <c r="T5456" s="10"/>
      <c r="U5456" s="10"/>
      <c r="V5456" s="10"/>
      <c r="W5456" s="138"/>
      <c r="Y5456"/>
      <c r="Z5456"/>
      <c r="AA5456"/>
      <c r="AB5456"/>
      <c r="AC5456"/>
      <c r="AD5456"/>
      <c r="AE5456"/>
      <c r="AF5456"/>
      <c r="AG5456"/>
      <c r="AH5456"/>
      <c r="AI5456"/>
      <c r="AJ5456"/>
      <c r="AK5456"/>
      <c r="AL5456"/>
      <c r="AM5456"/>
      <c r="AN5456"/>
      <c r="AO5456"/>
    </row>
    <row r="5457" spans="1:41" ht="15">
      <c r="A5457"/>
      <c r="B5457"/>
      <c r="C5457" s="137"/>
      <c r="D5457" s="30"/>
      <c r="E5457" s="30"/>
      <c r="F5457" s="10"/>
      <c r="G5457" s="10"/>
      <c r="H5457" s="15"/>
      <c r="I5457" s="15"/>
      <c r="J5457" s="15"/>
      <c r="K5457" s="15"/>
      <c r="L5457" s="15"/>
      <c r="M5457" s="15"/>
      <c r="N5457" s="15"/>
      <c r="O5457" s="15"/>
      <c r="P5457" s="15"/>
      <c r="Q5457" s="71"/>
      <c r="R5457" s="84"/>
      <c r="S5457" s="10"/>
      <c r="T5457" s="10"/>
      <c r="U5457" s="10"/>
      <c r="V5457" s="10"/>
      <c r="W5457" s="138"/>
      <c r="Y5457"/>
      <c r="Z5457"/>
      <c r="AA5457"/>
      <c r="AB5457"/>
      <c r="AC5457"/>
      <c r="AD5457"/>
      <c r="AE5457"/>
      <c r="AF5457"/>
      <c r="AG5457"/>
      <c r="AH5457"/>
      <c r="AI5457"/>
      <c r="AJ5457"/>
      <c r="AK5457"/>
      <c r="AL5457"/>
      <c r="AM5457"/>
      <c r="AN5457"/>
      <c r="AO5457"/>
    </row>
    <row r="5458" spans="1:41" ht="15">
      <c r="A5458"/>
      <c r="B5458"/>
      <c r="C5458" s="137"/>
      <c r="D5458" s="30"/>
      <c r="E5458" s="30"/>
      <c r="F5458" s="10"/>
      <c r="G5458" s="10"/>
      <c r="H5458" s="15"/>
      <c r="I5458" s="15"/>
      <c r="J5458" s="15"/>
      <c r="K5458" s="15"/>
      <c r="L5458" s="15"/>
      <c r="M5458" s="15"/>
      <c r="N5458" s="15"/>
      <c r="O5458" s="15"/>
      <c r="P5458" s="15"/>
      <c r="Q5458" s="71"/>
      <c r="R5458" s="84"/>
      <c r="S5458" s="10"/>
      <c r="T5458" s="10"/>
      <c r="U5458" s="10"/>
      <c r="V5458" s="10"/>
      <c r="W5458" s="138"/>
      <c r="Y5458"/>
      <c r="Z5458"/>
      <c r="AA5458"/>
      <c r="AB5458"/>
      <c r="AC5458"/>
      <c r="AD5458"/>
      <c r="AE5458"/>
      <c r="AF5458"/>
      <c r="AG5458"/>
      <c r="AH5458"/>
      <c r="AI5458"/>
      <c r="AJ5458"/>
      <c r="AK5458"/>
      <c r="AL5458"/>
      <c r="AM5458"/>
      <c r="AN5458"/>
      <c r="AO5458"/>
    </row>
    <row r="5459" spans="1:41" ht="15">
      <c r="A5459"/>
      <c r="B5459"/>
      <c r="C5459" s="137"/>
      <c r="D5459" s="30"/>
      <c r="E5459" s="30"/>
      <c r="F5459" s="10"/>
      <c r="G5459" s="10"/>
      <c r="H5459" s="15"/>
      <c r="I5459" s="15"/>
      <c r="J5459" s="15"/>
      <c r="K5459" s="15"/>
      <c r="L5459" s="15"/>
      <c r="M5459" s="15"/>
      <c r="N5459" s="15"/>
      <c r="O5459" s="15"/>
      <c r="P5459" s="15"/>
      <c r="Q5459" s="71"/>
      <c r="R5459" s="84"/>
      <c r="S5459" s="10"/>
      <c r="T5459" s="10"/>
      <c r="U5459" s="10"/>
      <c r="V5459" s="10"/>
      <c r="W5459" s="138"/>
      <c r="Y5459"/>
      <c r="Z5459"/>
      <c r="AA5459"/>
      <c r="AB5459"/>
      <c r="AC5459"/>
      <c r="AD5459"/>
      <c r="AE5459"/>
      <c r="AF5459"/>
      <c r="AG5459"/>
      <c r="AH5459"/>
      <c r="AI5459"/>
      <c r="AJ5459"/>
      <c r="AK5459"/>
      <c r="AL5459"/>
      <c r="AM5459"/>
      <c r="AN5459"/>
      <c r="AO5459"/>
    </row>
    <row r="5460" spans="1:41" ht="15">
      <c r="A5460"/>
      <c r="B5460"/>
      <c r="C5460" s="137"/>
      <c r="D5460" s="30"/>
      <c r="E5460" s="30"/>
      <c r="F5460" s="10"/>
      <c r="G5460" s="10"/>
      <c r="H5460" s="15"/>
      <c r="I5460" s="15"/>
      <c r="J5460" s="15"/>
      <c r="K5460" s="15"/>
      <c r="L5460" s="15"/>
      <c r="M5460" s="15"/>
      <c r="N5460" s="15"/>
      <c r="O5460" s="15"/>
      <c r="P5460" s="15"/>
      <c r="Q5460" s="71"/>
      <c r="R5460" s="84"/>
      <c r="S5460" s="10"/>
      <c r="T5460" s="10"/>
      <c r="U5460" s="10"/>
      <c r="V5460" s="10"/>
      <c r="W5460" s="138"/>
      <c r="Y5460"/>
      <c r="Z5460"/>
      <c r="AA5460"/>
      <c r="AB5460"/>
      <c r="AC5460"/>
      <c r="AD5460"/>
      <c r="AE5460"/>
      <c r="AF5460"/>
      <c r="AG5460"/>
      <c r="AH5460"/>
      <c r="AI5460"/>
      <c r="AJ5460"/>
      <c r="AK5460"/>
      <c r="AL5460"/>
      <c r="AM5460"/>
      <c r="AN5460"/>
      <c r="AO5460"/>
    </row>
    <row r="5461" spans="1:41" ht="15">
      <c r="A5461"/>
      <c r="B5461"/>
      <c r="C5461" s="137"/>
      <c r="D5461" s="30"/>
      <c r="E5461" s="30"/>
      <c r="F5461" s="10"/>
      <c r="G5461" s="10"/>
      <c r="H5461" s="15"/>
      <c r="I5461" s="15"/>
      <c r="J5461" s="15"/>
      <c r="K5461" s="15"/>
      <c r="L5461" s="15"/>
      <c r="M5461" s="15"/>
      <c r="N5461" s="15"/>
      <c r="O5461" s="15"/>
      <c r="P5461" s="15"/>
      <c r="Q5461" s="71"/>
      <c r="R5461" s="84"/>
      <c r="S5461" s="10"/>
      <c r="T5461" s="10"/>
      <c r="U5461" s="10"/>
      <c r="V5461" s="10"/>
      <c r="W5461" s="138"/>
      <c r="Y5461"/>
      <c r="Z5461"/>
      <c r="AA5461"/>
      <c r="AB5461"/>
      <c r="AC5461"/>
      <c r="AD5461"/>
      <c r="AE5461"/>
      <c r="AF5461"/>
      <c r="AG5461"/>
      <c r="AH5461"/>
      <c r="AI5461"/>
      <c r="AJ5461"/>
      <c r="AK5461"/>
      <c r="AL5461"/>
      <c r="AM5461"/>
      <c r="AN5461"/>
      <c r="AO5461"/>
    </row>
    <row r="5462" spans="1:41" ht="15">
      <c r="A5462"/>
      <c r="B5462"/>
      <c r="C5462" s="137"/>
      <c r="D5462" s="30"/>
      <c r="E5462" s="30"/>
      <c r="F5462" s="10"/>
      <c r="G5462" s="10"/>
      <c r="H5462" s="15"/>
      <c r="I5462" s="15"/>
      <c r="J5462" s="15"/>
      <c r="K5462" s="15"/>
      <c r="L5462" s="15"/>
      <c r="M5462" s="15"/>
      <c r="N5462" s="15"/>
      <c r="O5462" s="15"/>
      <c r="P5462" s="15"/>
      <c r="Q5462" s="71"/>
      <c r="R5462" s="84"/>
      <c r="S5462" s="10"/>
      <c r="T5462" s="10"/>
      <c r="U5462" s="10"/>
      <c r="V5462" s="10"/>
      <c r="W5462" s="138"/>
      <c r="Y5462"/>
      <c r="Z5462"/>
      <c r="AA5462"/>
      <c r="AB5462"/>
      <c r="AC5462"/>
      <c r="AD5462"/>
      <c r="AE5462"/>
      <c r="AF5462"/>
      <c r="AG5462"/>
      <c r="AH5462"/>
      <c r="AI5462"/>
      <c r="AJ5462"/>
      <c r="AK5462"/>
      <c r="AL5462"/>
      <c r="AM5462"/>
      <c r="AN5462"/>
      <c r="AO5462"/>
    </row>
    <row r="5463" spans="1:41" ht="15">
      <c r="A5463"/>
      <c r="B5463"/>
      <c r="C5463" s="137"/>
      <c r="D5463" s="30"/>
      <c r="E5463" s="30"/>
      <c r="F5463" s="10"/>
      <c r="G5463" s="10"/>
      <c r="H5463" s="15"/>
      <c r="I5463" s="15"/>
      <c r="J5463" s="15"/>
      <c r="K5463" s="15"/>
      <c r="L5463" s="15"/>
      <c r="M5463" s="15"/>
      <c r="N5463" s="15"/>
      <c r="O5463" s="15"/>
      <c r="P5463" s="15"/>
      <c r="Q5463" s="71"/>
      <c r="R5463" s="84"/>
      <c r="S5463" s="10"/>
      <c r="T5463" s="10"/>
      <c r="U5463" s="10"/>
      <c r="V5463" s="10"/>
      <c r="W5463" s="138"/>
      <c r="Y5463"/>
      <c r="Z5463"/>
      <c r="AA5463"/>
      <c r="AB5463"/>
      <c r="AC5463"/>
      <c r="AD5463"/>
      <c r="AE5463"/>
      <c r="AF5463"/>
      <c r="AG5463"/>
      <c r="AH5463"/>
      <c r="AI5463"/>
      <c r="AJ5463"/>
      <c r="AK5463"/>
      <c r="AL5463"/>
      <c r="AM5463"/>
      <c r="AN5463"/>
      <c r="AO5463"/>
    </row>
    <row r="5464" spans="1:41" ht="15">
      <c r="A5464"/>
      <c r="B5464"/>
      <c r="C5464" s="137"/>
      <c r="D5464" s="30"/>
      <c r="E5464" s="30"/>
      <c r="F5464" s="10"/>
      <c r="G5464" s="10"/>
      <c r="H5464" s="15"/>
      <c r="I5464" s="15"/>
      <c r="J5464" s="15"/>
      <c r="K5464" s="15"/>
      <c r="L5464" s="15"/>
      <c r="M5464" s="15"/>
      <c r="N5464" s="15"/>
      <c r="O5464" s="15"/>
      <c r="P5464" s="15"/>
      <c r="Q5464" s="71"/>
      <c r="R5464" s="84"/>
      <c r="S5464" s="10"/>
      <c r="T5464" s="10"/>
      <c r="U5464" s="10"/>
      <c r="V5464" s="10"/>
      <c r="W5464" s="138"/>
      <c r="Y5464"/>
      <c r="Z5464"/>
      <c r="AA5464"/>
      <c r="AB5464"/>
      <c r="AC5464"/>
      <c r="AD5464"/>
      <c r="AE5464"/>
      <c r="AF5464"/>
      <c r="AG5464"/>
      <c r="AH5464"/>
      <c r="AI5464"/>
      <c r="AJ5464"/>
      <c r="AK5464"/>
      <c r="AL5464"/>
      <c r="AM5464"/>
      <c r="AN5464"/>
      <c r="AO5464"/>
    </row>
    <row r="5465" spans="1:41" ht="15">
      <c r="A5465"/>
      <c r="B5465"/>
      <c r="C5465" s="137"/>
      <c r="D5465" s="30"/>
      <c r="E5465" s="30"/>
      <c r="F5465" s="10"/>
      <c r="G5465" s="10"/>
      <c r="H5465" s="15"/>
      <c r="I5465" s="15"/>
      <c r="J5465" s="15"/>
      <c r="K5465" s="15"/>
      <c r="L5465" s="15"/>
      <c r="M5465" s="15"/>
      <c r="N5465" s="15"/>
      <c r="O5465" s="15"/>
      <c r="P5465" s="15"/>
      <c r="Q5465" s="71"/>
      <c r="R5465" s="84"/>
      <c r="S5465" s="10"/>
      <c r="T5465" s="10"/>
      <c r="U5465" s="10"/>
      <c r="V5465" s="10"/>
      <c r="W5465" s="138"/>
      <c r="Y5465"/>
      <c r="Z5465"/>
      <c r="AA5465"/>
      <c r="AB5465"/>
      <c r="AC5465"/>
      <c r="AD5465"/>
      <c r="AE5465"/>
      <c r="AF5465"/>
      <c r="AG5465"/>
      <c r="AH5465"/>
      <c r="AI5465"/>
      <c r="AJ5465"/>
      <c r="AK5465"/>
      <c r="AL5465"/>
      <c r="AM5465"/>
      <c r="AN5465"/>
      <c r="AO5465"/>
    </row>
    <row r="5466" spans="1:41" ht="15">
      <c r="A5466"/>
      <c r="B5466"/>
      <c r="C5466" s="137"/>
      <c r="D5466" s="30"/>
      <c r="E5466" s="30"/>
      <c r="F5466" s="10"/>
      <c r="G5466" s="10"/>
      <c r="H5466" s="15"/>
      <c r="I5466" s="15"/>
      <c r="J5466" s="15"/>
      <c r="K5466" s="15"/>
      <c r="L5466" s="15"/>
      <c r="M5466" s="15"/>
      <c r="N5466" s="15"/>
      <c r="O5466" s="15"/>
      <c r="P5466" s="15"/>
      <c r="Q5466" s="71"/>
      <c r="R5466" s="84"/>
      <c r="S5466" s="10"/>
      <c r="T5466" s="10"/>
      <c r="U5466" s="10"/>
      <c r="V5466" s="10"/>
      <c r="W5466" s="138"/>
      <c r="Y5466"/>
      <c r="Z5466"/>
      <c r="AA5466"/>
      <c r="AB5466"/>
      <c r="AC5466"/>
      <c r="AD5466"/>
      <c r="AE5466"/>
      <c r="AF5466"/>
      <c r="AG5466"/>
      <c r="AH5466"/>
      <c r="AI5466"/>
      <c r="AJ5466"/>
      <c r="AK5466"/>
      <c r="AL5466"/>
      <c r="AM5466"/>
      <c r="AN5466"/>
      <c r="AO5466"/>
    </row>
    <row r="5467" spans="1:41" ht="15">
      <c r="A5467"/>
      <c r="B5467"/>
      <c r="C5467" s="137"/>
      <c r="D5467" s="30"/>
      <c r="E5467" s="30"/>
      <c r="F5467" s="10"/>
      <c r="G5467" s="10"/>
      <c r="H5467" s="15"/>
      <c r="I5467" s="15"/>
      <c r="J5467" s="15"/>
      <c r="K5467" s="15"/>
      <c r="L5467" s="15"/>
      <c r="M5467" s="15"/>
      <c r="N5467" s="15"/>
      <c r="O5467" s="15"/>
      <c r="P5467" s="15"/>
      <c r="Q5467" s="71"/>
      <c r="R5467" s="84"/>
      <c r="S5467" s="10"/>
      <c r="T5467" s="10"/>
      <c r="U5467" s="10"/>
      <c r="V5467" s="10"/>
      <c r="W5467" s="138"/>
      <c r="Y5467"/>
      <c r="Z5467"/>
      <c r="AA5467"/>
      <c r="AB5467"/>
      <c r="AC5467"/>
      <c r="AD5467"/>
      <c r="AE5467"/>
      <c r="AF5467"/>
      <c r="AG5467"/>
      <c r="AH5467"/>
      <c r="AI5467"/>
      <c r="AJ5467"/>
      <c r="AK5467"/>
      <c r="AL5467"/>
      <c r="AM5467"/>
      <c r="AN5467"/>
      <c r="AO5467"/>
    </row>
    <row r="5468" spans="1:41" ht="15">
      <c r="A5468"/>
      <c r="B5468"/>
      <c r="C5468" s="137"/>
      <c r="D5468" s="30"/>
      <c r="E5468" s="30"/>
      <c r="F5468" s="10"/>
      <c r="G5468" s="10"/>
      <c r="H5468" s="15"/>
      <c r="I5468" s="15"/>
      <c r="J5468" s="15"/>
      <c r="K5468" s="15"/>
      <c r="L5468" s="15"/>
      <c r="M5468" s="15"/>
      <c r="N5468" s="15"/>
      <c r="O5468" s="15"/>
      <c r="P5468" s="15"/>
      <c r="Q5468" s="71"/>
      <c r="R5468" s="84"/>
      <c r="S5468" s="10"/>
      <c r="T5468" s="10"/>
      <c r="U5468" s="10"/>
      <c r="V5468" s="10"/>
      <c r="W5468" s="138"/>
      <c r="Y5468"/>
      <c r="Z5468"/>
      <c r="AA5468"/>
      <c r="AB5468"/>
      <c r="AC5468"/>
      <c r="AD5468"/>
      <c r="AE5468"/>
      <c r="AF5468"/>
      <c r="AG5468"/>
      <c r="AH5468"/>
      <c r="AI5468"/>
      <c r="AJ5468"/>
      <c r="AK5468"/>
      <c r="AL5468"/>
      <c r="AM5468"/>
      <c r="AN5468"/>
      <c r="AO5468"/>
    </row>
    <row r="5469" spans="1:41" ht="15">
      <c r="A5469"/>
      <c r="B5469"/>
      <c r="C5469" s="137"/>
      <c r="D5469" s="30"/>
      <c r="E5469" s="30"/>
      <c r="F5469" s="10"/>
      <c r="G5469" s="10"/>
      <c r="H5469" s="15"/>
      <c r="I5469" s="15"/>
      <c r="J5469" s="15"/>
      <c r="K5469" s="15"/>
      <c r="L5469" s="15"/>
      <c r="M5469" s="15"/>
      <c r="N5469" s="15"/>
      <c r="O5469" s="15"/>
      <c r="P5469" s="15"/>
      <c r="Q5469" s="71"/>
      <c r="R5469" s="84"/>
      <c r="S5469" s="10"/>
      <c r="T5469" s="10"/>
      <c r="U5469" s="10"/>
      <c r="V5469" s="10"/>
      <c r="W5469" s="138"/>
      <c r="Y5469"/>
      <c r="Z5469"/>
      <c r="AA5469"/>
      <c r="AB5469"/>
      <c r="AC5469"/>
      <c r="AD5469"/>
      <c r="AE5469"/>
      <c r="AF5469"/>
      <c r="AG5469"/>
      <c r="AH5469"/>
      <c r="AI5469"/>
      <c r="AJ5469"/>
      <c r="AK5469"/>
      <c r="AL5469"/>
      <c r="AM5469"/>
      <c r="AN5469"/>
      <c r="AO5469"/>
    </row>
    <row r="5470" spans="1:41" ht="15">
      <c r="A5470"/>
      <c r="B5470"/>
      <c r="C5470" s="137"/>
      <c r="D5470" s="30"/>
      <c r="E5470" s="30"/>
      <c r="F5470" s="10"/>
      <c r="G5470" s="10"/>
      <c r="H5470" s="15"/>
      <c r="I5470" s="15"/>
      <c r="J5470" s="15"/>
      <c r="K5470" s="15"/>
      <c r="L5470" s="15"/>
      <c r="M5470" s="15"/>
      <c r="N5470" s="15"/>
      <c r="O5470" s="15"/>
      <c r="P5470" s="15"/>
      <c r="Q5470" s="71"/>
      <c r="R5470" s="84"/>
      <c r="S5470" s="10"/>
      <c r="T5470" s="10"/>
      <c r="U5470" s="10"/>
      <c r="V5470" s="10"/>
      <c r="W5470" s="138"/>
      <c r="Y5470"/>
      <c r="Z5470"/>
      <c r="AA5470"/>
      <c r="AB5470"/>
      <c r="AC5470"/>
      <c r="AD5470"/>
      <c r="AE5470"/>
      <c r="AF5470"/>
      <c r="AG5470"/>
      <c r="AH5470"/>
      <c r="AI5470"/>
      <c r="AJ5470"/>
      <c r="AK5470"/>
      <c r="AL5470"/>
      <c r="AM5470"/>
      <c r="AN5470"/>
      <c r="AO5470"/>
    </row>
    <row r="5471" spans="1:41" ht="15">
      <c r="A5471"/>
      <c r="B5471"/>
      <c r="C5471" s="137"/>
      <c r="D5471" s="30"/>
      <c r="E5471" s="30"/>
      <c r="F5471" s="10"/>
      <c r="G5471" s="10"/>
      <c r="H5471" s="15"/>
      <c r="I5471" s="15"/>
      <c r="J5471" s="15"/>
      <c r="K5471" s="15"/>
      <c r="L5471" s="15"/>
      <c r="M5471" s="15"/>
      <c r="N5471" s="15"/>
      <c r="O5471" s="15"/>
      <c r="P5471" s="15"/>
      <c r="Q5471" s="71"/>
      <c r="R5471" s="84"/>
      <c r="S5471" s="10"/>
      <c r="T5471" s="10"/>
      <c r="U5471" s="10"/>
      <c r="V5471" s="10"/>
      <c r="W5471" s="138"/>
      <c r="Y5471"/>
      <c r="Z5471"/>
      <c r="AA5471"/>
      <c r="AB5471"/>
      <c r="AC5471"/>
      <c r="AD5471"/>
      <c r="AE5471"/>
      <c r="AF5471"/>
      <c r="AG5471"/>
      <c r="AH5471"/>
      <c r="AI5471"/>
      <c r="AJ5471"/>
      <c r="AK5471"/>
      <c r="AL5471"/>
      <c r="AM5471"/>
      <c r="AN5471"/>
      <c r="AO5471"/>
    </row>
    <row r="5472" spans="1:41" ht="15">
      <c r="A5472"/>
      <c r="B5472"/>
      <c r="C5472" s="137"/>
      <c r="D5472" s="30"/>
      <c r="E5472" s="30"/>
      <c r="F5472" s="10"/>
      <c r="G5472" s="10"/>
      <c r="H5472" s="15"/>
      <c r="I5472" s="15"/>
      <c r="J5472" s="15"/>
      <c r="K5472" s="15"/>
      <c r="L5472" s="15"/>
      <c r="M5472" s="15"/>
      <c r="N5472" s="15"/>
      <c r="O5472" s="15"/>
      <c r="P5472" s="15"/>
      <c r="Q5472" s="71"/>
      <c r="R5472" s="84"/>
      <c r="S5472" s="10"/>
      <c r="T5472" s="10"/>
      <c r="U5472" s="10"/>
      <c r="V5472" s="10"/>
      <c r="W5472" s="138"/>
      <c r="Y5472"/>
      <c r="Z5472"/>
      <c r="AA5472"/>
      <c r="AB5472"/>
      <c r="AC5472"/>
      <c r="AD5472"/>
      <c r="AE5472"/>
      <c r="AF5472"/>
      <c r="AG5472"/>
      <c r="AH5472"/>
      <c r="AI5472"/>
      <c r="AJ5472"/>
      <c r="AK5472"/>
      <c r="AL5472"/>
      <c r="AM5472"/>
      <c r="AN5472"/>
      <c r="AO5472"/>
    </row>
    <row r="5473" spans="1:41" ht="15">
      <c r="A5473"/>
      <c r="B5473"/>
      <c r="C5473" s="137"/>
      <c r="D5473" s="30"/>
      <c r="E5473" s="30"/>
      <c r="F5473" s="10"/>
      <c r="G5473" s="10"/>
      <c r="H5473" s="15"/>
      <c r="I5473" s="15"/>
      <c r="J5473" s="15"/>
      <c r="K5473" s="15"/>
      <c r="L5473" s="15"/>
      <c r="M5473" s="15"/>
      <c r="N5473" s="15"/>
      <c r="O5473" s="15"/>
      <c r="P5473" s="15"/>
      <c r="Q5473" s="71"/>
      <c r="R5473" s="84"/>
      <c r="S5473" s="10"/>
      <c r="T5473" s="10"/>
      <c r="U5473" s="10"/>
      <c r="V5473" s="10"/>
      <c r="W5473" s="138"/>
      <c r="Y5473"/>
      <c r="Z5473"/>
      <c r="AA5473"/>
      <c r="AB5473"/>
      <c r="AC5473"/>
      <c r="AD5473"/>
      <c r="AE5473"/>
      <c r="AF5473"/>
      <c r="AG5473"/>
      <c r="AH5473"/>
      <c r="AI5473"/>
      <c r="AJ5473"/>
      <c r="AK5473"/>
      <c r="AL5473"/>
      <c r="AM5473"/>
      <c r="AN5473"/>
      <c r="AO5473"/>
    </row>
    <row r="5474" spans="1:41" ht="15">
      <c r="A5474"/>
      <c r="B5474"/>
      <c r="C5474" s="137"/>
      <c r="D5474" s="30"/>
      <c r="E5474" s="30"/>
      <c r="F5474" s="10"/>
      <c r="G5474" s="10"/>
      <c r="H5474" s="15"/>
      <c r="I5474" s="15"/>
      <c r="J5474" s="15"/>
      <c r="K5474" s="15"/>
      <c r="L5474" s="15"/>
      <c r="M5474" s="15"/>
      <c r="N5474" s="15"/>
      <c r="O5474" s="15"/>
      <c r="P5474" s="15"/>
      <c r="Q5474" s="71"/>
      <c r="R5474" s="84"/>
      <c r="S5474" s="10"/>
      <c r="T5474" s="10"/>
      <c r="U5474" s="10"/>
      <c r="V5474" s="10"/>
      <c r="W5474" s="138"/>
      <c r="Y5474"/>
      <c r="Z5474"/>
      <c r="AA5474"/>
      <c r="AB5474"/>
      <c r="AC5474"/>
      <c r="AD5474"/>
      <c r="AE5474"/>
      <c r="AF5474"/>
      <c r="AG5474"/>
      <c r="AH5474"/>
      <c r="AI5474"/>
      <c r="AJ5474"/>
      <c r="AK5474"/>
      <c r="AL5474"/>
      <c r="AM5474"/>
      <c r="AN5474"/>
      <c r="AO5474"/>
    </row>
    <row r="5475" spans="1:41" ht="15">
      <c r="A5475"/>
      <c r="B5475"/>
      <c r="C5475" s="137"/>
      <c r="D5475" s="30"/>
      <c r="E5475" s="30"/>
      <c r="F5475" s="10"/>
      <c r="G5475" s="10"/>
      <c r="H5475" s="15"/>
      <c r="I5475" s="15"/>
      <c r="J5475" s="15"/>
      <c r="K5475" s="15"/>
      <c r="L5475" s="15"/>
      <c r="M5475" s="15"/>
      <c r="N5475" s="15"/>
      <c r="O5475" s="15"/>
      <c r="P5475" s="15"/>
      <c r="Q5475" s="71"/>
      <c r="R5475" s="84"/>
      <c r="S5475" s="10"/>
      <c r="T5475" s="10"/>
      <c r="U5475" s="10"/>
      <c r="V5475" s="10"/>
      <c r="W5475" s="138"/>
      <c r="Y5475"/>
      <c r="Z5475"/>
      <c r="AA5475"/>
      <c r="AB5475"/>
      <c r="AC5475"/>
      <c r="AD5475"/>
      <c r="AE5475"/>
      <c r="AF5475"/>
      <c r="AG5475"/>
      <c r="AH5475"/>
      <c r="AI5475"/>
      <c r="AJ5475"/>
      <c r="AK5475"/>
      <c r="AL5475"/>
      <c r="AM5475"/>
      <c r="AN5475"/>
      <c r="AO5475"/>
    </row>
    <row r="5476" spans="1:41" ht="15">
      <c r="A5476"/>
      <c r="B5476"/>
      <c r="C5476" s="137"/>
      <c r="D5476" s="30"/>
      <c r="E5476" s="30"/>
      <c r="F5476" s="10"/>
      <c r="G5476" s="10"/>
      <c r="H5476" s="15"/>
      <c r="I5476" s="15"/>
      <c r="J5476" s="15"/>
      <c r="K5476" s="15"/>
      <c r="L5476" s="15"/>
      <c r="M5476" s="15"/>
      <c r="N5476" s="15"/>
      <c r="O5476" s="15"/>
      <c r="P5476" s="15"/>
      <c r="Q5476" s="71"/>
      <c r="R5476" s="84"/>
      <c r="S5476" s="10"/>
      <c r="T5476" s="10"/>
      <c r="U5476" s="10"/>
      <c r="V5476" s="10"/>
      <c r="W5476" s="138"/>
      <c r="Y5476"/>
      <c r="Z5476"/>
      <c r="AA5476"/>
      <c r="AB5476"/>
      <c r="AC5476"/>
      <c r="AD5476"/>
      <c r="AE5476"/>
      <c r="AF5476"/>
      <c r="AG5476"/>
      <c r="AH5476"/>
      <c r="AI5476"/>
      <c r="AJ5476"/>
      <c r="AK5476"/>
      <c r="AL5476"/>
      <c r="AM5476"/>
      <c r="AN5476"/>
      <c r="AO5476"/>
    </row>
    <row r="5477" spans="1:41" ht="15">
      <c r="A5477"/>
      <c r="B5477"/>
      <c r="C5477" s="137"/>
      <c r="D5477" s="30"/>
      <c r="E5477" s="30"/>
      <c r="F5477" s="10"/>
      <c r="G5477" s="10"/>
      <c r="H5477" s="15"/>
      <c r="I5477" s="15"/>
      <c r="J5477" s="15"/>
      <c r="K5477" s="15"/>
      <c r="L5477" s="15"/>
      <c r="M5477" s="15"/>
      <c r="N5477" s="15"/>
      <c r="O5477" s="15"/>
      <c r="P5477" s="15"/>
      <c r="Q5477" s="71"/>
      <c r="R5477" s="84"/>
      <c r="S5477" s="10"/>
      <c r="T5477" s="10"/>
      <c r="U5477" s="10"/>
      <c r="V5477" s="10"/>
      <c r="W5477" s="138"/>
      <c r="Y5477"/>
      <c r="Z5477"/>
      <c r="AA5477"/>
      <c r="AB5477"/>
      <c r="AC5477"/>
      <c r="AD5477"/>
      <c r="AE5477"/>
      <c r="AF5477"/>
      <c r="AG5477"/>
      <c r="AH5477"/>
      <c r="AI5477"/>
      <c r="AJ5477"/>
      <c r="AK5477"/>
      <c r="AL5477"/>
      <c r="AM5477"/>
      <c r="AN5477"/>
      <c r="AO5477"/>
    </row>
    <row r="5478" spans="1:41" ht="15">
      <c r="A5478"/>
      <c r="B5478"/>
      <c r="C5478" s="137"/>
      <c r="D5478" s="30"/>
      <c r="E5478" s="30"/>
      <c r="F5478" s="10"/>
      <c r="G5478" s="10"/>
      <c r="H5478" s="15"/>
      <c r="I5478" s="15"/>
      <c r="J5478" s="15"/>
      <c r="K5478" s="15"/>
      <c r="L5478" s="15"/>
      <c r="M5478" s="15"/>
      <c r="N5478" s="15"/>
      <c r="O5478" s="15"/>
      <c r="P5478" s="15"/>
      <c r="Q5478" s="71"/>
      <c r="R5478" s="84"/>
      <c r="S5478" s="10"/>
      <c r="T5478" s="10"/>
      <c r="U5478" s="10"/>
      <c r="V5478" s="10"/>
      <c r="W5478" s="138"/>
      <c r="Y5478"/>
      <c r="Z5478"/>
      <c r="AA5478"/>
      <c r="AB5478"/>
      <c r="AC5478"/>
      <c r="AD5478"/>
      <c r="AE5478"/>
      <c r="AF5478"/>
      <c r="AG5478"/>
      <c r="AH5478"/>
      <c r="AI5478"/>
      <c r="AJ5478"/>
      <c r="AK5478"/>
      <c r="AL5478"/>
      <c r="AM5478"/>
      <c r="AN5478"/>
      <c r="AO5478"/>
    </row>
    <row r="5479" spans="1:41" ht="15">
      <c r="A5479"/>
      <c r="B5479"/>
      <c r="C5479" s="137"/>
      <c r="D5479" s="30"/>
      <c r="E5479" s="30"/>
      <c r="F5479" s="10"/>
      <c r="G5479" s="10"/>
      <c r="H5479" s="15"/>
      <c r="I5479" s="15"/>
      <c r="J5479" s="15"/>
      <c r="K5479" s="15"/>
      <c r="L5479" s="15"/>
      <c r="M5479" s="15"/>
      <c r="N5479" s="15"/>
      <c r="O5479" s="15"/>
      <c r="P5479" s="15"/>
      <c r="Q5479" s="71"/>
      <c r="R5479" s="84"/>
      <c r="S5479" s="10"/>
      <c r="T5479" s="10"/>
      <c r="U5479" s="10"/>
      <c r="V5479" s="10"/>
      <c r="W5479" s="138"/>
      <c r="Y5479"/>
      <c r="Z5479"/>
      <c r="AA5479"/>
      <c r="AB5479"/>
      <c r="AC5479"/>
      <c r="AD5479"/>
      <c r="AE5479"/>
      <c r="AF5479"/>
      <c r="AG5479"/>
      <c r="AH5479"/>
      <c r="AI5479"/>
      <c r="AJ5479"/>
      <c r="AK5479"/>
      <c r="AL5479"/>
      <c r="AM5479"/>
      <c r="AN5479"/>
      <c r="AO5479"/>
    </row>
    <row r="5480" spans="1:41" ht="15">
      <c r="A5480"/>
      <c r="B5480"/>
      <c r="C5480" s="137"/>
      <c r="D5480" s="30"/>
      <c r="E5480" s="30"/>
      <c r="F5480" s="10"/>
      <c r="G5480" s="10"/>
      <c r="H5480" s="15"/>
      <c r="I5480" s="15"/>
      <c r="J5480" s="15"/>
      <c r="K5480" s="15"/>
      <c r="L5480" s="15"/>
      <c r="M5480" s="15"/>
      <c r="N5480" s="15"/>
      <c r="O5480" s="15"/>
      <c r="P5480" s="15"/>
      <c r="Q5480" s="71"/>
      <c r="R5480" s="84"/>
      <c r="S5480" s="10"/>
      <c r="T5480" s="10"/>
      <c r="U5480" s="10"/>
      <c r="V5480" s="10"/>
      <c r="W5480" s="138"/>
      <c r="Y5480"/>
      <c r="Z5480"/>
      <c r="AA5480"/>
      <c r="AB5480"/>
      <c r="AC5480"/>
      <c r="AD5480"/>
      <c r="AE5480"/>
      <c r="AF5480"/>
      <c r="AG5480"/>
      <c r="AH5480"/>
      <c r="AI5480"/>
      <c r="AJ5480"/>
      <c r="AK5480"/>
      <c r="AL5480"/>
      <c r="AM5480"/>
      <c r="AN5480"/>
      <c r="AO5480"/>
    </row>
    <row r="5481" spans="1:41" ht="15">
      <c r="A5481"/>
      <c r="B5481"/>
      <c r="C5481" s="137"/>
      <c r="D5481" s="30"/>
      <c r="E5481" s="30"/>
      <c r="F5481" s="10"/>
      <c r="G5481" s="10"/>
      <c r="H5481" s="15"/>
      <c r="I5481" s="15"/>
      <c r="J5481" s="15"/>
      <c r="K5481" s="15"/>
      <c r="L5481" s="15"/>
      <c r="M5481" s="15"/>
      <c r="N5481" s="15"/>
      <c r="O5481" s="15"/>
      <c r="P5481" s="15"/>
      <c r="Q5481" s="71"/>
      <c r="R5481" s="84"/>
      <c r="S5481" s="10"/>
      <c r="T5481" s="10"/>
      <c r="U5481" s="10"/>
      <c r="V5481" s="10"/>
      <c r="W5481" s="138"/>
      <c r="Y5481"/>
      <c r="Z5481"/>
      <c r="AA5481"/>
      <c r="AB5481"/>
      <c r="AC5481"/>
      <c r="AD5481"/>
      <c r="AE5481"/>
      <c r="AF5481"/>
      <c r="AG5481"/>
      <c r="AH5481"/>
      <c r="AI5481"/>
      <c r="AJ5481"/>
      <c r="AK5481"/>
      <c r="AL5481"/>
      <c r="AM5481"/>
      <c r="AN5481"/>
      <c r="AO5481"/>
    </row>
    <row r="5482" spans="1:41" ht="15">
      <c r="A5482"/>
      <c r="B5482"/>
      <c r="C5482" s="137"/>
      <c r="D5482" s="30"/>
      <c r="E5482" s="30"/>
      <c r="F5482" s="10"/>
      <c r="G5482" s="10"/>
      <c r="H5482" s="15"/>
      <c r="I5482" s="15"/>
      <c r="J5482" s="15"/>
      <c r="K5482" s="15"/>
      <c r="L5482" s="15"/>
      <c r="M5482" s="15"/>
      <c r="N5482" s="15"/>
      <c r="O5482" s="15"/>
      <c r="P5482" s="15"/>
      <c r="Q5482" s="71"/>
      <c r="R5482" s="84"/>
      <c r="S5482" s="10"/>
      <c r="T5482" s="10"/>
      <c r="U5482" s="10"/>
      <c r="V5482" s="10"/>
      <c r="W5482" s="138"/>
      <c r="Y5482"/>
      <c r="Z5482"/>
      <c r="AA5482"/>
      <c r="AB5482"/>
      <c r="AC5482"/>
      <c r="AD5482"/>
      <c r="AE5482"/>
      <c r="AF5482"/>
      <c r="AG5482"/>
      <c r="AH5482"/>
      <c r="AI5482"/>
      <c r="AJ5482"/>
      <c r="AK5482"/>
      <c r="AL5482"/>
      <c r="AM5482"/>
      <c r="AN5482"/>
      <c r="AO5482"/>
    </row>
    <row r="5483" spans="1:41" ht="15">
      <c r="A5483"/>
      <c r="B5483"/>
      <c r="C5483" s="137"/>
      <c r="D5483" s="30"/>
      <c r="E5483" s="30"/>
      <c r="F5483" s="10"/>
      <c r="G5483" s="10"/>
      <c r="H5483" s="15"/>
      <c r="I5483" s="15"/>
      <c r="J5483" s="15"/>
      <c r="K5483" s="15"/>
      <c r="L5483" s="15"/>
      <c r="M5483" s="15"/>
      <c r="N5483" s="15"/>
      <c r="O5483" s="15"/>
      <c r="P5483" s="15"/>
      <c r="Q5483" s="71"/>
      <c r="R5483" s="84"/>
      <c r="S5483" s="10"/>
      <c r="T5483" s="10"/>
      <c r="U5483" s="10"/>
      <c r="V5483" s="10"/>
      <c r="W5483" s="138"/>
      <c r="Y5483"/>
      <c r="Z5483"/>
      <c r="AA5483"/>
      <c r="AB5483"/>
      <c r="AC5483"/>
      <c r="AD5483"/>
      <c r="AE5483"/>
      <c r="AF5483"/>
      <c r="AG5483"/>
      <c r="AH5483"/>
      <c r="AI5483"/>
      <c r="AJ5483"/>
      <c r="AK5483"/>
      <c r="AL5483"/>
      <c r="AM5483"/>
      <c r="AN5483"/>
      <c r="AO5483"/>
    </row>
    <row r="5484" spans="1:41" ht="15">
      <c r="A5484"/>
      <c r="B5484"/>
      <c r="C5484" s="137"/>
      <c r="D5484" s="30"/>
      <c r="E5484" s="30"/>
      <c r="F5484" s="10"/>
      <c r="G5484" s="10"/>
      <c r="H5484" s="15"/>
      <c r="I5484" s="15"/>
      <c r="J5484" s="15"/>
      <c r="K5484" s="15"/>
      <c r="L5484" s="15"/>
      <c r="M5484" s="15"/>
      <c r="N5484" s="15"/>
      <c r="O5484" s="15"/>
      <c r="P5484" s="15"/>
      <c r="Q5484" s="71"/>
      <c r="R5484" s="84"/>
      <c r="S5484" s="10"/>
      <c r="T5484" s="10"/>
      <c r="U5484" s="10"/>
      <c r="V5484" s="10"/>
      <c r="W5484" s="138"/>
      <c r="Y5484"/>
      <c r="Z5484"/>
      <c r="AA5484"/>
      <c r="AB5484"/>
      <c r="AC5484"/>
      <c r="AD5484"/>
      <c r="AE5484"/>
      <c r="AF5484"/>
      <c r="AG5484"/>
      <c r="AH5484"/>
      <c r="AI5484"/>
      <c r="AJ5484"/>
      <c r="AK5484"/>
      <c r="AL5484"/>
      <c r="AM5484"/>
      <c r="AN5484"/>
      <c r="AO5484"/>
    </row>
    <row r="5485" spans="1:41" ht="15">
      <c r="A5485"/>
      <c r="B5485"/>
      <c r="C5485" s="137"/>
      <c r="D5485" s="30"/>
      <c r="E5485" s="30"/>
      <c r="F5485" s="10"/>
      <c r="G5485" s="10"/>
      <c r="H5485" s="15"/>
      <c r="I5485" s="15"/>
      <c r="J5485" s="15"/>
      <c r="K5485" s="15"/>
      <c r="L5485" s="15"/>
      <c r="M5485" s="15"/>
      <c r="N5485" s="15"/>
      <c r="O5485" s="15"/>
      <c r="P5485" s="15"/>
      <c r="Q5485" s="71"/>
      <c r="R5485" s="84"/>
      <c r="S5485" s="10"/>
      <c r="T5485" s="10"/>
      <c r="U5485" s="10"/>
      <c r="V5485" s="10"/>
      <c r="W5485" s="138"/>
      <c r="Y5485"/>
      <c r="Z5485"/>
      <c r="AA5485"/>
      <c r="AB5485"/>
      <c r="AC5485"/>
      <c r="AD5485"/>
      <c r="AE5485"/>
      <c r="AF5485"/>
      <c r="AG5485"/>
      <c r="AH5485"/>
      <c r="AI5485"/>
      <c r="AJ5485"/>
      <c r="AK5485"/>
      <c r="AL5485"/>
      <c r="AM5485"/>
      <c r="AN5485"/>
      <c r="AO5485"/>
    </row>
    <row r="5486" spans="1:41" ht="15">
      <c r="A5486"/>
      <c r="B5486"/>
      <c r="C5486" s="137"/>
      <c r="D5486" s="30"/>
      <c r="E5486" s="30"/>
      <c r="F5486" s="10"/>
      <c r="G5486" s="10"/>
      <c r="H5486" s="15"/>
      <c r="I5486" s="15"/>
      <c r="J5486" s="15"/>
      <c r="K5486" s="15"/>
      <c r="L5486" s="15"/>
      <c r="M5486" s="15"/>
      <c r="N5486" s="15"/>
      <c r="O5486" s="15"/>
      <c r="P5486" s="15"/>
      <c r="Q5486" s="71"/>
      <c r="R5486" s="84"/>
      <c r="S5486" s="10"/>
      <c r="T5486" s="10"/>
      <c r="U5486" s="10"/>
      <c r="V5486" s="10"/>
      <c r="W5486" s="138"/>
      <c r="Y5486"/>
      <c r="Z5486"/>
      <c r="AA5486"/>
      <c r="AB5486"/>
      <c r="AC5486"/>
      <c r="AD5486"/>
      <c r="AE5486"/>
      <c r="AF5486"/>
      <c r="AG5486"/>
      <c r="AH5486"/>
      <c r="AI5486"/>
      <c r="AJ5486"/>
      <c r="AK5486"/>
      <c r="AL5486"/>
      <c r="AM5486"/>
      <c r="AN5486"/>
      <c r="AO5486"/>
    </row>
    <row r="5487" spans="1:41" ht="15">
      <c r="A5487"/>
      <c r="B5487"/>
      <c r="C5487" s="137"/>
      <c r="D5487" s="30"/>
      <c r="E5487" s="30"/>
      <c r="F5487" s="10"/>
      <c r="G5487" s="10"/>
      <c r="H5487" s="15"/>
      <c r="I5487" s="15"/>
      <c r="J5487" s="15"/>
      <c r="K5487" s="15"/>
      <c r="L5487" s="15"/>
      <c r="M5487" s="15"/>
      <c r="N5487" s="15"/>
      <c r="O5487" s="15"/>
      <c r="P5487" s="15"/>
      <c r="Q5487" s="71"/>
      <c r="R5487" s="84"/>
      <c r="S5487" s="10"/>
      <c r="T5487" s="10"/>
      <c r="U5487" s="10"/>
      <c r="V5487" s="10"/>
      <c r="W5487" s="138"/>
      <c r="Y5487"/>
      <c r="Z5487"/>
      <c r="AA5487"/>
      <c r="AB5487"/>
      <c r="AC5487"/>
      <c r="AD5487"/>
      <c r="AE5487"/>
      <c r="AF5487"/>
      <c r="AG5487"/>
      <c r="AH5487"/>
      <c r="AI5487"/>
      <c r="AJ5487"/>
      <c r="AK5487"/>
      <c r="AL5487"/>
      <c r="AM5487"/>
      <c r="AN5487"/>
      <c r="AO5487"/>
    </row>
    <row r="5488" spans="1:41" ht="15">
      <c r="A5488"/>
      <c r="B5488"/>
      <c r="C5488" s="137"/>
      <c r="D5488" s="30"/>
      <c r="E5488" s="30"/>
      <c r="F5488" s="10"/>
      <c r="G5488" s="10"/>
      <c r="H5488" s="15"/>
      <c r="I5488" s="15"/>
      <c r="J5488" s="15"/>
      <c r="K5488" s="15"/>
      <c r="L5488" s="15"/>
      <c r="M5488" s="15"/>
      <c r="N5488" s="15"/>
      <c r="O5488" s="15"/>
      <c r="P5488" s="15"/>
      <c r="Q5488" s="71"/>
      <c r="R5488" s="84"/>
      <c r="S5488" s="10"/>
      <c r="T5488" s="10"/>
      <c r="U5488" s="10"/>
      <c r="V5488" s="10"/>
      <c r="W5488" s="138"/>
      <c r="Y5488"/>
      <c r="Z5488"/>
      <c r="AA5488"/>
      <c r="AB5488"/>
      <c r="AC5488"/>
      <c r="AD5488"/>
      <c r="AE5488"/>
      <c r="AF5488"/>
      <c r="AG5488"/>
      <c r="AH5488"/>
      <c r="AI5488"/>
      <c r="AJ5488"/>
      <c r="AK5488"/>
      <c r="AL5488"/>
      <c r="AM5488"/>
      <c r="AN5488"/>
      <c r="AO5488"/>
    </row>
    <row r="5489" spans="1:41" ht="15">
      <c r="A5489"/>
      <c r="B5489"/>
      <c r="C5489" s="137"/>
      <c r="D5489" s="30"/>
      <c r="E5489" s="30"/>
      <c r="F5489" s="10"/>
      <c r="G5489" s="10"/>
      <c r="H5489" s="15"/>
      <c r="I5489" s="15"/>
      <c r="J5489" s="15"/>
      <c r="K5489" s="15"/>
      <c r="L5489" s="15"/>
      <c r="M5489" s="15"/>
      <c r="N5489" s="15"/>
      <c r="O5489" s="15"/>
      <c r="P5489" s="15"/>
      <c r="Q5489" s="71"/>
      <c r="R5489" s="84"/>
      <c r="S5489" s="10"/>
      <c r="T5489" s="10"/>
      <c r="U5489" s="10"/>
      <c r="V5489" s="10"/>
      <c r="W5489" s="138"/>
      <c r="Y5489"/>
      <c r="Z5489"/>
      <c r="AA5489"/>
      <c r="AB5489"/>
      <c r="AC5489"/>
      <c r="AD5489"/>
      <c r="AE5489"/>
      <c r="AF5489"/>
      <c r="AG5489"/>
      <c r="AH5489"/>
      <c r="AI5489"/>
      <c r="AJ5489"/>
      <c r="AK5489"/>
      <c r="AL5489"/>
      <c r="AM5489"/>
      <c r="AN5489"/>
      <c r="AO5489"/>
    </row>
    <row r="5490" spans="1:41" ht="15">
      <c r="A5490"/>
      <c r="B5490"/>
      <c r="C5490" s="137"/>
      <c r="D5490" s="30"/>
      <c r="E5490" s="30"/>
      <c r="F5490" s="10"/>
      <c r="G5490" s="10"/>
      <c r="H5490" s="15"/>
      <c r="I5490" s="15"/>
      <c r="J5490" s="15"/>
      <c r="K5490" s="15"/>
      <c r="L5490" s="15"/>
      <c r="M5490" s="15"/>
      <c r="N5490" s="15"/>
      <c r="O5490" s="15"/>
      <c r="P5490" s="15"/>
      <c r="Q5490" s="71"/>
      <c r="R5490" s="84"/>
      <c r="S5490" s="10"/>
      <c r="T5490" s="10"/>
      <c r="U5490" s="10"/>
      <c r="V5490" s="10"/>
      <c r="W5490" s="138"/>
      <c r="Y5490"/>
      <c r="Z5490"/>
      <c r="AA5490"/>
      <c r="AB5490"/>
      <c r="AC5490"/>
      <c r="AD5490"/>
      <c r="AE5490"/>
      <c r="AF5490"/>
      <c r="AG5490"/>
      <c r="AH5490"/>
      <c r="AI5490"/>
      <c r="AJ5490"/>
      <c r="AK5490"/>
      <c r="AL5490"/>
      <c r="AM5490"/>
      <c r="AN5490"/>
      <c r="AO5490"/>
    </row>
    <row r="5491" spans="1:41" ht="15">
      <c r="A5491"/>
      <c r="B5491"/>
      <c r="C5491" s="137"/>
      <c r="D5491" s="30"/>
      <c r="E5491" s="30"/>
      <c r="F5491" s="10"/>
      <c r="G5491" s="10"/>
      <c r="H5491" s="15"/>
      <c r="I5491" s="15"/>
      <c r="J5491" s="15"/>
      <c r="K5491" s="15"/>
      <c r="L5491" s="15"/>
      <c r="M5491" s="15"/>
      <c r="N5491" s="15"/>
      <c r="O5491" s="15"/>
      <c r="P5491" s="15"/>
      <c r="Q5491" s="71"/>
      <c r="R5491" s="84"/>
      <c r="S5491" s="10"/>
      <c r="T5491" s="10"/>
      <c r="U5491" s="10"/>
      <c r="V5491" s="10"/>
      <c r="W5491" s="138"/>
      <c r="Y5491"/>
      <c r="Z5491"/>
      <c r="AA5491"/>
      <c r="AB5491"/>
      <c r="AC5491"/>
      <c r="AD5491"/>
      <c r="AE5491"/>
      <c r="AF5491"/>
      <c r="AG5491"/>
      <c r="AH5491"/>
      <c r="AI5491"/>
      <c r="AJ5491"/>
      <c r="AK5491"/>
      <c r="AL5491"/>
      <c r="AM5491"/>
      <c r="AN5491"/>
      <c r="AO5491"/>
    </row>
    <row r="5492" spans="1:41" ht="15">
      <c r="A5492"/>
      <c r="B5492"/>
      <c r="C5492" s="137"/>
      <c r="D5492" s="30"/>
      <c r="E5492" s="30"/>
      <c r="F5492" s="10"/>
      <c r="G5492" s="10"/>
      <c r="H5492" s="15"/>
      <c r="I5492" s="15"/>
      <c r="J5492" s="15"/>
      <c r="K5492" s="15"/>
      <c r="L5492" s="15"/>
      <c r="M5492" s="15"/>
      <c r="N5492" s="15"/>
      <c r="O5492" s="15"/>
      <c r="P5492" s="15"/>
      <c r="Q5492" s="71"/>
      <c r="R5492" s="84"/>
      <c r="S5492" s="10"/>
      <c r="T5492" s="10"/>
      <c r="U5492" s="10"/>
      <c r="V5492" s="10"/>
      <c r="W5492" s="138"/>
      <c r="Y5492"/>
      <c r="Z5492"/>
      <c r="AA5492"/>
      <c r="AB5492"/>
      <c r="AC5492"/>
      <c r="AD5492"/>
      <c r="AE5492"/>
      <c r="AF5492"/>
      <c r="AG5492"/>
      <c r="AH5492"/>
      <c r="AI5492"/>
      <c r="AJ5492"/>
      <c r="AK5492"/>
      <c r="AL5492"/>
      <c r="AM5492"/>
      <c r="AN5492"/>
      <c r="AO5492"/>
    </row>
    <row r="5493" spans="1:41" ht="15">
      <c r="A5493"/>
      <c r="B5493"/>
      <c r="C5493" s="137"/>
      <c r="D5493" s="30"/>
      <c r="E5493" s="30"/>
      <c r="F5493" s="10"/>
      <c r="G5493" s="10"/>
      <c r="H5493" s="15"/>
      <c r="I5493" s="15"/>
      <c r="J5493" s="15"/>
      <c r="K5493" s="15"/>
      <c r="L5493" s="15"/>
      <c r="M5493" s="15"/>
      <c r="N5493" s="15"/>
      <c r="O5493" s="15"/>
      <c r="P5493" s="15"/>
      <c r="Q5493" s="71"/>
      <c r="R5493" s="84"/>
      <c r="S5493" s="10"/>
      <c r="T5493" s="10"/>
      <c r="U5493" s="10"/>
      <c r="V5493" s="10"/>
      <c r="W5493" s="138"/>
      <c r="Y5493"/>
      <c r="Z5493"/>
      <c r="AA5493"/>
      <c r="AB5493"/>
      <c r="AC5493"/>
      <c r="AD5493"/>
      <c r="AE5493"/>
      <c r="AF5493"/>
      <c r="AG5493"/>
      <c r="AH5493"/>
      <c r="AI5493"/>
      <c r="AJ5493"/>
      <c r="AK5493"/>
      <c r="AL5493"/>
      <c r="AM5493"/>
      <c r="AN5493"/>
      <c r="AO5493"/>
    </row>
    <row r="5494" spans="1:41" ht="15">
      <c r="A5494"/>
      <c r="B5494"/>
      <c r="C5494" s="137"/>
      <c r="D5494" s="30"/>
      <c r="E5494" s="30"/>
      <c r="F5494" s="10"/>
      <c r="G5494" s="10"/>
      <c r="H5494" s="15"/>
      <c r="I5494" s="15"/>
      <c r="J5494" s="15"/>
      <c r="K5494" s="15"/>
      <c r="L5494" s="15"/>
      <c r="M5494" s="15"/>
      <c r="N5494" s="15"/>
      <c r="O5494" s="15"/>
      <c r="P5494" s="15"/>
      <c r="Q5494" s="71"/>
      <c r="R5494" s="84"/>
      <c r="S5494" s="10"/>
      <c r="T5494" s="10"/>
      <c r="U5494" s="10"/>
      <c r="V5494" s="10"/>
      <c r="W5494" s="138"/>
      <c r="Y5494"/>
      <c r="Z5494"/>
      <c r="AA5494"/>
      <c r="AB5494"/>
      <c r="AC5494"/>
      <c r="AD5494"/>
      <c r="AE5494"/>
      <c r="AF5494"/>
      <c r="AG5494"/>
      <c r="AH5494"/>
      <c r="AI5494"/>
      <c r="AJ5494"/>
      <c r="AK5494"/>
      <c r="AL5494"/>
      <c r="AM5494"/>
      <c r="AN5494"/>
      <c r="AO5494"/>
    </row>
    <row r="5495" spans="1:41" ht="15">
      <c r="A5495"/>
      <c r="B5495"/>
      <c r="C5495" s="137"/>
      <c r="D5495" s="30"/>
      <c r="E5495" s="30"/>
      <c r="F5495" s="10"/>
      <c r="G5495" s="10"/>
      <c r="H5495" s="15"/>
      <c r="I5495" s="15"/>
      <c r="J5495" s="15"/>
      <c r="K5495" s="15"/>
      <c r="L5495" s="15"/>
      <c r="M5495" s="15"/>
      <c r="N5495" s="15"/>
      <c r="O5495" s="15"/>
      <c r="P5495" s="15"/>
      <c r="Q5495" s="71"/>
      <c r="R5495" s="84"/>
      <c r="S5495" s="10"/>
      <c r="T5495" s="10"/>
      <c r="U5495" s="10"/>
      <c r="V5495" s="10"/>
      <c r="W5495" s="138"/>
      <c r="Y5495"/>
      <c r="Z5495"/>
      <c r="AA5495"/>
      <c r="AB5495"/>
      <c r="AC5495"/>
      <c r="AD5495"/>
      <c r="AE5495"/>
      <c r="AF5495"/>
      <c r="AG5495"/>
      <c r="AH5495"/>
      <c r="AI5495"/>
      <c r="AJ5495"/>
      <c r="AK5495"/>
      <c r="AL5495"/>
      <c r="AM5495"/>
      <c r="AN5495"/>
      <c r="AO5495"/>
    </row>
    <row r="5496" spans="1:41" ht="15">
      <c r="A5496"/>
      <c r="B5496"/>
      <c r="C5496" s="137"/>
      <c r="D5496" s="30"/>
      <c r="E5496" s="30"/>
      <c r="F5496" s="10"/>
      <c r="G5496" s="10"/>
      <c r="H5496" s="15"/>
      <c r="I5496" s="15"/>
      <c r="J5496" s="15"/>
      <c r="K5496" s="15"/>
      <c r="L5496" s="15"/>
      <c r="M5496" s="15"/>
      <c r="N5496" s="15"/>
      <c r="O5496" s="15"/>
      <c r="P5496" s="15"/>
      <c r="Q5496" s="71"/>
      <c r="R5496" s="84"/>
      <c r="S5496" s="10"/>
      <c r="T5496" s="10"/>
      <c r="U5496" s="10"/>
      <c r="V5496" s="10"/>
      <c r="W5496" s="138"/>
      <c r="Y5496"/>
      <c r="Z5496"/>
      <c r="AA5496"/>
      <c r="AB5496"/>
      <c r="AC5496"/>
      <c r="AD5496"/>
      <c r="AE5496"/>
      <c r="AF5496"/>
      <c r="AG5496"/>
      <c r="AH5496"/>
      <c r="AI5496"/>
      <c r="AJ5496"/>
      <c r="AK5496"/>
      <c r="AL5496"/>
      <c r="AM5496"/>
      <c r="AN5496"/>
      <c r="AO5496"/>
    </row>
    <row r="5497" spans="1:41" ht="15">
      <c r="A5497"/>
      <c r="B5497"/>
      <c r="C5497" s="137"/>
      <c r="D5497" s="30"/>
      <c r="E5497" s="30"/>
      <c r="F5497" s="10"/>
      <c r="G5497" s="10"/>
      <c r="H5497" s="15"/>
      <c r="I5497" s="15"/>
      <c r="J5497" s="15"/>
      <c r="K5497" s="15"/>
      <c r="L5497" s="15"/>
      <c r="M5497" s="15"/>
      <c r="N5497" s="15"/>
      <c r="O5497" s="15"/>
      <c r="P5497" s="15"/>
      <c r="Q5497" s="71"/>
      <c r="R5497" s="84"/>
      <c r="S5497" s="10"/>
      <c r="T5497" s="10"/>
      <c r="U5497" s="10"/>
      <c r="V5497" s="10"/>
      <c r="W5497" s="138"/>
      <c r="Y5497"/>
      <c r="Z5497"/>
      <c r="AA5497"/>
      <c r="AB5497"/>
      <c r="AC5497"/>
      <c r="AD5497"/>
      <c r="AE5497"/>
      <c r="AF5497"/>
      <c r="AG5497"/>
      <c r="AH5497"/>
      <c r="AI5497"/>
      <c r="AJ5497"/>
      <c r="AK5497"/>
      <c r="AL5497"/>
      <c r="AM5497"/>
      <c r="AN5497"/>
      <c r="AO5497"/>
    </row>
    <row r="5498" spans="1:41" ht="15">
      <c r="A5498"/>
      <c r="B5498"/>
      <c r="C5498" s="137"/>
      <c r="D5498" s="30"/>
      <c r="E5498" s="30"/>
      <c r="F5498" s="10"/>
      <c r="G5498" s="10"/>
      <c r="H5498" s="15"/>
      <c r="I5498" s="15"/>
      <c r="J5498" s="15"/>
      <c r="K5498" s="15"/>
      <c r="L5498" s="15"/>
      <c r="M5498" s="15"/>
      <c r="N5498" s="15"/>
      <c r="O5498" s="15"/>
      <c r="P5498" s="15"/>
      <c r="Q5498" s="71"/>
      <c r="R5498" s="84"/>
      <c r="S5498" s="10"/>
      <c r="T5498" s="10"/>
      <c r="U5498" s="10"/>
      <c r="V5498" s="10"/>
      <c r="W5498" s="138"/>
      <c r="Y5498"/>
      <c r="Z5498"/>
      <c r="AA5498"/>
      <c r="AB5498"/>
      <c r="AC5498"/>
      <c r="AD5498"/>
      <c r="AE5498"/>
      <c r="AF5498"/>
      <c r="AG5498"/>
      <c r="AH5498"/>
      <c r="AI5498"/>
      <c r="AJ5498"/>
      <c r="AK5498"/>
      <c r="AL5498"/>
      <c r="AM5498"/>
      <c r="AN5498"/>
      <c r="AO5498"/>
    </row>
    <row r="5499" spans="1:41" ht="15">
      <c r="A5499"/>
      <c r="B5499"/>
      <c r="C5499" s="137"/>
      <c r="D5499" s="30"/>
      <c r="E5499" s="30"/>
      <c r="F5499" s="10"/>
      <c r="G5499" s="10"/>
      <c r="H5499" s="15"/>
      <c r="I5499" s="15"/>
      <c r="J5499" s="15"/>
      <c r="K5499" s="15"/>
      <c r="L5499" s="15"/>
      <c r="M5499" s="15"/>
      <c r="N5499" s="15"/>
      <c r="O5499" s="15"/>
      <c r="P5499" s="15"/>
      <c r="Q5499" s="71"/>
      <c r="R5499" s="84"/>
      <c r="S5499" s="10"/>
      <c r="T5499" s="10"/>
      <c r="U5499" s="10"/>
      <c r="V5499" s="10"/>
      <c r="W5499" s="138"/>
      <c r="Y5499"/>
      <c r="Z5499"/>
      <c r="AA5499"/>
      <c r="AB5499"/>
      <c r="AC5499"/>
      <c r="AD5499"/>
      <c r="AE5499"/>
      <c r="AF5499"/>
      <c r="AG5499"/>
      <c r="AH5499"/>
      <c r="AI5499"/>
      <c r="AJ5499"/>
      <c r="AK5499"/>
      <c r="AL5499"/>
      <c r="AM5499"/>
      <c r="AN5499"/>
      <c r="AO5499"/>
    </row>
    <row r="5500" spans="1:41" ht="15">
      <c r="A5500"/>
      <c r="B5500"/>
      <c r="C5500" s="137"/>
      <c r="D5500" s="30"/>
      <c r="E5500" s="30"/>
      <c r="F5500" s="10"/>
      <c r="G5500" s="10"/>
      <c r="H5500" s="15"/>
      <c r="I5500" s="15"/>
      <c r="J5500" s="15"/>
      <c r="K5500" s="15"/>
      <c r="L5500" s="15"/>
      <c r="M5500" s="15"/>
      <c r="N5500" s="15"/>
      <c r="O5500" s="15"/>
      <c r="P5500" s="15"/>
      <c r="Q5500" s="71"/>
      <c r="R5500" s="84"/>
      <c r="S5500" s="10"/>
      <c r="T5500" s="10"/>
      <c r="U5500" s="10"/>
      <c r="V5500" s="10"/>
      <c r="W5500" s="138"/>
      <c r="Y5500"/>
      <c r="Z5500"/>
      <c r="AA5500"/>
      <c r="AB5500"/>
      <c r="AC5500"/>
      <c r="AD5500"/>
      <c r="AE5500"/>
      <c r="AF5500"/>
      <c r="AG5500"/>
      <c r="AH5500"/>
      <c r="AI5500"/>
      <c r="AJ5500"/>
      <c r="AK5500"/>
      <c r="AL5500"/>
      <c r="AM5500"/>
      <c r="AN5500"/>
      <c r="AO5500"/>
    </row>
    <row r="5501" spans="1:41" ht="15">
      <c r="A5501"/>
      <c r="B5501"/>
      <c r="C5501" s="137"/>
      <c r="D5501" s="30"/>
      <c r="E5501" s="30"/>
      <c r="F5501" s="10"/>
      <c r="G5501" s="10"/>
      <c r="H5501" s="15"/>
      <c r="I5501" s="15"/>
      <c r="J5501" s="15"/>
      <c r="K5501" s="15"/>
      <c r="L5501" s="15"/>
      <c r="M5501" s="15"/>
      <c r="N5501" s="15"/>
      <c r="O5501" s="15"/>
      <c r="P5501" s="15"/>
      <c r="Q5501" s="71"/>
      <c r="R5501" s="84"/>
      <c r="S5501" s="10"/>
      <c r="T5501" s="10"/>
      <c r="U5501" s="10"/>
      <c r="V5501" s="10"/>
      <c r="W5501" s="138"/>
      <c r="Y5501"/>
      <c r="Z5501"/>
      <c r="AA5501"/>
      <c r="AB5501"/>
      <c r="AC5501"/>
      <c r="AD5501"/>
      <c r="AE5501"/>
      <c r="AF5501"/>
      <c r="AG5501"/>
      <c r="AH5501"/>
      <c r="AI5501"/>
      <c r="AJ5501"/>
      <c r="AK5501"/>
      <c r="AL5501"/>
      <c r="AM5501"/>
      <c r="AN5501"/>
      <c r="AO5501"/>
    </row>
    <row r="5502" spans="1:41" ht="15">
      <c r="A5502"/>
      <c r="B5502"/>
      <c r="C5502" s="137"/>
      <c r="D5502" s="30"/>
      <c r="E5502" s="30"/>
      <c r="F5502" s="10"/>
      <c r="G5502" s="10"/>
      <c r="H5502" s="15"/>
      <c r="I5502" s="15"/>
      <c r="J5502" s="15"/>
      <c r="K5502" s="15"/>
      <c r="L5502" s="15"/>
      <c r="M5502" s="15"/>
      <c r="N5502" s="15"/>
      <c r="O5502" s="15"/>
      <c r="P5502" s="15"/>
      <c r="Q5502" s="71"/>
      <c r="R5502" s="84"/>
      <c r="S5502" s="10"/>
      <c r="T5502" s="10"/>
      <c r="U5502" s="10"/>
      <c r="V5502" s="10"/>
      <c r="W5502" s="138"/>
      <c r="Y5502"/>
      <c r="Z5502"/>
      <c r="AA5502"/>
      <c r="AB5502"/>
      <c r="AC5502"/>
      <c r="AD5502"/>
      <c r="AE5502"/>
      <c r="AF5502"/>
      <c r="AG5502"/>
      <c r="AH5502"/>
      <c r="AI5502"/>
      <c r="AJ5502"/>
      <c r="AK5502"/>
      <c r="AL5502"/>
      <c r="AM5502"/>
      <c r="AN5502"/>
      <c r="AO5502"/>
    </row>
    <row r="5503" spans="1:41" ht="15">
      <c r="A5503"/>
      <c r="B5503"/>
      <c r="C5503" s="137"/>
      <c r="D5503" s="30"/>
      <c r="E5503" s="30"/>
      <c r="F5503" s="10"/>
      <c r="G5503" s="10"/>
      <c r="H5503" s="15"/>
      <c r="I5503" s="15"/>
      <c r="J5503" s="15"/>
      <c r="K5503" s="15"/>
      <c r="L5503" s="15"/>
      <c r="M5503" s="15"/>
      <c r="N5503" s="15"/>
      <c r="O5503" s="15"/>
      <c r="P5503" s="15"/>
      <c r="Q5503" s="71"/>
      <c r="R5503" s="84"/>
      <c r="S5503" s="10"/>
      <c r="T5503" s="10"/>
      <c r="U5503" s="10"/>
      <c r="V5503" s="10"/>
      <c r="W5503" s="138"/>
      <c r="Y5503"/>
      <c r="Z5503"/>
      <c r="AA5503"/>
      <c r="AB5503"/>
      <c r="AC5503"/>
      <c r="AD5503"/>
      <c r="AE5503"/>
      <c r="AF5503"/>
      <c r="AG5503"/>
      <c r="AH5503"/>
      <c r="AI5503"/>
      <c r="AJ5503"/>
      <c r="AK5503"/>
      <c r="AL5503"/>
      <c r="AM5503"/>
      <c r="AN5503"/>
      <c r="AO5503"/>
    </row>
    <row r="5504" spans="1:41" ht="15">
      <c r="A5504"/>
      <c r="B5504"/>
      <c r="C5504" s="137"/>
      <c r="D5504" s="30"/>
      <c r="E5504" s="30"/>
      <c r="F5504" s="10"/>
      <c r="G5504" s="10"/>
      <c r="H5504" s="15"/>
      <c r="I5504" s="15"/>
      <c r="J5504" s="15"/>
      <c r="K5504" s="15"/>
      <c r="L5504" s="15"/>
      <c r="M5504" s="15"/>
      <c r="N5504" s="15"/>
      <c r="O5504" s="15"/>
      <c r="P5504" s="15"/>
      <c r="Q5504" s="71"/>
      <c r="R5504" s="84"/>
      <c r="S5504" s="10"/>
      <c r="T5504" s="10"/>
      <c r="U5504" s="10"/>
      <c r="V5504" s="10"/>
      <c r="W5504" s="138"/>
      <c r="Y5504"/>
      <c r="Z5504"/>
      <c r="AA5504"/>
      <c r="AB5504"/>
      <c r="AC5504"/>
      <c r="AD5504"/>
      <c r="AE5504"/>
      <c r="AF5504"/>
      <c r="AG5504"/>
      <c r="AH5504"/>
      <c r="AI5504"/>
      <c r="AJ5504"/>
      <c r="AK5504"/>
      <c r="AL5504"/>
      <c r="AM5504"/>
      <c r="AN5504"/>
      <c r="AO5504"/>
    </row>
    <row r="5505" spans="1:41" ht="15">
      <c r="A5505"/>
      <c r="B5505"/>
      <c r="C5505" s="137"/>
      <c r="D5505" s="30"/>
      <c r="E5505" s="30"/>
      <c r="F5505" s="10"/>
      <c r="G5505" s="10"/>
      <c r="H5505" s="15"/>
      <c r="I5505" s="15"/>
      <c r="J5505" s="15"/>
      <c r="K5505" s="15"/>
      <c r="L5505" s="15"/>
      <c r="M5505" s="15"/>
      <c r="N5505" s="15"/>
      <c r="O5505" s="15"/>
      <c r="P5505" s="15"/>
      <c r="Q5505" s="71"/>
      <c r="R5505" s="84"/>
      <c r="S5505" s="10"/>
      <c r="T5505" s="10"/>
      <c r="U5505" s="10"/>
      <c r="V5505" s="10"/>
      <c r="W5505" s="138"/>
      <c r="Y5505"/>
      <c r="Z5505"/>
      <c r="AA5505"/>
      <c r="AB5505"/>
      <c r="AC5505"/>
      <c r="AD5505"/>
      <c r="AE5505"/>
      <c r="AF5505"/>
      <c r="AG5505"/>
      <c r="AH5505"/>
      <c r="AI5505"/>
      <c r="AJ5505"/>
      <c r="AK5505"/>
      <c r="AL5505"/>
      <c r="AM5505"/>
      <c r="AN5505"/>
      <c r="AO5505"/>
    </row>
    <row r="5506" spans="1:41" ht="15">
      <c r="A5506"/>
      <c r="B5506"/>
      <c r="C5506" s="137"/>
      <c r="D5506" s="30"/>
      <c r="E5506" s="30"/>
      <c r="F5506" s="10"/>
      <c r="G5506" s="10"/>
      <c r="H5506" s="15"/>
      <c r="I5506" s="15"/>
      <c r="J5506" s="15"/>
      <c r="K5506" s="15"/>
      <c r="L5506" s="15"/>
      <c r="M5506" s="15"/>
      <c r="N5506" s="15"/>
      <c r="O5506" s="15"/>
      <c r="P5506" s="15"/>
      <c r="Q5506" s="71"/>
      <c r="R5506" s="84"/>
      <c r="S5506" s="10"/>
      <c r="T5506" s="10"/>
      <c r="U5506" s="10"/>
      <c r="V5506" s="10"/>
      <c r="W5506" s="138"/>
      <c r="Y5506"/>
      <c r="Z5506"/>
      <c r="AA5506"/>
      <c r="AB5506"/>
      <c r="AC5506"/>
      <c r="AD5506"/>
      <c r="AE5506"/>
      <c r="AF5506"/>
      <c r="AG5506"/>
      <c r="AH5506"/>
      <c r="AI5506"/>
      <c r="AJ5506"/>
      <c r="AK5506"/>
      <c r="AL5506"/>
      <c r="AM5506"/>
      <c r="AN5506"/>
      <c r="AO5506"/>
    </row>
    <row r="5507" spans="1:41" ht="15">
      <c r="A5507"/>
      <c r="B5507"/>
      <c r="C5507" s="137"/>
      <c r="D5507" s="30"/>
      <c r="E5507" s="30"/>
      <c r="F5507" s="10"/>
      <c r="G5507" s="10"/>
      <c r="H5507" s="15"/>
      <c r="I5507" s="15"/>
      <c r="J5507" s="15"/>
      <c r="K5507" s="15"/>
      <c r="L5507" s="15"/>
      <c r="M5507" s="15"/>
      <c r="N5507" s="15"/>
      <c r="O5507" s="15"/>
      <c r="P5507" s="15"/>
      <c r="Q5507" s="71"/>
      <c r="R5507" s="84"/>
      <c r="S5507" s="10"/>
      <c r="T5507" s="10"/>
      <c r="U5507" s="10"/>
      <c r="V5507" s="10"/>
      <c r="W5507" s="138"/>
      <c r="Y5507"/>
      <c r="Z5507"/>
      <c r="AA5507"/>
      <c r="AB5507"/>
      <c r="AC5507"/>
      <c r="AD5507"/>
      <c r="AE5507"/>
      <c r="AF5507"/>
      <c r="AG5507"/>
      <c r="AH5507"/>
      <c r="AI5507"/>
      <c r="AJ5507"/>
      <c r="AK5507"/>
      <c r="AL5507"/>
      <c r="AM5507"/>
      <c r="AN5507"/>
      <c r="AO5507"/>
    </row>
    <row r="5508" spans="1:41" ht="15">
      <c r="A5508"/>
      <c r="B5508"/>
      <c r="C5508" s="137"/>
      <c r="D5508" s="30"/>
      <c r="E5508" s="30"/>
      <c r="F5508" s="10"/>
      <c r="G5508" s="10"/>
      <c r="H5508" s="15"/>
      <c r="I5508" s="15"/>
      <c r="J5508" s="15"/>
      <c r="K5508" s="15"/>
      <c r="L5508" s="15"/>
      <c r="M5508" s="15"/>
      <c r="N5508" s="15"/>
      <c r="O5508" s="15"/>
      <c r="P5508" s="15"/>
      <c r="Q5508" s="71"/>
      <c r="R5508" s="84"/>
      <c r="S5508" s="10"/>
      <c r="T5508" s="10"/>
      <c r="U5508" s="10"/>
      <c r="V5508" s="10"/>
      <c r="W5508" s="138"/>
      <c r="Y5508"/>
      <c r="Z5508"/>
      <c r="AA5508"/>
      <c r="AB5508"/>
      <c r="AC5508"/>
      <c r="AD5508"/>
      <c r="AE5508"/>
      <c r="AF5508"/>
      <c r="AG5508"/>
      <c r="AH5508"/>
      <c r="AI5508"/>
      <c r="AJ5508"/>
      <c r="AK5508"/>
      <c r="AL5508"/>
      <c r="AM5508"/>
      <c r="AN5508"/>
      <c r="AO5508"/>
    </row>
    <row r="5509" spans="1:41" ht="15">
      <c r="A5509"/>
      <c r="B5509"/>
      <c r="C5509" s="137"/>
      <c r="D5509" s="30"/>
      <c r="E5509" s="30"/>
      <c r="F5509" s="10"/>
      <c r="G5509" s="10"/>
      <c r="H5509" s="15"/>
      <c r="I5509" s="15"/>
      <c r="J5509" s="15"/>
      <c r="K5509" s="15"/>
      <c r="L5509" s="15"/>
      <c r="M5509" s="15"/>
      <c r="N5509" s="15"/>
      <c r="O5509" s="15"/>
      <c r="P5509" s="15"/>
      <c r="Q5509" s="71"/>
      <c r="R5509" s="84"/>
      <c r="S5509" s="10"/>
      <c r="T5509" s="10"/>
      <c r="U5509" s="10"/>
      <c r="V5509" s="10"/>
      <c r="W5509" s="138"/>
      <c r="Y5509"/>
      <c r="Z5509"/>
      <c r="AA5509"/>
      <c r="AB5509"/>
      <c r="AC5509"/>
      <c r="AD5509"/>
      <c r="AE5509"/>
      <c r="AF5509"/>
      <c r="AG5509"/>
      <c r="AH5509"/>
      <c r="AI5509"/>
      <c r="AJ5509"/>
      <c r="AK5509"/>
      <c r="AL5509"/>
      <c r="AM5509"/>
      <c r="AN5509"/>
      <c r="AO5509"/>
    </row>
    <row r="5510" spans="1:41" ht="15">
      <c r="A5510"/>
      <c r="B5510"/>
      <c r="C5510" s="137"/>
      <c r="D5510" s="30"/>
      <c r="E5510" s="30"/>
      <c r="F5510" s="10"/>
      <c r="G5510" s="10"/>
      <c r="H5510" s="15"/>
      <c r="I5510" s="15"/>
      <c r="J5510" s="15"/>
      <c r="K5510" s="15"/>
      <c r="L5510" s="15"/>
      <c r="M5510" s="15"/>
      <c r="N5510" s="15"/>
      <c r="O5510" s="15"/>
      <c r="P5510" s="15"/>
      <c r="Q5510" s="71"/>
      <c r="R5510" s="84"/>
      <c r="S5510" s="10"/>
      <c r="T5510" s="10"/>
      <c r="U5510" s="10"/>
      <c r="V5510" s="10"/>
      <c r="W5510" s="138"/>
      <c r="Y5510"/>
      <c r="Z5510"/>
      <c r="AA5510"/>
      <c r="AB5510"/>
      <c r="AC5510"/>
      <c r="AD5510"/>
      <c r="AE5510"/>
      <c r="AF5510"/>
      <c r="AG5510"/>
      <c r="AH5510"/>
      <c r="AI5510"/>
      <c r="AJ5510"/>
      <c r="AK5510"/>
      <c r="AL5510"/>
      <c r="AM5510"/>
      <c r="AN5510"/>
      <c r="AO5510"/>
    </row>
    <row r="5511" spans="1:41" ht="15">
      <c r="A5511"/>
      <c r="B5511"/>
      <c r="C5511" s="137"/>
      <c r="D5511" s="30"/>
      <c r="E5511" s="30"/>
      <c r="F5511" s="10"/>
      <c r="G5511" s="10"/>
      <c r="H5511" s="15"/>
      <c r="I5511" s="15"/>
      <c r="J5511" s="15"/>
      <c r="K5511" s="15"/>
      <c r="L5511" s="15"/>
      <c r="M5511" s="15"/>
      <c r="N5511" s="15"/>
      <c r="O5511" s="15"/>
      <c r="P5511" s="15"/>
      <c r="Q5511" s="71"/>
      <c r="R5511" s="84"/>
      <c r="S5511" s="10"/>
      <c r="T5511" s="10"/>
      <c r="U5511" s="10"/>
      <c r="V5511" s="10"/>
      <c r="W5511" s="138"/>
      <c r="Y5511"/>
      <c r="Z5511"/>
      <c r="AA5511"/>
      <c r="AB5511"/>
      <c r="AC5511"/>
      <c r="AD5511"/>
      <c r="AE5511"/>
      <c r="AF5511"/>
      <c r="AG5511"/>
      <c r="AH5511"/>
      <c r="AI5511"/>
      <c r="AJ5511"/>
      <c r="AK5511"/>
      <c r="AL5511"/>
      <c r="AM5511"/>
      <c r="AN5511"/>
      <c r="AO5511"/>
    </row>
    <row r="5512" spans="1:41" ht="15">
      <c r="A5512"/>
      <c r="B5512"/>
      <c r="C5512" s="137"/>
      <c r="D5512" s="30"/>
      <c r="E5512" s="30"/>
      <c r="F5512" s="10"/>
      <c r="G5512" s="10"/>
      <c r="H5512" s="15"/>
      <c r="I5512" s="15"/>
      <c r="J5512" s="15"/>
      <c r="K5512" s="15"/>
      <c r="L5512" s="15"/>
      <c r="M5512" s="15"/>
      <c r="N5512" s="15"/>
      <c r="O5512" s="15"/>
      <c r="P5512" s="15"/>
      <c r="Q5512" s="71"/>
      <c r="R5512" s="84"/>
      <c r="S5512" s="10"/>
      <c r="T5512" s="10"/>
      <c r="U5512" s="10"/>
      <c r="V5512" s="10"/>
      <c r="W5512" s="138"/>
      <c r="Y5512"/>
      <c r="Z5512"/>
      <c r="AA5512"/>
      <c r="AB5512"/>
      <c r="AC5512"/>
      <c r="AD5512"/>
      <c r="AE5512"/>
      <c r="AF5512"/>
      <c r="AG5512"/>
      <c r="AH5512"/>
      <c r="AI5512"/>
      <c r="AJ5512"/>
      <c r="AK5512"/>
      <c r="AL5512"/>
      <c r="AM5512"/>
      <c r="AN5512"/>
      <c r="AO5512"/>
    </row>
    <row r="5513" spans="1:41" ht="15">
      <c r="A5513"/>
      <c r="B5513"/>
      <c r="C5513" s="137"/>
      <c r="D5513" s="30"/>
      <c r="E5513" s="30"/>
      <c r="F5513" s="10"/>
      <c r="G5513" s="10"/>
      <c r="H5513" s="15"/>
      <c r="I5513" s="15"/>
      <c r="J5513" s="15"/>
      <c r="K5513" s="15"/>
      <c r="L5513" s="15"/>
      <c r="M5513" s="15"/>
      <c r="N5513" s="15"/>
      <c r="O5513" s="15"/>
      <c r="P5513" s="15"/>
      <c r="Q5513" s="71"/>
      <c r="R5513" s="84"/>
      <c r="S5513" s="10"/>
      <c r="T5513" s="10"/>
      <c r="U5513" s="10"/>
      <c r="V5513" s="10"/>
      <c r="W5513" s="138"/>
      <c r="Y5513"/>
      <c r="Z5513"/>
      <c r="AA5513"/>
      <c r="AB5513"/>
      <c r="AC5513"/>
      <c r="AD5513"/>
      <c r="AE5513"/>
      <c r="AF5513"/>
      <c r="AG5513"/>
      <c r="AH5513"/>
      <c r="AI5513"/>
      <c r="AJ5513"/>
      <c r="AK5513"/>
      <c r="AL5513"/>
      <c r="AM5513"/>
      <c r="AN5513"/>
      <c r="AO5513"/>
    </row>
    <row r="5514" spans="1:41" ht="15">
      <c r="A5514"/>
      <c r="B5514"/>
      <c r="C5514" s="137"/>
      <c r="D5514" s="30"/>
      <c r="E5514" s="30"/>
      <c r="F5514" s="10"/>
      <c r="G5514" s="10"/>
      <c r="H5514" s="15"/>
      <c r="I5514" s="15"/>
      <c r="J5514" s="15"/>
      <c r="K5514" s="15"/>
      <c r="L5514" s="15"/>
      <c r="M5514" s="15"/>
      <c r="N5514" s="15"/>
      <c r="O5514" s="15"/>
      <c r="P5514" s="15"/>
      <c r="Q5514" s="71"/>
      <c r="R5514" s="84"/>
      <c r="S5514" s="10"/>
      <c r="T5514" s="10"/>
      <c r="U5514" s="10"/>
      <c r="V5514" s="10"/>
      <c r="W5514" s="138"/>
      <c r="Y5514"/>
      <c r="Z5514"/>
      <c r="AA5514"/>
      <c r="AB5514"/>
      <c r="AC5514"/>
      <c r="AD5514"/>
      <c r="AE5514"/>
      <c r="AF5514"/>
      <c r="AG5514"/>
      <c r="AH5514"/>
      <c r="AI5514"/>
      <c r="AJ5514"/>
      <c r="AK5514"/>
      <c r="AL5514"/>
      <c r="AM5514"/>
      <c r="AN5514"/>
      <c r="AO5514"/>
    </row>
    <row r="5515" spans="1:41" ht="15">
      <c r="A5515"/>
      <c r="B5515"/>
      <c r="C5515" s="137"/>
      <c r="D5515" s="30"/>
      <c r="E5515" s="30"/>
      <c r="F5515" s="10"/>
      <c r="G5515" s="10"/>
      <c r="H5515" s="15"/>
      <c r="I5515" s="15"/>
      <c r="J5515" s="15"/>
      <c r="K5515" s="15"/>
      <c r="L5515" s="15"/>
      <c r="M5515" s="15"/>
      <c r="N5515" s="15"/>
      <c r="O5515" s="15"/>
      <c r="P5515" s="15"/>
      <c r="Q5515" s="71"/>
      <c r="R5515" s="84"/>
      <c r="S5515" s="10"/>
      <c r="T5515" s="10"/>
      <c r="U5515" s="10"/>
      <c r="V5515" s="10"/>
      <c r="W5515" s="138"/>
      <c r="Y5515"/>
      <c r="Z5515"/>
      <c r="AA5515"/>
      <c r="AB5515"/>
      <c r="AC5515"/>
      <c r="AD5515"/>
      <c r="AE5515"/>
      <c r="AF5515"/>
      <c r="AG5515"/>
      <c r="AH5515"/>
      <c r="AI5515"/>
      <c r="AJ5515"/>
      <c r="AK5515"/>
      <c r="AL5515"/>
      <c r="AM5515"/>
      <c r="AN5515"/>
      <c r="AO5515"/>
    </row>
    <row r="5516" spans="1:41" ht="15">
      <c r="A5516"/>
      <c r="B5516"/>
      <c r="C5516" s="137"/>
      <c r="D5516" s="30"/>
      <c r="E5516" s="30"/>
      <c r="F5516" s="10"/>
      <c r="G5516" s="10"/>
      <c r="H5516" s="15"/>
      <c r="I5516" s="15"/>
      <c r="J5516" s="15"/>
      <c r="K5516" s="15"/>
      <c r="L5516" s="15"/>
      <c r="M5516" s="15"/>
      <c r="N5516" s="15"/>
      <c r="O5516" s="15"/>
      <c r="P5516" s="15"/>
      <c r="Q5516" s="71"/>
      <c r="R5516" s="84"/>
      <c r="S5516" s="10"/>
      <c r="T5516" s="10"/>
      <c r="U5516" s="10"/>
      <c r="V5516" s="10"/>
      <c r="W5516" s="138"/>
      <c r="Y5516"/>
      <c r="Z5516"/>
      <c r="AA5516"/>
      <c r="AB5516"/>
      <c r="AC5516"/>
      <c r="AD5516"/>
      <c r="AE5516"/>
      <c r="AF5516"/>
      <c r="AG5516"/>
      <c r="AH5516"/>
      <c r="AI5516"/>
      <c r="AJ5516"/>
      <c r="AK5516"/>
      <c r="AL5516"/>
      <c r="AM5516"/>
      <c r="AN5516"/>
      <c r="AO5516"/>
    </row>
    <row r="5517" spans="1:41" ht="15">
      <c r="A5517"/>
      <c r="B5517"/>
      <c r="C5517" s="137"/>
      <c r="D5517" s="30"/>
      <c r="E5517" s="30"/>
      <c r="F5517" s="10"/>
      <c r="G5517" s="10"/>
      <c r="H5517" s="15"/>
      <c r="I5517" s="15"/>
      <c r="J5517" s="15"/>
      <c r="K5517" s="15"/>
      <c r="L5517" s="15"/>
      <c r="M5517" s="15"/>
      <c r="N5517" s="15"/>
      <c r="O5517" s="15"/>
      <c r="P5517" s="15"/>
      <c r="Q5517" s="71"/>
      <c r="R5517" s="84"/>
      <c r="S5517" s="10"/>
      <c r="T5517" s="10"/>
      <c r="U5517" s="10"/>
      <c r="V5517" s="10"/>
      <c r="W5517" s="138"/>
      <c r="Y5517"/>
      <c r="Z5517"/>
      <c r="AA5517"/>
      <c r="AB5517"/>
      <c r="AC5517"/>
      <c r="AD5517"/>
      <c r="AE5517"/>
      <c r="AF5517"/>
      <c r="AG5517"/>
      <c r="AH5517"/>
      <c r="AI5517"/>
      <c r="AJ5517"/>
      <c r="AK5517"/>
      <c r="AL5517"/>
      <c r="AM5517"/>
      <c r="AN5517"/>
      <c r="AO5517"/>
    </row>
    <row r="5518" spans="1:41" ht="15">
      <c r="A5518"/>
      <c r="B5518"/>
      <c r="C5518" s="137"/>
      <c r="D5518" s="30"/>
      <c r="E5518" s="30"/>
      <c r="F5518" s="10"/>
      <c r="G5518" s="10"/>
      <c r="H5518" s="15"/>
      <c r="I5518" s="15"/>
      <c r="J5518" s="15"/>
      <c r="K5518" s="15"/>
      <c r="L5518" s="15"/>
      <c r="M5518" s="15"/>
      <c r="N5518" s="15"/>
      <c r="O5518" s="15"/>
      <c r="P5518" s="15"/>
      <c r="Q5518" s="71"/>
      <c r="R5518" s="84"/>
      <c r="S5518" s="10"/>
      <c r="T5518" s="10"/>
      <c r="U5518" s="10"/>
      <c r="V5518" s="10"/>
      <c r="W5518" s="138"/>
      <c r="Y5518"/>
      <c r="Z5518"/>
      <c r="AA5518"/>
      <c r="AB5518"/>
      <c r="AC5518"/>
      <c r="AD5518"/>
      <c r="AE5518"/>
      <c r="AF5518"/>
      <c r="AG5518"/>
      <c r="AH5518"/>
      <c r="AI5518"/>
      <c r="AJ5518"/>
      <c r="AK5518"/>
      <c r="AL5518"/>
      <c r="AM5518"/>
      <c r="AN5518"/>
      <c r="AO5518"/>
    </row>
    <row r="5519" spans="1:41" ht="15">
      <c r="A5519"/>
      <c r="B5519"/>
      <c r="C5519" s="137"/>
      <c r="D5519" s="30"/>
      <c r="E5519" s="30"/>
      <c r="F5519" s="10"/>
      <c r="G5519" s="10"/>
      <c r="H5519" s="15"/>
      <c r="I5519" s="15"/>
      <c r="J5519" s="15"/>
      <c r="K5519" s="15"/>
      <c r="L5519" s="15"/>
      <c r="M5519" s="15"/>
      <c r="N5519" s="15"/>
      <c r="O5519" s="15"/>
      <c r="P5519" s="15"/>
      <c r="Q5519" s="71"/>
      <c r="R5519" s="84"/>
      <c r="S5519" s="10"/>
      <c r="T5519" s="10"/>
      <c r="U5519" s="10"/>
      <c r="V5519" s="10"/>
      <c r="W5519" s="138"/>
      <c r="Y5519"/>
      <c r="Z5519"/>
      <c r="AA5519"/>
      <c r="AB5519"/>
      <c r="AC5519"/>
      <c r="AD5519"/>
      <c r="AE5519"/>
      <c r="AF5519"/>
      <c r="AG5519"/>
      <c r="AH5519"/>
      <c r="AI5519"/>
      <c r="AJ5519"/>
      <c r="AK5519"/>
      <c r="AL5519"/>
      <c r="AM5519"/>
      <c r="AN5519"/>
      <c r="AO5519"/>
    </row>
    <row r="5520" spans="1:41" ht="15">
      <c r="A5520"/>
      <c r="B5520"/>
      <c r="C5520" s="137"/>
      <c r="D5520" s="30"/>
      <c r="E5520" s="30"/>
      <c r="F5520" s="10"/>
      <c r="G5520" s="10"/>
      <c r="H5520" s="15"/>
      <c r="I5520" s="15"/>
      <c r="J5520" s="15"/>
      <c r="K5520" s="15"/>
      <c r="L5520" s="15"/>
      <c r="M5520" s="15"/>
      <c r="N5520" s="15"/>
      <c r="O5520" s="15"/>
      <c r="P5520" s="15"/>
      <c r="Q5520" s="71"/>
      <c r="R5520" s="84"/>
      <c r="S5520" s="10"/>
      <c r="T5520" s="10"/>
      <c r="U5520" s="10"/>
      <c r="V5520" s="10"/>
      <c r="W5520" s="138"/>
      <c r="Y5520"/>
      <c r="Z5520"/>
      <c r="AA5520"/>
      <c r="AB5520"/>
      <c r="AC5520"/>
      <c r="AD5520"/>
      <c r="AE5520"/>
      <c r="AF5520"/>
      <c r="AG5520"/>
      <c r="AH5520"/>
      <c r="AI5520"/>
      <c r="AJ5520"/>
      <c r="AK5520"/>
      <c r="AL5520"/>
      <c r="AM5520"/>
      <c r="AN5520"/>
      <c r="AO5520"/>
    </row>
    <row r="5521" spans="1:41" ht="15">
      <c r="A5521"/>
      <c r="B5521"/>
      <c r="C5521" s="137"/>
      <c r="D5521" s="30"/>
      <c r="E5521" s="30"/>
      <c r="F5521" s="10"/>
      <c r="G5521" s="10"/>
      <c r="H5521" s="15"/>
      <c r="I5521" s="15"/>
      <c r="J5521" s="15"/>
      <c r="K5521" s="15"/>
      <c r="L5521" s="15"/>
      <c r="M5521" s="15"/>
      <c r="N5521" s="15"/>
      <c r="O5521" s="15"/>
      <c r="P5521" s="15"/>
      <c r="Q5521" s="71"/>
      <c r="R5521" s="84"/>
      <c r="S5521" s="10"/>
      <c r="T5521" s="10"/>
      <c r="U5521" s="10"/>
      <c r="V5521" s="10"/>
      <c r="W5521" s="138"/>
      <c r="Y5521"/>
      <c r="Z5521"/>
      <c r="AA5521"/>
      <c r="AB5521"/>
      <c r="AC5521"/>
      <c r="AD5521"/>
      <c r="AE5521"/>
      <c r="AF5521"/>
      <c r="AG5521"/>
      <c r="AH5521"/>
      <c r="AI5521"/>
      <c r="AJ5521"/>
      <c r="AK5521"/>
      <c r="AL5521"/>
      <c r="AM5521"/>
      <c r="AN5521"/>
      <c r="AO5521"/>
    </row>
    <row r="5522" spans="1:41" ht="15">
      <c r="A5522"/>
      <c r="B5522"/>
      <c r="C5522" s="137"/>
      <c r="D5522" s="30"/>
      <c r="E5522" s="30"/>
      <c r="F5522" s="10"/>
      <c r="G5522" s="10"/>
      <c r="H5522" s="15"/>
      <c r="I5522" s="15"/>
      <c r="J5522" s="15"/>
      <c r="K5522" s="15"/>
      <c r="L5522" s="15"/>
      <c r="M5522" s="15"/>
      <c r="N5522" s="15"/>
      <c r="O5522" s="15"/>
      <c r="P5522" s="15"/>
      <c r="Q5522" s="71"/>
      <c r="R5522" s="84"/>
      <c r="S5522" s="10"/>
      <c r="T5522" s="10"/>
      <c r="U5522" s="10"/>
      <c r="V5522" s="10"/>
      <c r="W5522" s="138"/>
      <c r="Y5522"/>
      <c r="Z5522"/>
      <c r="AA5522"/>
      <c r="AB5522"/>
      <c r="AC5522"/>
      <c r="AD5522"/>
      <c r="AE5522"/>
      <c r="AF5522"/>
      <c r="AG5522"/>
      <c r="AH5522"/>
      <c r="AI5522"/>
      <c r="AJ5522"/>
      <c r="AK5522"/>
      <c r="AL5522"/>
      <c r="AM5522"/>
      <c r="AN5522"/>
      <c r="AO5522"/>
    </row>
    <row r="5523" spans="1:41" ht="15">
      <c r="A5523"/>
      <c r="B5523"/>
      <c r="C5523" s="137"/>
      <c r="D5523" s="30"/>
      <c r="E5523" s="30"/>
      <c r="F5523" s="10"/>
      <c r="G5523" s="10"/>
      <c r="H5523" s="15"/>
      <c r="I5523" s="15"/>
      <c r="J5523" s="15"/>
      <c r="K5523" s="15"/>
      <c r="L5523" s="15"/>
      <c r="M5523" s="15"/>
      <c r="N5523" s="15"/>
      <c r="O5523" s="15"/>
      <c r="P5523" s="15"/>
      <c r="Q5523" s="71"/>
      <c r="R5523" s="84"/>
      <c r="S5523" s="10"/>
      <c r="T5523" s="10"/>
      <c r="U5523" s="10"/>
      <c r="V5523" s="10"/>
      <c r="W5523" s="138"/>
      <c r="Y5523"/>
      <c r="Z5523"/>
      <c r="AA5523"/>
      <c r="AB5523"/>
      <c r="AC5523"/>
      <c r="AD5523"/>
      <c r="AE5523"/>
      <c r="AF5523"/>
      <c r="AG5523"/>
      <c r="AH5523"/>
      <c r="AI5523"/>
      <c r="AJ5523"/>
      <c r="AK5523"/>
      <c r="AL5523"/>
      <c r="AM5523"/>
      <c r="AN5523"/>
      <c r="AO5523"/>
    </row>
    <row r="5524" spans="1:41" ht="15">
      <c r="A5524"/>
      <c r="B5524"/>
      <c r="C5524" s="137"/>
      <c r="D5524" s="30"/>
      <c r="E5524" s="30"/>
      <c r="F5524" s="10"/>
      <c r="G5524" s="10"/>
      <c r="H5524" s="15"/>
      <c r="I5524" s="15"/>
      <c r="J5524" s="15"/>
      <c r="K5524" s="15"/>
      <c r="L5524" s="15"/>
      <c r="M5524" s="15"/>
      <c r="N5524" s="15"/>
      <c r="O5524" s="15"/>
      <c r="P5524" s="15"/>
      <c r="Q5524" s="71"/>
      <c r="R5524" s="84"/>
      <c r="S5524" s="10"/>
      <c r="T5524" s="10"/>
      <c r="U5524" s="10"/>
      <c r="V5524" s="10"/>
      <c r="W5524" s="138"/>
      <c r="Y5524"/>
      <c r="Z5524"/>
      <c r="AA5524"/>
      <c r="AB5524"/>
      <c r="AC5524"/>
      <c r="AD5524"/>
      <c r="AE5524"/>
      <c r="AF5524"/>
      <c r="AG5524"/>
      <c r="AH5524"/>
      <c r="AI5524"/>
      <c r="AJ5524"/>
      <c r="AK5524"/>
      <c r="AL5524"/>
      <c r="AM5524"/>
      <c r="AN5524"/>
      <c r="AO5524"/>
    </row>
    <row r="5525" spans="1:41" ht="15">
      <c r="A5525"/>
      <c r="B5525"/>
      <c r="C5525" s="137"/>
      <c r="D5525" s="30"/>
      <c r="E5525" s="30"/>
      <c r="F5525" s="10"/>
      <c r="G5525" s="10"/>
      <c r="H5525" s="15"/>
      <c r="I5525" s="15"/>
      <c r="J5525" s="15"/>
      <c r="K5525" s="15"/>
      <c r="L5525" s="15"/>
      <c r="M5525" s="15"/>
      <c r="N5525" s="15"/>
      <c r="O5525" s="15"/>
      <c r="P5525" s="15"/>
      <c r="Q5525" s="71"/>
      <c r="R5525" s="84"/>
      <c r="S5525" s="10"/>
      <c r="T5525" s="10"/>
      <c r="U5525" s="10"/>
      <c r="V5525" s="10"/>
      <c r="W5525" s="138"/>
      <c r="Y5525"/>
      <c r="Z5525"/>
      <c r="AA5525"/>
      <c r="AB5525"/>
      <c r="AC5525"/>
      <c r="AD5525"/>
      <c r="AE5525"/>
      <c r="AF5525"/>
      <c r="AG5525"/>
      <c r="AH5525"/>
      <c r="AI5525"/>
      <c r="AJ5525"/>
      <c r="AK5525"/>
      <c r="AL5525"/>
      <c r="AM5525"/>
      <c r="AN5525"/>
      <c r="AO5525"/>
    </row>
    <row r="5526" spans="1:41" ht="15">
      <c r="A5526"/>
      <c r="B5526"/>
      <c r="C5526" s="137"/>
      <c r="D5526" s="30"/>
      <c r="E5526" s="30"/>
      <c r="F5526" s="10"/>
      <c r="G5526" s="10"/>
      <c r="H5526" s="15"/>
      <c r="I5526" s="15"/>
      <c r="J5526" s="15"/>
      <c r="K5526" s="15"/>
      <c r="L5526" s="15"/>
      <c r="M5526" s="15"/>
      <c r="N5526" s="15"/>
      <c r="O5526" s="15"/>
      <c r="P5526" s="15"/>
      <c r="Q5526" s="71"/>
      <c r="R5526" s="84"/>
      <c r="S5526" s="10"/>
      <c r="T5526" s="10"/>
      <c r="U5526" s="10"/>
      <c r="V5526" s="10"/>
      <c r="W5526" s="138"/>
      <c r="Y5526"/>
      <c r="Z5526"/>
      <c r="AA5526"/>
      <c r="AB5526"/>
      <c r="AC5526"/>
      <c r="AD5526"/>
      <c r="AE5526"/>
      <c r="AF5526"/>
      <c r="AG5526"/>
      <c r="AH5526"/>
      <c r="AI5526"/>
      <c r="AJ5526"/>
      <c r="AK5526"/>
      <c r="AL5526"/>
      <c r="AM5526"/>
      <c r="AN5526"/>
      <c r="AO5526"/>
    </row>
    <row r="5527" spans="1:41" ht="15">
      <c r="A5527"/>
      <c r="B5527"/>
      <c r="C5527" s="137"/>
      <c r="D5527" s="30"/>
      <c r="E5527" s="30"/>
      <c r="F5527" s="10"/>
      <c r="G5527" s="10"/>
      <c r="H5527" s="15"/>
      <c r="I5527" s="15"/>
      <c r="J5527" s="15"/>
      <c r="K5527" s="15"/>
      <c r="L5527" s="15"/>
      <c r="M5527" s="15"/>
      <c r="N5527" s="15"/>
      <c r="O5527" s="15"/>
      <c r="P5527" s="15"/>
      <c r="Q5527" s="71"/>
      <c r="R5527" s="84"/>
      <c r="S5527" s="10"/>
      <c r="T5527" s="10"/>
      <c r="U5527" s="10"/>
      <c r="V5527" s="10"/>
      <c r="W5527" s="138"/>
      <c r="Y5527"/>
      <c r="Z5527"/>
      <c r="AA5527"/>
      <c r="AB5527"/>
      <c r="AC5527"/>
      <c r="AD5527"/>
      <c r="AE5527"/>
      <c r="AF5527"/>
      <c r="AG5527"/>
      <c r="AH5527"/>
      <c r="AI5527"/>
      <c r="AJ5527"/>
      <c r="AK5527"/>
      <c r="AL5527"/>
      <c r="AM5527"/>
      <c r="AN5527"/>
      <c r="AO5527"/>
    </row>
    <row r="5528" spans="1:41" ht="15">
      <c r="A5528"/>
      <c r="B5528"/>
      <c r="C5528" s="137"/>
      <c r="D5528" s="30"/>
      <c r="E5528" s="30"/>
      <c r="F5528" s="10"/>
      <c r="G5528" s="10"/>
      <c r="H5528" s="15"/>
      <c r="I5528" s="15"/>
      <c r="J5528" s="15"/>
      <c r="K5528" s="15"/>
      <c r="L5528" s="15"/>
      <c r="M5528" s="15"/>
      <c r="N5528" s="15"/>
      <c r="O5528" s="15"/>
      <c r="P5528" s="15"/>
      <c r="Q5528" s="71"/>
      <c r="R5528" s="84"/>
      <c r="S5528" s="10"/>
      <c r="T5528" s="10"/>
      <c r="U5528" s="10"/>
      <c r="V5528" s="10"/>
      <c r="W5528" s="138"/>
      <c r="Y5528"/>
      <c r="Z5528"/>
      <c r="AA5528"/>
      <c r="AB5528"/>
      <c r="AC5528"/>
      <c r="AD5528"/>
      <c r="AE5528"/>
      <c r="AF5528"/>
      <c r="AG5528"/>
      <c r="AH5528"/>
      <c r="AI5528"/>
      <c r="AJ5528"/>
      <c r="AK5528"/>
      <c r="AL5528"/>
      <c r="AM5528"/>
      <c r="AN5528"/>
      <c r="AO5528"/>
    </row>
    <row r="5529" spans="1:41" ht="15">
      <c r="A5529"/>
      <c r="B5529"/>
      <c r="C5529" s="137"/>
      <c r="D5529" s="30"/>
      <c r="E5529" s="30"/>
      <c r="F5529" s="10"/>
      <c r="G5529" s="10"/>
      <c r="H5529" s="15"/>
      <c r="I5529" s="15"/>
      <c r="J5529" s="15"/>
      <c r="K5529" s="15"/>
      <c r="L5529" s="15"/>
      <c r="M5529" s="15"/>
      <c r="N5529" s="15"/>
      <c r="O5529" s="15"/>
      <c r="P5529" s="15"/>
      <c r="Q5529" s="71"/>
      <c r="R5529" s="84"/>
      <c r="S5529" s="10"/>
      <c r="T5529" s="10"/>
      <c r="U5529" s="10"/>
      <c r="V5529" s="10"/>
      <c r="W5529" s="138"/>
      <c r="Y5529"/>
      <c r="Z5529"/>
      <c r="AA5529"/>
      <c r="AB5529"/>
      <c r="AC5529"/>
      <c r="AD5529"/>
      <c r="AE5529"/>
      <c r="AF5529"/>
      <c r="AG5529"/>
      <c r="AH5529"/>
      <c r="AI5529"/>
      <c r="AJ5529"/>
      <c r="AK5529"/>
      <c r="AL5529"/>
      <c r="AM5529"/>
      <c r="AN5529"/>
      <c r="AO5529"/>
    </row>
    <row r="5530" spans="1:41" ht="15">
      <c r="A5530"/>
      <c r="B5530"/>
      <c r="C5530" s="137"/>
      <c r="D5530" s="30"/>
      <c r="E5530" s="30"/>
      <c r="F5530" s="10"/>
      <c r="G5530" s="10"/>
      <c r="H5530" s="15"/>
      <c r="I5530" s="15"/>
      <c r="J5530" s="15"/>
      <c r="K5530" s="15"/>
      <c r="L5530" s="15"/>
      <c r="M5530" s="15"/>
      <c r="N5530" s="15"/>
      <c r="O5530" s="15"/>
      <c r="P5530" s="15"/>
      <c r="Q5530" s="71"/>
      <c r="R5530" s="84"/>
      <c r="S5530" s="10"/>
      <c r="T5530" s="10"/>
      <c r="U5530" s="10"/>
      <c r="V5530" s="10"/>
      <c r="W5530" s="138"/>
      <c r="Y5530"/>
      <c r="Z5530"/>
      <c r="AA5530"/>
      <c r="AB5530"/>
      <c r="AC5530"/>
      <c r="AD5530"/>
      <c r="AE5530"/>
      <c r="AF5530"/>
      <c r="AG5530"/>
      <c r="AH5530"/>
      <c r="AI5530"/>
      <c r="AJ5530"/>
      <c r="AK5530"/>
      <c r="AL5530"/>
      <c r="AM5530"/>
      <c r="AN5530"/>
      <c r="AO5530"/>
    </row>
    <row r="5531" spans="1:41" ht="15">
      <c r="A5531"/>
      <c r="B5531"/>
      <c r="C5531" s="137"/>
      <c r="D5531" s="30"/>
      <c r="E5531" s="30"/>
      <c r="F5531" s="10"/>
      <c r="G5531" s="10"/>
      <c r="H5531" s="15"/>
      <c r="I5531" s="15"/>
      <c r="J5531" s="15"/>
      <c r="K5531" s="15"/>
      <c r="L5531" s="15"/>
      <c r="M5531" s="15"/>
      <c r="N5531" s="15"/>
      <c r="O5531" s="15"/>
      <c r="P5531" s="15"/>
      <c r="Q5531" s="71"/>
      <c r="R5531" s="84"/>
      <c r="S5531" s="10"/>
      <c r="T5531" s="10"/>
      <c r="U5531" s="10"/>
      <c r="V5531" s="10"/>
      <c r="W5531" s="138"/>
      <c r="Y5531"/>
      <c r="Z5531"/>
      <c r="AA5531"/>
      <c r="AB5531"/>
      <c r="AC5531"/>
      <c r="AD5531"/>
      <c r="AE5531"/>
      <c r="AF5531"/>
      <c r="AG5531"/>
      <c r="AH5531"/>
      <c r="AI5531"/>
      <c r="AJ5531"/>
      <c r="AK5531"/>
      <c r="AL5531"/>
      <c r="AM5531"/>
      <c r="AN5531"/>
      <c r="AO5531"/>
    </row>
    <row r="5532" spans="1:41" ht="15">
      <c r="A5532"/>
      <c r="B5532"/>
      <c r="C5532" s="137"/>
      <c r="D5532" s="30"/>
      <c r="E5532" s="30"/>
      <c r="F5532" s="10"/>
      <c r="G5532" s="10"/>
      <c r="H5532" s="15"/>
      <c r="I5532" s="15"/>
      <c r="J5532" s="15"/>
      <c r="K5532" s="15"/>
      <c r="L5532" s="15"/>
      <c r="M5532" s="15"/>
      <c r="N5532" s="15"/>
      <c r="O5532" s="15"/>
      <c r="P5532" s="15"/>
      <c r="Q5532" s="71"/>
      <c r="R5532" s="84"/>
      <c r="S5532" s="10"/>
      <c r="T5532" s="10"/>
      <c r="U5532" s="10"/>
      <c r="V5532" s="10"/>
      <c r="W5532" s="138"/>
      <c r="Y5532"/>
      <c r="Z5532"/>
      <c r="AA5532"/>
      <c r="AB5532"/>
      <c r="AC5532"/>
      <c r="AD5532"/>
      <c r="AE5532"/>
      <c r="AF5532"/>
      <c r="AG5532"/>
      <c r="AH5532"/>
      <c r="AI5532"/>
      <c r="AJ5532"/>
      <c r="AK5532"/>
      <c r="AL5532"/>
      <c r="AM5532"/>
      <c r="AN5532"/>
      <c r="AO5532"/>
    </row>
    <row r="5533" spans="1:41" ht="15">
      <c r="A5533"/>
      <c r="B5533"/>
      <c r="C5533" s="137"/>
      <c r="D5533" s="30"/>
      <c r="E5533" s="30"/>
      <c r="F5533" s="10"/>
      <c r="G5533" s="10"/>
      <c r="H5533" s="15"/>
      <c r="I5533" s="15"/>
      <c r="J5533" s="15"/>
      <c r="K5533" s="15"/>
      <c r="L5533" s="15"/>
      <c r="M5533" s="15"/>
      <c r="N5533" s="15"/>
      <c r="O5533" s="15"/>
      <c r="P5533" s="15"/>
      <c r="Q5533" s="71"/>
      <c r="R5533" s="84"/>
      <c r="S5533" s="10"/>
      <c r="T5533" s="10"/>
      <c r="U5533" s="10"/>
      <c r="V5533" s="10"/>
      <c r="W5533" s="138"/>
      <c r="Y5533"/>
      <c r="Z5533"/>
      <c r="AA5533"/>
      <c r="AB5533"/>
      <c r="AC5533"/>
      <c r="AD5533"/>
      <c r="AE5533"/>
      <c r="AF5533"/>
      <c r="AG5533"/>
      <c r="AH5533"/>
      <c r="AI5533"/>
      <c r="AJ5533"/>
      <c r="AK5533"/>
      <c r="AL5533"/>
      <c r="AM5533"/>
      <c r="AN5533"/>
      <c r="AO5533"/>
    </row>
    <row r="5534" spans="1:41" ht="15">
      <c r="A5534"/>
      <c r="B5534"/>
      <c r="C5534" s="137"/>
      <c r="D5534" s="30"/>
      <c r="E5534" s="30"/>
      <c r="F5534" s="10"/>
      <c r="G5534" s="10"/>
      <c r="H5534" s="15"/>
      <c r="I5534" s="15"/>
      <c r="J5534" s="15"/>
      <c r="K5534" s="15"/>
      <c r="L5534" s="15"/>
      <c r="M5534" s="15"/>
      <c r="N5534" s="15"/>
      <c r="O5534" s="15"/>
      <c r="P5534" s="15"/>
      <c r="Q5534" s="71"/>
      <c r="R5534" s="84"/>
      <c r="S5534" s="10"/>
      <c r="T5534" s="10"/>
      <c r="U5534" s="10"/>
      <c r="V5534" s="10"/>
      <c r="W5534" s="138"/>
      <c r="Y5534"/>
      <c r="Z5534"/>
      <c r="AA5534"/>
      <c r="AB5534"/>
      <c r="AC5534"/>
      <c r="AD5534"/>
      <c r="AE5534"/>
      <c r="AF5534"/>
      <c r="AG5534"/>
      <c r="AH5534"/>
      <c r="AI5534"/>
      <c r="AJ5534"/>
      <c r="AK5534"/>
      <c r="AL5534"/>
      <c r="AM5534"/>
      <c r="AN5534"/>
      <c r="AO5534"/>
    </row>
    <row r="5535" spans="1:41" ht="15">
      <c r="A5535"/>
      <c r="B5535"/>
      <c r="C5535" s="137"/>
      <c r="D5535" s="30"/>
      <c r="E5535" s="30"/>
      <c r="F5535" s="10"/>
      <c r="G5535" s="10"/>
      <c r="H5535" s="15"/>
      <c r="I5535" s="15"/>
      <c r="J5535" s="15"/>
      <c r="K5535" s="15"/>
      <c r="L5535" s="15"/>
      <c r="M5535" s="15"/>
      <c r="N5535" s="15"/>
      <c r="O5535" s="15"/>
      <c r="P5535" s="15"/>
      <c r="Q5535" s="71"/>
      <c r="R5535" s="84"/>
      <c r="S5535" s="10"/>
      <c r="T5535" s="10"/>
      <c r="U5535" s="10"/>
      <c r="V5535" s="10"/>
      <c r="W5535" s="138"/>
      <c r="Y5535"/>
      <c r="Z5535"/>
      <c r="AA5535"/>
      <c r="AB5535"/>
      <c r="AC5535"/>
      <c r="AD5535"/>
      <c r="AE5535"/>
      <c r="AF5535"/>
      <c r="AG5535"/>
      <c r="AH5535"/>
      <c r="AI5535"/>
      <c r="AJ5535"/>
      <c r="AK5535"/>
      <c r="AL5535"/>
      <c r="AM5535"/>
      <c r="AN5535"/>
      <c r="AO5535"/>
    </row>
    <row r="5536" spans="1:41" ht="15">
      <c r="A5536"/>
      <c r="B5536"/>
      <c r="C5536" s="137"/>
      <c r="D5536" s="30"/>
      <c r="E5536" s="30"/>
      <c r="F5536" s="10"/>
      <c r="G5536" s="10"/>
      <c r="H5536" s="15"/>
      <c r="I5536" s="15"/>
      <c r="J5536" s="15"/>
      <c r="K5536" s="15"/>
      <c r="L5536" s="15"/>
      <c r="M5536" s="15"/>
      <c r="N5536" s="15"/>
      <c r="O5536" s="15"/>
      <c r="P5536" s="15"/>
      <c r="Q5536" s="71"/>
      <c r="R5536" s="84"/>
      <c r="S5536" s="10"/>
      <c r="T5536" s="10"/>
      <c r="U5536" s="10"/>
      <c r="V5536" s="10"/>
      <c r="W5536" s="138"/>
      <c r="Y5536"/>
      <c r="Z5536"/>
      <c r="AA5536"/>
      <c r="AB5536"/>
      <c r="AC5536"/>
      <c r="AD5536"/>
      <c r="AE5536"/>
      <c r="AF5536"/>
      <c r="AG5536"/>
      <c r="AH5536"/>
      <c r="AI5536"/>
      <c r="AJ5536"/>
      <c r="AK5536"/>
      <c r="AL5536"/>
      <c r="AM5536"/>
      <c r="AN5536"/>
      <c r="AO5536"/>
    </row>
    <row r="5537" spans="1:41" ht="15">
      <c r="A5537"/>
      <c r="B5537"/>
      <c r="C5537" s="137"/>
      <c r="D5537" s="30"/>
      <c r="E5537" s="30"/>
      <c r="F5537" s="10"/>
      <c r="G5537" s="10"/>
      <c r="H5537" s="15"/>
      <c r="I5537" s="15"/>
      <c r="J5537" s="15"/>
      <c r="K5537" s="15"/>
      <c r="L5537" s="15"/>
      <c r="M5537" s="15"/>
      <c r="N5537" s="15"/>
      <c r="O5537" s="15"/>
      <c r="P5537" s="15"/>
      <c r="Q5537" s="71"/>
      <c r="R5537" s="84"/>
      <c r="S5537" s="10"/>
      <c r="T5537" s="10"/>
      <c r="U5537" s="10"/>
      <c r="V5537" s="10"/>
      <c r="W5537" s="138"/>
      <c r="Y5537"/>
      <c r="Z5537"/>
      <c r="AA5537"/>
      <c r="AB5537"/>
      <c r="AC5537"/>
      <c r="AD5537"/>
      <c r="AE5537"/>
      <c r="AF5537"/>
      <c r="AG5537"/>
      <c r="AH5537"/>
      <c r="AI5537"/>
      <c r="AJ5537"/>
      <c r="AK5537"/>
      <c r="AL5537"/>
      <c r="AM5537"/>
      <c r="AN5537"/>
      <c r="AO5537"/>
    </row>
    <row r="5538" spans="1:41" ht="15">
      <c r="A5538"/>
      <c r="B5538"/>
      <c r="C5538" s="137"/>
      <c r="D5538" s="30"/>
      <c r="E5538" s="30"/>
      <c r="F5538" s="10"/>
      <c r="G5538" s="10"/>
      <c r="H5538" s="15"/>
      <c r="I5538" s="15"/>
      <c r="J5538" s="15"/>
      <c r="K5538" s="15"/>
      <c r="L5538" s="15"/>
      <c r="M5538" s="15"/>
      <c r="N5538" s="15"/>
      <c r="O5538" s="15"/>
      <c r="P5538" s="15"/>
      <c r="Q5538" s="71"/>
      <c r="R5538" s="84"/>
      <c r="S5538" s="10"/>
      <c r="T5538" s="10"/>
      <c r="U5538" s="10"/>
      <c r="V5538" s="10"/>
      <c r="W5538" s="138"/>
      <c r="Y5538"/>
      <c r="Z5538"/>
      <c r="AA5538"/>
      <c r="AB5538"/>
      <c r="AC5538"/>
      <c r="AD5538"/>
      <c r="AE5538"/>
      <c r="AF5538"/>
      <c r="AG5538"/>
      <c r="AH5538"/>
      <c r="AI5538"/>
      <c r="AJ5538"/>
      <c r="AK5538"/>
      <c r="AL5538"/>
      <c r="AM5538"/>
      <c r="AN5538"/>
      <c r="AO5538"/>
    </row>
    <row r="5539" spans="1:41" ht="15">
      <c r="A5539"/>
      <c r="B5539"/>
      <c r="C5539" s="137"/>
      <c r="D5539" s="30"/>
      <c r="E5539" s="30"/>
      <c r="F5539" s="10"/>
      <c r="G5539" s="10"/>
      <c r="H5539" s="15"/>
      <c r="I5539" s="15"/>
      <c r="J5539" s="15"/>
      <c r="K5539" s="15"/>
      <c r="L5539" s="15"/>
      <c r="M5539" s="15"/>
      <c r="N5539" s="15"/>
      <c r="O5539" s="15"/>
      <c r="P5539" s="15"/>
      <c r="Q5539" s="71"/>
      <c r="R5539" s="84"/>
      <c r="S5539" s="10"/>
      <c r="T5539" s="10"/>
      <c r="U5539" s="10"/>
      <c r="V5539" s="10"/>
      <c r="W5539" s="138"/>
      <c r="Y5539"/>
      <c r="Z5539"/>
      <c r="AA5539"/>
      <c r="AB5539"/>
      <c r="AC5539"/>
      <c r="AD5539"/>
      <c r="AE5539"/>
      <c r="AF5539"/>
      <c r="AG5539"/>
      <c r="AH5539"/>
      <c r="AI5539"/>
      <c r="AJ5539"/>
      <c r="AK5539"/>
      <c r="AL5539"/>
      <c r="AM5539"/>
      <c r="AN5539"/>
      <c r="AO5539"/>
    </row>
    <row r="5540" spans="1:41" ht="15">
      <c r="A5540"/>
      <c r="B5540"/>
      <c r="C5540" s="137"/>
      <c r="D5540" s="30"/>
      <c r="E5540" s="30"/>
      <c r="F5540" s="10"/>
      <c r="G5540" s="10"/>
      <c r="H5540" s="15"/>
      <c r="I5540" s="15"/>
      <c r="J5540" s="15"/>
      <c r="K5540" s="15"/>
      <c r="L5540" s="15"/>
      <c r="M5540" s="15"/>
      <c r="N5540" s="15"/>
      <c r="O5540" s="15"/>
      <c r="P5540" s="15"/>
      <c r="Q5540" s="71"/>
      <c r="R5540" s="84"/>
      <c r="S5540" s="10"/>
      <c r="T5540" s="10"/>
      <c r="U5540" s="10"/>
      <c r="V5540" s="10"/>
      <c r="W5540" s="138"/>
      <c r="Y5540"/>
      <c r="Z5540"/>
      <c r="AA5540"/>
      <c r="AB5540"/>
      <c r="AC5540"/>
      <c r="AD5540"/>
      <c r="AE5540"/>
      <c r="AF5540"/>
      <c r="AG5540"/>
      <c r="AH5540"/>
      <c r="AI5540"/>
      <c r="AJ5540"/>
      <c r="AK5540"/>
      <c r="AL5540"/>
      <c r="AM5540"/>
      <c r="AN5540"/>
      <c r="AO5540"/>
    </row>
    <row r="5541" spans="1:41" ht="15">
      <c r="A5541"/>
      <c r="B5541"/>
      <c r="C5541" s="137"/>
      <c r="D5541" s="30"/>
      <c r="E5541" s="30"/>
      <c r="F5541" s="10"/>
      <c r="G5541" s="10"/>
      <c r="H5541" s="15"/>
      <c r="I5541" s="15"/>
      <c r="J5541" s="15"/>
      <c r="K5541" s="15"/>
      <c r="L5541" s="15"/>
      <c r="M5541" s="15"/>
      <c r="N5541" s="15"/>
      <c r="O5541" s="15"/>
      <c r="P5541" s="15"/>
      <c r="Q5541" s="71"/>
      <c r="R5541" s="84"/>
      <c r="S5541" s="10"/>
      <c r="T5541" s="10"/>
      <c r="U5541" s="10"/>
      <c r="V5541" s="10"/>
      <c r="W5541" s="138"/>
      <c r="Y5541"/>
      <c r="Z5541"/>
      <c r="AA5541"/>
      <c r="AB5541"/>
      <c r="AC5541"/>
      <c r="AD5541"/>
      <c r="AE5541"/>
      <c r="AF5541"/>
      <c r="AG5541"/>
      <c r="AH5541"/>
      <c r="AI5541"/>
      <c r="AJ5541"/>
      <c r="AK5541"/>
      <c r="AL5541"/>
      <c r="AM5541"/>
      <c r="AN5541"/>
      <c r="AO5541"/>
    </row>
    <row r="5542" spans="1:41" ht="15">
      <c r="A5542"/>
      <c r="B5542"/>
      <c r="C5542" s="137"/>
      <c r="D5542" s="30"/>
      <c r="E5542" s="30"/>
      <c r="F5542" s="10"/>
      <c r="G5542" s="10"/>
      <c r="H5542" s="15"/>
      <c r="I5542" s="15"/>
      <c r="J5542" s="15"/>
      <c r="K5542" s="15"/>
      <c r="L5542" s="15"/>
      <c r="M5542" s="15"/>
      <c r="N5542" s="15"/>
      <c r="O5542" s="15"/>
      <c r="P5542" s="15"/>
      <c r="Q5542" s="71"/>
      <c r="R5542" s="84"/>
      <c r="S5542" s="10"/>
      <c r="T5542" s="10"/>
      <c r="U5542" s="10"/>
      <c r="V5542" s="10"/>
      <c r="W5542" s="138"/>
      <c r="Y5542"/>
      <c r="Z5542"/>
      <c r="AA5542"/>
      <c r="AB5542"/>
      <c r="AC5542"/>
      <c r="AD5542"/>
      <c r="AE5542"/>
      <c r="AF5542"/>
      <c r="AG5542"/>
      <c r="AH5542"/>
      <c r="AI5542"/>
      <c r="AJ5542"/>
      <c r="AK5542"/>
      <c r="AL5542"/>
      <c r="AM5542"/>
      <c r="AN5542"/>
      <c r="AO5542"/>
    </row>
    <row r="5543" spans="1:41" ht="15">
      <c r="A5543"/>
      <c r="B5543"/>
      <c r="C5543" s="137"/>
      <c r="D5543" s="30"/>
      <c r="E5543" s="30"/>
      <c r="F5543" s="10"/>
      <c r="G5543" s="10"/>
      <c r="H5543" s="15"/>
      <c r="I5543" s="15"/>
      <c r="J5543" s="15"/>
      <c r="K5543" s="15"/>
      <c r="L5543" s="15"/>
      <c r="M5543" s="15"/>
      <c r="N5543" s="15"/>
      <c r="O5543" s="15"/>
      <c r="P5543" s="15"/>
      <c r="Q5543" s="71"/>
      <c r="R5543" s="84"/>
      <c r="S5543" s="10"/>
      <c r="T5543" s="10"/>
      <c r="U5543" s="10"/>
      <c r="V5543" s="10"/>
      <c r="W5543" s="138"/>
      <c r="Y5543"/>
      <c r="Z5543"/>
      <c r="AA5543"/>
      <c r="AB5543"/>
      <c r="AC5543"/>
      <c r="AD5543"/>
      <c r="AE5543"/>
      <c r="AF5543"/>
      <c r="AG5543"/>
      <c r="AH5543"/>
      <c r="AI5543"/>
      <c r="AJ5543"/>
      <c r="AK5543"/>
      <c r="AL5543"/>
      <c r="AM5543"/>
      <c r="AN5543"/>
      <c r="AO5543"/>
    </row>
    <row r="5544" spans="1:41" ht="15">
      <c r="A5544"/>
      <c r="B5544"/>
      <c r="C5544" s="137"/>
      <c r="D5544" s="30"/>
      <c r="E5544" s="30"/>
      <c r="F5544" s="10"/>
      <c r="G5544" s="10"/>
      <c r="H5544" s="15"/>
      <c r="I5544" s="15"/>
      <c r="J5544" s="15"/>
      <c r="K5544" s="15"/>
      <c r="L5544" s="15"/>
      <c r="M5544" s="15"/>
      <c r="N5544" s="15"/>
      <c r="O5544" s="15"/>
      <c r="P5544" s="15"/>
      <c r="Q5544" s="71"/>
      <c r="R5544" s="84"/>
      <c r="S5544" s="10"/>
      <c r="T5544" s="10"/>
      <c r="U5544" s="10"/>
      <c r="V5544" s="10"/>
      <c r="W5544" s="138"/>
      <c r="Y5544"/>
      <c r="Z5544"/>
      <c r="AA5544"/>
      <c r="AB5544"/>
      <c r="AC5544"/>
      <c r="AD5544"/>
      <c r="AE5544"/>
      <c r="AF5544"/>
      <c r="AG5544"/>
      <c r="AH5544"/>
      <c r="AI5544"/>
      <c r="AJ5544"/>
      <c r="AK5544"/>
      <c r="AL5544"/>
      <c r="AM5544"/>
      <c r="AN5544"/>
      <c r="AO5544"/>
    </row>
    <row r="5545" spans="1:41" ht="15">
      <c r="A5545"/>
      <c r="B5545"/>
      <c r="C5545" s="137"/>
      <c r="D5545" s="30"/>
      <c r="E5545" s="30"/>
      <c r="F5545" s="10"/>
      <c r="G5545" s="10"/>
      <c r="H5545" s="15"/>
      <c r="I5545" s="15"/>
      <c r="J5545" s="15"/>
      <c r="K5545" s="15"/>
      <c r="L5545" s="15"/>
      <c r="M5545" s="15"/>
      <c r="N5545" s="15"/>
      <c r="O5545" s="15"/>
      <c r="P5545" s="15"/>
      <c r="Q5545" s="71"/>
      <c r="R5545" s="84"/>
      <c r="S5545" s="10"/>
      <c r="T5545" s="10"/>
      <c r="U5545" s="10"/>
      <c r="V5545" s="10"/>
      <c r="W5545" s="138"/>
      <c r="Y5545"/>
      <c r="Z5545"/>
      <c r="AA5545"/>
      <c r="AB5545"/>
      <c r="AC5545"/>
      <c r="AD5545"/>
      <c r="AE5545"/>
      <c r="AF5545"/>
      <c r="AG5545"/>
      <c r="AH5545"/>
      <c r="AI5545"/>
      <c r="AJ5545"/>
      <c r="AK5545"/>
      <c r="AL5545"/>
      <c r="AM5545"/>
      <c r="AN5545"/>
      <c r="AO5545"/>
    </row>
    <row r="5546" spans="1:41" ht="15">
      <c r="A5546"/>
      <c r="B5546"/>
      <c r="C5546" s="137"/>
      <c r="D5546" s="30"/>
      <c r="E5546" s="30"/>
      <c r="F5546" s="10"/>
      <c r="G5546" s="10"/>
      <c r="H5546" s="15"/>
      <c r="I5546" s="15"/>
      <c r="J5546" s="15"/>
      <c r="K5546" s="15"/>
      <c r="L5546" s="15"/>
      <c r="M5546" s="15"/>
      <c r="N5546" s="15"/>
      <c r="O5546" s="15"/>
      <c r="P5546" s="15"/>
      <c r="Q5546" s="71"/>
      <c r="R5546" s="84"/>
      <c r="S5546" s="10"/>
      <c r="T5546" s="10"/>
      <c r="U5546" s="10"/>
      <c r="V5546" s="10"/>
      <c r="W5546" s="138"/>
      <c r="Y5546"/>
      <c r="Z5546"/>
      <c r="AA5546"/>
      <c r="AB5546"/>
      <c r="AC5546"/>
      <c r="AD5546"/>
      <c r="AE5546"/>
      <c r="AF5546"/>
      <c r="AG5546"/>
      <c r="AH5546"/>
      <c r="AI5546"/>
      <c r="AJ5546"/>
      <c r="AK5546"/>
      <c r="AL5546"/>
      <c r="AM5546"/>
      <c r="AN5546"/>
      <c r="AO5546"/>
    </row>
    <row r="5547" spans="1:41" ht="15">
      <c r="A5547"/>
      <c r="B5547"/>
      <c r="C5547" s="137"/>
      <c r="D5547" s="30"/>
      <c r="E5547" s="30"/>
      <c r="F5547" s="10"/>
      <c r="G5547" s="10"/>
      <c r="H5547" s="15"/>
      <c r="I5547" s="15"/>
      <c r="J5547" s="15"/>
      <c r="K5547" s="15"/>
      <c r="L5547" s="15"/>
      <c r="M5547" s="15"/>
      <c r="N5547" s="15"/>
      <c r="O5547" s="15"/>
      <c r="P5547" s="15"/>
      <c r="Q5547" s="71"/>
      <c r="R5547" s="84"/>
      <c r="S5547" s="10"/>
      <c r="T5547" s="10"/>
      <c r="U5547" s="10"/>
      <c r="V5547" s="10"/>
      <c r="W5547" s="138"/>
      <c r="Y5547"/>
      <c r="Z5547"/>
      <c r="AA5547"/>
      <c r="AB5547"/>
      <c r="AC5547"/>
      <c r="AD5547"/>
      <c r="AE5547"/>
      <c r="AF5547"/>
      <c r="AG5547"/>
      <c r="AH5547"/>
      <c r="AI5547"/>
      <c r="AJ5547"/>
      <c r="AK5547"/>
      <c r="AL5547"/>
      <c r="AM5547"/>
      <c r="AN5547"/>
      <c r="AO5547"/>
    </row>
    <row r="5548" spans="1:41" ht="15">
      <c r="A5548"/>
      <c r="B5548"/>
      <c r="C5548" s="137"/>
      <c r="D5548" s="30"/>
      <c r="E5548" s="30"/>
      <c r="F5548" s="10"/>
      <c r="G5548" s="10"/>
      <c r="H5548" s="15"/>
      <c r="I5548" s="15"/>
      <c r="J5548" s="15"/>
      <c r="K5548" s="15"/>
      <c r="L5548" s="15"/>
      <c r="M5548" s="15"/>
      <c r="N5548" s="15"/>
      <c r="O5548" s="15"/>
      <c r="P5548" s="15"/>
      <c r="Q5548" s="71"/>
      <c r="R5548" s="84"/>
      <c r="S5548" s="10"/>
      <c r="T5548" s="10"/>
      <c r="U5548" s="10"/>
      <c r="V5548" s="10"/>
      <c r="W5548" s="138"/>
      <c r="Y5548"/>
      <c r="Z5548"/>
      <c r="AA5548"/>
      <c r="AB5548"/>
      <c r="AC5548"/>
      <c r="AD5548"/>
      <c r="AE5548"/>
      <c r="AF5548"/>
      <c r="AG5548"/>
      <c r="AH5548"/>
      <c r="AI5548"/>
      <c r="AJ5548"/>
      <c r="AK5548"/>
      <c r="AL5548"/>
      <c r="AM5548"/>
      <c r="AN5548"/>
      <c r="AO5548"/>
    </row>
    <row r="5549" spans="1:41" ht="15">
      <c r="A5549"/>
      <c r="B5549"/>
      <c r="C5549" s="137"/>
      <c r="D5549" s="30"/>
      <c r="E5549" s="30"/>
      <c r="F5549" s="10"/>
      <c r="G5549" s="10"/>
      <c r="H5549" s="15"/>
      <c r="I5549" s="15"/>
      <c r="J5549" s="15"/>
      <c r="K5549" s="15"/>
      <c r="L5549" s="15"/>
      <c r="M5549" s="15"/>
      <c r="N5549" s="15"/>
      <c r="O5549" s="15"/>
      <c r="P5549" s="15"/>
      <c r="Q5549" s="71"/>
      <c r="R5549" s="84"/>
      <c r="S5549" s="10"/>
      <c r="T5549" s="10"/>
      <c r="U5549" s="10"/>
      <c r="V5549" s="10"/>
      <c r="W5549" s="138"/>
      <c r="Y5549"/>
      <c r="Z5549"/>
      <c r="AA5549"/>
      <c r="AB5549"/>
      <c r="AC5549"/>
      <c r="AD5549"/>
      <c r="AE5549"/>
      <c r="AF5549"/>
      <c r="AG5549"/>
      <c r="AH5549"/>
      <c r="AI5549"/>
      <c r="AJ5549"/>
      <c r="AK5549"/>
      <c r="AL5549"/>
      <c r="AM5549"/>
      <c r="AN5549"/>
      <c r="AO5549"/>
    </row>
    <row r="5550" spans="1:41" ht="15">
      <c r="A5550"/>
      <c r="B5550"/>
      <c r="C5550" s="137"/>
      <c r="D5550" s="30"/>
      <c r="E5550" s="30"/>
      <c r="F5550" s="10"/>
      <c r="G5550" s="10"/>
      <c r="H5550" s="15"/>
      <c r="I5550" s="15"/>
      <c r="J5550" s="15"/>
      <c r="K5550" s="15"/>
      <c r="L5550" s="15"/>
      <c r="M5550" s="15"/>
      <c r="N5550" s="15"/>
      <c r="O5550" s="15"/>
      <c r="P5550" s="15"/>
      <c r="Q5550" s="71"/>
      <c r="R5550" s="84"/>
      <c r="S5550" s="10"/>
      <c r="T5550" s="10"/>
      <c r="U5550" s="10"/>
      <c r="V5550" s="10"/>
      <c r="W5550" s="138"/>
      <c r="Y5550"/>
      <c r="Z5550"/>
      <c r="AA5550"/>
      <c r="AB5550"/>
      <c r="AC5550"/>
      <c r="AD5550"/>
      <c r="AE5550"/>
      <c r="AF5550"/>
      <c r="AG5550"/>
      <c r="AH5550"/>
      <c r="AI5550"/>
      <c r="AJ5550"/>
      <c r="AK5550"/>
      <c r="AL5550"/>
      <c r="AM5550"/>
      <c r="AN5550"/>
      <c r="AO5550"/>
    </row>
    <row r="5551" spans="1:41" ht="15">
      <c r="A5551"/>
      <c r="B5551"/>
      <c r="C5551" s="137"/>
      <c r="D5551" s="30"/>
      <c r="E5551" s="30"/>
      <c r="F5551" s="10"/>
      <c r="G5551" s="10"/>
      <c r="H5551" s="15"/>
      <c r="I5551" s="15"/>
      <c r="J5551" s="15"/>
      <c r="K5551" s="15"/>
      <c r="L5551" s="15"/>
      <c r="M5551" s="15"/>
      <c r="N5551" s="15"/>
      <c r="O5551" s="15"/>
      <c r="P5551" s="15"/>
      <c r="Q5551" s="71"/>
      <c r="R5551" s="84"/>
      <c r="S5551" s="10"/>
      <c r="T5551" s="10"/>
      <c r="U5551" s="10"/>
      <c r="V5551" s="10"/>
      <c r="W5551" s="138"/>
      <c r="Y5551"/>
      <c r="Z5551"/>
      <c r="AA5551"/>
      <c r="AB5551"/>
      <c r="AC5551"/>
      <c r="AD5551"/>
      <c r="AE5551"/>
      <c r="AF5551"/>
      <c r="AG5551"/>
      <c r="AH5551"/>
      <c r="AI5551"/>
      <c r="AJ5551"/>
      <c r="AK5551"/>
      <c r="AL5551"/>
      <c r="AM5551"/>
      <c r="AN5551"/>
      <c r="AO5551"/>
    </row>
    <row r="5552" spans="1:41" ht="15">
      <c r="A5552"/>
      <c r="B5552"/>
      <c r="C5552" s="137"/>
      <c r="D5552" s="30"/>
      <c r="E5552" s="30"/>
      <c r="F5552" s="10"/>
      <c r="G5552" s="10"/>
      <c r="H5552" s="15"/>
      <c r="I5552" s="15"/>
      <c r="J5552" s="15"/>
      <c r="K5552" s="15"/>
      <c r="L5552" s="15"/>
      <c r="M5552" s="15"/>
      <c r="N5552" s="15"/>
      <c r="O5552" s="15"/>
      <c r="P5552" s="15"/>
      <c r="Q5552" s="71"/>
      <c r="R5552" s="84"/>
      <c r="S5552" s="10"/>
      <c r="T5552" s="10"/>
      <c r="U5552" s="10"/>
      <c r="V5552" s="10"/>
      <c r="W5552" s="138"/>
      <c r="Y5552"/>
      <c r="Z5552"/>
      <c r="AA5552"/>
      <c r="AB5552"/>
      <c r="AC5552"/>
      <c r="AD5552"/>
      <c r="AE5552"/>
      <c r="AF5552"/>
      <c r="AG5552"/>
      <c r="AH5552"/>
      <c r="AI5552"/>
      <c r="AJ5552"/>
      <c r="AK5552"/>
      <c r="AL5552"/>
      <c r="AM5552"/>
      <c r="AN5552"/>
      <c r="AO5552"/>
    </row>
    <row r="5553" spans="1:41" ht="15">
      <c r="A5553"/>
      <c r="B5553"/>
      <c r="C5553" s="137"/>
      <c r="D5553" s="30"/>
      <c r="E5553" s="30"/>
      <c r="F5553" s="10"/>
      <c r="G5553" s="10"/>
      <c r="H5553" s="15"/>
      <c r="I5553" s="15"/>
      <c r="J5553" s="15"/>
      <c r="K5553" s="15"/>
      <c r="L5553" s="15"/>
      <c r="M5553" s="15"/>
      <c r="N5553" s="15"/>
      <c r="O5553" s="15"/>
      <c r="P5553" s="15"/>
      <c r="Q5553" s="71"/>
      <c r="R5553" s="84"/>
      <c r="S5553" s="10"/>
      <c r="T5553" s="10"/>
      <c r="U5553" s="10"/>
      <c r="V5553" s="10"/>
      <c r="W5553" s="138"/>
      <c r="Y5553"/>
      <c r="Z5553"/>
      <c r="AA5553"/>
      <c r="AB5553"/>
      <c r="AC5553"/>
      <c r="AD5553"/>
      <c r="AE5553"/>
      <c r="AF5553"/>
      <c r="AG5553"/>
      <c r="AH5553"/>
      <c r="AI5553"/>
      <c r="AJ5553"/>
      <c r="AK5553"/>
      <c r="AL5553"/>
      <c r="AM5553"/>
      <c r="AN5553"/>
      <c r="AO5553"/>
    </row>
    <row r="5554" spans="1:41" ht="15">
      <c r="A5554"/>
      <c r="B5554"/>
      <c r="C5554" s="137"/>
      <c r="D5554" s="30"/>
      <c r="E5554" s="30"/>
      <c r="F5554" s="10"/>
      <c r="G5554" s="10"/>
      <c r="H5554" s="15"/>
      <c r="I5554" s="15"/>
      <c r="J5554" s="15"/>
      <c r="K5554" s="15"/>
      <c r="L5554" s="15"/>
      <c r="M5554" s="15"/>
      <c r="N5554" s="15"/>
      <c r="O5554" s="15"/>
      <c r="P5554" s="15"/>
      <c r="Q5554" s="71"/>
      <c r="R5554" s="84"/>
      <c r="S5554" s="10"/>
      <c r="T5554" s="10"/>
      <c r="U5554" s="10"/>
      <c r="V5554" s="10"/>
      <c r="W5554" s="138"/>
      <c r="Y5554"/>
      <c r="Z5554"/>
      <c r="AA5554"/>
      <c r="AB5554"/>
      <c r="AC5554"/>
      <c r="AD5554"/>
      <c r="AE5554"/>
      <c r="AF5554"/>
      <c r="AG5554"/>
      <c r="AH5554"/>
      <c r="AI5554"/>
      <c r="AJ5554"/>
      <c r="AK5554"/>
      <c r="AL5554"/>
      <c r="AM5554"/>
      <c r="AN5554"/>
      <c r="AO5554"/>
    </row>
    <row r="5555" spans="1:41" ht="15">
      <c r="A5555"/>
      <c r="B5555"/>
      <c r="C5555" s="137"/>
      <c r="D5555" s="30"/>
      <c r="E5555" s="30"/>
      <c r="F5555" s="10"/>
      <c r="G5555" s="10"/>
      <c r="H5555" s="15"/>
      <c r="I5555" s="15"/>
      <c r="J5555" s="15"/>
      <c r="K5555" s="15"/>
      <c r="L5555" s="15"/>
      <c r="M5555" s="15"/>
      <c r="N5555" s="15"/>
      <c r="O5555" s="15"/>
      <c r="P5555" s="15"/>
      <c r="Q5555" s="71"/>
      <c r="R5555" s="84"/>
      <c r="S5555" s="10"/>
      <c r="T5555" s="10"/>
      <c r="U5555" s="10"/>
      <c r="V5555" s="10"/>
      <c r="W5555" s="138"/>
      <c r="Y5555"/>
      <c r="Z5555"/>
      <c r="AA5555"/>
      <c r="AB5555"/>
      <c r="AC5555"/>
      <c r="AD5555"/>
      <c r="AE5555"/>
      <c r="AF5555"/>
      <c r="AG5555"/>
      <c r="AH5555"/>
      <c r="AI5555"/>
      <c r="AJ5555"/>
      <c r="AK5555"/>
      <c r="AL5555"/>
      <c r="AM5555"/>
      <c r="AN5555"/>
      <c r="AO5555"/>
    </row>
    <row r="5556" spans="1:41" ht="15">
      <c r="A5556"/>
      <c r="B5556"/>
      <c r="C5556" s="137"/>
      <c r="D5556" s="30"/>
      <c r="E5556" s="30"/>
      <c r="F5556" s="10"/>
      <c r="G5556" s="10"/>
      <c r="H5556" s="15"/>
      <c r="I5556" s="15"/>
      <c r="J5556" s="15"/>
      <c r="K5556" s="15"/>
      <c r="L5556" s="15"/>
      <c r="M5556" s="15"/>
      <c r="N5556" s="15"/>
      <c r="O5556" s="15"/>
      <c r="P5556" s="15"/>
      <c r="Q5556" s="71"/>
      <c r="R5556" s="84"/>
      <c r="S5556" s="10"/>
      <c r="T5556" s="10"/>
      <c r="U5556" s="10"/>
      <c r="V5556" s="10"/>
      <c r="W5556" s="138"/>
      <c r="Y5556"/>
      <c r="Z5556"/>
      <c r="AA5556"/>
      <c r="AB5556"/>
      <c r="AC5556"/>
      <c r="AD5556"/>
      <c r="AE5556"/>
      <c r="AF5556"/>
      <c r="AG5556"/>
      <c r="AH5556"/>
      <c r="AI5556"/>
      <c r="AJ5556"/>
      <c r="AK5556"/>
      <c r="AL5556"/>
      <c r="AM5556"/>
      <c r="AN5556"/>
      <c r="AO5556"/>
    </row>
    <row r="5557" spans="1:41" ht="15">
      <c r="A5557"/>
      <c r="B5557"/>
      <c r="C5557" s="137"/>
      <c r="D5557" s="30"/>
      <c r="E5557" s="30"/>
      <c r="F5557" s="10"/>
      <c r="G5557" s="10"/>
      <c r="H5557" s="15"/>
      <c r="I5557" s="15"/>
      <c r="J5557" s="15"/>
      <c r="K5557" s="15"/>
      <c r="L5557" s="15"/>
      <c r="M5557" s="15"/>
      <c r="N5557" s="15"/>
      <c r="O5557" s="15"/>
      <c r="P5557" s="15"/>
      <c r="Q5557" s="71"/>
      <c r="R5557" s="84"/>
      <c r="S5557" s="10"/>
      <c r="T5557" s="10"/>
      <c r="U5557" s="10"/>
      <c r="V5557" s="10"/>
      <c r="W5557" s="138"/>
      <c r="Y5557"/>
      <c r="Z5557"/>
      <c r="AA5557"/>
      <c r="AB5557"/>
      <c r="AC5557"/>
      <c r="AD5557"/>
      <c r="AE5557"/>
      <c r="AF5557"/>
      <c r="AG5557"/>
      <c r="AH5557"/>
      <c r="AI5557"/>
      <c r="AJ5557"/>
      <c r="AK5557"/>
      <c r="AL5557"/>
      <c r="AM5557"/>
      <c r="AN5557"/>
      <c r="AO5557"/>
    </row>
    <row r="5558" spans="1:41" ht="15">
      <c r="A5558"/>
      <c r="B5558"/>
      <c r="C5558" s="137"/>
      <c r="D5558" s="30"/>
      <c r="E5558" s="30"/>
      <c r="F5558" s="10"/>
      <c r="G5558" s="10"/>
      <c r="H5558" s="15"/>
      <c r="I5558" s="15"/>
      <c r="J5558" s="15"/>
      <c r="K5558" s="15"/>
      <c r="L5558" s="15"/>
      <c r="M5558" s="15"/>
      <c r="N5558" s="15"/>
      <c r="O5558" s="15"/>
      <c r="P5558" s="15"/>
      <c r="Q5558" s="71"/>
      <c r="R5558" s="84"/>
      <c r="S5558" s="10"/>
      <c r="T5558" s="10"/>
      <c r="U5558" s="10"/>
      <c r="V5558" s="10"/>
      <c r="W5558" s="138"/>
      <c r="Y5558"/>
      <c r="Z5558"/>
      <c r="AA5558"/>
      <c r="AB5558"/>
      <c r="AC5558"/>
      <c r="AD5558"/>
      <c r="AE5558"/>
      <c r="AF5558"/>
      <c r="AG5558"/>
      <c r="AH5558"/>
      <c r="AI5558"/>
      <c r="AJ5558"/>
      <c r="AK5558"/>
      <c r="AL5558"/>
      <c r="AM5558"/>
      <c r="AN5558"/>
      <c r="AO5558"/>
    </row>
    <row r="5559" spans="1:41" ht="15">
      <c r="A5559"/>
      <c r="B5559"/>
      <c r="C5559" s="137"/>
      <c r="D5559" s="30"/>
      <c r="E5559" s="30"/>
      <c r="F5559" s="10"/>
      <c r="G5559" s="10"/>
      <c r="H5559" s="15"/>
      <c r="I5559" s="15"/>
      <c r="J5559" s="15"/>
      <c r="K5559" s="15"/>
      <c r="L5559" s="15"/>
      <c r="M5559" s="15"/>
      <c r="N5559" s="15"/>
      <c r="O5559" s="15"/>
      <c r="P5559" s="15"/>
      <c r="Q5559" s="71"/>
      <c r="R5559" s="84"/>
      <c r="S5559" s="10"/>
      <c r="T5559" s="10"/>
      <c r="U5559" s="10"/>
      <c r="V5559" s="10"/>
      <c r="W5559" s="138"/>
      <c r="Y5559"/>
      <c r="Z5559"/>
      <c r="AA5559"/>
      <c r="AB5559"/>
      <c r="AC5559"/>
      <c r="AD5559"/>
      <c r="AE5559"/>
      <c r="AF5559"/>
      <c r="AG5559"/>
      <c r="AH5559"/>
      <c r="AI5559"/>
      <c r="AJ5559"/>
      <c r="AK5559"/>
      <c r="AL5559"/>
      <c r="AM5559"/>
      <c r="AN5559"/>
      <c r="AO5559"/>
    </row>
    <row r="5560" spans="1:41" ht="15">
      <c r="A5560"/>
      <c r="B5560"/>
      <c r="C5560" s="137"/>
      <c r="D5560" s="30"/>
      <c r="E5560" s="30"/>
      <c r="F5560" s="10"/>
      <c r="G5560" s="10"/>
      <c r="H5560" s="15"/>
      <c r="I5560" s="15"/>
      <c r="J5560" s="15"/>
      <c r="K5560" s="15"/>
      <c r="L5560" s="15"/>
      <c r="M5560" s="15"/>
      <c r="N5560" s="15"/>
      <c r="O5560" s="15"/>
      <c r="P5560" s="15"/>
      <c r="Q5560" s="71"/>
      <c r="R5560" s="84"/>
      <c r="S5560" s="10"/>
      <c r="T5560" s="10"/>
      <c r="U5560" s="10"/>
      <c r="V5560" s="10"/>
      <c r="W5560" s="138"/>
      <c r="Y5560"/>
      <c r="Z5560"/>
      <c r="AA5560"/>
      <c r="AB5560"/>
      <c r="AC5560"/>
      <c r="AD5560"/>
      <c r="AE5560"/>
      <c r="AF5560"/>
      <c r="AG5560"/>
      <c r="AH5560"/>
      <c r="AI5560"/>
      <c r="AJ5560"/>
      <c r="AK5560"/>
      <c r="AL5560"/>
      <c r="AM5560"/>
      <c r="AN5560"/>
      <c r="AO5560"/>
    </row>
    <row r="5561" spans="1:41" ht="15">
      <c r="A5561"/>
      <c r="B5561"/>
      <c r="C5561" s="137"/>
      <c r="D5561" s="30"/>
      <c r="E5561" s="30"/>
      <c r="F5561" s="10"/>
      <c r="G5561" s="10"/>
      <c r="H5561" s="15"/>
      <c r="I5561" s="15"/>
      <c r="J5561" s="15"/>
      <c r="K5561" s="15"/>
      <c r="L5561" s="15"/>
      <c r="M5561" s="15"/>
      <c r="N5561" s="15"/>
      <c r="O5561" s="15"/>
      <c r="P5561" s="15"/>
      <c r="Q5561" s="71"/>
      <c r="R5561" s="84"/>
      <c r="S5561" s="10"/>
      <c r="T5561" s="10"/>
      <c r="U5561" s="10"/>
      <c r="V5561" s="10"/>
      <c r="W5561" s="138"/>
      <c r="Y5561"/>
      <c r="Z5561"/>
      <c r="AA5561"/>
      <c r="AB5561"/>
      <c r="AC5561"/>
      <c r="AD5561"/>
      <c r="AE5561"/>
      <c r="AF5561"/>
      <c r="AG5561"/>
      <c r="AH5561"/>
      <c r="AI5561"/>
      <c r="AJ5561"/>
      <c r="AK5561"/>
      <c r="AL5561"/>
      <c r="AM5561"/>
      <c r="AN5561"/>
      <c r="AO5561"/>
    </row>
    <row r="5562" spans="1:41" ht="15">
      <c r="A5562"/>
      <c r="B5562"/>
      <c r="C5562" s="137"/>
      <c r="D5562" s="30"/>
      <c r="E5562" s="30"/>
      <c r="F5562" s="10"/>
      <c r="G5562" s="10"/>
      <c r="H5562" s="15"/>
      <c r="I5562" s="15"/>
      <c r="J5562" s="15"/>
      <c r="K5562" s="15"/>
      <c r="L5562" s="15"/>
      <c r="M5562" s="15"/>
      <c r="N5562" s="15"/>
      <c r="O5562" s="15"/>
      <c r="P5562" s="15"/>
      <c r="Q5562" s="71"/>
      <c r="R5562" s="84"/>
      <c r="S5562" s="10"/>
      <c r="T5562" s="10"/>
      <c r="U5562" s="10"/>
      <c r="V5562" s="10"/>
      <c r="W5562" s="138"/>
      <c r="Y5562"/>
      <c r="Z5562"/>
      <c r="AA5562"/>
      <c r="AB5562"/>
      <c r="AC5562"/>
      <c r="AD5562"/>
      <c r="AE5562"/>
      <c r="AF5562"/>
      <c r="AG5562"/>
      <c r="AH5562"/>
      <c r="AI5562"/>
      <c r="AJ5562"/>
      <c r="AK5562"/>
      <c r="AL5562"/>
      <c r="AM5562"/>
      <c r="AN5562"/>
      <c r="AO5562"/>
    </row>
    <row r="5563" spans="1:41" ht="15">
      <c r="A5563"/>
      <c r="B5563"/>
      <c r="C5563" s="137"/>
      <c r="D5563" s="30"/>
      <c r="E5563" s="30"/>
      <c r="F5563" s="10"/>
      <c r="G5563" s="10"/>
      <c r="H5563" s="15"/>
      <c r="I5563" s="15"/>
      <c r="J5563" s="15"/>
      <c r="K5563" s="15"/>
      <c r="L5563" s="15"/>
      <c r="M5563" s="15"/>
      <c r="N5563" s="15"/>
      <c r="O5563" s="15"/>
      <c r="P5563" s="15"/>
      <c r="Q5563" s="71"/>
      <c r="R5563" s="84"/>
      <c r="S5563" s="10"/>
      <c r="T5563" s="10"/>
      <c r="U5563" s="10"/>
      <c r="V5563" s="10"/>
      <c r="W5563" s="138"/>
      <c r="Y5563"/>
      <c r="Z5563"/>
      <c r="AA5563"/>
      <c r="AB5563"/>
      <c r="AC5563"/>
      <c r="AD5563"/>
      <c r="AE5563"/>
      <c r="AF5563"/>
      <c r="AG5563"/>
      <c r="AH5563"/>
      <c r="AI5563"/>
      <c r="AJ5563"/>
      <c r="AK5563"/>
      <c r="AL5563"/>
      <c r="AM5563"/>
      <c r="AN5563"/>
      <c r="AO5563"/>
    </row>
    <row r="5564" spans="1:41" ht="15">
      <c r="A5564"/>
      <c r="B5564"/>
      <c r="C5564" s="137"/>
      <c r="D5564" s="30"/>
      <c r="E5564" s="30"/>
      <c r="F5564" s="10"/>
      <c r="G5564" s="10"/>
      <c r="H5564" s="15"/>
      <c r="I5564" s="15"/>
      <c r="J5564" s="15"/>
      <c r="K5564" s="15"/>
      <c r="L5564" s="15"/>
      <c r="M5564" s="15"/>
      <c r="N5564" s="15"/>
      <c r="O5564" s="15"/>
      <c r="P5564" s="15"/>
      <c r="Q5564" s="71"/>
      <c r="R5564" s="84"/>
      <c r="S5564" s="10"/>
      <c r="T5564" s="10"/>
      <c r="U5564" s="10"/>
      <c r="V5564" s="10"/>
      <c r="W5564" s="138"/>
      <c r="Y5564"/>
      <c r="Z5564"/>
      <c r="AA5564"/>
      <c r="AB5564"/>
      <c r="AC5564"/>
      <c r="AD5564"/>
      <c r="AE5564"/>
      <c r="AF5564"/>
      <c r="AG5564"/>
      <c r="AH5564"/>
      <c r="AI5564"/>
      <c r="AJ5564"/>
      <c r="AK5564"/>
      <c r="AL5564"/>
      <c r="AM5564"/>
      <c r="AN5564"/>
      <c r="AO5564"/>
    </row>
    <row r="5565" spans="1:41" ht="15">
      <c r="A5565"/>
      <c r="B5565"/>
      <c r="C5565" s="137"/>
      <c r="D5565" s="30"/>
      <c r="E5565" s="30"/>
      <c r="F5565" s="10"/>
      <c r="G5565" s="10"/>
      <c r="H5565" s="15"/>
      <c r="I5565" s="15"/>
      <c r="J5565" s="15"/>
      <c r="K5565" s="15"/>
      <c r="L5565" s="15"/>
      <c r="M5565" s="15"/>
      <c r="N5565" s="15"/>
      <c r="O5565" s="15"/>
      <c r="P5565" s="15"/>
      <c r="Q5565" s="71"/>
      <c r="R5565" s="84"/>
      <c r="S5565" s="10"/>
      <c r="T5565" s="10"/>
      <c r="U5565" s="10"/>
      <c r="V5565" s="10"/>
      <c r="W5565" s="138"/>
      <c r="Y5565"/>
      <c r="Z5565"/>
      <c r="AA5565"/>
      <c r="AB5565"/>
      <c r="AC5565"/>
      <c r="AD5565"/>
      <c r="AE5565"/>
      <c r="AF5565"/>
      <c r="AG5565"/>
      <c r="AH5565"/>
      <c r="AI5565"/>
      <c r="AJ5565"/>
      <c r="AK5565"/>
      <c r="AL5565"/>
      <c r="AM5565"/>
      <c r="AN5565"/>
      <c r="AO5565"/>
    </row>
    <row r="5566" spans="1:41" ht="15">
      <c r="A5566"/>
      <c r="B5566"/>
      <c r="C5566" s="137"/>
      <c r="D5566" s="30"/>
      <c r="E5566" s="30"/>
      <c r="F5566" s="10"/>
      <c r="G5566" s="10"/>
      <c r="H5566" s="15"/>
      <c r="I5566" s="15"/>
      <c r="J5566" s="15"/>
      <c r="K5566" s="15"/>
      <c r="L5566" s="15"/>
      <c r="M5566" s="15"/>
      <c r="N5566" s="15"/>
      <c r="O5566" s="15"/>
      <c r="P5566" s="15"/>
      <c r="Q5566" s="71"/>
      <c r="R5566" s="84"/>
      <c r="S5566" s="10"/>
      <c r="T5566" s="10"/>
      <c r="U5566" s="10"/>
      <c r="V5566" s="10"/>
      <c r="W5566" s="138"/>
      <c r="Y5566"/>
      <c r="Z5566"/>
      <c r="AA5566"/>
      <c r="AB5566"/>
      <c r="AC5566"/>
      <c r="AD5566"/>
      <c r="AE5566"/>
      <c r="AF5566"/>
      <c r="AG5566"/>
      <c r="AH5566"/>
      <c r="AI5566"/>
      <c r="AJ5566"/>
      <c r="AK5566"/>
      <c r="AL5566"/>
      <c r="AM5566"/>
      <c r="AN5566"/>
      <c r="AO5566"/>
    </row>
    <row r="5567" spans="1:41" ht="15">
      <c r="A5567"/>
      <c r="B5567"/>
      <c r="C5567" s="137"/>
      <c r="D5567" s="30"/>
      <c r="E5567" s="30"/>
      <c r="F5567" s="10"/>
      <c r="G5567" s="10"/>
      <c r="H5567" s="15"/>
      <c r="I5567" s="15"/>
      <c r="J5567" s="15"/>
      <c r="K5567" s="15"/>
      <c r="L5567" s="15"/>
      <c r="M5567" s="15"/>
      <c r="N5567" s="15"/>
      <c r="O5567" s="15"/>
      <c r="P5567" s="15"/>
      <c r="Q5567" s="71"/>
      <c r="R5567" s="84"/>
      <c r="S5567" s="10"/>
      <c r="T5567" s="10"/>
      <c r="U5567" s="10"/>
      <c r="V5567" s="10"/>
      <c r="W5567" s="138"/>
      <c r="Y5567"/>
      <c r="Z5567"/>
      <c r="AA5567"/>
      <c r="AB5567"/>
      <c r="AC5567"/>
      <c r="AD5567"/>
      <c r="AE5567"/>
      <c r="AF5567"/>
      <c r="AG5567"/>
      <c r="AH5567"/>
      <c r="AI5567"/>
      <c r="AJ5567"/>
      <c r="AK5567"/>
      <c r="AL5567"/>
      <c r="AM5567"/>
      <c r="AN5567"/>
      <c r="AO5567"/>
    </row>
    <row r="5568" spans="1:41" ht="15">
      <c r="A5568"/>
      <c r="B5568"/>
      <c r="C5568" s="137"/>
      <c r="D5568" s="30"/>
      <c r="E5568" s="30"/>
      <c r="F5568" s="10"/>
      <c r="G5568" s="10"/>
      <c r="H5568" s="15"/>
      <c r="I5568" s="15"/>
      <c r="J5568" s="15"/>
      <c r="K5568" s="15"/>
      <c r="L5568" s="15"/>
      <c r="M5568" s="15"/>
      <c r="N5568" s="15"/>
      <c r="O5568" s="15"/>
      <c r="P5568" s="15"/>
      <c r="Q5568" s="71"/>
      <c r="R5568" s="84"/>
      <c r="S5568" s="10"/>
      <c r="T5568" s="10"/>
      <c r="U5568" s="10"/>
      <c r="V5568" s="10"/>
      <c r="W5568" s="138"/>
      <c r="Y5568"/>
      <c r="Z5568"/>
      <c r="AA5568"/>
      <c r="AB5568"/>
      <c r="AC5568"/>
      <c r="AD5568"/>
      <c r="AE5568"/>
      <c r="AF5568"/>
      <c r="AG5568"/>
      <c r="AH5568"/>
      <c r="AI5568"/>
      <c r="AJ5568"/>
      <c r="AK5568"/>
      <c r="AL5568"/>
      <c r="AM5568"/>
      <c r="AN5568"/>
      <c r="AO5568"/>
    </row>
    <row r="5569" spans="1:41" ht="15">
      <c r="A5569"/>
      <c r="B5569"/>
      <c r="C5569" s="137"/>
      <c r="D5569" s="30"/>
      <c r="E5569" s="30"/>
      <c r="F5569" s="10"/>
      <c r="G5569" s="10"/>
      <c r="H5569" s="15"/>
      <c r="I5569" s="15"/>
      <c r="J5569" s="15"/>
      <c r="K5569" s="15"/>
      <c r="L5569" s="15"/>
      <c r="M5569" s="15"/>
      <c r="N5569" s="15"/>
      <c r="O5569" s="15"/>
      <c r="P5569" s="15"/>
      <c r="Q5569" s="71"/>
      <c r="R5569" s="84"/>
      <c r="S5569" s="10"/>
      <c r="T5569" s="10"/>
      <c r="U5569" s="10"/>
      <c r="V5569" s="10"/>
      <c r="W5569" s="138"/>
      <c r="Y5569"/>
      <c r="Z5569"/>
      <c r="AA5569"/>
      <c r="AB5569"/>
      <c r="AC5569"/>
      <c r="AD5569"/>
      <c r="AE5569"/>
      <c r="AF5569"/>
      <c r="AG5569"/>
      <c r="AH5569"/>
      <c r="AI5569"/>
      <c r="AJ5569"/>
      <c r="AK5569"/>
      <c r="AL5569"/>
      <c r="AM5569"/>
      <c r="AN5569"/>
      <c r="AO5569"/>
    </row>
    <row r="5570" spans="1:41" ht="15">
      <c r="A5570"/>
      <c r="B5570"/>
      <c r="C5570" s="137"/>
      <c r="D5570" s="30"/>
      <c r="E5570" s="30"/>
      <c r="F5570" s="10"/>
      <c r="G5570" s="10"/>
      <c r="H5570" s="15"/>
      <c r="I5570" s="15"/>
      <c r="J5570" s="15"/>
      <c r="K5570" s="15"/>
      <c r="L5570" s="15"/>
      <c r="M5570" s="15"/>
      <c r="N5570" s="15"/>
      <c r="O5570" s="15"/>
      <c r="P5570" s="15"/>
      <c r="Q5570" s="71"/>
      <c r="R5570" s="84"/>
      <c r="S5570" s="10"/>
      <c r="T5570" s="10"/>
      <c r="U5570" s="10"/>
      <c r="V5570" s="10"/>
      <c r="W5570" s="138"/>
      <c r="Y5570"/>
      <c r="Z5570"/>
      <c r="AA5570"/>
      <c r="AB5570"/>
      <c r="AC5570"/>
      <c r="AD5570"/>
      <c r="AE5570"/>
      <c r="AF5570"/>
      <c r="AG5570"/>
      <c r="AH5570"/>
      <c r="AI5570"/>
      <c r="AJ5570"/>
      <c r="AK5570"/>
      <c r="AL5570"/>
      <c r="AM5570"/>
      <c r="AN5570"/>
      <c r="AO5570"/>
    </row>
    <row r="5571" spans="1:41" ht="15">
      <c r="A5571"/>
      <c r="B5571"/>
      <c r="C5571" s="137"/>
      <c r="D5571" s="30"/>
      <c r="E5571" s="30"/>
      <c r="F5571" s="10"/>
      <c r="G5571" s="10"/>
      <c r="H5571" s="15"/>
      <c r="I5571" s="15"/>
      <c r="J5571" s="15"/>
      <c r="K5571" s="15"/>
      <c r="L5571" s="15"/>
      <c r="M5571" s="15"/>
      <c r="N5571" s="15"/>
      <c r="O5571" s="15"/>
      <c r="P5571" s="15"/>
      <c r="Q5571" s="71"/>
      <c r="R5571" s="84"/>
      <c r="S5571" s="10"/>
      <c r="T5571" s="10"/>
      <c r="U5571" s="10"/>
      <c r="V5571" s="10"/>
      <c r="W5571" s="138"/>
      <c r="Y5571"/>
      <c r="Z5571"/>
      <c r="AA5571"/>
      <c r="AB5571"/>
      <c r="AC5571"/>
      <c r="AD5571"/>
      <c r="AE5571"/>
      <c r="AF5571"/>
      <c r="AG5571"/>
      <c r="AH5571"/>
      <c r="AI5571"/>
      <c r="AJ5571"/>
      <c r="AK5571"/>
      <c r="AL5571"/>
      <c r="AM5571"/>
      <c r="AN5571"/>
      <c r="AO5571"/>
    </row>
    <row r="5572" spans="1:41" ht="15">
      <c r="A5572"/>
      <c r="B5572"/>
      <c r="C5572" s="137"/>
      <c r="D5572" s="30"/>
      <c r="E5572" s="30"/>
      <c r="F5572" s="10"/>
      <c r="G5572" s="10"/>
      <c r="H5572" s="15"/>
      <c r="I5572" s="15"/>
      <c r="J5572" s="15"/>
      <c r="K5572" s="15"/>
      <c r="L5572" s="15"/>
      <c r="M5572" s="15"/>
      <c r="N5572" s="15"/>
      <c r="O5572" s="15"/>
      <c r="P5572" s="15"/>
      <c r="Q5572" s="71"/>
      <c r="R5572" s="84"/>
      <c r="S5572" s="10"/>
      <c r="T5572" s="10"/>
      <c r="U5572" s="10"/>
      <c r="V5572" s="10"/>
      <c r="W5572" s="138"/>
      <c r="Y5572"/>
      <c r="Z5572"/>
      <c r="AA5572"/>
      <c r="AB5572"/>
      <c r="AC5572"/>
      <c r="AD5572"/>
      <c r="AE5572"/>
      <c r="AF5572"/>
      <c r="AG5572"/>
      <c r="AH5572"/>
      <c r="AI5572"/>
      <c r="AJ5572"/>
      <c r="AK5572"/>
      <c r="AL5572"/>
      <c r="AM5572"/>
      <c r="AN5572"/>
      <c r="AO5572"/>
    </row>
    <row r="5573" spans="1:41" ht="15">
      <c r="A5573"/>
      <c r="B5573"/>
      <c r="C5573" s="137"/>
      <c r="D5573" s="30"/>
      <c r="E5573" s="30"/>
      <c r="F5573" s="10"/>
      <c r="G5573" s="10"/>
      <c r="H5573" s="15"/>
      <c r="I5573" s="15"/>
      <c r="J5573" s="15"/>
      <c r="K5573" s="15"/>
      <c r="L5573" s="15"/>
      <c r="M5573" s="15"/>
      <c r="N5573" s="15"/>
      <c r="O5573" s="15"/>
      <c r="P5573" s="15"/>
      <c r="Q5573" s="71"/>
      <c r="R5573" s="84"/>
      <c r="S5573" s="10"/>
      <c r="T5573" s="10"/>
      <c r="U5573" s="10"/>
      <c r="V5573" s="10"/>
      <c r="W5573" s="138"/>
      <c r="Y5573"/>
      <c r="Z5573"/>
      <c r="AA5573"/>
      <c r="AB5573"/>
      <c r="AC5573"/>
      <c r="AD5573"/>
      <c r="AE5573"/>
      <c r="AF5573"/>
      <c r="AG5573"/>
      <c r="AH5573"/>
      <c r="AI5573"/>
      <c r="AJ5573"/>
      <c r="AK5573"/>
      <c r="AL5573"/>
      <c r="AM5573"/>
      <c r="AN5573"/>
      <c r="AO5573"/>
    </row>
    <row r="5574" spans="1:41" ht="15">
      <c r="A5574"/>
      <c r="B5574"/>
      <c r="C5574" s="137"/>
      <c r="D5574" s="30"/>
      <c r="E5574" s="30"/>
      <c r="F5574" s="10"/>
      <c r="G5574" s="10"/>
      <c r="H5574" s="15"/>
      <c r="I5574" s="15"/>
      <c r="J5574" s="15"/>
      <c r="K5574" s="15"/>
      <c r="L5574" s="15"/>
      <c r="M5574" s="15"/>
      <c r="N5574" s="15"/>
      <c r="O5574" s="15"/>
      <c r="P5574" s="15"/>
      <c r="Q5574" s="71"/>
      <c r="R5574" s="84"/>
      <c r="S5574" s="10"/>
      <c r="T5574" s="10"/>
      <c r="U5574" s="10"/>
      <c r="V5574" s="10"/>
      <c r="W5574" s="138"/>
      <c r="Y5574"/>
      <c r="Z5574"/>
      <c r="AA5574"/>
      <c r="AB5574"/>
      <c r="AC5574"/>
      <c r="AD5574"/>
      <c r="AE5574"/>
      <c r="AF5574"/>
      <c r="AG5574"/>
      <c r="AH5574"/>
      <c r="AI5574"/>
      <c r="AJ5574"/>
      <c r="AK5574"/>
      <c r="AL5574"/>
      <c r="AM5574"/>
      <c r="AN5574"/>
      <c r="AO5574"/>
    </row>
    <row r="5575" spans="1:41" ht="15">
      <c r="A5575"/>
      <c r="B5575"/>
      <c r="C5575" s="137"/>
      <c r="D5575" s="30"/>
      <c r="E5575" s="30"/>
      <c r="F5575" s="10"/>
      <c r="G5575" s="10"/>
      <c r="H5575" s="15"/>
      <c r="I5575" s="15"/>
      <c r="J5575" s="15"/>
      <c r="K5575" s="15"/>
      <c r="L5575" s="15"/>
      <c r="M5575" s="15"/>
      <c r="N5575" s="15"/>
      <c r="O5575" s="15"/>
      <c r="P5575" s="15"/>
      <c r="Q5575" s="71"/>
      <c r="R5575" s="84"/>
      <c r="S5575" s="10"/>
      <c r="T5575" s="10"/>
      <c r="U5575" s="10"/>
      <c r="V5575" s="10"/>
      <c r="W5575" s="138"/>
      <c r="Y5575"/>
      <c r="Z5575"/>
      <c r="AA5575"/>
      <c r="AB5575"/>
      <c r="AC5575"/>
      <c r="AD5575"/>
      <c r="AE5575"/>
      <c r="AF5575"/>
      <c r="AG5575"/>
      <c r="AH5575"/>
      <c r="AI5575"/>
      <c r="AJ5575"/>
      <c r="AK5575"/>
      <c r="AL5575"/>
      <c r="AM5575"/>
      <c r="AN5575"/>
      <c r="AO5575"/>
    </row>
    <row r="5576" spans="1:41" ht="15">
      <c r="A5576"/>
      <c r="B5576"/>
      <c r="C5576" s="137"/>
      <c r="D5576" s="30"/>
      <c r="E5576" s="30"/>
      <c r="F5576" s="10"/>
      <c r="G5576" s="10"/>
      <c r="H5576" s="15"/>
      <c r="I5576" s="15"/>
      <c r="J5576" s="15"/>
      <c r="K5576" s="15"/>
      <c r="L5576" s="15"/>
      <c r="M5576" s="15"/>
      <c r="N5576" s="15"/>
      <c r="O5576" s="15"/>
      <c r="P5576" s="15"/>
      <c r="Q5576" s="71"/>
      <c r="R5576" s="84"/>
      <c r="S5576" s="10"/>
      <c r="T5576" s="10"/>
      <c r="U5576" s="10"/>
      <c r="V5576" s="10"/>
      <c r="W5576" s="138"/>
      <c r="Y5576"/>
      <c r="Z5576"/>
      <c r="AA5576"/>
      <c r="AB5576"/>
      <c r="AC5576"/>
      <c r="AD5576"/>
      <c r="AE5576"/>
      <c r="AF5576"/>
      <c r="AG5576"/>
      <c r="AH5576"/>
      <c r="AI5576"/>
      <c r="AJ5576"/>
      <c r="AK5576"/>
      <c r="AL5576"/>
      <c r="AM5576"/>
      <c r="AN5576"/>
      <c r="AO5576"/>
    </row>
    <row r="5577" spans="1:41" ht="15">
      <c r="A5577"/>
      <c r="B5577"/>
      <c r="C5577" s="137"/>
      <c r="D5577" s="30"/>
      <c r="E5577" s="30"/>
      <c r="F5577" s="10"/>
      <c r="G5577" s="10"/>
      <c r="H5577" s="15"/>
      <c r="I5577" s="15"/>
      <c r="J5577" s="15"/>
      <c r="K5577" s="15"/>
      <c r="L5577" s="15"/>
      <c r="M5577" s="15"/>
      <c r="N5577" s="15"/>
      <c r="O5577" s="15"/>
      <c r="P5577" s="15"/>
      <c r="Q5577" s="71"/>
      <c r="R5577" s="84"/>
      <c r="S5577" s="10"/>
      <c r="T5577" s="10"/>
      <c r="U5577" s="10"/>
      <c r="V5577" s="10"/>
      <c r="W5577" s="138"/>
      <c r="Y5577"/>
      <c r="Z5577"/>
      <c r="AA5577"/>
      <c r="AB5577"/>
      <c r="AC5577"/>
      <c r="AD5577"/>
      <c r="AE5577"/>
      <c r="AF5577"/>
      <c r="AG5577"/>
      <c r="AH5577"/>
      <c r="AI5577"/>
      <c r="AJ5577"/>
      <c r="AK5577"/>
      <c r="AL5577"/>
      <c r="AM5577"/>
      <c r="AN5577"/>
      <c r="AO5577"/>
    </row>
    <row r="5578" spans="1:41" ht="15">
      <c r="A5578"/>
      <c r="B5578"/>
      <c r="C5578" s="137"/>
      <c r="D5578" s="30"/>
      <c r="E5578" s="30"/>
      <c r="F5578" s="10"/>
      <c r="G5578" s="10"/>
      <c r="H5578" s="15"/>
      <c r="I5578" s="15"/>
      <c r="J5578" s="15"/>
      <c r="K5578" s="15"/>
      <c r="L5578" s="15"/>
      <c r="M5578" s="15"/>
      <c r="N5578" s="15"/>
      <c r="O5578" s="15"/>
      <c r="P5578" s="15"/>
      <c r="Q5578" s="71"/>
      <c r="R5578" s="84"/>
      <c r="S5578" s="10"/>
      <c r="T5578" s="10"/>
      <c r="U5578" s="10"/>
      <c r="V5578" s="10"/>
      <c r="W5578" s="138"/>
      <c r="Y5578"/>
      <c r="Z5578"/>
      <c r="AA5578"/>
      <c r="AB5578"/>
      <c r="AC5578"/>
      <c r="AD5578"/>
      <c r="AE5578"/>
      <c r="AF5578"/>
      <c r="AG5578"/>
      <c r="AH5578"/>
      <c r="AI5578"/>
      <c r="AJ5578"/>
      <c r="AK5578"/>
      <c r="AL5578"/>
      <c r="AM5578"/>
      <c r="AN5578"/>
      <c r="AO5578"/>
    </row>
    <row r="5579" spans="1:41" ht="15">
      <c r="A5579"/>
      <c r="B5579"/>
      <c r="C5579" s="137"/>
      <c r="D5579" s="30"/>
      <c r="E5579" s="30"/>
      <c r="F5579" s="10"/>
      <c r="G5579" s="10"/>
      <c r="H5579" s="15"/>
      <c r="I5579" s="15"/>
      <c r="J5579" s="15"/>
      <c r="K5579" s="15"/>
      <c r="L5579" s="15"/>
      <c r="M5579" s="15"/>
      <c r="N5579" s="15"/>
      <c r="O5579" s="15"/>
      <c r="P5579" s="15"/>
      <c r="Q5579" s="71"/>
      <c r="R5579" s="84"/>
      <c r="S5579" s="10"/>
      <c r="T5579" s="10"/>
      <c r="U5579" s="10"/>
      <c r="V5579" s="10"/>
      <c r="W5579" s="138"/>
      <c r="Y5579"/>
      <c r="Z5579"/>
      <c r="AA5579"/>
      <c r="AB5579"/>
      <c r="AC5579"/>
      <c r="AD5579"/>
      <c r="AE5579"/>
      <c r="AF5579"/>
      <c r="AG5579"/>
      <c r="AH5579"/>
      <c r="AI5579"/>
      <c r="AJ5579"/>
      <c r="AK5579"/>
      <c r="AL5579"/>
      <c r="AM5579"/>
      <c r="AN5579"/>
      <c r="AO5579"/>
    </row>
    <row r="5580" spans="1:41" ht="15">
      <c r="A5580"/>
      <c r="B5580"/>
      <c r="C5580" s="137"/>
      <c r="D5580" s="30"/>
      <c r="E5580" s="30"/>
      <c r="F5580" s="10"/>
      <c r="G5580" s="10"/>
      <c r="H5580" s="15"/>
      <c r="I5580" s="15"/>
      <c r="J5580" s="15"/>
      <c r="K5580" s="15"/>
      <c r="L5580" s="15"/>
      <c r="M5580" s="15"/>
      <c r="N5580" s="15"/>
      <c r="O5580" s="15"/>
      <c r="P5580" s="15"/>
      <c r="Q5580" s="71"/>
      <c r="R5580" s="84"/>
      <c r="S5580" s="10"/>
      <c r="T5580" s="10"/>
      <c r="U5580" s="10"/>
      <c r="V5580" s="10"/>
      <c r="W5580" s="138"/>
      <c r="Y5580"/>
      <c r="Z5580"/>
      <c r="AA5580"/>
      <c r="AB5580"/>
      <c r="AC5580"/>
      <c r="AD5580"/>
      <c r="AE5580"/>
      <c r="AF5580"/>
      <c r="AG5580"/>
      <c r="AH5580"/>
      <c r="AI5580"/>
      <c r="AJ5580"/>
      <c r="AK5580"/>
      <c r="AL5580"/>
      <c r="AM5580"/>
      <c r="AN5580"/>
      <c r="AO5580"/>
    </row>
    <row r="5581" spans="1:41" ht="15">
      <c r="A5581"/>
      <c r="B5581"/>
      <c r="C5581" s="137"/>
      <c r="D5581" s="30"/>
      <c r="E5581" s="30"/>
      <c r="F5581" s="10"/>
      <c r="G5581" s="10"/>
      <c r="H5581" s="15"/>
      <c r="I5581" s="15"/>
      <c r="J5581" s="15"/>
      <c r="K5581" s="15"/>
      <c r="L5581" s="15"/>
      <c r="M5581" s="15"/>
      <c r="N5581" s="15"/>
      <c r="O5581" s="15"/>
      <c r="P5581" s="15"/>
      <c r="Q5581" s="71"/>
      <c r="R5581" s="84"/>
      <c r="S5581" s="10"/>
      <c r="T5581" s="10"/>
      <c r="U5581" s="10"/>
      <c r="V5581" s="10"/>
      <c r="W5581" s="138"/>
      <c r="Y5581"/>
      <c r="Z5581"/>
      <c r="AA5581"/>
      <c r="AB5581"/>
      <c r="AC5581"/>
      <c r="AD5581"/>
      <c r="AE5581"/>
      <c r="AF5581"/>
      <c r="AG5581"/>
      <c r="AH5581"/>
      <c r="AI5581"/>
      <c r="AJ5581"/>
      <c r="AK5581"/>
      <c r="AL5581"/>
      <c r="AM5581"/>
      <c r="AN5581"/>
      <c r="AO5581"/>
    </row>
    <row r="5582" spans="1:41" ht="15">
      <c r="A5582"/>
      <c r="B5582"/>
      <c r="C5582" s="137"/>
      <c r="D5582" s="30"/>
      <c r="E5582" s="30"/>
      <c r="F5582" s="10"/>
      <c r="G5582" s="10"/>
      <c r="H5582" s="15"/>
      <c r="I5582" s="15"/>
      <c r="J5582" s="15"/>
      <c r="K5582" s="15"/>
      <c r="L5582" s="15"/>
      <c r="M5582" s="15"/>
      <c r="N5582" s="15"/>
      <c r="O5582" s="15"/>
      <c r="P5582" s="15"/>
      <c r="Q5582" s="71"/>
      <c r="R5582" s="84"/>
      <c r="S5582" s="10"/>
      <c r="T5582" s="10"/>
      <c r="U5582" s="10"/>
      <c r="V5582" s="10"/>
      <c r="W5582" s="138"/>
      <c r="Y5582"/>
      <c r="Z5582"/>
      <c r="AA5582"/>
      <c r="AB5582"/>
      <c r="AC5582"/>
      <c r="AD5582"/>
      <c r="AE5582"/>
      <c r="AF5582"/>
      <c r="AG5582"/>
      <c r="AH5582"/>
      <c r="AI5582"/>
      <c r="AJ5582"/>
      <c r="AK5582"/>
      <c r="AL5582"/>
      <c r="AM5582"/>
      <c r="AN5582"/>
      <c r="AO5582"/>
    </row>
    <row r="5583" spans="1:41" ht="15">
      <c r="A5583"/>
      <c r="B5583"/>
      <c r="C5583" s="137"/>
      <c r="D5583" s="30"/>
      <c r="E5583" s="30"/>
      <c r="F5583" s="10"/>
      <c r="G5583" s="10"/>
      <c r="H5583" s="15"/>
      <c r="I5583" s="15"/>
      <c r="J5583" s="15"/>
      <c r="K5583" s="15"/>
      <c r="L5583" s="15"/>
      <c r="M5583" s="15"/>
      <c r="N5583" s="15"/>
      <c r="O5583" s="15"/>
      <c r="P5583" s="15"/>
      <c r="Q5583" s="71"/>
      <c r="R5583" s="84"/>
      <c r="S5583" s="10"/>
      <c r="T5583" s="10"/>
      <c r="U5583" s="10"/>
      <c r="V5583" s="10"/>
      <c r="W5583" s="138"/>
      <c r="Y5583"/>
      <c r="Z5583"/>
      <c r="AA5583"/>
      <c r="AB5583"/>
      <c r="AC5583"/>
      <c r="AD5583"/>
      <c r="AE5583"/>
      <c r="AF5583"/>
      <c r="AG5583"/>
      <c r="AH5583"/>
      <c r="AI5583"/>
      <c r="AJ5583"/>
      <c r="AK5583"/>
      <c r="AL5583"/>
      <c r="AM5583"/>
      <c r="AN5583"/>
      <c r="AO5583"/>
    </row>
    <row r="5584" spans="1:41" ht="15">
      <c r="A5584"/>
      <c r="B5584"/>
      <c r="C5584" s="137"/>
      <c r="D5584" s="30"/>
      <c r="E5584" s="30"/>
      <c r="F5584" s="10"/>
      <c r="G5584" s="10"/>
      <c r="H5584" s="15"/>
      <c r="I5584" s="15"/>
      <c r="J5584" s="15"/>
      <c r="K5584" s="15"/>
      <c r="L5584" s="15"/>
      <c r="M5584" s="15"/>
      <c r="N5584" s="15"/>
      <c r="O5584" s="15"/>
      <c r="P5584" s="15"/>
      <c r="Q5584" s="71"/>
      <c r="R5584" s="84"/>
      <c r="S5584" s="10"/>
      <c r="T5584" s="10"/>
      <c r="U5584" s="10"/>
      <c r="V5584" s="10"/>
      <c r="W5584" s="138"/>
      <c r="Y5584"/>
      <c r="Z5584"/>
      <c r="AA5584"/>
      <c r="AB5584"/>
      <c r="AC5584"/>
      <c r="AD5584"/>
      <c r="AE5584"/>
      <c r="AF5584"/>
      <c r="AG5584"/>
      <c r="AH5584"/>
      <c r="AI5584"/>
      <c r="AJ5584"/>
      <c r="AK5584"/>
      <c r="AL5584"/>
      <c r="AM5584"/>
      <c r="AN5584"/>
      <c r="AO5584"/>
    </row>
    <row r="5585" spans="1:41" ht="15">
      <c r="A5585"/>
      <c r="B5585"/>
      <c r="C5585" s="137"/>
      <c r="D5585" s="30"/>
      <c r="E5585" s="30"/>
      <c r="F5585" s="10"/>
      <c r="G5585" s="10"/>
      <c r="H5585" s="15"/>
      <c r="I5585" s="15"/>
      <c r="J5585" s="15"/>
      <c r="K5585" s="15"/>
      <c r="L5585" s="15"/>
      <c r="M5585" s="15"/>
      <c r="N5585" s="15"/>
      <c r="O5585" s="15"/>
      <c r="P5585" s="15"/>
      <c r="Q5585" s="71"/>
      <c r="R5585" s="84"/>
      <c r="S5585" s="10"/>
      <c r="T5585" s="10"/>
      <c r="U5585" s="10"/>
      <c r="V5585" s="10"/>
      <c r="W5585" s="138"/>
      <c r="Y5585"/>
      <c r="Z5585"/>
      <c r="AA5585"/>
      <c r="AB5585"/>
      <c r="AC5585"/>
      <c r="AD5585"/>
      <c r="AE5585"/>
      <c r="AF5585"/>
      <c r="AG5585"/>
      <c r="AH5585"/>
      <c r="AI5585"/>
      <c r="AJ5585"/>
      <c r="AK5585"/>
      <c r="AL5585"/>
      <c r="AM5585"/>
      <c r="AN5585"/>
      <c r="AO5585"/>
    </row>
    <row r="5586" spans="1:41" ht="15">
      <c r="A5586"/>
      <c r="B5586"/>
      <c r="C5586" s="137"/>
      <c r="D5586" s="30"/>
      <c r="E5586" s="30"/>
      <c r="F5586" s="10"/>
      <c r="G5586" s="10"/>
      <c r="H5586" s="15"/>
      <c r="I5586" s="15"/>
      <c r="J5586" s="15"/>
      <c r="K5586" s="15"/>
      <c r="L5586" s="15"/>
      <c r="M5586" s="15"/>
      <c r="N5586" s="15"/>
      <c r="O5586" s="15"/>
      <c r="P5586" s="15"/>
      <c r="Q5586" s="71"/>
      <c r="R5586" s="84"/>
      <c r="S5586" s="10"/>
      <c r="T5586" s="10"/>
      <c r="U5586" s="10"/>
      <c r="V5586" s="10"/>
      <c r="W5586" s="138"/>
      <c r="Y5586"/>
      <c r="Z5586"/>
      <c r="AA5586"/>
      <c r="AB5586"/>
      <c r="AC5586"/>
      <c r="AD5586"/>
      <c r="AE5586"/>
      <c r="AF5586"/>
      <c r="AG5586"/>
      <c r="AH5586"/>
      <c r="AI5586"/>
      <c r="AJ5586"/>
      <c r="AK5586"/>
      <c r="AL5586"/>
      <c r="AM5586"/>
      <c r="AN5586"/>
      <c r="AO5586"/>
    </row>
    <row r="5587" spans="1:41" ht="15">
      <c r="A5587"/>
      <c r="B5587"/>
      <c r="C5587" s="137"/>
      <c r="D5587" s="30"/>
      <c r="E5587" s="30"/>
      <c r="F5587" s="10"/>
      <c r="G5587" s="10"/>
      <c r="H5587" s="15"/>
      <c r="I5587" s="15"/>
      <c r="J5587" s="15"/>
      <c r="K5587" s="15"/>
      <c r="L5587" s="15"/>
      <c r="M5587" s="15"/>
      <c r="N5587" s="15"/>
      <c r="O5587" s="15"/>
      <c r="P5587" s="15"/>
      <c r="Q5587" s="71"/>
      <c r="R5587" s="84"/>
      <c r="S5587" s="10"/>
      <c r="T5587" s="10"/>
      <c r="U5587" s="10"/>
      <c r="V5587" s="10"/>
      <c r="W5587" s="138"/>
      <c r="Y5587"/>
      <c r="Z5587"/>
      <c r="AA5587"/>
      <c r="AB5587"/>
      <c r="AC5587"/>
      <c r="AD5587"/>
      <c r="AE5587"/>
      <c r="AF5587"/>
      <c r="AG5587"/>
      <c r="AH5587"/>
      <c r="AI5587"/>
      <c r="AJ5587"/>
      <c r="AK5587"/>
      <c r="AL5587"/>
      <c r="AM5587"/>
      <c r="AN5587"/>
      <c r="AO5587"/>
    </row>
    <row r="5588" spans="1:41" ht="15">
      <c r="A5588"/>
      <c r="B5588"/>
      <c r="C5588" s="137"/>
      <c r="D5588" s="30"/>
      <c r="E5588" s="30"/>
      <c r="F5588" s="10"/>
      <c r="G5588" s="10"/>
      <c r="H5588" s="15"/>
      <c r="I5588" s="15"/>
      <c r="J5588" s="15"/>
      <c r="K5588" s="15"/>
      <c r="L5588" s="15"/>
      <c r="M5588" s="15"/>
      <c r="N5588" s="15"/>
      <c r="O5588" s="15"/>
      <c r="P5588" s="15"/>
      <c r="Q5588" s="71"/>
      <c r="R5588" s="84"/>
      <c r="S5588" s="10"/>
      <c r="T5588" s="10"/>
      <c r="U5588" s="10"/>
      <c r="V5588" s="10"/>
      <c r="W5588" s="138"/>
      <c r="Y5588"/>
      <c r="Z5588"/>
      <c r="AA5588"/>
      <c r="AB5588"/>
      <c r="AC5588"/>
      <c r="AD5588"/>
      <c r="AE5588"/>
      <c r="AF5588"/>
      <c r="AG5588"/>
      <c r="AH5588"/>
      <c r="AI5588"/>
      <c r="AJ5588"/>
      <c r="AK5588"/>
      <c r="AL5588"/>
      <c r="AM5588"/>
      <c r="AN5588"/>
      <c r="AO5588"/>
    </row>
    <row r="5589" spans="1:41" ht="15">
      <c r="A5589"/>
      <c r="B5589"/>
      <c r="C5589" s="137"/>
      <c r="D5589" s="30"/>
      <c r="E5589" s="30"/>
      <c r="F5589" s="10"/>
      <c r="G5589" s="10"/>
      <c r="H5589" s="15"/>
      <c r="I5589" s="15"/>
      <c r="J5589" s="15"/>
      <c r="K5589" s="15"/>
      <c r="L5589" s="15"/>
      <c r="M5589" s="15"/>
      <c r="N5589" s="15"/>
      <c r="O5589" s="15"/>
      <c r="P5589" s="15"/>
      <c r="Q5589" s="71"/>
      <c r="R5589" s="84"/>
      <c r="S5589" s="10"/>
      <c r="T5589" s="10"/>
      <c r="U5589" s="10"/>
      <c r="V5589" s="10"/>
      <c r="W5589" s="138"/>
      <c r="Y5589"/>
      <c r="Z5589"/>
      <c r="AA5589"/>
      <c r="AB5589"/>
      <c r="AC5589"/>
      <c r="AD5589"/>
      <c r="AE5589"/>
      <c r="AF5589"/>
      <c r="AG5589"/>
      <c r="AH5589"/>
      <c r="AI5589"/>
      <c r="AJ5589"/>
      <c r="AK5589"/>
      <c r="AL5589"/>
      <c r="AM5589"/>
      <c r="AN5589"/>
      <c r="AO5589"/>
    </row>
    <row r="5590" spans="1:41" ht="15">
      <c r="A5590"/>
      <c r="B5590"/>
      <c r="C5590" s="137"/>
      <c r="D5590" s="30"/>
      <c r="E5590" s="30"/>
      <c r="F5590" s="10"/>
      <c r="G5590" s="10"/>
      <c r="H5590" s="15"/>
      <c r="I5590" s="15"/>
      <c r="J5590" s="15"/>
      <c r="K5590" s="15"/>
      <c r="L5590" s="15"/>
      <c r="M5590" s="15"/>
      <c r="N5590" s="15"/>
      <c r="O5590" s="15"/>
      <c r="P5590" s="15"/>
      <c r="Q5590" s="71"/>
      <c r="R5590" s="84"/>
      <c r="S5590" s="10"/>
      <c r="T5590" s="10"/>
      <c r="U5590" s="10"/>
      <c r="V5590" s="10"/>
      <c r="W5590" s="138"/>
      <c r="Y5590"/>
      <c r="Z5590"/>
      <c r="AA5590"/>
      <c r="AB5590"/>
      <c r="AC5590"/>
      <c r="AD5590"/>
      <c r="AE5590"/>
      <c r="AF5590"/>
      <c r="AG5590"/>
      <c r="AH5590"/>
      <c r="AI5590"/>
      <c r="AJ5590"/>
      <c r="AK5590"/>
      <c r="AL5590"/>
      <c r="AM5590"/>
      <c r="AN5590"/>
      <c r="AO5590"/>
    </row>
    <row r="5591" spans="1:41" ht="15">
      <c r="A5591"/>
      <c r="B5591"/>
      <c r="C5591" s="137"/>
      <c r="D5591" s="30"/>
      <c r="E5591" s="30"/>
      <c r="F5591" s="10"/>
      <c r="G5591" s="10"/>
      <c r="H5591" s="15"/>
      <c r="I5591" s="15"/>
      <c r="J5591" s="15"/>
      <c r="K5591" s="15"/>
      <c r="L5591" s="15"/>
      <c r="M5591" s="15"/>
      <c r="N5591" s="15"/>
      <c r="O5591" s="15"/>
      <c r="P5591" s="15"/>
      <c r="Q5591" s="71"/>
      <c r="R5591" s="84"/>
      <c r="S5591" s="10"/>
      <c r="T5591" s="10"/>
      <c r="U5591" s="10"/>
      <c r="V5591" s="10"/>
      <c r="W5591" s="138"/>
      <c r="Y5591"/>
      <c r="Z5591"/>
      <c r="AA5591"/>
      <c r="AB5591"/>
      <c r="AC5591"/>
      <c r="AD5591"/>
      <c r="AE5591"/>
      <c r="AF5591"/>
      <c r="AG5591"/>
      <c r="AH5591"/>
      <c r="AI5591"/>
      <c r="AJ5591"/>
      <c r="AK5591"/>
      <c r="AL5591"/>
      <c r="AM5591"/>
      <c r="AN5591"/>
      <c r="AO5591"/>
    </row>
    <row r="5592" spans="1:41" ht="15">
      <c r="A5592"/>
      <c r="B5592"/>
      <c r="C5592" s="137"/>
      <c r="D5592" s="30"/>
      <c r="E5592" s="30"/>
      <c r="F5592" s="10"/>
      <c r="G5592" s="10"/>
      <c r="H5592" s="15"/>
      <c r="I5592" s="15"/>
      <c r="J5592" s="15"/>
      <c r="K5592" s="15"/>
      <c r="L5592" s="15"/>
      <c r="M5592" s="15"/>
      <c r="N5592" s="15"/>
      <c r="O5592" s="15"/>
      <c r="P5592" s="15"/>
      <c r="Q5592" s="71"/>
      <c r="R5592" s="84"/>
      <c r="S5592" s="10"/>
      <c r="T5592" s="10"/>
      <c r="U5592" s="10"/>
      <c r="V5592" s="10"/>
      <c r="W5592" s="138"/>
      <c r="Y5592"/>
      <c r="Z5592"/>
      <c r="AA5592"/>
      <c r="AB5592"/>
      <c r="AC5592"/>
      <c r="AD5592"/>
      <c r="AE5592"/>
      <c r="AF5592"/>
      <c r="AG5592"/>
      <c r="AH5592"/>
      <c r="AI5592"/>
      <c r="AJ5592"/>
      <c r="AK5592"/>
      <c r="AL5592"/>
      <c r="AM5592"/>
      <c r="AN5592"/>
      <c r="AO5592"/>
    </row>
    <row r="5593" spans="1:41" ht="15">
      <c r="A5593"/>
      <c r="B5593"/>
      <c r="C5593" s="137"/>
      <c r="D5593" s="30"/>
      <c r="E5593" s="30"/>
      <c r="F5593" s="10"/>
      <c r="G5593" s="10"/>
      <c r="H5593" s="15"/>
      <c r="I5593" s="15"/>
      <c r="J5593" s="15"/>
      <c r="K5593" s="15"/>
      <c r="L5593" s="15"/>
      <c r="M5593" s="15"/>
      <c r="N5593" s="15"/>
      <c r="O5593" s="15"/>
      <c r="P5593" s="15"/>
      <c r="Q5593" s="71"/>
      <c r="R5593" s="84"/>
      <c r="S5593" s="10"/>
      <c r="T5593" s="10"/>
      <c r="U5593" s="10"/>
      <c r="V5593" s="10"/>
      <c r="W5593" s="138"/>
      <c r="Y5593"/>
      <c r="Z5593"/>
      <c r="AA5593"/>
      <c r="AB5593"/>
      <c r="AC5593"/>
      <c r="AD5593"/>
      <c r="AE5593"/>
      <c r="AF5593"/>
      <c r="AG5593"/>
      <c r="AH5593"/>
      <c r="AI5593"/>
      <c r="AJ5593"/>
      <c r="AK5593"/>
      <c r="AL5593"/>
      <c r="AM5593"/>
      <c r="AN5593"/>
      <c r="AO5593"/>
    </row>
    <row r="5594" spans="1:41" ht="15">
      <c r="A5594"/>
      <c r="B5594"/>
      <c r="C5594" s="137"/>
      <c r="D5594" s="30"/>
      <c r="E5594" s="30"/>
      <c r="F5594" s="10"/>
      <c r="G5594" s="10"/>
      <c r="H5594" s="15"/>
      <c r="I5594" s="15"/>
      <c r="J5594" s="15"/>
      <c r="K5594" s="15"/>
      <c r="L5594" s="15"/>
      <c r="M5594" s="15"/>
      <c r="N5594" s="15"/>
      <c r="O5594" s="15"/>
      <c r="P5594" s="15"/>
      <c r="Q5594" s="71"/>
      <c r="R5594" s="84"/>
      <c r="S5594" s="10"/>
      <c r="T5594" s="10"/>
      <c r="U5594" s="10"/>
      <c r="V5594" s="10"/>
      <c r="W5594" s="138"/>
      <c r="Y5594"/>
      <c r="Z5594"/>
      <c r="AA5594"/>
      <c r="AB5594"/>
      <c r="AC5594"/>
      <c r="AD5594"/>
      <c r="AE5594"/>
      <c r="AF5594"/>
      <c r="AG5594"/>
      <c r="AH5594"/>
      <c r="AI5594"/>
      <c r="AJ5594"/>
      <c r="AK5594"/>
      <c r="AL5594"/>
      <c r="AM5594"/>
      <c r="AN5594"/>
      <c r="AO5594"/>
    </row>
    <row r="5595" spans="1:41" ht="15">
      <c r="A5595"/>
      <c r="B5595"/>
      <c r="C5595" s="137"/>
      <c r="D5595" s="30"/>
      <c r="E5595" s="30"/>
      <c r="F5595" s="10"/>
      <c r="G5595" s="10"/>
      <c r="H5595" s="15"/>
      <c r="I5595" s="15"/>
      <c r="J5595" s="15"/>
      <c r="K5595" s="15"/>
      <c r="L5595" s="15"/>
      <c r="M5595" s="15"/>
      <c r="N5595" s="15"/>
      <c r="O5595" s="15"/>
      <c r="P5595" s="15"/>
      <c r="Q5595" s="71"/>
      <c r="R5595" s="84"/>
      <c r="S5595" s="10"/>
      <c r="T5595" s="10"/>
      <c r="U5595" s="10"/>
      <c r="V5595" s="10"/>
      <c r="W5595" s="138"/>
      <c r="Y5595"/>
      <c r="Z5595"/>
      <c r="AA5595"/>
      <c r="AB5595"/>
      <c r="AC5595"/>
      <c r="AD5595"/>
      <c r="AE5595"/>
      <c r="AF5595"/>
      <c r="AG5595"/>
      <c r="AH5595"/>
      <c r="AI5595"/>
      <c r="AJ5595"/>
      <c r="AK5595"/>
      <c r="AL5595"/>
      <c r="AM5595"/>
      <c r="AN5595"/>
      <c r="AO5595"/>
    </row>
    <row r="5596" spans="1:41" ht="15">
      <c r="A5596"/>
      <c r="B5596"/>
      <c r="C5596" s="137"/>
      <c r="D5596" s="30"/>
      <c r="E5596" s="30"/>
      <c r="F5596" s="10"/>
      <c r="G5596" s="10"/>
      <c r="H5596" s="15"/>
      <c r="I5596" s="15"/>
      <c r="J5596" s="15"/>
      <c r="K5596" s="15"/>
      <c r="L5596" s="15"/>
      <c r="M5596" s="15"/>
      <c r="N5596" s="15"/>
      <c r="O5596" s="15"/>
      <c r="P5596" s="15"/>
      <c r="Q5596" s="71"/>
      <c r="R5596" s="84"/>
      <c r="S5596" s="10"/>
      <c r="T5596" s="10"/>
      <c r="U5596" s="10"/>
      <c r="V5596" s="10"/>
      <c r="W5596" s="138"/>
      <c r="Y5596"/>
      <c r="Z5596"/>
      <c r="AA5596"/>
      <c r="AB5596"/>
      <c r="AC5596"/>
      <c r="AD5596"/>
      <c r="AE5596"/>
      <c r="AF5596"/>
      <c r="AG5596"/>
      <c r="AH5596"/>
      <c r="AI5596"/>
      <c r="AJ5596"/>
      <c r="AK5596"/>
      <c r="AL5596"/>
      <c r="AM5596"/>
      <c r="AN5596"/>
      <c r="AO5596"/>
    </row>
    <row r="5597" spans="1:41" ht="15">
      <c r="A5597"/>
      <c r="B5597"/>
      <c r="C5597" s="137"/>
      <c r="D5597" s="30"/>
      <c r="E5597" s="30"/>
      <c r="F5597" s="10"/>
      <c r="G5597" s="10"/>
      <c r="H5597" s="15"/>
      <c r="I5597" s="15"/>
      <c r="J5597" s="15"/>
      <c r="K5597" s="15"/>
      <c r="L5597" s="15"/>
      <c r="M5597" s="15"/>
      <c r="N5597" s="15"/>
      <c r="O5597" s="15"/>
      <c r="P5597" s="15"/>
      <c r="Q5597" s="71"/>
      <c r="R5597" s="84"/>
      <c r="S5597" s="10"/>
      <c r="T5597" s="10"/>
      <c r="U5597" s="10"/>
      <c r="V5597" s="10"/>
      <c r="W5597" s="138"/>
      <c r="Y5597"/>
      <c r="Z5597"/>
      <c r="AA5597"/>
      <c r="AB5597"/>
      <c r="AC5597"/>
      <c r="AD5597"/>
      <c r="AE5597"/>
      <c r="AF5597"/>
      <c r="AG5597"/>
      <c r="AH5597"/>
      <c r="AI5597"/>
      <c r="AJ5597"/>
      <c r="AK5597"/>
      <c r="AL5597"/>
      <c r="AM5597"/>
      <c r="AN5597"/>
      <c r="AO5597"/>
    </row>
    <row r="5598" spans="1:41" ht="15">
      <c r="A5598"/>
      <c r="B5598"/>
      <c r="C5598" s="137"/>
      <c r="D5598" s="30"/>
      <c r="E5598" s="30"/>
      <c r="F5598" s="10"/>
      <c r="G5598" s="10"/>
      <c r="H5598" s="15"/>
      <c r="I5598" s="15"/>
      <c r="J5598" s="15"/>
      <c r="K5598" s="15"/>
      <c r="L5598" s="15"/>
      <c r="M5598" s="15"/>
      <c r="N5598" s="15"/>
      <c r="O5598" s="15"/>
      <c r="P5598" s="15"/>
      <c r="Q5598" s="71"/>
      <c r="R5598" s="84"/>
      <c r="S5598" s="10"/>
      <c r="T5598" s="10"/>
      <c r="U5598" s="10"/>
      <c r="V5598" s="10"/>
      <c r="W5598" s="138"/>
      <c r="Y5598"/>
      <c r="Z5598"/>
      <c r="AA5598"/>
      <c r="AB5598"/>
      <c r="AC5598"/>
      <c r="AD5598"/>
      <c r="AE5598"/>
      <c r="AF5598"/>
      <c r="AG5598"/>
      <c r="AH5598"/>
      <c r="AI5598"/>
      <c r="AJ5598"/>
      <c r="AK5598"/>
      <c r="AL5598"/>
      <c r="AM5598"/>
      <c r="AN5598"/>
      <c r="AO5598"/>
    </row>
    <row r="5599" spans="1:41" ht="15">
      <c r="A5599"/>
      <c r="B5599"/>
      <c r="C5599" s="137"/>
      <c r="D5599" s="30"/>
      <c r="E5599" s="30"/>
      <c r="F5599" s="10"/>
      <c r="G5599" s="10"/>
      <c r="H5599" s="15"/>
      <c r="I5599" s="15"/>
      <c r="J5599" s="15"/>
      <c r="K5599" s="15"/>
      <c r="L5599" s="15"/>
      <c r="M5599" s="15"/>
      <c r="N5599" s="15"/>
      <c r="O5599" s="15"/>
      <c r="P5599" s="15"/>
      <c r="Q5599" s="71"/>
      <c r="R5599" s="84"/>
      <c r="S5599" s="10"/>
      <c r="T5599" s="10"/>
      <c r="U5599" s="10"/>
      <c r="V5599" s="10"/>
      <c r="W5599" s="138"/>
      <c r="Y5599"/>
      <c r="Z5599"/>
      <c r="AA5599"/>
      <c r="AB5599"/>
      <c r="AC5599"/>
      <c r="AD5599"/>
      <c r="AE5599"/>
      <c r="AF5599"/>
      <c r="AG5599"/>
      <c r="AH5599"/>
      <c r="AI5599"/>
      <c r="AJ5599"/>
      <c r="AK5599"/>
      <c r="AL5599"/>
      <c r="AM5599"/>
      <c r="AN5599"/>
      <c r="AO5599"/>
    </row>
    <row r="5600" spans="1:41" ht="15">
      <c r="A5600"/>
      <c r="B5600"/>
      <c r="C5600" s="137"/>
      <c r="D5600" s="30"/>
      <c r="E5600" s="30"/>
      <c r="F5600" s="10"/>
      <c r="G5600" s="10"/>
      <c r="H5600" s="15"/>
      <c r="I5600" s="15"/>
      <c r="J5600" s="15"/>
      <c r="K5600" s="15"/>
      <c r="L5600" s="15"/>
      <c r="M5600" s="15"/>
      <c r="N5600" s="15"/>
      <c r="O5600" s="15"/>
      <c r="P5600" s="15"/>
      <c r="Q5600" s="71"/>
      <c r="R5600" s="84"/>
      <c r="S5600" s="10"/>
      <c r="T5600" s="10"/>
      <c r="U5600" s="10"/>
      <c r="V5600" s="10"/>
      <c r="W5600" s="138"/>
      <c r="Y5600"/>
      <c r="Z5600"/>
      <c r="AA5600"/>
      <c r="AB5600"/>
      <c r="AC5600"/>
      <c r="AD5600"/>
      <c r="AE5600"/>
      <c r="AF5600"/>
      <c r="AG5600"/>
      <c r="AH5600"/>
      <c r="AI5600"/>
      <c r="AJ5600"/>
      <c r="AK5600"/>
      <c r="AL5600"/>
      <c r="AM5600"/>
      <c r="AN5600"/>
      <c r="AO5600"/>
    </row>
    <row r="5601" spans="1:41" ht="15">
      <c r="A5601"/>
      <c r="B5601"/>
      <c r="C5601" s="137"/>
      <c r="D5601" s="30"/>
      <c r="E5601" s="30"/>
      <c r="F5601" s="10"/>
      <c r="G5601" s="10"/>
      <c r="H5601" s="15"/>
      <c r="I5601" s="15"/>
      <c r="J5601" s="15"/>
      <c r="K5601" s="15"/>
      <c r="L5601" s="15"/>
      <c r="M5601" s="15"/>
      <c r="N5601" s="15"/>
      <c r="O5601" s="15"/>
      <c r="P5601" s="15"/>
      <c r="Q5601" s="71"/>
      <c r="R5601" s="84"/>
      <c r="S5601" s="10"/>
      <c r="T5601" s="10"/>
      <c r="U5601" s="10"/>
      <c r="V5601" s="10"/>
      <c r="W5601" s="138"/>
      <c r="Y5601"/>
      <c r="Z5601"/>
      <c r="AA5601"/>
      <c r="AB5601"/>
      <c r="AC5601"/>
      <c r="AD5601"/>
      <c r="AE5601"/>
      <c r="AF5601"/>
      <c r="AG5601"/>
      <c r="AH5601"/>
      <c r="AI5601"/>
      <c r="AJ5601"/>
      <c r="AK5601"/>
      <c r="AL5601"/>
      <c r="AM5601"/>
      <c r="AN5601"/>
      <c r="AO5601"/>
    </row>
    <row r="5602" spans="1:41" ht="15">
      <c r="A5602"/>
      <c r="B5602"/>
      <c r="C5602" s="137"/>
      <c r="D5602" s="30"/>
      <c r="E5602" s="30"/>
      <c r="F5602" s="10"/>
      <c r="G5602" s="10"/>
      <c r="H5602" s="15"/>
      <c r="I5602" s="15"/>
      <c r="J5602" s="15"/>
      <c r="K5602" s="15"/>
      <c r="L5602" s="15"/>
      <c r="M5602" s="15"/>
      <c r="N5602" s="15"/>
      <c r="O5602" s="15"/>
      <c r="P5602" s="15"/>
      <c r="Q5602" s="71"/>
      <c r="R5602" s="84"/>
      <c r="S5602" s="10"/>
      <c r="T5602" s="10"/>
      <c r="U5602" s="10"/>
      <c r="V5602" s="10"/>
      <c r="W5602" s="138"/>
      <c r="Y5602"/>
      <c r="Z5602"/>
      <c r="AA5602"/>
      <c r="AB5602"/>
      <c r="AC5602"/>
      <c r="AD5602"/>
      <c r="AE5602"/>
      <c r="AF5602"/>
      <c r="AG5602"/>
      <c r="AH5602"/>
      <c r="AI5602"/>
      <c r="AJ5602"/>
      <c r="AK5602"/>
      <c r="AL5602"/>
      <c r="AM5602"/>
      <c r="AN5602"/>
      <c r="AO5602"/>
    </row>
    <row r="5603" spans="1:41" ht="15">
      <c r="A5603"/>
      <c r="B5603"/>
      <c r="C5603" s="137"/>
      <c r="D5603" s="30"/>
      <c r="E5603" s="30"/>
      <c r="F5603" s="10"/>
      <c r="G5603" s="10"/>
      <c r="H5603" s="15"/>
      <c r="I5603" s="15"/>
      <c r="J5603" s="15"/>
      <c r="K5603" s="15"/>
      <c r="L5603" s="15"/>
      <c r="M5603" s="15"/>
      <c r="N5603" s="15"/>
      <c r="O5603" s="15"/>
      <c r="P5603" s="15"/>
      <c r="Q5603" s="71"/>
      <c r="R5603" s="84"/>
      <c r="S5603" s="10"/>
      <c r="T5603" s="10"/>
      <c r="U5603" s="10"/>
      <c r="V5603" s="10"/>
      <c r="W5603" s="138"/>
      <c r="Y5603"/>
      <c r="Z5603"/>
      <c r="AA5603"/>
      <c r="AB5603"/>
      <c r="AC5603"/>
      <c r="AD5603"/>
      <c r="AE5603"/>
      <c r="AF5603"/>
      <c r="AG5603"/>
      <c r="AH5603"/>
      <c r="AI5603"/>
      <c r="AJ5603"/>
      <c r="AK5603"/>
      <c r="AL5603"/>
      <c r="AM5603"/>
      <c r="AN5603"/>
      <c r="AO5603"/>
    </row>
    <row r="5604" spans="1:41" ht="15">
      <c r="A5604"/>
      <c r="B5604"/>
      <c r="C5604" s="137"/>
      <c r="D5604" s="30"/>
      <c r="E5604" s="30"/>
      <c r="F5604" s="10"/>
      <c r="G5604" s="10"/>
      <c r="H5604" s="15"/>
      <c r="I5604" s="15"/>
      <c r="J5604" s="15"/>
      <c r="K5604" s="15"/>
      <c r="L5604" s="15"/>
      <c r="M5604" s="15"/>
      <c r="N5604" s="15"/>
      <c r="O5604" s="15"/>
      <c r="P5604" s="15"/>
      <c r="Q5604" s="71"/>
      <c r="R5604" s="84"/>
      <c r="S5604" s="10"/>
      <c r="T5604" s="10"/>
      <c r="U5604" s="10"/>
      <c r="V5604" s="10"/>
      <c r="W5604" s="138"/>
      <c r="Y5604"/>
      <c r="Z5604"/>
      <c r="AA5604"/>
      <c r="AB5604"/>
      <c r="AC5604"/>
      <c r="AD5604"/>
      <c r="AE5604"/>
      <c r="AF5604"/>
      <c r="AG5604"/>
      <c r="AH5604"/>
      <c r="AI5604"/>
      <c r="AJ5604"/>
      <c r="AK5604"/>
      <c r="AL5604"/>
      <c r="AM5604"/>
      <c r="AN5604"/>
      <c r="AO5604"/>
    </row>
    <row r="5605" spans="1:41" ht="15">
      <c r="A5605"/>
      <c r="B5605"/>
      <c r="C5605" s="137"/>
      <c r="D5605" s="30"/>
      <c r="E5605" s="30"/>
      <c r="F5605" s="10"/>
      <c r="G5605" s="10"/>
      <c r="H5605" s="15"/>
      <c r="I5605" s="15"/>
      <c r="J5605" s="15"/>
      <c r="K5605" s="15"/>
      <c r="L5605" s="15"/>
      <c r="M5605" s="15"/>
      <c r="N5605" s="15"/>
      <c r="O5605" s="15"/>
      <c r="P5605" s="15"/>
      <c r="Q5605" s="71"/>
      <c r="R5605" s="84"/>
      <c r="S5605" s="10"/>
      <c r="T5605" s="10"/>
      <c r="U5605" s="10"/>
      <c r="V5605" s="10"/>
      <c r="W5605" s="138"/>
      <c r="Y5605"/>
      <c r="Z5605"/>
      <c r="AA5605"/>
      <c r="AB5605"/>
      <c r="AC5605"/>
      <c r="AD5605"/>
      <c r="AE5605"/>
      <c r="AF5605"/>
      <c r="AG5605"/>
      <c r="AH5605"/>
      <c r="AI5605"/>
      <c r="AJ5605"/>
      <c r="AK5605"/>
      <c r="AL5605"/>
      <c r="AM5605"/>
      <c r="AN5605"/>
      <c r="AO5605"/>
    </row>
    <row r="5606" spans="1:41" ht="15">
      <c r="A5606"/>
      <c r="B5606"/>
      <c r="C5606" s="137"/>
      <c r="D5606" s="30"/>
      <c r="E5606" s="30"/>
      <c r="F5606" s="10"/>
      <c r="G5606" s="10"/>
      <c r="H5606" s="15"/>
      <c r="I5606" s="15"/>
      <c r="J5606" s="15"/>
      <c r="K5606" s="15"/>
      <c r="L5606" s="15"/>
      <c r="M5606" s="15"/>
      <c r="N5606" s="15"/>
      <c r="O5606" s="15"/>
      <c r="P5606" s="15"/>
      <c r="Q5606" s="71"/>
      <c r="R5606" s="84"/>
      <c r="S5606" s="10"/>
      <c r="T5606" s="10"/>
      <c r="U5606" s="10"/>
      <c r="V5606" s="10"/>
      <c r="W5606" s="138"/>
      <c r="Y5606"/>
      <c r="Z5606"/>
      <c r="AA5606"/>
      <c r="AB5606"/>
      <c r="AC5606"/>
      <c r="AD5606"/>
      <c r="AE5606"/>
      <c r="AF5606"/>
      <c r="AG5606"/>
      <c r="AH5606"/>
      <c r="AI5606"/>
      <c r="AJ5606"/>
      <c r="AK5606"/>
      <c r="AL5606"/>
      <c r="AM5606"/>
      <c r="AN5606"/>
      <c r="AO5606"/>
    </row>
    <row r="5607" spans="1:41" ht="15">
      <c r="A5607"/>
      <c r="B5607"/>
      <c r="C5607" s="137"/>
      <c r="D5607" s="30"/>
      <c r="E5607" s="30"/>
      <c r="F5607" s="10"/>
      <c r="G5607" s="10"/>
      <c r="H5607" s="15"/>
      <c r="I5607" s="15"/>
      <c r="J5607" s="15"/>
      <c r="K5607" s="15"/>
      <c r="L5607" s="15"/>
      <c r="M5607" s="15"/>
      <c r="N5607" s="15"/>
      <c r="O5607" s="15"/>
      <c r="P5607" s="15"/>
      <c r="Q5607" s="71"/>
      <c r="R5607" s="84"/>
      <c r="S5607" s="10"/>
      <c r="T5607" s="10"/>
      <c r="U5607" s="10"/>
      <c r="V5607" s="10"/>
      <c r="W5607" s="138"/>
      <c r="Y5607"/>
      <c r="Z5607"/>
      <c r="AA5607"/>
      <c r="AB5607"/>
      <c r="AC5607"/>
      <c r="AD5607"/>
      <c r="AE5607"/>
      <c r="AF5607"/>
      <c r="AG5607"/>
      <c r="AH5607"/>
      <c r="AI5607"/>
      <c r="AJ5607"/>
      <c r="AK5607"/>
      <c r="AL5607"/>
      <c r="AM5607"/>
      <c r="AN5607"/>
      <c r="AO5607"/>
    </row>
    <row r="5608" spans="1:41" ht="15">
      <c r="A5608"/>
      <c r="B5608"/>
      <c r="C5608" s="137"/>
      <c r="D5608" s="30"/>
      <c r="E5608" s="30"/>
      <c r="F5608" s="10"/>
      <c r="G5608" s="10"/>
      <c r="H5608" s="15"/>
      <c r="I5608" s="15"/>
      <c r="J5608" s="15"/>
      <c r="K5608" s="15"/>
      <c r="L5608" s="15"/>
      <c r="M5608" s="15"/>
      <c r="N5608" s="15"/>
      <c r="O5608" s="15"/>
      <c r="P5608" s="15"/>
      <c r="Q5608" s="71"/>
      <c r="R5608" s="84"/>
      <c r="S5608" s="10"/>
      <c r="T5608" s="10"/>
      <c r="U5608" s="10"/>
      <c r="V5608" s="10"/>
      <c r="W5608" s="138"/>
      <c r="Y5608"/>
      <c r="Z5608"/>
      <c r="AA5608"/>
      <c r="AB5608"/>
      <c r="AC5608"/>
      <c r="AD5608"/>
      <c r="AE5608"/>
      <c r="AF5608"/>
      <c r="AG5608"/>
      <c r="AH5608"/>
      <c r="AI5608"/>
      <c r="AJ5608"/>
      <c r="AK5608"/>
      <c r="AL5608"/>
      <c r="AM5608"/>
      <c r="AN5608"/>
      <c r="AO5608"/>
    </row>
    <row r="5609" spans="1:41" ht="15">
      <c r="A5609"/>
      <c r="B5609"/>
      <c r="C5609" s="137"/>
      <c r="D5609" s="30"/>
      <c r="E5609" s="30"/>
      <c r="F5609" s="10"/>
      <c r="G5609" s="10"/>
      <c r="H5609" s="15"/>
      <c r="I5609" s="15"/>
      <c r="J5609" s="15"/>
      <c r="K5609" s="15"/>
      <c r="L5609" s="15"/>
      <c r="M5609" s="15"/>
      <c r="N5609" s="15"/>
      <c r="O5609" s="15"/>
      <c r="P5609" s="15"/>
      <c r="Q5609" s="71"/>
      <c r="R5609" s="84"/>
      <c r="S5609" s="10"/>
      <c r="T5609" s="10"/>
      <c r="U5609" s="10"/>
      <c r="V5609" s="10"/>
      <c r="W5609" s="138"/>
      <c r="Y5609"/>
      <c r="Z5609"/>
      <c r="AA5609"/>
      <c r="AB5609"/>
      <c r="AC5609"/>
      <c r="AD5609"/>
      <c r="AE5609"/>
      <c r="AF5609"/>
      <c r="AG5609"/>
      <c r="AH5609"/>
      <c r="AI5609"/>
      <c r="AJ5609"/>
      <c r="AK5609"/>
      <c r="AL5609"/>
      <c r="AM5609"/>
      <c r="AN5609"/>
      <c r="AO5609"/>
    </row>
    <row r="5610" spans="1:41" ht="15">
      <c r="A5610"/>
      <c r="B5610"/>
      <c r="C5610" s="137"/>
      <c r="D5610" s="30"/>
      <c r="E5610" s="30"/>
      <c r="F5610" s="10"/>
      <c r="G5610" s="10"/>
      <c r="H5610" s="15"/>
      <c r="I5610" s="15"/>
      <c r="J5610" s="15"/>
      <c r="K5610" s="15"/>
      <c r="L5610" s="15"/>
      <c r="M5610" s="15"/>
      <c r="N5610" s="15"/>
      <c r="O5610" s="15"/>
      <c r="P5610" s="15"/>
      <c r="Q5610" s="71"/>
      <c r="R5610" s="84"/>
      <c r="S5610" s="10"/>
      <c r="T5610" s="10"/>
      <c r="U5610" s="10"/>
      <c r="V5610" s="10"/>
      <c r="W5610" s="138"/>
      <c r="Y5610"/>
      <c r="Z5610"/>
      <c r="AA5610"/>
      <c r="AB5610"/>
      <c r="AC5610"/>
      <c r="AD5610"/>
      <c r="AE5610"/>
      <c r="AF5610"/>
      <c r="AG5610"/>
      <c r="AH5610"/>
      <c r="AI5610"/>
      <c r="AJ5610"/>
      <c r="AK5610"/>
      <c r="AL5610"/>
      <c r="AM5610"/>
      <c r="AN5610"/>
      <c r="AO5610"/>
    </row>
    <row r="5611" spans="1:41" ht="15">
      <c r="A5611"/>
      <c r="B5611"/>
      <c r="C5611" s="137"/>
      <c r="D5611" s="30"/>
      <c r="E5611" s="30"/>
      <c r="F5611" s="10"/>
      <c r="G5611" s="10"/>
      <c r="H5611" s="15"/>
      <c r="I5611" s="15"/>
      <c r="J5611" s="15"/>
      <c r="K5611" s="15"/>
      <c r="L5611" s="15"/>
      <c r="M5611" s="15"/>
      <c r="N5611" s="15"/>
      <c r="O5611" s="15"/>
      <c r="P5611" s="15"/>
      <c r="Q5611" s="71"/>
      <c r="R5611" s="84"/>
      <c r="S5611" s="10"/>
      <c r="T5611" s="10"/>
      <c r="U5611" s="10"/>
      <c r="V5611" s="10"/>
      <c r="W5611" s="138"/>
      <c r="Y5611"/>
      <c r="Z5611"/>
      <c r="AA5611"/>
      <c r="AB5611"/>
      <c r="AC5611"/>
      <c r="AD5611"/>
      <c r="AE5611"/>
      <c r="AF5611"/>
      <c r="AG5611"/>
      <c r="AH5611"/>
      <c r="AI5611"/>
      <c r="AJ5611"/>
      <c r="AK5611"/>
      <c r="AL5611"/>
      <c r="AM5611"/>
      <c r="AN5611"/>
      <c r="AO5611"/>
    </row>
    <row r="5612" spans="1:41" ht="15">
      <c r="A5612"/>
      <c r="B5612"/>
      <c r="C5612" s="137"/>
      <c r="D5612" s="30"/>
      <c r="E5612" s="30"/>
      <c r="F5612" s="10"/>
      <c r="G5612" s="10"/>
      <c r="H5612" s="15"/>
      <c r="I5612" s="15"/>
      <c r="J5612" s="15"/>
      <c r="K5612" s="15"/>
      <c r="L5612" s="15"/>
      <c r="M5612" s="15"/>
      <c r="N5612" s="15"/>
      <c r="O5612" s="15"/>
      <c r="P5612" s="15"/>
      <c r="Q5612" s="71"/>
      <c r="R5612" s="84"/>
      <c r="S5612" s="10"/>
      <c r="T5612" s="10"/>
      <c r="U5612" s="10"/>
      <c r="V5612" s="10"/>
      <c r="W5612" s="138"/>
      <c r="Y5612"/>
      <c r="Z5612"/>
      <c r="AA5612"/>
      <c r="AB5612"/>
      <c r="AC5612"/>
      <c r="AD5612"/>
      <c r="AE5612"/>
      <c r="AF5612"/>
      <c r="AG5612"/>
      <c r="AH5612"/>
      <c r="AI5612"/>
      <c r="AJ5612"/>
      <c r="AK5612"/>
      <c r="AL5612"/>
      <c r="AM5612"/>
      <c r="AN5612"/>
      <c r="AO5612"/>
    </row>
    <row r="5613" spans="1:41" ht="15">
      <c r="A5613"/>
      <c r="B5613"/>
      <c r="C5613" s="137"/>
      <c r="D5613" s="30"/>
      <c r="E5613" s="30"/>
      <c r="F5613" s="10"/>
      <c r="G5613" s="10"/>
      <c r="H5613" s="15"/>
      <c r="I5613" s="15"/>
      <c r="J5613" s="15"/>
      <c r="K5613" s="15"/>
      <c r="L5613" s="15"/>
      <c r="M5613" s="15"/>
      <c r="N5613" s="15"/>
      <c r="O5613" s="15"/>
      <c r="P5613" s="15"/>
      <c r="Q5613" s="71"/>
      <c r="R5613" s="84"/>
      <c r="S5613" s="10"/>
      <c r="T5613" s="10"/>
      <c r="U5613" s="10"/>
      <c r="V5613" s="10"/>
      <c r="W5613" s="138"/>
      <c r="Y5613"/>
      <c r="Z5613"/>
      <c r="AA5613"/>
      <c r="AB5613"/>
      <c r="AC5613"/>
      <c r="AD5613"/>
      <c r="AE5613"/>
      <c r="AF5613"/>
      <c r="AG5613"/>
      <c r="AH5613"/>
      <c r="AI5613"/>
      <c r="AJ5613"/>
      <c r="AK5613"/>
      <c r="AL5613"/>
      <c r="AM5613"/>
      <c r="AN5613"/>
      <c r="AO5613"/>
    </row>
    <row r="5614" spans="1:41" ht="15">
      <c r="A5614"/>
      <c r="B5614"/>
      <c r="C5614" s="137"/>
      <c r="D5614" s="30"/>
      <c r="E5614" s="30"/>
      <c r="F5614" s="10"/>
      <c r="G5614" s="10"/>
      <c r="H5614" s="15"/>
      <c r="I5614" s="15"/>
      <c r="J5614" s="15"/>
      <c r="K5614" s="15"/>
      <c r="L5614" s="15"/>
      <c r="M5614" s="15"/>
      <c r="N5614" s="15"/>
      <c r="O5614" s="15"/>
      <c r="P5614" s="15"/>
      <c r="Q5614" s="71"/>
      <c r="R5614" s="84"/>
      <c r="S5614" s="10"/>
      <c r="T5614" s="10"/>
      <c r="U5614" s="10"/>
      <c r="V5614" s="10"/>
      <c r="W5614" s="138"/>
      <c r="Y5614"/>
      <c r="Z5614"/>
      <c r="AA5614"/>
      <c r="AB5614"/>
      <c r="AC5614"/>
      <c r="AD5614"/>
      <c r="AE5614"/>
      <c r="AF5614"/>
      <c r="AG5614"/>
      <c r="AH5614"/>
      <c r="AI5614"/>
      <c r="AJ5614"/>
      <c r="AK5614"/>
      <c r="AL5614"/>
      <c r="AM5614"/>
      <c r="AN5614"/>
      <c r="AO5614"/>
    </row>
    <row r="5615" spans="1:41" ht="15">
      <c r="A5615"/>
      <c r="B5615"/>
      <c r="C5615" s="137"/>
      <c r="D5615" s="30"/>
      <c r="E5615" s="30"/>
      <c r="F5615" s="10"/>
      <c r="G5615" s="10"/>
      <c r="H5615" s="15"/>
      <c r="I5615" s="15"/>
      <c r="J5615" s="15"/>
      <c r="K5615" s="15"/>
      <c r="L5615" s="15"/>
      <c r="M5615" s="15"/>
      <c r="N5615" s="15"/>
      <c r="O5615" s="15"/>
      <c r="P5615" s="15"/>
      <c r="Q5615" s="71"/>
      <c r="R5615" s="84"/>
      <c r="S5615" s="10"/>
      <c r="T5615" s="10"/>
      <c r="U5615" s="10"/>
      <c r="V5615" s="10"/>
      <c r="W5615" s="138"/>
      <c r="Y5615"/>
      <c r="Z5615"/>
      <c r="AA5615"/>
      <c r="AB5615"/>
      <c r="AC5615"/>
      <c r="AD5615"/>
      <c r="AE5615"/>
      <c r="AF5615"/>
      <c r="AG5615"/>
      <c r="AH5615"/>
      <c r="AI5615"/>
      <c r="AJ5615"/>
      <c r="AK5615"/>
      <c r="AL5615"/>
      <c r="AM5615"/>
      <c r="AN5615"/>
      <c r="AO5615"/>
    </row>
    <row r="5616" spans="1:41" ht="15">
      <c r="A5616"/>
      <c r="B5616"/>
      <c r="C5616" s="137"/>
      <c r="D5616" s="30"/>
      <c r="E5616" s="30"/>
      <c r="F5616" s="10"/>
      <c r="G5616" s="10"/>
      <c r="H5616" s="15"/>
      <c r="I5616" s="15"/>
      <c r="J5616" s="15"/>
      <c r="K5616" s="15"/>
      <c r="L5616" s="15"/>
      <c r="M5616" s="15"/>
      <c r="N5616" s="15"/>
      <c r="O5616" s="15"/>
      <c r="P5616" s="15"/>
      <c r="Q5616" s="71"/>
      <c r="R5616" s="84"/>
      <c r="S5616" s="10"/>
      <c r="T5616" s="10"/>
      <c r="U5616" s="10"/>
      <c r="V5616" s="10"/>
      <c r="W5616" s="138"/>
      <c r="Y5616"/>
      <c r="Z5616"/>
      <c r="AA5616"/>
      <c r="AB5616"/>
      <c r="AC5616"/>
      <c r="AD5616"/>
      <c r="AE5616"/>
      <c r="AF5616"/>
      <c r="AG5616"/>
      <c r="AH5616"/>
      <c r="AI5616"/>
      <c r="AJ5616"/>
      <c r="AK5616"/>
      <c r="AL5616"/>
      <c r="AM5616"/>
      <c r="AN5616"/>
      <c r="AO5616"/>
    </row>
    <row r="5617" spans="1:41" ht="15">
      <c r="A5617"/>
      <c r="B5617"/>
      <c r="C5617" s="137"/>
      <c r="D5617" s="30"/>
      <c r="E5617" s="30"/>
      <c r="F5617" s="10"/>
      <c r="G5617" s="10"/>
      <c r="H5617" s="15"/>
      <c r="I5617" s="15"/>
      <c r="J5617" s="15"/>
      <c r="K5617" s="15"/>
      <c r="L5617" s="15"/>
      <c r="M5617" s="15"/>
      <c r="N5617" s="15"/>
      <c r="O5617" s="15"/>
      <c r="P5617" s="15"/>
      <c r="Q5617" s="71"/>
      <c r="R5617" s="84"/>
      <c r="S5617" s="10"/>
      <c r="T5617" s="10"/>
      <c r="U5617" s="10"/>
      <c r="V5617" s="10"/>
      <c r="W5617" s="138"/>
      <c r="Y5617"/>
      <c r="Z5617"/>
      <c r="AA5617"/>
      <c r="AB5617"/>
      <c r="AC5617"/>
      <c r="AD5617"/>
      <c r="AE5617"/>
      <c r="AF5617"/>
      <c r="AG5617"/>
      <c r="AH5617"/>
      <c r="AI5617"/>
      <c r="AJ5617"/>
      <c r="AK5617"/>
      <c r="AL5617"/>
      <c r="AM5617"/>
      <c r="AN5617"/>
      <c r="AO5617"/>
    </row>
    <row r="5618" spans="1:41" ht="15">
      <c r="A5618"/>
      <c r="B5618"/>
      <c r="C5618" s="137"/>
      <c r="D5618" s="30"/>
      <c r="E5618" s="30"/>
      <c r="F5618" s="10"/>
      <c r="G5618" s="10"/>
      <c r="H5618" s="15"/>
      <c r="I5618" s="15"/>
      <c r="J5618" s="15"/>
      <c r="K5618" s="15"/>
      <c r="L5618" s="15"/>
      <c r="M5618" s="15"/>
      <c r="N5618" s="15"/>
      <c r="O5618" s="15"/>
      <c r="P5618" s="15"/>
      <c r="Q5618" s="71"/>
      <c r="R5618" s="84"/>
      <c r="S5618" s="10"/>
      <c r="T5618" s="10"/>
      <c r="U5618" s="10"/>
      <c r="V5618" s="10"/>
      <c r="W5618" s="138"/>
      <c r="Y5618"/>
      <c r="Z5618"/>
      <c r="AA5618"/>
      <c r="AB5618"/>
      <c r="AC5618"/>
      <c r="AD5618"/>
      <c r="AE5618"/>
      <c r="AF5618"/>
      <c r="AG5618"/>
      <c r="AH5618"/>
      <c r="AI5618"/>
      <c r="AJ5618"/>
      <c r="AK5618"/>
      <c r="AL5618"/>
      <c r="AM5618"/>
      <c r="AN5618"/>
      <c r="AO5618"/>
    </row>
    <row r="5619" spans="1:41" ht="15">
      <c r="A5619"/>
      <c r="B5619"/>
      <c r="C5619" s="137"/>
      <c r="D5619" s="30"/>
      <c r="E5619" s="30"/>
      <c r="F5619" s="10"/>
      <c r="G5619" s="10"/>
      <c r="H5619" s="15"/>
      <c r="I5619" s="15"/>
      <c r="J5619" s="15"/>
      <c r="K5619" s="15"/>
      <c r="L5619" s="15"/>
      <c r="M5619" s="15"/>
      <c r="N5619" s="15"/>
      <c r="O5619" s="15"/>
      <c r="P5619" s="15"/>
      <c r="Q5619" s="71"/>
      <c r="R5619" s="84"/>
      <c r="S5619" s="10"/>
      <c r="T5619" s="10"/>
      <c r="U5619" s="10"/>
      <c r="V5619" s="10"/>
      <c r="W5619" s="138"/>
      <c r="Y5619"/>
      <c r="Z5619"/>
      <c r="AA5619"/>
      <c r="AB5619"/>
      <c r="AC5619"/>
      <c r="AD5619"/>
      <c r="AE5619"/>
      <c r="AF5619"/>
      <c r="AG5619"/>
      <c r="AH5619"/>
      <c r="AI5619"/>
      <c r="AJ5619"/>
      <c r="AK5619"/>
      <c r="AL5619"/>
      <c r="AM5619"/>
      <c r="AN5619"/>
      <c r="AO5619"/>
    </row>
    <row r="5620" spans="1:41" ht="15">
      <c r="A5620"/>
      <c r="B5620"/>
      <c r="C5620" s="137"/>
      <c r="D5620" s="30"/>
      <c r="E5620" s="30"/>
      <c r="F5620" s="10"/>
      <c r="G5620" s="10"/>
      <c r="H5620" s="15"/>
      <c r="I5620" s="15"/>
      <c r="J5620" s="15"/>
      <c r="K5620" s="15"/>
      <c r="L5620" s="15"/>
      <c r="M5620" s="15"/>
      <c r="N5620" s="15"/>
      <c r="O5620" s="15"/>
      <c r="P5620" s="15"/>
      <c r="Q5620" s="71"/>
      <c r="R5620" s="84"/>
      <c r="S5620" s="10"/>
      <c r="T5620" s="10"/>
      <c r="U5620" s="10"/>
      <c r="V5620" s="10"/>
      <c r="W5620" s="138"/>
      <c r="Y5620"/>
      <c r="Z5620"/>
      <c r="AA5620"/>
      <c r="AB5620"/>
      <c r="AC5620"/>
      <c r="AD5620"/>
      <c r="AE5620"/>
      <c r="AF5620"/>
      <c r="AG5620"/>
      <c r="AH5620"/>
      <c r="AI5620"/>
      <c r="AJ5620"/>
      <c r="AK5620"/>
      <c r="AL5620"/>
      <c r="AM5620"/>
      <c r="AN5620"/>
      <c r="AO5620"/>
    </row>
    <row r="5621" spans="1:41" ht="15">
      <c r="A5621"/>
      <c r="B5621"/>
      <c r="C5621" s="137"/>
      <c r="D5621" s="30"/>
      <c r="E5621" s="30"/>
      <c r="F5621" s="10"/>
      <c r="G5621" s="10"/>
      <c r="H5621" s="15"/>
      <c r="I5621" s="15"/>
      <c r="J5621" s="15"/>
      <c r="K5621" s="15"/>
      <c r="L5621" s="15"/>
      <c r="M5621" s="15"/>
      <c r="N5621" s="15"/>
      <c r="O5621" s="15"/>
      <c r="P5621" s="15"/>
      <c r="Q5621" s="71"/>
      <c r="R5621" s="84"/>
      <c r="S5621" s="10"/>
      <c r="T5621" s="10"/>
      <c r="U5621" s="10"/>
      <c r="V5621" s="10"/>
      <c r="W5621" s="138"/>
      <c r="Y5621"/>
      <c r="Z5621"/>
      <c r="AA5621"/>
      <c r="AB5621"/>
      <c r="AC5621"/>
      <c r="AD5621"/>
      <c r="AE5621"/>
      <c r="AF5621"/>
      <c r="AG5621"/>
      <c r="AH5621"/>
      <c r="AI5621"/>
      <c r="AJ5621"/>
      <c r="AK5621"/>
      <c r="AL5621"/>
      <c r="AM5621"/>
      <c r="AN5621"/>
      <c r="AO5621"/>
    </row>
    <row r="5622" spans="1:41" ht="15">
      <c r="A5622"/>
      <c r="B5622"/>
      <c r="C5622" s="137"/>
      <c r="D5622" s="30"/>
      <c r="E5622" s="30"/>
      <c r="F5622" s="10"/>
      <c r="G5622" s="10"/>
      <c r="H5622" s="15"/>
      <c r="I5622" s="15"/>
      <c r="J5622" s="15"/>
      <c r="K5622" s="15"/>
      <c r="L5622" s="15"/>
      <c r="M5622" s="15"/>
      <c r="N5622" s="15"/>
      <c r="O5622" s="15"/>
      <c r="P5622" s="15"/>
      <c r="Q5622" s="71"/>
      <c r="R5622" s="84"/>
      <c r="S5622" s="10"/>
      <c r="T5622" s="10"/>
      <c r="U5622" s="10"/>
      <c r="V5622" s="10"/>
      <c r="W5622" s="138"/>
      <c r="Y5622"/>
      <c r="Z5622"/>
      <c r="AA5622"/>
      <c r="AB5622"/>
      <c r="AC5622"/>
      <c r="AD5622"/>
      <c r="AE5622"/>
      <c r="AF5622"/>
      <c r="AG5622"/>
      <c r="AH5622"/>
      <c r="AI5622"/>
      <c r="AJ5622"/>
      <c r="AK5622"/>
      <c r="AL5622"/>
      <c r="AM5622"/>
      <c r="AN5622"/>
      <c r="AO5622"/>
    </row>
    <row r="5623" spans="1:41" ht="15">
      <c r="A5623"/>
      <c r="B5623"/>
      <c r="C5623" s="137"/>
      <c r="D5623" s="30"/>
      <c r="E5623" s="30"/>
      <c r="F5623" s="10"/>
      <c r="G5623" s="10"/>
      <c r="H5623" s="15"/>
      <c r="I5623" s="15"/>
      <c r="J5623" s="15"/>
      <c r="K5623" s="15"/>
      <c r="L5623" s="15"/>
      <c r="M5623" s="15"/>
      <c r="N5623" s="15"/>
      <c r="O5623" s="15"/>
      <c r="P5623" s="15"/>
      <c r="Q5623" s="71"/>
      <c r="R5623" s="84"/>
      <c r="S5623" s="10"/>
      <c r="T5623" s="10"/>
      <c r="U5623" s="10"/>
      <c r="V5623" s="10"/>
      <c r="W5623" s="138"/>
      <c r="Y5623"/>
      <c r="Z5623"/>
      <c r="AA5623"/>
      <c r="AB5623"/>
      <c r="AC5623"/>
      <c r="AD5623"/>
      <c r="AE5623"/>
      <c r="AF5623"/>
      <c r="AG5623"/>
      <c r="AH5623"/>
      <c r="AI5623"/>
      <c r="AJ5623"/>
      <c r="AK5623"/>
      <c r="AL5623"/>
      <c r="AM5623"/>
      <c r="AN5623"/>
      <c r="AO5623"/>
    </row>
    <row r="5624" spans="1:41" ht="15">
      <c r="A5624"/>
      <c r="B5624"/>
      <c r="C5624" s="137"/>
      <c r="D5624" s="30"/>
      <c r="E5624" s="30"/>
      <c r="F5624" s="10"/>
      <c r="G5624" s="10"/>
      <c r="H5624" s="15"/>
      <c r="I5624" s="15"/>
      <c r="J5624" s="15"/>
      <c r="K5624" s="15"/>
      <c r="L5624" s="15"/>
      <c r="M5624" s="15"/>
      <c r="N5624" s="15"/>
      <c r="O5624" s="15"/>
      <c r="P5624" s="15"/>
      <c r="Q5624" s="71"/>
      <c r="R5624" s="84"/>
      <c r="S5624" s="10"/>
      <c r="T5624" s="10"/>
      <c r="U5624" s="10"/>
      <c r="V5624" s="10"/>
      <c r="W5624" s="138"/>
      <c r="Y5624"/>
      <c r="Z5624"/>
      <c r="AA5624"/>
      <c r="AB5624"/>
      <c r="AC5624"/>
      <c r="AD5624"/>
      <c r="AE5624"/>
      <c r="AF5624"/>
      <c r="AG5624"/>
      <c r="AH5624"/>
      <c r="AI5624"/>
      <c r="AJ5624"/>
      <c r="AK5624"/>
      <c r="AL5624"/>
      <c r="AM5624"/>
      <c r="AN5624"/>
      <c r="AO5624"/>
    </row>
    <row r="5625" spans="1:41" ht="15">
      <c r="A5625"/>
      <c r="B5625"/>
      <c r="C5625" s="137"/>
      <c r="D5625" s="30"/>
      <c r="E5625" s="30"/>
      <c r="F5625" s="10"/>
      <c r="G5625" s="10"/>
      <c r="H5625" s="15"/>
      <c r="I5625" s="15"/>
      <c r="J5625" s="15"/>
      <c r="K5625" s="15"/>
      <c r="L5625" s="15"/>
      <c r="M5625" s="15"/>
      <c r="N5625" s="15"/>
      <c r="O5625" s="15"/>
      <c r="P5625" s="15"/>
      <c r="Q5625" s="71"/>
      <c r="R5625" s="84"/>
      <c r="S5625" s="10"/>
      <c r="T5625" s="10"/>
      <c r="U5625" s="10"/>
      <c r="V5625" s="10"/>
      <c r="W5625" s="138"/>
      <c r="Y5625"/>
      <c r="Z5625"/>
      <c r="AA5625"/>
      <c r="AB5625"/>
      <c r="AC5625"/>
      <c r="AD5625"/>
      <c r="AE5625"/>
      <c r="AF5625"/>
      <c r="AG5625"/>
      <c r="AH5625"/>
      <c r="AI5625"/>
      <c r="AJ5625"/>
      <c r="AK5625"/>
      <c r="AL5625"/>
      <c r="AM5625"/>
      <c r="AN5625"/>
      <c r="AO5625"/>
    </row>
    <row r="5626" spans="1:41" ht="15">
      <c r="A5626"/>
      <c r="B5626"/>
      <c r="C5626" s="137"/>
      <c r="D5626" s="30"/>
      <c r="E5626" s="30"/>
      <c r="F5626" s="10"/>
      <c r="G5626" s="10"/>
      <c r="H5626" s="15"/>
      <c r="I5626" s="15"/>
      <c r="J5626" s="15"/>
      <c r="K5626" s="15"/>
      <c r="L5626" s="15"/>
      <c r="M5626" s="15"/>
      <c r="N5626" s="15"/>
      <c r="O5626" s="15"/>
      <c r="P5626" s="15"/>
      <c r="Q5626" s="71"/>
      <c r="R5626" s="84"/>
      <c r="S5626" s="10"/>
      <c r="T5626" s="10"/>
      <c r="U5626" s="10"/>
      <c r="V5626" s="10"/>
      <c r="W5626" s="138"/>
      <c r="Y5626"/>
      <c r="Z5626"/>
      <c r="AA5626"/>
      <c r="AB5626"/>
      <c r="AC5626"/>
      <c r="AD5626"/>
      <c r="AE5626"/>
      <c r="AF5626"/>
      <c r="AG5626"/>
      <c r="AH5626"/>
      <c r="AI5626"/>
      <c r="AJ5626"/>
      <c r="AK5626"/>
      <c r="AL5626"/>
      <c r="AM5626"/>
      <c r="AN5626"/>
      <c r="AO5626"/>
    </row>
    <row r="5627" spans="1:41" ht="15">
      <c r="A5627"/>
      <c r="B5627"/>
      <c r="C5627" s="137"/>
      <c r="D5627" s="30"/>
      <c r="E5627" s="30"/>
      <c r="F5627" s="10"/>
      <c r="G5627" s="10"/>
      <c r="H5627" s="15"/>
      <c r="I5627" s="15"/>
      <c r="J5627" s="15"/>
      <c r="K5627" s="15"/>
      <c r="L5627" s="15"/>
      <c r="M5627" s="15"/>
      <c r="N5627" s="15"/>
      <c r="O5627" s="15"/>
      <c r="P5627" s="15"/>
      <c r="Q5627" s="71"/>
      <c r="R5627" s="84"/>
      <c r="S5627" s="10"/>
      <c r="T5627" s="10"/>
      <c r="U5627" s="10"/>
      <c r="V5627" s="10"/>
      <c r="W5627" s="138"/>
      <c r="Y5627"/>
      <c r="Z5627"/>
      <c r="AA5627"/>
      <c r="AB5627"/>
      <c r="AC5627"/>
      <c r="AD5627"/>
      <c r="AE5627"/>
      <c r="AF5627"/>
      <c r="AG5627"/>
      <c r="AH5627"/>
      <c r="AI5627"/>
      <c r="AJ5627"/>
      <c r="AK5627"/>
      <c r="AL5627"/>
      <c r="AM5627"/>
      <c r="AN5627"/>
      <c r="AO5627"/>
    </row>
    <row r="5628" spans="1:41" ht="15">
      <c r="A5628"/>
      <c r="B5628"/>
      <c r="C5628" s="137"/>
      <c r="D5628" s="30"/>
      <c r="E5628" s="30"/>
      <c r="F5628" s="10"/>
      <c r="G5628" s="10"/>
      <c r="H5628" s="15"/>
      <c r="I5628" s="15"/>
      <c r="J5628" s="15"/>
      <c r="K5628" s="15"/>
      <c r="L5628" s="15"/>
      <c r="M5628" s="15"/>
      <c r="N5628" s="15"/>
      <c r="O5628" s="15"/>
      <c r="P5628" s="15"/>
      <c r="Q5628" s="71"/>
      <c r="R5628" s="84"/>
      <c r="S5628" s="10"/>
      <c r="T5628" s="10"/>
      <c r="U5628" s="10"/>
      <c r="V5628" s="10"/>
      <c r="W5628" s="138"/>
      <c r="Y5628"/>
      <c r="Z5628"/>
      <c r="AA5628"/>
      <c r="AB5628"/>
      <c r="AC5628"/>
      <c r="AD5628"/>
      <c r="AE5628"/>
      <c r="AF5628"/>
      <c r="AG5628"/>
      <c r="AH5628"/>
      <c r="AI5628"/>
      <c r="AJ5628"/>
      <c r="AK5628"/>
      <c r="AL5628"/>
      <c r="AM5628"/>
      <c r="AN5628"/>
      <c r="AO5628"/>
    </row>
    <row r="5629" spans="1:41" ht="15">
      <c r="A5629"/>
      <c r="B5629"/>
      <c r="C5629" s="137"/>
      <c r="D5629" s="30"/>
      <c r="E5629" s="30"/>
      <c r="F5629" s="10"/>
      <c r="G5629" s="10"/>
      <c r="H5629" s="15"/>
      <c r="I5629" s="15"/>
      <c r="J5629" s="15"/>
      <c r="K5629" s="15"/>
      <c r="L5629" s="15"/>
      <c r="M5629" s="15"/>
      <c r="N5629" s="15"/>
      <c r="O5629" s="15"/>
      <c r="P5629" s="15"/>
      <c r="Q5629" s="71"/>
      <c r="R5629" s="84"/>
      <c r="S5629" s="10"/>
      <c r="T5629" s="10"/>
      <c r="U5629" s="10"/>
      <c r="V5629" s="10"/>
      <c r="W5629" s="138"/>
      <c r="Y5629"/>
      <c r="Z5629"/>
      <c r="AA5629"/>
      <c r="AB5629"/>
      <c r="AC5629"/>
      <c r="AD5629"/>
      <c r="AE5629"/>
      <c r="AF5629"/>
      <c r="AG5629"/>
      <c r="AH5629"/>
      <c r="AI5629"/>
      <c r="AJ5629"/>
      <c r="AK5629"/>
      <c r="AL5629"/>
      <c r="AM5629"/>
      <c r="AN5629"/>
      <c r="AO5629"/>
    </row>
    <row r="5630" spans="1:41" ht="15">
      <c r="A5630"/>
      <c r="B5630"/>
      <c r="C5630" s="137"/>
      <c r="D5630" s="30"/>
      <c r="E5630" s="30"/>
      <c r="F5630" s="10"/>
      <c r="G5630" s="10"/>
      <c r="H5630" s="15"/>
      <c r="I5630" s="15"/>
      <c r="J5630" s="15"/>
      <c r="K5630" s="15"/>
      <c r="L5630" s="15"/>
      <c r="M5630" s="15"/>
      <c r="N5630" s="15"/>
      <c r="O5630" s="15"/>
      <c r="P5630" s="15"/>
      <c r="Q5630" s="71"/>
      <c r="R5630" s="84"/>
      <c r="S5630" s="10"/>
      <c r="T5630" s="10"/>
      <c r="U5630" s="10"/>
      <c r="V5630" s="10"/>
      <c r="W5630" s="138"/>
      <c r="Y5630"/>
      <c r="Z5630"/>
      <c r="AA5630"/>
      <c r="AB5630"/>
      <c r="AC5630"/>
      <c r="AD5630"/>
      <c r="AE5630"/>
      <c r="AF5630"/>
      <c r="AG5630"/>
      <c r="AH5630"/>
      <c r="AI5630"/>
      <c r="AJ5630"/>
      <c r="AK5630"/>
      <c r="AL5630"/>
      <c r="AM5630"/>
      <c r="AN5630"/>
      <c r="AO5630"/>
    </row>
    <row r="5631" spans="1:41" ht="15">
      <c r="A5631"/>
      <c r="B5631"/>
      <c r="C5631" s="137"/>
      <c r="D5631" s="30"/>
      <c r="E5631" s="30"/>
      <c r="F5631" s="10"/>
      <c r="G5631" s="10"/>
      <c r="H5631" s="15"/>
      <c r="I5631" s="15"/>
      <c r="J5631" s="15"/>
      <c r="K5631" s="15"/>
      <c r="L5631" s="15"/>
      <c r="M5631" s="15"/>
      <c r="N5631" s="15"/>
      <c r="O5631" s="15"/>
      <c r="P5631" s="15"/>
      <c r="Q5631" s="71"/>
      <c r="R5631" s="84"/>
      <c r="S5631" s="10"/>
      <c r="T5631" s="10"/>
      <c r="U5631" s="10"/>
      <c r="V5631" s="10"/>
      <c r="W5631" s="138"/>
      <c r="Y5631"/>
      <c r="Z5631"/>
      <c r="AA5631"/>
      <c r="AB5631"/>
      <c r="AC5631"/>
      <c r="AD5631"/>
      <c r="AE5631"/>
      <c r="AF5631"/>
      <c r="AG5631"/>
      <c r="AH5631"/>
      <c r="AI5631"/>
      <c r="AJ5631"/>
      <c r="AK5631"/>
      <c r="AL5631"/>
      <c r="AM5631"/>
      <c r="AN5631"/>
      <c r="AO5631"/>
    </row>
    <row r="5632" spans="1:41" ht="15">
      <c r="A5632"/>
      <c r="B5632"/>
      <c r="C5632" s="137"/>
      <c r="D5632" s="30"/>
      <c r="E5632" s="30"/>
      <c r="F5632" s="10"/>
      <c r="G5632" s="10"/>
      <c r="H5632" s="15"/>
      <c r="I5632" s="15"/>
      <c r="J5632" s="15"/>
      <c r="K5632" s="15"/>
      <c r="L5632" s="15"/>
      <c r="M5632" s="15"/>
      <c r="N5632" s="15"/>
      <c r="O5632" s="15"/>
      <c r="P5632" s="15"/>
      <c r="Q5632" s="71"/>
      <c r="R5632" s="84"/>
      <c r="S5632" s="10"/>
      <c r="T5632" s="10"/>
      <c r="U5632" s="10"/>
      <c r="V5632" s="10"/>
      <c r="W5632" s="138"/>
      <c r="Y5632"/>
      <c r="Z5632"/>
      <c r="AA5632"/>
      <c r="AB5632"/>
      <c r="AC5632"/>
      <c r="AD5632"/>
      <c r="AE5632"/>
      <c r="AF5632"/>
      <c r="AG5632"/>
      <c r="AH5632"/>
      <c r="AI5632"/>
      <c r="AJ5632"/>
      <c r="AK5632"/>
      <c r="AL5632"/>
      <c r="AM5632"/>
      <c r="AN5632"/>
      <c r="AO5632"/>
    </row>
    <row r="5633" spans="1:41" ht="15">
      <c r="A5633"/>
      <c r="B5633"/>
      <c r="C5633" s="137"/>
      <c r="D5633" s="30"/>
      <c r="E5633" s="30"/>
      <c r="F5633" s="10"/>
      <c r="G5633" s="10"/>
      <c r="H5633" s="15"/>
      <c r="I5633" s="15"/>
      <c r="J5633" s="15"/>
      <c r="K5633" s="15"/>
      <c r="L5633" s="15"/>
      <c r="M5633" s="15"/>
      <c r="N5633" s="15"/>
      <c r="O5633" s="15"/>
      <c r="P5633" s="15"/>
      <c r="Q5633" s="71"/>
      <c r="R5633" s="84"/>
      <c r="S5633" s="10"/>
      <c r="T5633" s="10"/>
      <c r="U5633" s="10"/>
      <c r="V5633" s="10"/>
      <c r="W5633" s="138"/>
      <c r="Y5633"/>
      <c r="Z5633"/>
      <c r="AA5633"/>
      <c r="AB5633"/>
      <c r="AC5633"/>
      <c r="AD5633"/>
      <c r="AE5633"/>
      <c r="AF5633"/>
      <c r="AG5633"/>
      <c r="AH5633"/>
      <c r="AI5633"/>
      <c r="AJ5633"/>
      <c r="AK5633"/>
      <c r="AL5633"/>
      <c r="AM5633"/>
      <c r="AN5633"/>
      <c r="AO5633"/>
    </row>
    <row r="5634" spans="1:41" ht="15">
      <c r="A5634"/>
      <c r="B5634"/>
      <c r="C5634" s="137"/>
      <c r="D5634" s="30"/>
      <c r="E5634" s="30"/>
      <c r="F5634" s="10"/>
      <c r="G5634" s="10"/>
      <c r="H5634" s="15"/>
      <c r="I5634" s="15"/>
      <c r="J5634" s="15"/>
      <c r="K5634" s="15"/>
      <c r="L5634" s="15"/>
      <c r="M5634" s="15"/>
      <c r="N5634" s="15"/>
      <c r="O5634" s="15"/>
      <c r="P5634" s="15"/>
      <c r="Q5634" s="71"/>
      <c r="R5634" s="84"/>
      <c r="S5634" s="10"/>
      <c r="T5634" s="10"/>
      <c r="U5634" s="10"/>
      <c r="V5634" s="10"/>
      <c r="W5634" s="138"/>
      <c r="Y5634"/>
      <c r="Z5634"/>
      <c r="AA5634"/>
      <c r="AB5634"/>
      <c r="AC5634"/>
      <c r="AD5634"/>
      <c r="AE5634"/>
      <c r="AF5634"/>
      <c r="AG5634"/>
      <c r="AH5634"/>
      <c r="AI5634"/>
      <c r="AJ5634"/>
      <c r="AK5634"/>
      <c r="AL5634"/>
      <c r="AM5634"/>
      <c r="AN5634"/>
      <c r="AO5634"/>
    </row>
    <row r="5635" spans="1:41" ht="15">
      <c r="A5635"/>
      <c r="B5635"/>
      <c r="C5635" s="137"/>
      <c r="D5635" s="30"/>
      <c r="E5635" s="30"/>
      <c r="F5635" s="10"/>
      <c r="G5635" s="10"/>
      <c r="H5635" s="15"/>
      <c r="I5635" s="15"/>
      <c r="J5635" s="15"/>
      <c r="K5635" s="15"/>
      <c r="L5635" s="15"/>
      <c r="M5635" s="15"/>
      <c r="N5635" s="15"/>
      <c r="O5635" s="15"/>
      <c r="P5635" s="15"/>
      <c r="Q5635" s="71"/>
      <c r="R5635" s="84"/>
      <c r="S5635" s="10"/>
      <c r="T5635" s="10"/>
      <c r="U5635" s="10"/>
      <c r="V5635" s="10"/>
      <c r="W5635" s="138"/>
      <c r="Y5635"/>
      <c r="Z5635"/>
      <c r="AA5635"/>
      <c r="AB5635"/>
      <c r="AC5635"/>
      <c r="AD5635"/>
      <c r="AE5635"/>
      <c r="AF5635"/>
      <c r="AG5635"/>
      <c r="AH5635"/>
      <c r="AI5635"/>
      <c r="AJ5635"/>
      <c r="AK5635"/>
      <c r="AL5635"/>
      <c r="AM5635"/>
      <c r="AN5635"/>
      <c r="AO5635"/>
    </row>
    <row r="5636" spans="1:41" ht="15">
      <c r="A5636"/>
      <c r="B5636"/>
      <c r="C5636" s="137"/>
      <c r="D5636" s="30"/>
      <c r="E5636" s="30"/>
      <c r="F5636" s="10"/>
      <c r="G5636" s="10"/>
      <c r="H5636" s="15"/>
      <c r="I5636" s="15"/>
      <c r="J5636" s="15"/>
      <c r="K5636" s="15"/>
      <c r="L5636" s="15"/>
      <c r="M5636" s="15"/>
      <c r="N5636" s="15"/>
      <c r="O5636" s="15"/>
      <c r="P5636" s="15"/>
      <c r="Q5636" s="71"/>
      <c r="R5636" s="84"/>
      <c r="S5636" s="10"/>
      <c r="T5636" s="10"/>
      <c r="U5636" s="10"/>
      <c r="V5636" s="10"/>
      <c r="W5636" s="138"/>
      <c r="Y5636"/>
      <c r="Z5636"/>
      <c r="AA5636"/>
      <c r="AB5636"/>
      <c r="AC5636"/>
      <c r="AD5636"/>
      <c r="AE5636"/>
      <c r="AF5636"/>
      <c r="AG5636"/>
      <c r="AH5636"/>
      <c r="AI5636"/>
      <c r="AJ5636"/>
      <c r="AK5636"/>
      <c r="AL5636"/>
      <c r="AM5636"/>
      <c r="AN5636"/>
      <c r="AO5636"/>
    </row>
    <row r="5637" spans="1:41" ht="15">
      <c r="A5637"/>
      <c r="B5637"/>
      <c r="C5637" s="137"/>
      <c r="D5637" s="30"/>
      <c r="E5637" s="30"/>
      <c r="F5637" s="10"/>
      <c r="G5637" s="10"/>
      <c r="H5637" s="15"/>
      <c r="I5637" s="15"/>
      <c r="J5637" s="15"/>
      <c r="K5637" s="15"/>
      <c r="L5637" s="15"/>
      <c r="M5637" s="15"/>
      <c r="N5637" s="15"/>
      <c r="O5637" s="15"/>
      <c r="P5637" s="15"/>
      <c r="Q5637" s="71"/>
      <c r="R5637" s="84"/>
      <c r="S5637" s="10"/>
      <c r="T5637" s="10"/>
      <c r="U5637" s="10"/>
      <c r="V5637" s="10"/>
      <c r="W5637" s="138"/>
      <c r="Y5637"/>
      <c r="Z5637"/>
      <c r="AA5637"/>
      <c r="AB5637"/>
      <c r="AC5637"/>
      <c r="AD5637"/>
      <c r="AE5637"/>
      <c r="AF5637"/>
      <c r="AG5637"/>
      <c r="AH5637"/>
      <c r="AI5637"/>
      <c r="AJ5637"/>
      <c r="AK5637"/>
      <c r="AL5637"/>
      <c r="AM5637"/>
      <c r="AN5637"/>
      <c r="AO5637"/>
    </row>
    <row r="5638" spans="1:41" ht="15">
      <c r="A5638"/>
      <c r="B5638"/>
      <c r="C5638" s="137"/>
      <c r="D5638" s="30"/>
      <c r="E5638" s="30"/>
      <c r="F5638" s="10"/>
      <c r="G5638" s="10"/>
      <c r="H5638" s="15"/>
      <c r="I5638" s="15"/>
      <c r="J5638" s="15"/>
      <c r="K5638" s="15"/>
      <c r="L5638" s="15"/>
      <c r="M5638" s="15"/>
      <c r="N5638" s="15"/>
      <c r="O5638" s="15"/>
      <c r="P5638" s="15"/>
      <c r="Q5638" s="71"/>
      <c r="R5638" s="84"/>
      <c r="S5638" s="10"/>
      <c r="T5638" s="10"/>
      <c r="U5638" s="10"/>
      <c r="V5638" s="10"/>
      <c r="W5638" s="138"/>
      <c r="Y5638"/>
      <c r="Z5638"/>
      <c r="AA5638"/>
      <c r="AB5638"/>
      <c r="AC5638"/>
      <c r="AD5638"/>
      <c r="AE5638"/>
      <c r="AF5638"/>
      <c r="AG5638"/>
      <c r="AH5638"/>
      <c r="AI5638"/>
      <c r="AJ5638"/>
      <c r="AK5638"/>
      <c r="AL5638"/>
      <c r="AM5638"/>
      <c r="AN5638"/>
      <c r="AO5638"/>
    </row>
    <row r="5639" spans="1:41" ht="15">
      <c r="A5639"/>
      <c r="B5639"/>
      <c r="C5639" s="137"/>
      <c r="D5639" s="30"/>
      <c r="E5639" s="30"/>
      <c r="F5639" s="10"/>
      <c r="G5639" s="10"/>
      <c r="H5639" s="15"/>
      <c r="I5639" s="15"/>
      <c r="J5639" s="15"/>
      <c r="K5639" s="15"/>
      <c r="L5639" s="15"/>
      <c r="M5639" s="15"/>
      <c r="N5639" s="15"/>
      <c r="O5639" s="15"/>
      <c r="P5639" s="15"/>
      <c r="Q5639" s="71"/>
      <c r="R5639" s="84"/>
      <c r="S5639" s="10"/>
      <c r="T5639" s="10"/>
      <c r="U5639" s="10"/>
      <c r="V5639" s="10"/>
      <c r="W5639" s="138"/>
      <c r="Y5639"/>
      <c r="Z5639"/>
      <c r="AA5639"/>
      <c r="AB5639"/>
      <c r="AC5639"/>
      <c r="AD5639"/>
      <c r="AE5639"/>
      <c r="AF5639"/>
      <c r="AG5639"/>
      <c r="AH5639"/>
      <c r="AI5639"/>
      <c r="AJ5639"/>
      <c r="AK5639"/>
      <c r="AL5639"/>
      <c r="AM5639"/>
      <c r="AN5639"/>
      <c r="AO5639"/>
    </row>
    <row r="5640" spans="1:41" ht="15">
      <c r="A5640"/>
      <c r="B5640"/>
      <c r="C5640" s="137"/>
      <c r="D5640" s="30"/>
      <c r="E5640" s="30"/>
      <c r="F5640" s="10"/>
      <c r="G5640" s="10"/>
      <c r="H5640" s="15"/>
      <c r="I5640" s="15"/>
      <c r="J5640" s="15"/>
      <c r="K5640" s="15"/>
      <c r="L5640" s="15"/>
      <c r="M5640" s="15"/>
      <c r="N5640" s="15"/>
      <c r="O5640" s="15"/>
      <c r="P5640" s="15"/>
      <c r="Q5640" s="71"/>
      <c r="R5640" s="84"/>
      <c r="S5640" s="10"/>
      <c r="T5640" s="10"/>
      <c r="U5640" s="10"/>
      <c r="V5640" s="10"/>
      <c r="W5640" s="138"/>
      <c r="Y5640"/>
      <c r="Z5640"/>
      <c r="AA5640"/>
      <c r="AB5640"/>
      <c r="AC5640"/>
      <c r="AD5640"/>
      <c r="AE5640"/>
      <c r="AF5640"/>
      <c r="AG5640"/>
      <c r="AH5640"/>
      <c r="AI5640"/>
      <c r="AJ5640"/>
      <c r="AK5640"/>
      <c r="AL5640"/>
      <c r="AM5640"/>
      <c r="AN5640"/>
      <c r="AO5640"/>
    </row>
    <row r="5641" spans="1:41" ht="15">
      <c r="A5641"/>
      <c r="B5641"/>
      <c r="C5641" s="137"/>
      <c r="D5641" s="30"/>
      <c r="E5641" s="30"/>
      <c r="F5641" s="10"/>
      <c r="G5641" s="10"/>
      <c r="H5641" s="15"/>
      <c r="I5641" s="15"/>
      <c r="J5641" s="15"/>
      <c r="K5641" s="15"/>
      <c r="L5641" s="15"/>
      <c r="M5641" s="15"/>
      <c r="N5641" s="15"/>
      <c r="O5641" s="15"/>
      <c r="P5641" s="15"/>
      <c r="Q5641" s="71"/>
      <c r="R5641" s="84"/>
      <c r="S5641" s="10"/>
      <c r="T5641" s="10"/>
      <c r="U5641" s="10"/>
      <c r="V5641" s="10"/>
      <c r="W5641" s="138"/>
      <c r="Y5641"/>
      <c r="Z5641"/>
      <c r="AA5641"/>
      <c r="AB5641"/>
      <c r="AC5641"/>
      <c r="AD5641"/>
      <c r="AE5641"/>
      <c r="AF5641"/>
      <c r="AG5641"/>
      <c r="AH5641"/>
      <c r="AI5641"/>
      <c r="AJ5641"/>
      <c r="AK5641"/>
      <c r="AL5641"/>
      <c r="AM5641"/>
      <c r="AN5641"/>
      <c r="AO5641"/>
    </row>
    <row r="5642" spans="1:41" ht="15">
      <c r="A5642"/>
      <c r="B5642"/>
      <c r="C5642" s="137"/>
      <c r="D5642" s="30"/>
      <c r="E5642" s="30"/>
      <c r="F5642" s="10"/>
      <c r="G5642" s="10"/>
      <c r="H5642" s="15"/>
      <c r="I5642" s="15"/>
      <c r="J5642" s="15"/>
      <c r="K5642" s="15"/>
      <c r="L5642" s="15"/>
      <c r="M5642" s="15"/>
      <c r="N5642" s="15"/>
      <c r="O5642" s="15"/>
      <c r="P5642" s="15"/>
      <c r="Q5642" s="71"/>
      <c r="R5642" s="84"/>
      <c r="S5642" s="10"/>
      <c r="T5642" s="10"/>
      <c r="U5642" s="10"/>
      <c r="V5642" s="10"/>
      <c r="W5642" s="138"/>
      <c r="Y5642"/>
      <c r="Z5642"/>
      <c r="AA5642"/>
      <c r="AB5642"/>
      <c r="AC5642"/>
      <c r="AD5642"/>
      <c r="AE5642"/>
      <c r="AF5642"/>
      <c r="AG5642"/>
      <c r="AH5642"/>
      <c r="AI5642"/>
      <c r="AJ5642"/>
      <c r="AK5642"/>
      <c r="AL5642"/>
      <c r="AM5642"/>
      <c r="AN5642"/>
      <c r="AO5642"/>
    </row>
    <row r="5643" spans="1:41" ht="15">
      <c r="A5643"/>
      <c r="B5643"/>
      <c r="C5643" s="137"/>
      <c r="D5643" s="30"/>
      <c r="E5643" s="30"/>
      <c r="F5643" s="10"/>
      <c r="G5643" s="10"/>
      <c r="H5643" s="15"/>
      <c r="I5643" s="15"/>
      <c r="J5643" s="15"/>
      <c r="K5643" s="15"/>
      <c r="L5643" s="15"/>
      <c r="M5643" s="15"/>
      <c r="N5643" s="15"/>
      <c r="O5643" s="15"/>
      <c r="P5643" s="15"/>
      <c r="Q5643" s="71"/>
      <c r="R5643" s="84"/>
      <c r="S5643" s="10"/>
      <c r="T5643" s="10"/>
      <c r="U5643" s="10"/>
      <c r="V5643" s="10"/>
      <c r="W5643" s="138"/>
      <c r="Y5643"/>
      <c r="Z5643"/>
      <c r="AA5643"/>
      <c r="AB5643"/>
      <c r="AC5643"/>
      <c r="AD5643"/>
      <c r="AE5643"/>
      <c r="AF5643"/>
      <c r="AG5643"/>
      <c r="AH5643"/>
      <c r="AI5643"/>
      <c r="AJ5643"/>
      <c r="AK5643"/>
      <c r="AL5643"/>
      <c r="AM5643"/>
      <c r="AN5643"/>
      <c r="AO5643"/>
    </row>
    <row r="5644" spans="1:41" ht="15">
      <c r="A5644"/>
      <c r="B5644"/>
      <c r="C5644" s="137"/>
      <c r="D5644" s="30"/>
      <c r="E5644" s="30"/>
      <c r="F5644" s="10"/>
      <c r="G5644" s="10"/>
      <c r="H5644" s="15"/>
      <c r="I5644" s="15"/>
      <c r="J5644" s="15"/>
      <c r="K5644" s="15"/>
      <c r="L5644" s="15"/>
      <c r="M5644" s="15"/>
      <c r="N5644" s="15"/>
      <c r="O5644" s="15"/>
      <c r="P5644" s="15"/>
      <c r="Q5644" s="71"/>
      <c r="R5644" s="84"/>
      <c r="S5644" s="10"/>
      <c r="T5644" s="10"/>
      <c r="U5644" s="10"/>
      <c r="V5644" s="10"/>
      <c r="W5644" s="138"/>
      <c r="Y5644"/>
      <c r="Z5644"/>
      <c r="AA5644"/>
      <c r="AB5644"/>
      <c r="AC5644"/>
      <c r="AD5644"/>
      <c r="AE5644"/>
      <c r="AF5644"/>
      <c r="AG5644"/>
      <c r="AH5644"/>
      <c r="AI5644"/>
      <c r="AJ5644"/>
      <c r="AK5644"/>
      <c r="AL5644"/>
      <c r="AM5644"/>
      <c r="AN5644"/>
      <c r="AO5644"/>
    </row>
    <row r="5645" spans="1:41" ht="15">
      <c r="A5645"/>
      <c r="B5645"/>
      <c r="C5645" s="137"/>
      <c r="D5645" s="30"/>
      <c r="E5645" s="30"/>
      <c r="F5645" s="10"/>
      <c r="G5645" s="10"/>
      <c r="H5645" s="15"/>
      <c r="I5645" s="15"/>
      <c r="J5645" s="15"/>
      <c r="K5645" s="15"/>
      <c r="L5645" s="15"/>
      <c r="M5645" s="15"/>
      <c r="N5645" s="15"/>
      <c r="O5645" s="15"/>
      <c r="P5645" s="15"/>
      <c r="Q5645" s="71"/>
      <c r="R5645" s="84"/>
      <c r="S5645" s="10"/>
      <c r="T5645" s="10"/>
      <c r="U5645" s="10"/>
      <c r="V5645" s="10"/>
      <c r="W5645" s="138"/>
      <c r="Y5645"/>
      <c r="Z5645"/>
      <c r="AA5645"/>
      <c r="AB5645"/>
      <c r="AC5645"/>
      <c r="AD5645"/>
      <c r="AE5645"/>
      <c r="AF5645"/>
      <c r="AG5645"/>
      <c r="AH5645"/>
      <c r="AI5645"/>
      <c r="AJ5645"/>
      <c r="AK5645"/>
      <c r="AL5645"/>
      <c r="AM5645"/>
      <c r="AN5645"/>
      <c r="AO5645"/>
    </row>
    <row r="5646" spans="1:41" ht="15">
      <c r="A5646"/>
      <c r="B5646"/>
      <c r="C5646" s="137"/>
      <c r="D5646" s="30"/>
      <c r="E5646" s="30"/>
      <c r="F5646" s="10"/>
      <c r="G5646" s="10"/>
      <c r="H5646" s="15"/>
      <c r="I5646" s="15"/>
      <c r="J5646" s="15"/>
      <c r="K5646" s="15"/>
      <c r="L5646" s="15"/>
      <c r="M5646" s="15"/>
      <c r="N5646" s="15"/>
      <c r="O5646" s="15"/>
      <c r="P5646" s="15"/>
      <c r="Q5646" s="71"/>
      <c r="R5646" s="84"/>
      <c r="S5646" s="10"/>
      <c r="T5646" s="10"/>
      <c r="U5646" s="10"/>
      <c r="V5646" s="10"/>
      <c r="W5646" s="138"/>
      <c r="Y5646"/>
      <c r="Z5646"/>
      <c r="AA5646"/>
      <c r="AB5646"/>
      <c r="AC5646"/>
      <c r="AD5646"/>
      <c r="AE5646"/>
      <c r="AF5646"/>
      <c r="AG5646"/>
      <c r="AH5646"/>
      <c r="AI5646"/>
      <c r="AJ5646"/>
      <c r="AK5646"/>
      <c r="AL5646"/>
      <c r="AM5646"/>
      <c r="AN5646"/>
      <c r="AO5646"/>
    </row>
    <row r="5647" spans="1:41" ht="15">
      <c r="A5647"/>
      <c r="B5647"/>
      <c r="C5647" s="137"/>
      <c r="D5647" s="30"/>
      <c r="E5647" s="30"/>
      <c r="F5647" s="10"/>
      <c r="G5647" s="10"/>
      <c r="H5647" s="15"/>
      <c r="I5647" s="15"/>
      <c r="J5647" s="15"/>
      <c r="K5647" s="15"/>
      <c r="L5647" s="15"/>
      <c r="M5647" s="15"/>
      <c r="N5647" s="15"/>
      <c r="O5647" s="15"/>
      <c r="P5647" s="15"/>
      <c r="Q5647" s="71"/>
      <c r="R5647" s="84"/>
      <c r="S5647" s="10"/>
      <c r="T5647" s="10"/>
      <c r="U5647" s="10"/>
      <c r="V5647" s="10"/>
      <c r="W5647" s="138"/>
      <c r="Y5647"/>
      <c r="Z5647"/>
      <c r="AA5647"/>
      <c r="AB5647"/>
      <c r="AC5647"/>
      <c r="AD5647"/>
      <c r="AE5647"/>
      <c r="AF5647"/>
      <c r="AG5647"/>
      <c r="AH5647"/>
      <c r="AI5647"/>
      <c r="AJ5647"/>
      <c r="AK5647"/>
      <c r="AL5647"/>
      <c r="AM5647"/>
      <c r="AN5647"/>
      <c r="AO5647"/>
    </row>
    <row r="5648" spans="1:41" ht="15">
      <c r="A5648"/>
      <c r="B5648"/>
      <c r="C5648" s="137"/>
      <c r="D5648" s="30"/>
      <c r="E5648" s="30"/>
      <c r="F5648" s="10"/>
      <c r="G5648" s="10"/>
      <c r="H5648" s="15"/>
      <c r="I5648" s="15"/>
      <c r="J5648" s="15"/>
      <c r="K5648" s="15"/>
      <c r="L5648" s="15"/>
      <c r="M5648" s="15"/>
      <c r="N5648" s="15"/>
      <c r="O5648" s="15"/>
      <c r="P5648" s="15"/>
      <c r="Q5648" s="71"/>
      <c r="R5648" s="84"/>
      <c r="S5648" s="10"/>
      <c r="T5648" s="10"/>
      <c r="U5648" s="10"/>
      <c r="V5648" s="10"/>
      <c r="W5648" s="138"/>
      <c r="Y5648"/>
      <c r="Z5648"/>
      <c r="AA5648"/>
      <c r="AB5648"/>
      <c r="AC5648"/>
      <c r="AD5648"/>
      <c r="AE5648"/>
      <c r="AF5648"/>
      <c r="AG5648"/>
      <c r="AH5648"/>
      <c r="AI5648"/>
      <c r="AJ5648"/>
      <c r="AK5648"/>
      <c r="AL5648"/>
      <c r="AM5648"/>
      <c r="AN5648"/>
      <c r="AO5648"/>
    </row>
    <row r="5649" spans="1:41" ht="15">
      <c r="A5649"/>
      <c r="B5649"/>
      <c r="C5649" s="137"/>
      <c r="D5649" s="30"/>
      <c r="E5649" s="30"/>
      <c r="F5649" s="10"/>
      <c r="G5649" s="10"/>
      <c r="H5649" s="15"/>
      <c r="I5649" s="15"/>
      <c r="J5649" s="15"/>
      <c r="K5649" s="15"/>
      <c r="L5649" s="15"/>
      <c r="M5649" s="15"/>
      <c r="N5649" s="15"/>
      <c r="O5649" s="15"/>
      <c r="P5649" s="15"/>
      <c r="Q5649" s="71"/>
      <c r="R5649" s="84"/>
      <c r="S5649" s="10"/>
      <c r="T5649" s="10"/>
      <c r="U5649" s="10"/>
      <c r="V5649" s="10"/>
      <c r="W5649" s="138"/>
      <c r="Y5649"/>
      <c r="Z5649"/>
      <c r="AA5649"/>
      <c r="AB5649"/>
      <c r="AC5649"/>
      <c r="AD5649"/>
      <c r="AE5649"/>
      <c r="AF5649"/>
      <c r="AG5649"/>
      <c r="AH5649"/>
      <c r="AI5649"/>
      <c r="AJ5649"/>
      <c r="AK5649"/>
      <c r="AL5649"/>
      <c r="AM5649"/>
      <c r="AN5649"/>
      <c r="AO5649"/>
    </row>
    <row r="5650" spans="1:41" ht="15">
      <c r="A5650"/>
      <c r="B5650"/>
      <c r="C5650" s="137"/>
      <c r="D5650" s="30"/>
      <c r="E5650" s="30"/>
      <c r="F5650" s="10"/>
      <c r="G5650" s="10"/>
      <c r="H5650" s="15"/>
      <c r="I5650" s="15"/>
      <c r="J5650" s="15"/>
      <c r="K5650" s="15"/>
      <c r="L5650" s="15"/>
      <c r="M5650" s="15"/>
      <c r="N5650" s="15"/>
      <c r="O5650" s="15"/>
      <c r="P5650" s="15"/>
      <c r="Q5650" s="71"/>
      <c r="R5650" s="84"/>
      <c r="S5650" s="10"/>
      <c r="T5650" s="10"/>
      <c r="U5650" s="10"/>
      <c r="V5650" s="10"/>
      <c r="W5650" s="138"/>
      <c r="Y5650"/>
      <c r="Z5650"/>
      <c r="AA5650"/>
      <c r="AB5650"/>
      <c r="AC5650"/>
      <c r="AD5650"/>
      <c r="AE5650"/>
      <c r="AF5650"/>
      <c r="AG5650"/>
      <c r="AH5650"/>
      <c r="AI5650"/>
      <c r="AJ5650"/>
      <c r="AK5650"/>
      <c r="AL5650"/>
      <c r="AM5650"/>
      <c r="AN5650"/>
      <c r="AO5650"/>
    </row>
    <row r="5651" spans="1:41" ht="15">
      <c r="A5651"/>
      <c r="B5651"/>
      <c r="C5651" s="137"/>
      <c r="D5651" s="30"/>
      <c r="E5651" s="30"/>
      <c r="F5651" s="10"/>
      <c r="G5651" s="10"/>
      <c r="H5651" s="15"/>
      <c r="I5651" s="15"/>
      <c r="J5651" s="15"/>
      <c r="K5651" s="15"/>
      <c r="L5651" s="15"/>
      <c r="M5651" s="15"/>
      <c r="N5651" s="15"/>
      <c r="O5651" s="15"/>
      <c r="P5651" s="15"/>
      <c r="Q5651" s="71"/>
      <c r="R5651" s="84"/>
      <c r="S5651" s="10"/>
      <c r="T5651" s="10"/>
      <c r="U5651" s="10"/>
      <c r="V5651" s="10"/>
      <c r="W5651" s="138"/>
      <c r="Y5651"/>
      <c r="Z5651"/>
      <c r="AA5651"/>
      <c r="AB5651"/>
      <c r="AC5651"/>
      <c r="AD5651"/>
      <c r="AE5651"/>
      <c r="AF5651"/>
      <c r="AG5651"/>
      <c r="AH5651"/>
      <c r="AI5651"/>
      <c r="AJ5651"/>
      <c r="AK5651"/>
      <c r="AL5651"/>
      <c r="AM5651"/>
      <c r="AN5651"/>
      <c r="AO5651"/>
    </row>
    <row r="5652" spans="1:41" ht="15">
      <c r="A5652"/>
      <c r="B5652"/>
      <c r="C5652" s="137"/>
      <c r="D5652" s="30"/>
      <c r="E5652" s="30"/>
      <c r="F5652" s="10"/>
      <c r="G5652" s="10"/>
      <c r="H5652" s="15"/>
      <c r="I5652" s="15"/>
      <c r="J5652" s="15"/>
      <c r="K5652" s="15"/>
      <c r="L5652" s="15"/>
      <c r="M5652" s="15"/>
      <c r="N5652" s="15"/>
      <c r="O5652" s="15"/>
      <c r="P5652" s="15"/>
      <c r="Q5652" s="71"/>
      <c r="R5652" s="84"/>
      <c r="S5652" s="10"/>
      <c r="T5652" s="10"/>
      <c r="U5652" s="10"/>
      <c r="V5652" s="10"/>
      <c r="W5652" s="138"/>
      <c r="Y5652"/>
      <c r="Z5652"/>
      <c r="AA5652"/>
      <c r="AB5652"/>
      <c r="AC5652"/>
      <c r="AD5652"/>
      <c r="AE5652"/>
      <c r="AF5652"/>
      <c r="AG5652"/>
      <c r="AH5652"/>
      <c r="AI5652"/>
      <c r="AJ5652"/>
      <c r="AK5652"/>
      <c r="AL5652"/>
      <c r="AM5652"/>
      <c r="AN5652"/>
      <c r="AO5652"/>
    </row>
    <row r="5653" spans="1:41" ht="15">
      <c r="A5653"/>
      <c r="B5653"/>
      <c r="C5653" s="137"/>
      <c r="D5653" s="30"/>
      <c r="E5653" s="30"/>
      <c r="F5653" s="10"/>
      <c r="G5653" s="10"/>
      <c r="H5653" s="15"/>
      <c r="I5653" s="15"/>
      <c r="J5653" s="15"/>
      <c r="K5653" s="15"/>
      <c r="L5653" s="15"/>
      <c r="M5653" s="15"/>
      <c r="N5653" s="15"/>
      <c r="O5653" s="15"/>
      <c r="P5653" s="15"/>
      <c r="Q5653" s="71"/>
      <c r="R5653" s="84"/>
      <c r="S5653" s="10"/>
      <c r="T5653" s="10"/>
      <c r="U5653" s="10"/>
      <c r="V5653" s="10"/>
      <c r="W5653" s="138"/>
      <c r="Y5653"/>
      <c r="Z5653"/>
      <c r="AA5653"/>
      <c r="AB5653"/>
      <c r="AC5653"/>
      <c r="AD5653"/>
      <c r="AE5653"/>
      <c r="AF5653"/>
      <c r="AG5653"/>
      <c r="AH5653"/>
      <c r="AI5653"/>
      <c r="AJ5653"/>
      <c r="AK5653"/>
      <c r="AL5653"/>
      <c r="AM5653"/>
      <c r="AN5653"/>
      <c r="AO5653"/>
    </row>
    <row r="5654" spans="1:41" ht="15">
      <c r="A5654"/>
      <c r="B5654"/>
      <c r="C5654" s="137"/>
      <c r="D5654" s="30"/>
      <c r="E5654" s="30"/>
      <c r="F5654" s="10"/>
      <c r="G5654" s="10"/>
      <c r="H5654" s="15"/>
      <c r="I5654" s="15"/>
      <c r="J5654" s="15"/>
      <c r="K5654" s="15"/>
      <c r="L5654" s="15"/>
      <c r="M5654" s="15"/>
      <c r="N5654" s="15"/>
      <c r="O5654" s="15"/>
      <c r="P5654" s="15"/>
      <c r="Q5654" s="71"/>
      <c r="R5654" s="84"/>
      <c r="S5654" s="10"/>
      <c r="T5654" s="10"/>
      <c r="U5654" s="10"/>
      <c r="V5654" s="10"/>
      <c r="W5654" s="138"/>
      <c r="Y5654"/>
      <c r="Z5654"/>
      <c r="AA5654"/>
      <c r="AB5654"/>
      <c r="AC5654"/>
      <c r="AD5654"/>
      <c r="AE5654"/>
      <c r="AF5654"/>
      <c r="AG5654"/>
      <c r="AH5654"/>
      <c r="AI5654"/>
      <c r="AJ5654"/>
      <c r="AK5654"/>
      <c r="AL5654"/>
      <c r="AM5654"/>
      <c r="AN5654"/>
      <c r="AO5654"/>
    </row>
    <row r="5655" spans="1:41" ht="15">
      <c r="A5655"/>
      <c r="B5655"/>
      <c r="C5655" s="137"/>
      <c r="D5655" s="30"/>
      <c r="E5655" s="30"/>
      <c r="F5655" s="10"/>
      <c r="G5655" s="10"/>
      <c r="H5655" s="15"/>
      <c r="I5655" s="15"/>
      <c r="J5655" s="15"/>
      <c r="K5655" s="15"/>
      <c r="L5655" s="15"/>
      <c r="M5655" s="15"/>
      <c r="N5655" s="15"/>
      <c r="O5655" s="15"/>
      <c r="P5655" s="15"/>
      <c r="Q5655" s="71"/>
      <c r="R5655" s="84"/>
      <c r="S5655" s="10"/>
      <c r="T5655" s="10"/>
      <c r="U5655" s="10"/>
      <c r="V5655" s="10"/>
      <c r="W5655" s="138"/>
      <c r="Y5655"/>
      <c r="Z5655"/>
      <c r="AA5655"/>
      <c r="AB5655"/>
      <c r="AC5655"/>
      <c r="AD5655"/>
      <c r="AE5655"/>
      <c r="AF5655"/>
      <c r="AG5655"/>
      <c r="AH5655"/>
      <c r="AI5655"/>
      <c r="AJ5655"/>
      <c r="AK5655"/>
      <c r="AL5655"/>
      <c r="AM5655"/>
      <c r="AN5655"/>
      <c r="AO5655"/>
    </row>
    <row r="5656" spans="1:41" ht="15">
      <c r="A5656"/>
      <c r="B5656"/>
      <c r="C5656" s="137"/>
      <c r="D5656" s="30"/>
      <c r="E5656" s="30"/>
      <c r="F5656" s="10"/>
      <c r="G5656" s="10"/>
      <c r="H5656" s="15"/>
      <c r="I5656" s="15"/>
      <c r="J5656" s="15"/>
      <c r="K5656" s="15"/>
      <c r="L5656" s="15"/>
      <c r="M5656" s="15"/>
      <c r="N5656" s="15"/>
      <c r="O5656" s="15"/>
      <c r="P5656" s="15"/>
      <c r="Q5656" s="71"/>
      <c r="R5656" s="84"/>
      <c r="S5656" s="10"/>
      <c r="T5656" s="10"/>
      <c r="U5656" s="10"/>
      <c r="V5656" s="10"/>
      <c r="W5656" s="138"/>
      <c r="Y5656"/>
      <c r="Z5656"/>
      <c r="AA5656"/>
      <c r="AB5656"/>
      <c r="AC5656"/>
      <c r="AD5656"/>
      <c r="AE5656"/>
      <c r="AF5656"/>
      <c r="AG5656"/>
      <c r="AH5656"/>
      <c r="AI5656"/>
      <c r="AJ5656"/>
      <c r="AK5656"/>
      <c r="AL5656"/>
      <c r="AM5656"/>
      <c r="AN5656"/>
      <c r="AO5656"/>
    </row>
    <row r="5657" spans="1:41" ht="15">
      <c r="A5657"/>
      <c r="B5657"/>
      <c r="C5657" s="137"/>
      <c r="D5657" s="30"/>
      <c r="E5657" s="30"/>
      <c r="F5657" s="10"/>
      <c r="G5657" s="10"/>
      <c r="H5657" s="15"/>
      <c r="I5657" s="15"/>
      <c r="J5657" s="15"/>
      <c r="K5657" s="15"/>
      <c r="L5657" s="15"/>
      <c r="M5657" s="15"/>
      <c r="N5657" s="15"/>
      <c r="O5657" s="15"/>
      <c r="P5657" s="15"/>
      <c r="Q5657" s="71"/>
      <c r="R5657" s="84"/>
      <c r="S5657" s="10"/>
      <c r="T5657" s="10"/>
      <c r="U5657" s="10"/>
      <c r="V5657" s="10"/>
      <c r="W5657" s="138"/>
      <c r="Y5657"/>
      <c r="Z5657"/>
      <c r="AA5657"/>
      <c r="AB5657"/>
      <c r="AC5657"/>
      <c r="AD5657"/>
      <c r="AE5657"/>
      <c r="AF5657"/>
      <c r="AG5657"/>
      <c r="AH5657"/>
      <c r="AI5657"/>
      <c r="AJ5657"/>
      <c r="AK5657"/>
      <c r="AL5657"/>
      <c r="AM5657"/>
      <c r="AN5657"/>
      <c r="AO5657"/>
    </row>
    <row r="5658" spans="1:41" ht="15">
      <c r="A5658"/>
      <c r="B5658"/>
      <c r="C5658" s="137"/>
      <c r="D5658" s="30"/>
      <c r="E5658" s="30"/>
      <c r="F5658" s="10"/>
      <c r="G5658" s="10"/>
      <c r="H5658" s="15"/>
      <c r="I5658" s="15"/>
      <c r="J5658" s="15"/>
      <c r="K5658" s="15"/>
      <c r="L5658" s="15"/>
      <c r="M5658" s="15"/>
      <c r="N5658" s="15"/>
      <c r="O5658" s="15"/>
      <c r="P5658" s="15"/>
      <c r="Q5658" s="71"/>
      <c r="R5658" s="84"/>
      <c r="S5658" s="10"/>
      <c r="T5658" s="10"/>
      <c r="U5658" s="10"/>
      <c r="V5658" s="10"/>
      <c r="W5658" s="138"/>
      <c r="Y5658"/>
      <c r="Z5658"/>
      <c r="AA5658"/>
      <c r="AB5658"/>
      <c r="AC5658"/>
      <c r="AD5658"/>
      <c r="AE5658"/>
      <c r="AF5658"/>
      <c r="AG5658"/>
      <c r="AH5658"/>
      <c r="AI5658"/>
      <c r="AJ5658"/>
      <c r="AK5658"/>
      <c r="AL5658"/>
      <c r="AM5658"/>
      <c r="AN5658"/>
      <c r="AO5658"/>
    </row>
    <row r="5659" spans="1:41" ht="15">
      <c r="A5659"/>
      <c r="B5659"/>
      <c r="C5659" s="137"/>
      <c r="D5659" s="30"/>
      <c r="E5659" s="30"/>
      <c r="F5659" s="10"/>
      <c r="G5659" s="10"/>
      <c r="H5659" s="15"/>
      <c r="I5659" s="15"/>
      <c r="J5659" s="15"/>
      <c r="K5659" s="15"/>
      <c r="L5659" s="15"/>
      <c r="M5659" s="15"/>
      <c r="N5659" s="15"/>
      <c r="O5659" s="15"/>
      <c r="P5659" s="15"/>
      <c r="Q5659" s="71"/>
      <c r="R5659" s="84"/>
      <c r="S5659" s="10"/>
      <c r="T5659" s="10"/>
      <c r="U5659" s="10"/>
      <c r="V5659" s="10"/>
      <c r="W5659" s="138"/>
      <c r="Y5659"/>
      <c r="Z5659"/>
      <c r="AA5659"/>
      <c r="AB5659"/>
      <c r="AC5659"/>
      <c r="AD5659"/>
      <c r="AE5659"/>
      <c r="AF5659"/>
      <c r="AG5659"/>
      <c r="AH5659"/>
      <c r="AI5659"/>
      <c r="AJ5659"/>
      <c r="AK5659"/>
      <c r="AL5659"/>
      <c r="AM5659"/>
      <c r="AN5659"/>
      <c r="AO5659"/>
    </row>
    <row r="5660" spans="1:41" ht="15">
      <c r="A5660"/>
      <c r="B5660"/>
      <c r="C5660" s="137"/>
      <c r="D5660" s="30"/>
      <c r="E5660" s="30"/>
      <c r="F5660" s="10"/>
      <c r="G5660" s="10"/>
      <c r="H5660" s="15"/>
      <c r="I5660" s="15"/>
      <c r="J5660" s="15"/>
      <c r="K5660" s="15"/>
      <c r="L5660" s="15"/>
      <c r="M5660" s="15"/>
      <c r="N5660" s="15"/>
      <c r="O5660" s="15"/>
      <c r="P5660" s="15"/>
      <c r="Q5660" s="71"/>
      <c r="R5660" s="84"/>
      <c r="S5660" s="10"/>
      <c r="T5660" s="10"/>
      <c r="U5660" s="10"/>
      <c r="V5660" s="10"/>
      <c r="W5660" s="138"/>
      <c r="Y5660"/>
      <c r="Z5660"/>
      <c r="AA5660"/>
      <c r="AB5660"/>
      <c r="AC5660"/>
      <c r="AD5660"/>
      <c r="AE5660"/>
      <c r="AF5660"/>
      <c r="AG5660"/>
      <c r="AH5660"/>
      <c r="AI5660"/>
      <c r="AJ5660"/>
      <c r="AK5660"/>
      <c r="AL5660"/>
      <c r="AM5660"/>
      <c r="AN5660"/>
      <c r="AO5660"/>
    </row>
    <row r="5661" spans="1:41" ht="15">
      <c r="A5661"/>
      <c r="B5661"/>
      <c r="C5661" s="137"/>
      <c r="D5661" s="30"/>
      <c r="E5661" s="30"/>
      <c r="F5661" s="10"/>
      <c r="G5661" s="10"/>
      <c r="H5661" s="15"/>
      <c r="I5661" s="15"/>
      <c r="J5661" s="15"/>
      <c r="K5661" s="15"/>
      <c r="L5661" s="15"/>
      <c r="M5661" s="15"/>
      <c r="N5661" s="15"/>
      <c r="O5661" s="15"/>
      <c r="P5661" s="15"/>
      <c r="Q5661" s="71"/>
      <c r="R5661" s="84"/>
      <c r="S5661" s="10"/>
      <c r="T5661" s="10"/>
      <c r="U5661" s="10"/>
      <c r="V5661" s="10"/>
      <c r="W5661" s="138"/>
      <c r="Y5661"/>
      <c r="Z5661"/>
      <c r="AA5661"/>
      <c r="AB5661"/>
      <c r="AC5661"/>
      <c r="AD5661"/>
      <c r="AE5661"/>
      <c r="AF5661"/>
      <c r="AG5661"/>
      <c r="AH5661"/>
      <c r="AI5661"/>
      <c r="AJ5661"/>
      <c r="AK5661"/>
      <c r="AL5661"/>
      <c r="AM5661"/>
      <c r="AN5661"/>
      <c r="AO5661"/>
    </row>
    <row r="5662" spans="1:41" ht="15">
      <c r="A5662"/>
      <c r="B5662"/>
      <c r="C5662" s="137"/>
      <c r="D5662" s="30"/>
      <c r="E5662" s="30"/>
      <c r="F5662" s="10"/>
      <c r="G5662" s="10"/>
      <c r="H5662" s="15"/>
      <c r="I5662" s="15"/>
      <c r="J5662" s="15"/>
      <c r="K5662" s="15"/>
      <c r="L5662" s="15"/>
      <c r="M5662" s="15"/>
      <c r="N5662" s="15"/>
      <c r="O5662" s="15"/>
      <c r="P5662" s="15"/>
      <c r="Q5662" s="71"/>
      <c r="R5662" s="84"/>
      <c r="S5662" s="10"/>
      <c r="T5662" s="10"/>
      <c r="U5662" s="10"/>
      <c r="V5662" s="10"/>
      <c r="W5662" s="138"/>
      <c r="Y5662"/>
      <c r="Z5662"/>
      <c r="AA5662"/>
      <c r="AB5662"/>
      <c r="AC5662"/>
      <c r="AD5662"/>
      <c r="AE5662"/>
      <c r="AF5662"/>
      <c r="AG5662"/>
      <c r="AH5662"/>
      <c r="AI5662"/>
      <c r="AJ5662"/>
      <c r="AK5662"/>
      <c r="AL5662"/>
      <c r="AM5662"/>
      <c r="AN5662"/>
      <c r="AO5662"/>
    </row>
    <row r="5663" spans="1:41" ht="15">
      <c r="A5663"/>
      <c r="B5663"/>
      <c r="C5663" s="137"/>
      <c r="D5663" s="30"/>
      <c r="E5663" s="30"/>
      <c r="F5663" s="10"/>
      <c r="G5663" s="10"/>
      <c r="H5663" s="15"/>
      <c r="I5663" s="15"/>
      <c r="J5663" s="15"/>
      <c r="K5663" s="15"/>
      <c r="L5663" s="15"/>
      <c r="M5663" s="15"/>
      <c r="N5663" s="15"/>
      <c r="O5663" s="15"/>
      <c r="P5663" s="15"/>
      <c r="Q5663" s="71"/>
      <c r="R5663" s="84"/>
      <c r="S5663" s="10"/>
      <c r="T5663" s="10"/>
      <c r="U5663" s="10"/>
      <c r="V5663" s="10"/>
      <c r="W5663" s="138"/>
      <c r="Y5663"/>
      <c r="Z5663"/>
      <c r="AA5663"/>
      <c r="AB5663"/>
      <c r="AC5663"/>
      <c r="AD5663"/>
      <c r="AE5663"/>
      <c r="AF5663"/>
      <c r="AG5663"/>
      <c r="AH5663"/>
      <c r="AI5663"/>
      <c r="AJ5663"/>
      <c r="AK5663"/>
      <c r="AL5663"/>
      <c r="AM5663"/>
      <c r="AN5663"/>
      <c r="AO5663"/>
    </row>
    <row r="5664" spans="1:41" ht="15">
      <c r="A5664"/>
      <c r="B5664"/>
      <c r="C5664" s="137"/>
      <c r="D5664" s="30"/>
      <c r="E5664" s="30"/>
      <c r="F5664" s="10"/>
      <c r="G5664" s="10"/>
      <c r="H5664" s="15"/>
      <c r="I5664" s="15"/>
      <c r="J5664" s="15"/>
      <c r="K5664" s="15"/>
      <c r="L5664" s="15"/>
      <c r="M5664" s="15"/>
      <c r="N5664" s="15"/>
      <c r="O5664" s="15"/>
      <c r="P5664" s="15"/>
      <c r="Q5664" s="71"/>
      <c r="R5664" s="84"/>
      <c r="S5664" s="10"/>
      <c r="T5664" s="10"/>
      <c r="U5664" s="10"/>
      <c r="V5664" s="10"/>
      <c r="W5664" s="138"/>
      <c r="Y5664"/>
      <c r="Z5664"/>
      <c r="AA5664"/>
      <c r="AB5664"/>
      <c r="AC5664"/>
      <c r="AD5664"/>
      <c r="AE5664"/>
      <c r="AF5664"/>
      <c r="AG5664"/>
      <c r="AH5664"/>
      <c r="AI5664"/>
      <c r="AJ5664"/>
      <c r="AK5664"/>
      <c r="AL5664"/>
      <c r="AM5664"/>
      <c r="AN5664"/>
      <c r="AO5664"/>
    </row>
    <row r="5665" spans="1:41" ht="15">
      <c r="A5665"/>
      <c r="B5665"/>
      <c r="C5665" s="137"/>
      <c r="D5665" s="30"/>
      <c r="E5665" s="30"/>
      <c r="F5665" s="10"/>
      <c r="G5665" s="10"/>
      <c r="H5665" s="15"/>
      <c r="I5665" s="15"/>
      <c r="J5665" s="15"/>
      <c r="K5665" s="15"/>
      <c r="L5665" s="15"/>
      <c r="M5665" s="15"/>
      <c r="N5665" s="15"/>
      <c r="O5665" s="15"/>
      <c r="P5665" s="15"/>
      <c r="Q5665" s="71"/>
      <c r="R5665" s="84"/>
      <c r="S5665" s="10"/>
      <c r="T5665" s="10"/>
      <c r="U5665" s="10"/>
      <c r="V5665" s="10"/>
      <c r="W5665" s="138"/>
      <c r="Y5665"/>
      <c r="Z5665"/>
      <c r="AA5665"/>
      <c r="AB5665"/>
      <c r="AC5665"/>
      <c r="AD5665"/>
      <c r="AE5665"/>
      <c r="AF5665"/>
      <c r="AG5665"/>
      <c r="AH5665"/>
      <c r="AI5665"/>
      <c r="AJ5665"/>
      <c r="AK5665"/>
      <c r="AL5665"/>
      <c r="AM5665"/>
      <c r="AN5665"/>
      <c r="AO5665"/>
    </row>
    <row r="5666" spans="1:41" ht="15">
      <c r="A5666"/>
      <c r="B5666"/>
      <c r="C5666" s="137"/>
      <c r="D5666" s="30"/>
      <c r="E5666" s="30"/>
      <c r="F5666" s="10"/>
      <c r="G5666" s="10"/>
      <c r="H5666" s="15"/>
      <c r="I5666" s="15"/>
      <c r="J5666" s="15"/>
      <c r="K5666" s="15"/>
      <c r="L5666" s="15"/>
      <c r="M5666" s="15"/>
      <c r="N5666" s="15"/>
      <c r="O5666" s="15"/>
      <c r="P5666" s="15"/>
      <c r="Q5666" s="71"/>
      <c r="R5666" s="84"/>
      <c r="S5666" s="10"/>
      <c r="T5666" s="10"/>
      <c r="U5666" s="10"/>
      <c r="V5666" s="10"/>
      <c r="W5666" s="138"/>
      <c r="Y5666"/>
      <c r="Z5666"/>
      <c r="AA5666"/>
      <c r="AB5666"/>
      <c r="AC5666"/>
      <c r="AD5666"/>
      <c r="AE5666"/>
      <c r="AF5666"/>
      <c r="AG5666"/>
      <c r="AH5666"/>
      <c r="AI5666"/>
      <c r="AJ5666"/>
      <c r="AK5666"/>
      <c r="AL5666"/>
      <c r="AM5666"/>
      <c r="AN5666"/>
      <c r="AO5666"/>
    </row>
    <row r="5667" spans="1:41" ht="15">
      <c r="A5667"/>
      <c r="B5667"/>
      <c r="C5667" s="137"/>
      <c r="D5667" s="30"/>
      <c r="E5667" s="30"/>
      <c r="F5667" s="10"/>
      <c r="G5667" s="10"/>
      <c r="H5667" s="15"/>
      <c r="I5667" s="15"/>
      <c r="J5667" s="15"/>
      <c r="K5667" s="15"/>
      <c r="L5667" s="15"/>
      <c r="M5667" s="15"/>
      <c r="N5667" s="15"/>
      <c r="O5667" s="15"/>
      <c r="P5667" s="15"/>
      <c r="Q5667" s="71"/>
      <c r="R5667" s="84"/>
      <c r="S5667" s="10"/>
      <c r="T5667" s="10"/>
      <c r="U5667" s="10"/>
      <c r="V5667" s="10"/>
      <c r="W5667" s="138"/>
      <c r="Y5667"/>
      <c r="Z5667"/>
      <c r="AA5667"/>
      <c r="AB5667"/>
      <c r="AC5667"/>
      <c r="AD5667"/>
      <c r="AE5667"/>
      <c r="AF5667"/>
      <c r="AG5667"/>
      <c r="AH5667"/>
      <c r="AI5667"/>
      <c r="AJ5667"/>
      <c r="AK5667"/>
      <c r="AL5667"/>
      <c r="AM5667"/>
      <c r="AN5667"/>
      <c r="AO5667"/>
    </row>
    <row r="5668" spans="1:41" ht="15">
      <c r="A5668"/>
      <c r="B5668"/>
      <c r="C5668" s="137"/>
      <c r="D5668" s="30"/>
      <c r="E5668" s="30"/>
      <c r="F5668" s="10"/>
      <c r="G5668" s="10"/>
      <c r="H5668" s="15"/>
      <c r="I5668" s="15"/>
      <c r="J5668" s="15"/>
      <c r="K5668" s="15"/>
      <c r="L5668" s="15"/>
      <c r="M5668" s="15"/>
      <c r="N5668" s="15"/>
      <c r="O5668" s="15"/>
      <c r="P5668" s="15"/>
      <c r="Q5668" s="71"/>
      <c r="R5668" s="84"/>
      <c r="S5668" s="10"/>
      <c r="T5668" s="10"/>
      <c r="U5668" s="10"/>
      <c r="V5668" s="10"/>
      <c r="W5668" s="138"/>
      <c r="Y5668"/>
      <c r="Z5668"/>
      <c r="AA5668"/>
      <c r="AB5668"/>
      <c r="AC5668"/>
      <c r="AD5668"/>
      <c r="AE5668"/>
      <c r="AF5668"/>
      <c r="AG5668"/>
      <c r="AH5668"/>
      <c r="AI5668"/>
      <c r="AJ5668"/>
      <c r="AK5668"/>
      <c r="AL5668"/>
      <c r="AM5668"/>
      <c r="AN5668"/>
      <c r="AO5668"/>
    </row>
    <row r="5669" spans="1:41" ht="15">
      <c r="A5669"/>
      <c r="B5669"/>
      <c r="C5669" s="137"/>
      <c r="D5669" s="30"/>
      <c r="E5669" s="30"/>
      <c r="F5669" s="10"/>
      <c r="G5669" s="10"/>
      <c r="H5669" s="15"/>
      <c r="I5669" s="15"/>
      <c r="J5669" s="15"/>
      <c r="K5669" s="15"/>
      <c r="L5669" s="15"/>
      <c r="M5669" s="15"/>
      <c r="N5669" s="15"/>
      <c r="O5669" s="15"/>
      <c r="P5669" s="15"/>
      <c r="Q5669" s="71"/>
      <c r="R5669" s="84"/>
      <c r="S5669" s="10"/>
      <c r="T5669" s="10"/>
      <c r="U5669" s="10"/>
      <c r="V5669" s="10"/>
      <c r="W5669" s="138"/>
      <c r="Y5669"/>
      <c r="Z5669"/>
      <c r="AA5669"/>
      <c r="AB5669"/>
      <c r="AC5669"/>
      <c r="AD5669"/>
      <c r="AE5669"/>
      <c r="AF5669"/>
      <c r="AG5669"/>
      <c r="AH5669"/>
      <c r="AI5669"/>
      <c r="AJ5669"/>
      <c r="AK5669"/>
      <c r="AL5669"/>
      <c r="AM5669"/>
      <c r="AN5669"/>
      <c r="AO5669"/>
    </row>
    <row r="5670" spans="1:41" ht="15">
      <c r="A5670"/>
      <c r="B5670"/>
      <c r="C5670" s="137"/>
      <c r="D5670" s="30"/>
      <c r="E5670" s="30"/>
      <c r="F5670" s="10"/>
      <c r="G5670" s="10"/>
      <c r="H5670" s="15"/>
      <c r="I5670" s="15"/>
      <c r="J5670" s="15"/>
      <c r="K5670" s="15"/>
      <c r="L5670" s="15"/>
      <c r="M5670" s="15"/>
      <c r="N5670" s="15"/>
      <c r="O5670" s="15"/>
      <c r="P5670" s="15"/>
      <c r="Q5670" s="71"/>
      <c r="R5670" s="84"/>
      <c r="S5670" s="10"/>
      <c r="T5670" s="10"/>
      <c r="U5670" s="10"/>
      <c r="V5670" s="10"/>
      <c r="W5670" s="138"/>
      <c r="Y5670"/>
      <c r="Z5670"/>
      <c r="AA5670"/>
      <c r="AB5670"/>
      <c r="AC5670"/>
      <c r="AD5670"/>
      <c r="AE5670"/>
      <c r="AF5670"/>
      <c r="AG5670"/>
      <c r="AH5670"/>
      <c r="AI5670"/>
      <c r="AJ5670"/>
      <c r="AK5670"/>
      <c r="AL5670"/>
      <c r="AM5670"/>
      <c r="AN5670"/>
      <c r="AO5670"/>
    </row>
    <row r="5671" spans="1:41" ht="15">
      <c r="A5671"/>
      <c r="B5671"/>
      <c r="C5671" s="137"/>
      <c r="D5671" s="30"/>
      <c r="E5671" s="30"/>
      <c r="F5671" s="10"/>
      <c r="G5671" s="10"/>
      <c r="H5671" s="15"/>
      <c r="I5671" s="15"/>
      <c r="J5671" s="15"/>
      <c r="K5671" s="15"/>
      <c r="L5671" s="15"/>
      <c r="M5671" s="15"/>
      <c r="N5671" s="15"/>
      <c r="O5671" s="15"/>
      <c r="P5671" s="15"/>
      <c r="Q5671" s="71"/>
      <c r="R5671" s="84"/>
      <c r="S5671" s="10"/>
      <c r="T5671" s="10"/>
      <c r="U5671" s="10"/>
      <c r="V5671" s="10"/>
      <c r="W5671" s="138"/>
      <c r="Y5671"/>
      <c r="Z5671"/>
      <c r="AA5671"/>
      <c r="AB5671"/>
      <c r="AC5671"/>
      <c r="AD5671"/>
      <c r="AE5671"/>
      <c r="AF5671"/>
      <c r="AG5671"/>
      <c r="AH5671"/>
      <c r="AI5671"/>
      <c r="AJ5671"/>
      <c r="AK5671"/>
      <c r="AL5671"/>
      <c r="AM5671"/>
      <c r="AN5671"/>
      <c r="AO5671"/>
    </row>
    <row r="5672" spans="1:41" ht="15">
      <c r="A5672"/>
      <c r="B5672"/>
      <c r="C5672" s="137"/>
      <c r="D5672" s="30"/>
      <c r="E5672" s="30"/>
      <c r="F5672" s="10"/>
      <c r="G5672" s="10"/>
      <c r="H5672" s="15"/>
      <c r="I5672" s="15"/>
      <c r="J5672" s="15"/>
      <c r="K5672" s="15"/>
      <c r="L5672" s="15"/>
      <c r="M5672" s="15"/>
      <c r="N5672" s="15"/>
      <c r="O5672" s="15"/>
      <c r="P5672" s="15"/>
      <c r="Q5672" s="71"/>
      <c r="R5672" s="84"/>
      <c r="S5672" s="10"/>
      <c r="T5672" s="10"/>
      <c r="U5672" s="10"/>
      <c r="V5672" s="10"/>
      <c r="W5672" s="138"/>
      <c r="Y5672"/>
      <c r="Z5672"/>
      <c r="AA5672"/>
      <c r="AB5672"/>
      <c r="AC5672"/>
      <c r="AD5672"/>
      <c r="AE5672"/>
      <c r="AF5672"/>
      <c r="AG5672"/>
      <c r="AH5672"/>
      <c r="AI5672"/>
      <c r="AJ5672"/>
      <c r="AK5672"/>
      <c r="AL5672"/>
      <c r="AM5672"/>
      <c r="AN5672"/>
      <c r="AO5672"/>
    </row>
    <row r="5673" spans="1:41" ht="15">
      <c r="A5673"/>
      <c r="B5673"/>
      <c r="C5673" s="137"/>
      <c r="D5673" s="30"/>
      <c r="E5673" s="30"/>
      <c r="F5673" s="10"/>
      <c r="G5673" s="10"/>
      <c r="H5673" s="15"/>
      <c r="I5673" s="15"/>
      <c r="J5673" s="15"/>
      <c r="K5673" s="15"/>
      <c r="L5673" s="15"/>
      <c r="M5673" s="15"/>
      <c r="N5673" s="15"/>
      <c r="O5673" s="15"/>
      <c r="P5673" s="15"/>
      <c r="Q5673" s="71"/>
      <c r="R5673" s="84"/>
      <c r="S5673" s="10"/>
      <c r="T5673" s="10"/>
      <c r="U5673" s="10"/>
      <c r="V5673" s="10"/>
      <c r="W5673" s="138"/>
      <c r="Y5673"/>
      <c r="Z5673"/>
      <c r="AA5673"/>
      <c r="AB5673"/>
      <c r="AC5673"/>
      <c r="AD5673"/>
      <c r="AE5673"/>
      <c r="AF5673"/>
      <c r="AG5673"/>
      <c r="AH5673"/>
      <c r="AI5673"/>
      <c r="AJ5673"/>
      <c r="AK5673"/>
      <c r="AL5673"/>
      <c r="AM5673"/>
      <c r="AN5673"/>
      <c r="AO5673"/>
    </row>
    <row r="5674" spans="1:41" ht="15">
      <c r="A5674"/>
      <c r="B5674"/>
      <c r="C5674" s="137"/>
      <c r="D5674" s="30"/>
      <c r="E5674" s="30"/>
      <c r="F5674" s="10"/>
      <c r="G5674" s="10"/>
      <c r="H5674" s="15"/>
      <c r="I5674" s="15"/>
      <c r="J5674" s="15"/>
      <c r="K5674" s="15"/>
      <c r="L5674" s="15"/>
      <c r="M5674" s="15"/>
      <c r="N5674" s="15"/>
      <c r="O5674" s="15"/>
      <c r="P5674" s="15"/>
      <c r="Q5674" s="71"/>
      <c r="R5674" s="84"/>
      <c r="S5674" s="10"/>
      <c r="T5674" s="10"/>
      <c r="U5674" s="10"/>
      <c r="V5674" s="10"/>
      <c r="W5674" s="138"/>
      <c r="Y5674"/>
      <c r="Z5674"/>
      <c r="AA5674"/>
      <c r="AB5674"/>
      <c r="AC5674"/>
      <c r="AD5674"/>
      <c r="AE5674"/>
      <c r="AF5674"/>
      <c r="AG5674"/>
      <c r="AH5674"/>
      <c r="AI5674"/>
      <c r="AJ5674"/>
      <c r="AK5674"/>
      <c r="AL5674"/>
      <c r="AM5674"/>
      <c r="AN5674"/>
      <c r="AO5674"/>
    </row>
    <row r="5675" spans="1:41" ht="15">
      <c r="A5675"/>
      <c r="B5675"/>
      <c r="C5675" s="137"/>
      <c r="D5675" s="30"/>
      <c r="E5675" s="30"/>
      <c r="F5675" s="10"/>
      <c r="G5675" s="10"/>
      <c r="H5675" s="15"/>
      <c r="I5675" s="15"/>
      <c r="J5675" s="15"/>
      <c r="K5675" s="15"/>
      <c r="L5675" s="15"/>
      <c r="M5675" s="15"/>
      <c r="N5675" s="15"/>
      <c r="O5675" s="15"/>
      <c r="P5675" s="15"/>
      <c r="Q5675" s="71"/>
      <c r="R5675" s="84"/>
      <c r="S5675" s="10"/>
      <c r="T5675" s="10"/>
      <c r="U5675" s="10"/>
      <c r="V5675" s="10"/>
      <c r="W5675" s="138"/>
      <c r="Y5675"/>
      <c r="Z5675"/>
      <c r="AA5675"/>
      <c r="AB5675"/>
      <c r="AC5675"/>
      <c r="AD5675"/>
      <c r="AE5675"/>
      <c r="AF5675"/>
      <c r="AG5675"/>
      <c r="AH5675"/>
      <c r="AI5675"/>
      <c r="AJ5675"/>
      <c r="AK5675"/>
      <c r="AL5675"/>
      <c r="AM5675"/>
      <c r="AN5675"/>
      <c r="AO5675"/>
    </row>
    <row r="5676" spans="1:41" ht="15">
      <c r="A5676"/>
      <c r="B5676"/>
      <c r="C5676" s="137"/>
      <c r="D5676" s="30"/>
      <c r="E5676" s="30"/>
      <c r="F5676" s="10"/>
      <c r="G5676" s="10"/>
      <c r="H5676" s="15"/>
      <c r="I5676" s="15"/>
      <c r="J5676" s="15"/>
      <c r="K5676" s="15"/>
      <c r="L5676" s="15"/>
      <c r="M5676" s="15"/>
      <c r="N5676" s="15"/>
      <c r="O5676" s="15"/>
      <c r="P5676" s="15"/>
      <c r="Q5676" s="71"/>
      <c r="R5676" s="84"/>
      <c r="S5676" s="10"/>
      <c r="T5676" s="10"/>
      <c r="U5676" s="10"/>
      <c r="V5676" s="10"/>
      <c r="W5676" s="138"/>
      <c r="Y5676"/>
      <c r="Z5676"/>
      <c r="AA5676"/>
      <c r="AB5676"/>
      <c r="AC5676"/>
      <c r="AD5676"/>
      <c r="AE5676"/>
      <c r="AF5676"/>
      <c r="AG5676"/>
      <c r="AH5676"/>
      <c r="AI5676"/>
      <c r="AJ5676"/>
      <c r="AK5676"/>
      <c r="AL5676"/>
      <c r="AM5676"/>
      <c r="AN5676"/>
      <c r="AO5676"/>
    </row>
    <row r="5677" spans="1:41" ht="15">
      <c r="A5677"/>
      <c r="B5677"/>
      <c r="C5677" s="137"/>
      <c r="D5677" s="30"/>
      <c r="E5677" s="30"/>
      <c r="F5677" s="10"/>
      <c r="G5677" s="10"/>
      <c r="H5677" s="15"/>
      <c r="I5677" s="15"/>
      <c r="J5677" s="15"/>
      <c r="K5677" s="15"/>
      <c r="L5677" s="15"/>
      <c r="M5677" s="15"/>
      <c r="N5677" s="15"/>
      <c r="O5677" s="15"/>
      <c r="P5677" s="15"/>
      <c r="Q5677" s="71"/>
      <c r="R5677" s="84"/>
      <c r="S5677" s="10"/>
      <c r="T5677" s="10"/>
      <c r="U5677" s="10"/>
      <c r="V5677" s="10"/>
      <c r="W5677" s="138"/>
      <c r="Y5677"/>
      <c r="Z5677"/>
      <c r="AA5677"/>
      <c r="AB5677"/>
      <c r="AC5677"/>
      <c r="AD5677"/>
      <c r="AE5677"/>
      <c r="AF5677"/>
      <c r="AG5677"/>
      <c r="AH5677"/>
      <c r="AI5677"/>
      <c r="AJ5677"/>
      <c r="AK5677"/>
      <c r="AL5677"/>
      <c r="AM5677"/>
      <c r="AN5677"/>
      <c r="AO5677"/>
    </row>
    <row r="5678" spans="1:41" ht="15">
      <c r="A5678"/>
      <c r="B5678"/>
      <c r="C5678" s="137"/>
      <c r="D5678" s="30"/>
      <c r="E5678" s="30"/>
      <c r="F5678" s="10"/>
      <c r="G5678" s="10"/>
      <c r="H5678" s="15"/>
      <c r="I5678" s="15"/>
      <c r="J5678" s="15"/>
      <c r="K5678" s="15"/>
      <c r="L5678" s="15"/>
      <c r="M5678" s="15"/>
      <c r="N5678" s="15"/>
      <c r="O5678" s="15"/>
      <c r="P5678" s="15"/>
      <c r="Q5678" s="71"/>
      <c r="R5678" s="84"/>
      <c r="S5678" s="10"/>
      <c r="T5678" s="10"/>
      <c r="U5678" s="10"/>
      <c r="V5678" s="10"/>
      <c r="W5678" s="138"/>
      <c r="Y5678"/>
      <c r="Z5678"/>
      <c r="AA5678"/>
      <c r="AB5678"/>
      <c r="AC5678"/>
      <c r="AD5678"/>
      <c r="AE5678"/>
      <c r="AF5678"/>
      <c r="AG5678"/>
      <c r="AH5678"/>
      <c r="AI5678"/>
      <c r="AJ5678"/>
      <c r="AK5678"/>
      <c r="AL5678"/>
      <c r="AM5678"/>
      <c r="AN5678"/>
      <c r="AO5678"/>
    </row>
    <row r="5679" spans="1:41" ht="15">
      <c r="A5679"/>
      <c r="B5679"/>
      <c r="C5679" s="137"/>
      <c r="D5679" s="30"/>
      <c r="E5679" s="30"/>
      <c r="F5679" s="10"/>
      <c r="G5679" s="10"/>
      <c r="H5679" s="15"/>
      <c r="I5679" s="15"/>
      <c r="J5679" s="15"/>
      <c r="K5679" s="15"/>
      <c r="L5679" s="15"/>
      <c r="M5679" s="15"/>
      <c r="N5679" s="15"/>
      <c r="O5679" s="15"/>
      <c r="P5679" s="15"/>
      <c r="Q5679" s="71"/>
      <c r="R5679" s="84"/>
      <c r="S5679" s="10"/>
      <c r="T5679" s="10"/>
      <c r="U5679" s="10"/>
      <c r="V5679" s="10"/>
      <c r="W5679" s="138"/>
      <c r="Y5679"/>
      <c r="Z5679"/>
      <c r="AA5679"/>
      <c r="AB5679"/>
      <c r="AC5679"/>
      <c r="AD5679"/>
      <c r="AE5679"/>
      <c r="AF5679"/>
      <c r="AG5679"/>
      <c r="AH5679"/>
      <c r="AI5679"/>
      <c r="AJ5679"/>
      <c r="AK5679"/>
      <c r="AL5679"/>
      <c r="AM5679"/>
      <c r="AN5679"/>
      <c r="AO5679"/>
    </row>
    <row r="5680" spans="1:41" ht="15">
      <c r="A5680"/>
      <c r="B5680"/>
      <c r="C5680" s="137"/>
      <c r="D5680" s="30"/>
      <c r="E5680" s="30"/>
      <c r="F5680" s="10"/>
      <c r="G5680" s="10"/>
      <c r="H5680" s="15"/>
      <c r="I5680" s="15"/>
      <c r="J5680" s="15"/>
      <c r="K5680" s="15"/>
      <c r="L5680" s="15"/>
      <c r="M5680" s="15"/>
      <c r="N5680" s="15"/>
      <c r="O5680" s="15"/>
      <c r="P5680" s="15"/>
      <c r="Q5680" s="71"/>
      <c r="R5680" s="84"/>
      <c r="S5680" s="10"/>
      <c r="T5680" s="10"/>
      <c r="U5680" s="10"/>
      <c r="V5680" s="10"/>
      <c r="W5680" s="138"/>
      <c r="Y5680"/>
      <c r="Z5680"/>
      <c r="AA5680"/>
      <c r="AB5680"/>
      <c r="AC5680"/>
      <c r="AD5680"/>
      <c r="AE5680"/>
      <c r="AF5680"/>
      <c r="AG5680"/>
      <c r="AH5680"/>
      <c r="AI5680"/>
      <c r="AJ5680"/>
      <c r="AK5680"/>
      <c r="AL5680"/>
      <c r="AM5680"/>
      <c r="AN5680"/>
      <c r="AO5680"/>
    </row>
    <row r="5681" spans="1:41" ht="15">
      <c r="A5681"/>
      <c r="B5681"/>
      <c r="C5681" s="137"/>
      <c r="D5681" s="30"/>
      <c r="E5681" s="30"/>
      <c r="F5681" s="10"/>
      <c r="G5681" s="10"/>
      <c r="H5681" s="15"/>
      <c r="I5681" s="15"/>
      <c r="J5681" s="15"/>
      <c r="K5681" s="15"/>
      <c r="L5681" s="15"/>
      <c r="M5681" s="15"/>
      <c r="N5681" s="15"/>
      <c r="O5681" s="15"/>
      <c r="P5681" s="15"/>
      <c r="Q5681" s="71"/>
      <c r="R5681" s="84"/>
      <c r="S5681" s="10"/>
      <c r="T5681" s="10"/>
      <c r="U5681" s="10"/>
      <c r="V5681" s="10"/>
      <c r="W5681" s="138"/>
      <c r="Y5681"/>
      <c r="Z5681"/>
      <c r="AA5681"/>
      <c r="AB5681"/>
      <c r="AC5681"/>
      <c r="AD5681"/>
      <c r="AE5681"/>
      <c r="AF5681"/>
      <c r="AG5681"/>
      <c r="AH5681"/>
      <c r="AI5681"/>
      <c r="AJ5681"/>
      <c r="AK5681"/>
      <c r="AL5681"/>
      <c r="AM5681"/>
      <c r="AN5681"/>
      <c r="AO5681"/>
    </row>
    <row r="5682" spans="1:41" ht="15">
      <c r="A5682"/>
      <c r="B5682"/>
      <c r="C5682" s="137"/>
      <c r="D5682" s="30"/>
      <c r="E5682" s="30"/>
      <c r="F5682" s="10"/>
      <c r="G5682" s="10"/>
      <c r="H5682" s="15"/>
      <c r="I5682" s="15"/>
      <c r="J5682" s="15"/>
      <c r="K5682" s="15"/>
      <c r="L5682" s="15"/>
      <c r="M5682" s="15"/>
      <c r="N5682" s="15"/>
      <c r="O5682" s="15"/>
      <c r="P5682" s="15"/>
      <c r="Q5682" s="71"/>
      <c r="R5682" s="84"/>
      <c r="S5682" s="10"/>
      <c r="T5682" s="10"/>
      <c r="U5682" s="10"/>
      <c r="V5682" s="10"/>
      <c r="W5682" s="138"/>
      <c r="Y5682"/>
      <c r="Z5682"/>
      <c r="AA5682"/>
      <c r="AB5682"/>
      <c r="AC5682"/>
      <c r="AD5682"/>
      <c r="AE5682"/>
      <c r="AF5682"/>
      <c r="AG5682"/>
      <c r="AH5682"/>
      <c r="AI5682"/>
      <c r="AJ5682"/>
      <c r="AK5682"/>
      <c r="AL5682"/>
      <c r="AM5682"/>
      <c r="AN5682"/>
      <c r="AO5682"/>
    </row>
    <row r="5683" spans="1:41" ht="15">
      <c r="A5683"/>
      <c r="B5683"/>
      <c r="C5683" s="137"/>
      <c r="D5683" s="30"/>
      <c r="E5683" s="30"/>
      <c r="F5683" s="10"/>
      <c r="G5683" s="10"/>
      <c r="H5683" s="15"/>
      <c r="I5683" s="15"/>
      <c r="J5683" s="15"/>
      <c r="K5683" s="15"/>
      <c r="L5683" s="15"/>
      <c r="M5683" s="15"/>
      <c r="N5683" s="15"/>
      <c r="O5683" s="15"/>
      <c r="P5683" s="15"/>
      <c r="Q5683" s="71"/>
      <c r="R5683" s="84"/>
      <c r="S5683" s="10"/>
      <c r="T5683" s="10"/>
      <c r="U5683" s="10"/>
      <c r="V5683" s="10"/>
      <c r="W5683" s="138"/>
      <c r="Y5683"/>
      <c r="Z5683"/>
      <c r="AA5683"/>
      <c r="AB5683"/>
      <c r="AC5683"/>
      <c r="AD5683"/>
      <c r="AE5683"/>
      <c r="AF5683"/>
      <c r="AG5683"/>
      <c r="AH5683"/>
      <c r="AI5683"/>
      <c r="AJ5683"/>
      <c r="AK5683"/>
      <c r="AL5683"/>
      <c r="AM5683"/>
      <c r="AN5683"/>
      <c r="AO5683"/>
    </row>
    <row r="5684" spans="1:41" ht="15">
      <c r="A5684"/>
      <c r="B5684"/>
      <c r="C5684" s="137"/>
      <c r="D5684" s="30"/>
      <c r="E5684" s="30"/>
      <c r="F5684" s="10"/>
      <c r="G5684" s="10"/>
      <c r="H5684" s="15"/>
      <c r="I5684" s="15"/>
      <c r="J5684" s="15"/>
      <c r="K5684" s="15"/>
      <c r="L5684" s="15"/>
      <c r="M5684" s="15"/>
      <c r="N5684" s="15"/>
      <c r="O5684" s="15"/>
      <c r="P5684" s="15"/>
      <c r="Q5684" s="71"/>
      <c r="R5684" s="84"/>
      <c r="S5684" s="10"/>
      <c r="T5684" s="10"/>
      <c r="U5684" s="10"/>
      <c r="V5684" s="10"/>
      <c r="W5684" s="138"/>
      <c r="Y5684"/>
      <c r="Z5684"/>
      <c r="AA5684"/>
      <c r="AB5684"/>
      <c r="AC5684"/>
      <c r="AD5684"/>
      <c r="AE5684"/>
      <c r="AF5684"/>
      <c r="AG5684"/>
      <c r="AH5684"/>
      <c r="AI5684"/>
      <c r="AJ5684"/>
      <c r="AK5684"/>
      <c r="AL5684"/>
      <c r="AM5684"/>
      <c r="AN5684"/>
      <c r="AO5684"/>
    </row>
    <row r="5685" spans="1:41" ht="15">
      <c r="A5685"/>
      <c r="B5685"/>
      <c r="C5685" s="137"/>
      <c r="D5685" s="30"/>
      <c r="E5685" s="30"/>
      <c r="F5685" s="10"/>
      <c r="G5685" s="10"/>
      <c r="H5685" s="15"/>
      <c r="I5685" s="15"/>
      <c r="J5685" s="15"/>
      <c r="K5685" s="15"/>
      <c r="L5685" s="15"/>
      <c r="M5685" s="15"/>
      <c r="N5685" s="15"/>
      <c r="O5685" s="15"/>
      <c r="P5685" s="15"/>
      <c r="Q5685" s="71"/>
      <c r="R5685" s="84"/>
      <c r="S5685" s="10"/>
      <c r="T5685" s="10"/>
      <c r="U5685" s="10"/>
      <c r="V5685" s="10"/>
      <c r="W5685" s="138"/>
      <c r="Y5685"/>
      <c r="Z5685"/>
      <c r="AA5685"/>
      <c r="AB5685"/>
      <c r="AC5685"/>
      <c r="AD5685"/>
      <c r="AE5685"/>
      <c r="AF5685"/>
      <c r="AG5685"/>
      <c r="AH5685"/>
      <c r="AI5685"/>
      <c r="AJ5685"/>
      <c r="AK5685"/>
      <c r="AL5685"/>
      <c r="AM5685"/>
      <c r="AN5685"/>
      <c r="AO5685"/>
    </row>
    <row r="5686" spans="1:41" ht="15">
      <c r="A5686"/>
      <c r="B5686"/>
      <c r="C5686" s="137"/>
      <c r="D5686" s="30"/>
      <c r="E5686" s="30"/>
      <c r="F5686" s="10"/>
      <c r="G5686" s="10"/>
      <c r="H5686" s="15"/>
      <c r="I5686" s="15"/>
      <c r="J5686" s="15"/>
      <c r="K5686" s="15"/>
      <c r="L5686" s="15"/>
      <c r="M5686" s="15"/>
      <c r="N5686" s="15"/>
      <c r="O5686" s="15"/>
      <c r="P5686" s="15"/>
      <c r="Q5686" s="71"/>
      <c r="R5686" s="84"/>
      <c r="S5686" s="10"/>
      <c r="T5686" s="10"/>
      <c r="U5686" s="10"/>
      <c r="V5686" s="10"/>
      <c r="W5686" s="138"/>
      <c r="Y5686"/>
      <c r="Z5686"/>
      <c r="AA5686"/>
      <c r="AB5686"/>
      <c r="AC5686"/>
      <c r="AD5686"/>
      <c r="AE5686"/>
      <c r="AF5686"/>
      <c r="AG5686"/>
      <c r="AH5686"/>
      <c r="AI5686"/>
      <c r="AJ5686"/>
      <c r="AK5686"/>
      <c r="AL5686"/>
      <c r="AM5686"/>
      <c r="AN5686"/>
      <c r="AO5686"/>
    </row>
    <row r="5687" spans="1:41" ht="15">
      <c r="A5687"/>
      <c r="B5687"/>
      <c r="C5687" s="137"/>
      <c r="D5687" s="30"/>
      <c r="E5687" s="30"/>
      <c r="F5687" s="10"/>
      <c r="G5687" s="10"/>
      <c r="H5687" s="15"/>
      <c r="I5687" s="15"/>
      <c r="J5687" s="15"/>
      <c r="K5687" s="15"/>
      <c r="L5687" s="15"/>
      <c r="M5687" s="15"/>
      <c r="N5687" s="15"/>
      <c r="O5687" s="15"/>
      <c r="P5687" s="15"/>
      <c r="Q5687" s="71"/>
      <c r="R5687" s="84"/>
      <c r="S5687" s="10"/>
      <c r="T5687" s="10"/>
      <c r="U5687" s="10"/>
      <c r="V5687" s="10"/>
      <c r="W5687" s="138"/>
      <c r="Y5687"/>
      <c r="Z5687"/>
      <c r="AA5687"/>
      <c r="AB5687"/>
      <c r="AC5687"/>
      <c r="AD5687"/>
      <c r="AE5687"/>
      <c r="AF5687"/>
      <c r="AG5687"/>
      <c r="AH5687"/>
      <c r="AI5687"/>
      <c r="AJ5687"/>
      <c r="AK5687"/>
      <c r="AL5687"/>
      <c r="AM5687"/>
      <c r="AN5687"/>
      <c r="AO5687"/>
    </row>
    <row r="5688" spans="1:41" ht="15">
      <c r="A5688"/>
      <c r="B5688"/>
      <c r="C5688" s="137"/>
      <c r="D5688" s="30"/>
      <c r="E5688" s="30"/>
      <c r="F5688" s="10"/>
      <c r="G5688" s="10"/>
      <c r="H5688" s="15"/>
      <c r="I5688" s="15"/>
      <c r="J5688" s="15"/>
      <c r="K5688" s="15"/>
      <c r="L5688" s="15"/>
      <c r="M5688" s="15"/>
      <c r="N5688" s="15"/>
      <c r="O5688" s="15"/>
      <c r="P5688" s="15"/>
      <c r="Q5688" s="71"/>
      <c r="R5688" s="84"/>
      <c r="S5688" s="10"/>
      <c r="T5688" s="10"/>
      <c r="U5688" s="10"/>
      <c r="V5688" s="10"/>
      <c r="W5688" s="138"/>
      <c r="Y5688"/>
      <c r="Z5688"/>
      <c r="AA5688"/>
      <c r="AB5688"/>
      <c r="AC5688"/>
      <c r="AD5688"/>
      <c r="AE5688"/>
      <c r="AF5688"/>
      <c r="AG5688"/>
      <c r="AH5688"/>
      <c r="AI5688"/>
      <c r="AJ5688"/>
      <c r="AK5688"/>
      <c r="AL5688"/>
      <c r="AM5688"/>
      <c r="AN5688"/>
      <c r="AO5688"/>
    </row>
    <row r="5689" spans="1:41" ht="15">
      <c r="A5689"/>
      <c r="B5689"/>
      <c r="C5689" s="137"/>
      <c r="D5689" s="30"/>
      <c r="E5689" s="30"/>
      <c r="F5689" s="10"/>
      <c r="G5689" s="10"/>
      <c r="H5689" s="15"/>
      <c r="I5689" s="15"/>
      <c r="J5689" s="15"/>
      <c r="K5689" s="15"/>
      <c r="L5689" s="15"/>
      <c r="M5689" s="15"/>
      <c r="N5689" s="15"/>
      <c r="O5689" s="15"/>
      <c r="P5689" s="15"/>
      <c r="Q5689" s="71"/>
      <c r="R5689" s="84"/>
      <c r="S5689" s="10"/>
      <c r="T5689" s="10"/>
      <c r="U5689" s="10"/>
      <c r="V5689" s="10"/>
      <c r="W5689" s="138"/>
      <c r="Y5689"/>
      <c r="Z5689"/>
      <c r="AA5689"/>
      <c r="AB5689"/>
      <c r="AC5689"/>
      <c r="AD5689"/>
      <c r="AE5689"/>
      <c r="AF5689"/>
      <c r="AG5689"/>
      <c r="AH5689"/>
      <c r="AI5689"/>
      <c r="AJ5689"/>
      <c r="AK5689"/>
      <c r="AL5689"/>
      <c r="AM5689"/>
      <c r="AN5689"/>
      <c r="AO5689"/>
    </row>
    <row r="5690" spans="1:41" ht="15">
      <c r="A5690"/>
      <c r="B5690"/>
      <c r="C5690" s="137"/>
      <c r="D5690" s="30"/>
      <c r="E5690" s="30"/>
      <c r="F5690" s="10"/>
      <c r="G5690" s="10"/>
      <c r="H5690" s="15"/>
      <c r="I5690" s="15"/>
      <c r="J5690" s="15"/>
      <c r="K5690" s="15"/>
      <c r="L5690" s="15"/>
      <c r="M5690" s="15"/>
      <c r="N5690" s="15"/>
      <c r="O5690" s="15"/>
      <c r="P5690" s="15"/>
      <c r="Q5690" s="71"/>
      <c r="R5690" s="84"/>
      <c r="S5690" s="10"/>
      <c r="T5690" s="10"/>
      <c r="U5690" s="10"/>
      <c r="V5690" s="10"/>
      <c r="W5690" s="138"/>
      <c r="Y5690"/>
      <c r="Z5690"/>
      <c r="AA5690"/>
      <c r="AB5690"/>
      <c r="AC5690"/>
      <c r="AD5690"/>
      <c r="AE5690"/>
      <c r="AF5690"/>
      <c r="AG5690"/>
      <c r="AH5690"/>
      <c r="AI5690"/>
      <c r="AJ5690"/>
      <c r="AK5690"/>
      <c r="AL5690"/>
      <c r="AM5690"/>
      <c r="AN5690"/>
      <c r="AO5690"/>
    </row>
    <row r="5691" spans="1:41" ht="15">
      <c r="A5691"/>
      <c r="B5691"/>
      <c r="C5691" s="137"/>
      <c r="D5691" s="30"/>
      <c r="E5691" s="30"/>
      <c r="F5691" s="10"/>
      <c r="G5691" s="10"/>
      <c r="H5691" s="15"/>
      <c r="I5691" s="15"/>
      <c r="J5691" s="15"/>
      <c r="K5691" s="15"/>
      <c r="L5691" s="15"/>
      <c r="M5691" s="15"/>
      <c r="N5691" s="15"/>
      <c r="O5691" s="15"/>
      <c r="P5691" s="15"/>
      <c r="Q5691" s="71"/>
      <c r="R5691" s="84"/>
      <c r="S5691" s="10"/>
      <c r="T5691" s="10"/>
      <c r="U5691" s="10"/>
      <c r="V5691" s="10"/>
      <c r="W5691" s="138"/>
      <c r="Y5691"/>
      <c r="Z5691"/>
      <c r="AA5691"/>
      <c r="AB5691"/>
      <c r="AC5691"/>
      <c r="AD5691"/>
      <c r="AE5691"/>
      <c r="AF5691"/>
      <c r="AG5691"/>
      <c r="AH5691"/>
      <c r="AI5691"/>
      <c r="AJ5691"/>
      <c r="AK5691"/>
      <c r="AL5691"/>
      <c r="AM5691"/>
      <c r="AN5691"/>
      <c r="AO5691"/>
    </row>
    <row r="5692" spans="1:41" ht="15">
      <c r="A5692"/>
      <c r="B5692"/>
      <c r="C5692" s="137"/>
      <c r="D5692" s="30"/>
      <c r="E5692" s="30"/>
      <c r="F5692" s="10"/>
      <c r="G5692" s="10"/>
      <c r="H5692" s="15"/>
      <c r="I5692" s="15"/>
      <c r="J5692" s="15"/>
      <c r="K5692" s="15"/>
      <c r="L5692" s="15"/>
      <c r="M5692" s="15"/>
      <c r="N5692" s="15"/>
      <c r="O5692" s="15"/>
      <c r="P5692" s="15"/>
      <c r="Q5692" s="71"/>
      <c r="R5692" s="84"/>
      <c r="S5692" s="10"/>
      <c r="T5692" s="10"/>
      <c r="U5692" s="10"/>
      <c r="V5692" s="10"/>
      <c r="W5692" s="138"/>
      <c r="Y5692"/>
      <c r="Z5692"/>
      <c r="AA5692"/>
      <c r="AB5692"/>
      <c r="AC5692"/>
      <c r="AD5692"/>
      <c r="AE5692"/>
      <c r="AF5692"/>
      <c r="AG5692"/>
      <c r="AH5692"/>
      <c r="AI5692"/>
      <c r="AJ5692"/>
      <c r="AK5692"/>
      <c r="AL5692"/>
      <c r="AM5692"/>
      <c r="AN5692"/>
      <c r="AO5692"/>
    </row>
    <row r="5693" spans="1:41" ht="15">
      <c r="A5693"/>
      <c r="B5693"/>
      <c r="C5693" s="137"/>
      <c r="D5693" s="30"/>
      <c r="E5693" s="30"/>
      <c r="F5693" s="10"/>
      <c r="G5693" s="10"/>
      <c r="H5693" s="15"/>
      <c r="I5693" s="15"/>
      <c r="J5693" s="15"/>
      <c r="K5693" s="15"/>
      <c r="L5693" s="15"/>
      <c r="M5693" s="15"/>
      <c r="N5693" s="15"/>
      <c r="O5693" s="15"/>
      <c r="P5693" s="15"/>
      <c r="Q5693" s="71"/>
      <c r="R5693" s="84"/>
      <c r="S5693" s="10"/>
      <c r="T5693" s="10"/>
      <c r="U5693" s="10"/>
      <c r="V5693" s="10"/>
      <c r="W5693" s="138"/>
      <c r="Y5693"/>
      <c r="Z5693"/>
      <c r="AA5693"/>
      <c r="AB5693"/>
      <c r="AC5693"/>
      <c r="AD5693"/>
      <c r="AE5693"/>
      <c r="AF5693"/>
      <c r="AG5693"/>
      <c r="AH5693"/>
      <c r="AI5693"/>
      <c r="AJ5693"/>
      <c r="AK5693"/>
      <c r="AL5693"/>
      <c r="AM5693"/>
      <c r="AN5693"/>
      <c r="AO5693"/>
    </row>
    <row r="5694" spans="1:41" ht="15">
      <c r="A5694"/>
      <c r="B5694"/>
      <c r="C5694" s="137"/>
      <c r="D5694" s="30"/>
      <c r="E5694" s="30"/>
      <c r="F5694" s="10"/>
      <c r="G5694" s="10"/>
      <c r="H5694" s="15"/>
      <c r="I5694" s="15"/>
      <c r="J5694" s="15"/>
      <c r="K5694" s="15"/>
      <c r="L5694" s="15"/>
      <c r="M5694" s="15"/>
      <c r="N5694" s="15"/>
      <c r="O5694" s="15"/>
      <c r="P5694" s="15"/>
      <c r="Q5694" s="71"/>
      <c r="R5694" s="84"/>
      <c r="S5694" s="10"/>
      <c r="T5694" s="10"/>
      <c r="U5694" s="10"/>
      <c r="V5694" s="10"/>
      <c r="W5694" s="138"/>
      <c r="Y5694"/>
      <c r="Z5694"/>
      <c r="AA5694"/>
      <c r="AB5694"/>
      <c r="AC5694"/>
      <c r="AD5694"/>
      <c r="AE5694"/>
      <c r="AF5694"/>
      <c r="AG5694"/>
      <c r="AH5694"/>
      <c r="AI5694"/>
      <c r="AJ5694"/>
      <c r="AK5694"/>
      <c r="AL5694"/>
      <c r="AM5694"/>
      <c r="AN5694"/>
      <c r="AO5694"/>
    </row>
    <row r="5695" spans="1:41" ht="15">
      <c r="A5695"/>
      <c r="B5695"/>
      <c r="C5695" s="137"/>
      <c r="D5695" s="30"/>
      <c r="E5695" s="30"/>
      <c r="F5695" s="10"/>
      <c r="G5695" s="10"/>
      <c r="H5695" s="15"/>
      <c r="I5695" s="15"/>
      <c r="J5695" s="15"/>
      <c r="K5695" s="15"/>
      <c r="L5695" s="15"/>
      <c r="M5695" s="15"/>
      <c r="N5695" s="15"/>
      <c r="O5695" s="15"/>
      <c r="P5695" s="15"/>
      <c r="Q5695" s="71"/>
      <c r="R5695" s="84"/>
      <c r="S5695" s="10"/>
      <c r="T5695" s="10"/>
      <c r="U5695" s="10"/>
      <c r="V5695" s="10"/>
      <c r="W5695" s="138"/>
      <c r="Y5695"/>
      <c r="Z5695"/>
      <c r="AA5695"/>
      <c r="AB5695"/>
      <c r="AC5695"/>
      <c r="AD5695"/>
      <c r="AE5695"/>
      <c r="AF5695"/>
      <c r="AG5695"/>
      <c r="AH5695"/>
      <c r="AI5695"/>
      <c r="AJ5695"/>
      <c r="AK5695"/>
      <c r="AL5695"/>
      <c r="AM5695"/>
      <c r="AN5695"/>
      <c r="AO5695"/>
    </row>
    <row r="5696" spans="1:41" ht="15">
      <c r="A5696"/>
      <c r="B5696"/>
      <c r="C5696" s="137"/>
      <c r="D5696" s="30"/>
      <c r="E5696" s="30"/>
      <c r="F5696" s="10"/>
      <c r="G5696" s="10"/>
      <c r="H5696" s="15"/>
      <c r="I5696" s="15"/>
      <c r="J5696" s="15"/>
      <c r="K5696" s="15"/>
      <c r="L5696" s="15"/>
      <c r="M5696" s="15"/>
      <c r="N5696" s="15"/>
      <c r="O5696" s="15"/>
      <c r="P5696" s="15"/>
      <c r="Q5696" s="71"/>
      <c r="R5696" s="84"/>
      <c r="S5696" s="10"/>
      <c r="T5696" s="10"/>
      <c r="U5696" s="10"/>
      <c r="V5696" s="10"/>
      <c r="W5696" s="138"/>
      <c r="Y5696"/>
      <c r="Z5696"/>
      <c r="AA5696"/>
      <c r="AB5696"/>
      <c r="AC5696"/>
      <c r="AD5696"/>
      <c r="AE5696"/>
      <c r="AF5696"/>
      <c r="AG5696"/>
      <c r="AH5696"/>
      <c r="AI5696"/>
      <c r="AJ5696"/>
      <c r="AK5696"/>
      <c r="AL5696"/>
      <c r="AM5696"/>
      <c r="AN5696"/>
      <c r="AO5696"/>
    </row>
    <row r="5697" spans="1:41" ht="15">
      <c r="A5697"/>
      <c r="B5697"/>
      <c r="C5697" s="137"/>
      <c r="D5697" s="30"/>
      <c r="E5697" s="30"/>
      <c r="F5697" s="10"/>
      <c r="G5697" s="10"/>
      <c r="H5697" s="15"/>
      <c r="I5697" s="15"/>
      <c r="J5697" s="15"/>
      <c r="K5697" s="15"/>
      <c r="L5697" s="15"/>
      <c r="M5697" s="15"/>
      <c r="N5697" s="15"/>
      <c r="O5697" s="15"/>
      <c r="P5697" s="15"/>
      <c r="Q5697" s="71"/>
      <c r="R5697" s="84"/>
      <c r="S5697" s="10"/>
      <c r="T5697" s="10"/>
      <c r="U5697" s="10"/>
      <c r="V5697" s="10"/>
      <c r="W5697" s="138"/>
      <c r="Y5697"/>
      <c r="Z5697"/>
      <c r="AA5697"/>
      <c r="AB5697"/>
      <c r="AC5697"/>
      <c r="AD5697"/>
      <c r="AE5697"/>
      <c r="AF5697"/>
      <c r="AG5697"/>
      <c r="AH5697"/>
      <c r="AI5697"/>
      <c r="AJ5697"/>
      <c r="AK5697"/>
      <c r="AL5697"/>
      <c r="AM5697"/>
      <c r="AN5697"/>
      <c r="AO5697"/>
    </row>
    <row r="5698" spans="1:41" ht="15">
      <c r="A5698"/>
      <c r="B5698"/>
      <c r="C5698" s="137"/>
      <c r="D5698" s="30"/>
      <c r="E5698" s="30"/>
      <c r="F5698" s="10"/>
      <c r="G5698" s="10"/>
      <c r="H5698" s="15"/>
      <c r="I5698" s="15"/>
      <c r="J5698" s="15"/>
      <c r="K5698" s="15"/>
      <c r="L5698" s="15"/>
      <c r="M5698" s="15"/>
      <c r="N5698" s="15"/>
      <c r="O5698" s="15"/>
      <c r="P5698" s="15"/>
      <c r="Q5698" s="71"/>
      <c r="R5698" s="84"/>
      <c r="S5698" s="10"/>
      <c r="T5698" s="10"/>
      <c r="U5698" s="10"/>
      <c r="V5698" s="10"/>
      <c r="W5698" s="138"/>
      <c r="Y5698"/>
      <c r="Z5698"/>
      <c r="AA5698"/>
      <c r="AB5698"/>
      <c r="AC5698"/>
      <c r="AD5698"/>
      <c r="AE5698"/>
      <c r="AF5698"/>
      <c r="AG5698"/>
      <c r="AH5698"/>
      <c r="AI5698"/>
      <c r="AJ5698"/>
      <c r="AK5698"/>
      <c r="AL5698"/>
      <c r="AM5698"/>
      <c r="AN5698"/>
      <c r="AO5698"/>
    </row>
    <row r="5699" spans="1:41" ht="15">
      <c r="A5699"/>
      <c r="B5699"/>
      <c r="C5699" s="137"/>
      <c r="D5699" s="30"/>
      <c r="E5699" s="30"/>
      <c r="F5699" s="10"/>
      <c r="G5699" s="10"/>
      <c r="H5699" s="15"/>
      <c r="I5699" s="15"/>
      <c r="J5699" s="15"/>
      <c r="K5699" s="15"/>
      <c r="L5699" s="15"/>
      <c r="M5699" s="15"/>
      <c r="N5699" s="15"/>
      <c r="O5699" s="15"/>
      <c r="P5699" s="15"/>
      <c r="Q5699" s="71"/>
      <c r="R5699" s="84"/>
      <c r="S5699" s="10"/>
      <c r="T5699" s="10"/>
      <c r="U5699" s="10"/>
      <c r="V5699" s="10"/>
      <c r="W5699" s="138"/>
      <c r="Y5699"/>
      <c r="Z5699"/>
      <c r="AA5699"/>
      <c r="AB5699"/>
      <c r="AC5699"/>
      <c r="AD5699"/>
      <c r="AE5699"/>
      <c r="AF5699"/>
      <c r="AG5699"/>
      <c r="AH5699"/>
      <c r="AI5699"/>
      <c r="AJ5699"/>
      <c r="AK5699"/>
      <c r="AL5699"/>
      <c r="AM5699"/>
      <c r="AN5699"/>
      <c r="AO5699"/>
    </row>
    <row r="5700" spans="1:41" ht="15">
      <c r="A5700"/>
      <c r="B5700"/>
      <c r="C5700" s="137"/>
      <c r="D5700" s="30"/>
      <c r="E5700" s="30"/>
      <c r="F5700" s="10"/>
      <c r="G5700" s="10"/>
      <c r="H5700" s="15"/>
      <c r="I5700" s="15"/>
      <c r="J5700" s="15"/>
      <c r="K5700" s="15"/>
      <c r="L5700" s="15"/>
      <c r="M5700" s="15"/>
      <c r="N5700" s="15"/>
      <c r="O5700" s="15"/>
      <c r="P5700" s="15"/>
      <c r="Q5700" s="71"/>
      <c r="R5700" s="84"/>
      <c r="S5700" s="10"/>
      <c r="T5700" s="10"/>
      <c r="U5700" s="10"/>
      <c r="V5700" s="10"/>
      <c r="W5700" s="138"/>
      <c r="Y5700"/>
      <c r="Z5700"/>
      <c r="AA5700"/>
      <c r="AB5700"/>
      <c r="AC5700"/>
      <c r="AD5700"/>
      <c r="AE5700"/>
      <c r="AF5700"/>
      <c r="AG5700"/>
      <c r="AH5700"/>
      <c r="AI5700"/>
      <c r="AJ5700"/>
      <c r="AK5700"/>
      <c r="AL5700"/>
      <c r="AM5700"/>
      <c r="AN5700"/>
      <c r="AO5700"/>
    </row>
    <row r="5701" spans="1:41" ht="15">
      <c r="A5701"/>
      <c r="B5701"/>
      <c r="C5701" s="137"/>
      <c r="D5701" s="30"/>
      <c r="E5701" s="30"/>
      <c r="F5701" s="10"/>
      <c r="G5701" s="10"/>
      <c r="H5701" s="15"/>
      <c r="I5701" s="15"/>
      <c r="J5701" s="15"/>
      <c r="K5701" s="15"/>
      <c r="L5701" s="15"/>
      <c r="M5701" s="15"/>
      <c r="N5701" s="15"/>
      <c r="O5701" s="15"/>
      <c r="P5701" s="15"/>
      <c r="Q5701" s="71"/>
      <c r="R5701" s="84"/>
      <c r="S5701" s="10"/>
      <c r="T5701" s="10"/>
      <c r="U5701" s="10"/>
      <c r="V5701" s="10"/>
      <c r="W5701" s="138"/>
      <c r="Y5701"/>
      <c r="Z5701"/>
      <c r="AA5701"/>
      <c r="AB5701"/>
      <c r="AC5701"/>
      <c r="AD5701"/>
      <c r="AE5701"/>
      <c r="AF5701"/>
      <c r="AG5701"/>
      <c r="AH5701"/>
      <c r="AI5701"/>
      <c r="AJ5701"/>
      <c r="AK5701"/>
      <c r="AL5701"/>
      <c r="AM5701"/>
      <c r="AN5701"/>
      <c r="AO5701"/>
    </row>
    <row r="5702" spans="1:41" ht="15">
      <c r="A5702"/>
      <c r="B5702"/>
      <c r="C5702" s="137"/>
      <c r="D5702" s="30"/>
      <c r="E5702" s="30"/>
      <c r="F5702" s="10"/>
      <c r="G5702" s="10"/>
      <c r="H5702" s="15"/>
      <c r="I5702" s="15"/>
      <c r="J5702" s="15"/>
      <c r="K5702" s="15"/>
      <c r="L5702" s="15"/>
      <c r="M5702" s="15"/>
      <c r="N5702" s="15"/>
      <c r="O5702" s="15"/>
      <c r="P5702" s="15"/>
      <c r="Q5702" s="71"/>
      <c r="R5702" s="84"/>
      <c r="S5702" s="10"/>
      <c r="T5702" s="10"/>
      <c r="U5702" s="10"/>
      <c r="V5702" s="10"/>
      <c r="W5702" s="138"/>
      <c r="Y5702"/>
      <c r="Z5702"/>
      <c r="AA5702"/>
      <c r="AB5702"/>
      <c r="AC5702"/>
      <c r="AD5702"/>
      <c r="AE5702"/>
      <c r="AF5702"/>
      <c r="AG5702"/>
      <c r="AH5702"/>
      <c r="AI5702"/>
      <c r="AJ5702"/>
      <c r="AK5702"/>
      <c r="AL5702"/>
      <c r="AM5702"/>
      <c r="AN5702"/>
      <c r="AO5702"/>
    </row>
    <row r="5703" spans="1:41" ht="15">
      <c r="A5703"/>
      <c r="B5703"/>
      <c r="C5703" s="137"/>
      <c r="D5703" s="30"/>
      <c r="E5703" s="30"/>
      <c r="F5703" s="10"/>
      <c r="G5703" s="10"/>
      <c r="H5703" s="15"/>
      <c r="I5703" s="15"/>
      <c r="J5703" s="15"/>
      <c r="K5703" s="15"/>
      <c r="L5703" s="15"/>
      <c r="M5703" s="15"/>
      <c r="N5703" s="15"/>
      <c r="O5703" s="15"/>
      <c r="P5703" s="15"/>
      <c r="Q5703" s="71"/>
      <c r="R5703" s="84"/>
      <c r="S5703" s="10"/>
      <c r="T5703" s="10"/>
      <c r="U5703" s="10"/>
      <c r="V5703" s="10"/>
      <c r="W5703" s="138"/>
      <c r="Y5703"/>
      <c r="Z5703"/>
      <c r="AA5703"/>
      <c r="AB5703"/>
      <c r="AC5703"/>
      <c r="AD5703"/>
      <c r="AE5703"/>
      <c r="AF5703"/>
      <c r="AG5703"/>
      <c r="AH5703"/>
      <c r="AI5703"/>
      <c r="AJ5703"/>
      <c r="AK5703"/>
      <c r="AL5703"/>
      <c r="AM5703"/>
      <c r="AN5703"/>
      <c r="AO5703"/>
    </row>
    <row r="5704" spans="1:41" ht="15">
      <c r="A5704"/>
      <c r="B5704"/>
      <c r="C5704" s="137"/>
      <c r="D5704" s="30"/>
      <c r="E5704" s="30"/>
      <c r="F5704" s="10"/>
      <c r="G5704" s="10"/>
      <c r="H5704" s="15"/>
      <c r="I5704" s="15"/>
      <c r="J5704" s="15"/>
      <c r="K5704" s="15"/>
      <c r="L5704" s="15"/>
      <c r="M5704" s="15"/>
      <c r="N5704" s="15"/>
      <c r="O5704" s="15"/>
      <c r="P5704" s="15"/>
      <c r="Q5704" s="71"/>
      <c r="R5704" s="84"/>
      <c r="S5704" s="10"/>
      <c r="T5704" s="10"/>
      <c r="U5704" s="10"/>
      <c r="V5704" s="10"/>
      <c r="W5704" s="138"/>
      <c r="Y5704"/>
      <c r="Z5704"/>
      <c r="AA5704"/>
      <c r="AB5704"/>
      <c r="AC5704"/>
      <c r="AD5704"/>
      <c r="AE5704"/>
      <c r="AF5704"/>
      <c r="AG5704"/>
      <c r="AH5704"/>
      <c r="AI5704"/>
      <c r="AJ5704"/>
      <c r="AK5704"/>
      <c r="AL5704"/>
      <c r="AM5704"/>
      <c r="AN5704"/>
      <c r="AO5704"/>
    </row>
    <row r="5705" spans="1:41" ht="15">
      <c r="A5705"/>
      <c r="B5705"/>
      <c r="C5705" s="137"/>
      <c r="D5705" s="30"/>
      <c r="E5705" s="30"/>
      <c r="F5705" s="10"/>
      <c r="G5705" s="10"/>
      <c r="H5705" s="15"/>
      <c r="I5705" s="15"/>
      <c r="J5705" s="15"/>
      <c r="K5705" s="15"/>
      <c r="L5705" s="15"/>
      <c r="M5705" s="15"/>
      <c r="N5705" s="15"/>
      <c r="O5705" s="15"/>
      <c r="P5705" s="15"/>
      <c r="Q5705" s="71"/>
      <c r="R5705" s="84"/>
      <c r="S5705" s="10"/>
      <c r="T5705" s="10"/>
      <c r="U5705" s="10"/>
      <c r="V5705" s="10"/>
      <c r="W5705" s="138"/>
      <c r="Y5705"/>
      <c r="Z5705"/>
      <c r="AA5705"/>
      <c r="AB5705"/>
      <c r="AC5705"/>
      <c r="AD5705"/>
      <c r="AE5705"/>
      <c r="AF5705"/>
      <c r="AG5705"/>
      <c r="AH5705"/>
      <c r="AI5705"/>
      <c r="AJ5705"/>
      <c r="AK5705"/>
      <c r="AL5705"/>
      <c r="AM5705"/>
      <c r="AN5705"/>
      <c r="AO5705"/>
    </row>
    <row r="5706" spans="1:41" ht="15">
      <c r="A5706"/>
      <c r="B5706"/>
      <c r="C5706" s="137"/>
      <c r="D5706" s="30"/>
      <c r="E5706" s="30"/>
      <c r="F5706" s="10"/>
      <c r="G5706" s="10"/>
      <c r="H5706" s="15"/>
      <c r="I5706" s="15"/>
      <c r="J5706" s="15"/>
      <c r="K5706" s="15"/>
      <c r="L5706" s="15"/>
      <c r="M5706" s="15"/>
      <c r="N5706" s="15"/>
      <c r="O5706" s="15"/>
      <c r="P5706" s="15"/>
      <c r="Q5706" s="71"/>
      <c r="R5706" s="84"/>
      <c r="S5706" s="10"/>
      <c r="T5706" s="10"/>
      <c r="U5706" s="10"/>
      <c r="V5706" s="10"/>
      <c r="W5706" s="138"/>
      <c r="Y5706"/>
      <c r="Z5706"/>
      <c r="AA5706"/>
      <c r="AB5706"/>
      <c r="AC5706"/>
      <c r="AD5706"/>
      <c r="AE5706"/>
      <c r="AF5706"/>
      <c r="AG5706"/>
      <c r="AH5706"/>
      <c r="AI5706"/>
      <c r="AJ5706"/>
      <c r="AK5706"/>
      <c r="AL5706"/>
      <c r="AM5706"/>
      <c r="AN5706"/>
      <c r="AO5706"/>
    </row>
    <row r="5707" spans="1:41" ht="15">
      <c r="A5707"/>
      <c r="B5707"/>
      <c r="C5707" s="137"/>
      <c r="D5707" s="30"/>
      <c r="E5707" s="30"/>
      <c r="F5707" s="10"/>
      <c r="G5707" s="10"/>
      <c r="H5707" s="15"/>
      <c r="I5707" s="15"/>
      <c r="J5707" s="15"/>
      <c r="K5707" s="15"/>
      <c r="L5707" s="15"/>
      <c r="M5707" s="15"/>
      <c r="N5707" s="15"/>
      <c r="O5707" s="15"/>
      <c r="P5707" s="15"/>
      <c r="Q5707" s="71"/>
      <c r="R5707" s="84"/>
      <c r="S5707" s="10"/>
      <c r="T5707" s="10"/>
      <c r="U5707" s="10"/>
      <c r="V5707" s="10"/>
      <c r="W5707" s="138"/>
      <c r="Y5707"/>
      <c r="Z5707"/>
      <c r="AA5707"/>
      <c r="AB5707"/>
      <c r="AC5707"/>
      <c r="AD5707"/>
      <c r="AE5707"/>
      <c r="AF5707"/>
      <c r="AG5707"/>
      <c r="AH5707"/>
      <c r="AI5707"/>
      <c r="AJ5707"/>
      <c r="AK5707"/>
      <c r="AL5707"/>
      <c r="AM5707"/>
      <c r="AN5707"/>
      <c r="AO5707"/>
    </row>
    <row r="5708" spans="1:41" ht="15">
      <c r="A5708"/>
      <c r="B5708"/>
      <c r="C5708" s="137"/>
      <c r="D5708" s="30"/>
      <c r="E5708" s="30"/>
      <c r="F5708" s="10"/>
      <c r="G5708" s="10"/>
      <c r="H5708" s="15"/>
      <c r="I5708" s="15"/>
      <c r="J5708" s="15"/>
      <c r="K5708" s="15"/>
      <c r="L5708" s="15"/>
      <c r="M5708" s="15"/>
      <c r="N5708" s="15"/>
      <c r="O5708" s="15"/>
      <c r="P5708" s="15"/>
      <c r="Q5708" s="71"/>
      <c r="R5708" s="84"/>
      <c r="S5708" s="10"/>
      <c r="T5708" s="10"/>
      <c r="U5708" s="10"/>
      <c r="V5708" s="10"/>
      <c r="W5708" s="138"/>
      <c r="Y5708"/>
      <c r="Z5708"/>
      <c r="AA5708"/>
      <c r="AB5708"/>
      <c r="AC5708"/>
      <c r="AD5708"/>
      <c r="AE5708"/>
      <c r="AF5708"/>
      <c r="AG5708"/>
      <c r="AH5708"/>
      <c r="AI5708"/>
      <c r="AJ5708"/>
      <c r="AK5708"/>
      <c r="AL5708"/>
      <c r="AM5708"/>
      <c r="AN5708"/>
      <c r="AO5708"/>
    </row>
    <row r="5709" spans="1:41" ht="15">
      <c r="A5709"/>
      <c r="B5709"/>
      <c r="C5709" s="137"/>
      <c r="D5709" s="30"/>
      <c r="E5709" s="30"/>
      <c r="F5709" s="10"/>
      <c r="G5709" s="10"/>
      <c r="H5709" s="15"/>
      <c r="I5709" s="15"/>
      <c r="J5709" s="15"/>
      <c r="K5709" s="15"/>
      <c r="L5709" s="15"/>
      <c r="M5709" s="15"/>
      <c r="N5709" s="15"/>
      <c r="O5709" s="15"/>
      <c r="P5709" s="15"/>
      <c r="Q5709" s="71"/>
      <c r="R5709" s="84"/>
      <c r="S5709" s="10"/>
      <c r="T5709" s="10"/>
      <c r="U5709" s="10"/>
      <c r="V5709" s="10"/>
      <c r="W5709" s="138"/>
      <c r="Y5709"/>
      <c r="Z5709"/>
      <c r="AA5709"/>
      <c r="AB5709"/>
      <c r="AC5709"/>
      <c r="AD5709"/>
      <c r="AE5709"/>
      <c r="AF5709"/>
      <c r="AG5709"/>
      <c r="AH5709"/>
      <c r="AI5709"/>
      <c r="AJ5709"/>
      <c r="AK5709"/>
      <c r="AL5709"/>
      <c r="AM5709"/>
      <c r="AN5709"/>
      <c r="AO5709"/>
    </row>
    <row r="5710" spans="1:41" ht="15">
      <c r="A5710"/>
      <c r="B5710"/>
      <c r="C5710" s="137"/>
      <c r="D5710" s="30"/>
      <c r="E5710" s="30"/>
      <c r="F5710" s="10"/>
      <c r="G5710" s="10"/>
      <c r="H5710" s="15"/>
      <c r="I5710" s="15"/>
      <c r="J5710" s="15"/>
      <c r="K5710" s="15"/>
      <c r="L5710" s="15"/>
      <c r="M5710" s="15"/>
      <c r="N5710" s="15"/>
      <c r="O5710" s="15"/>
      <c r="P5710" s="15"/>
      <c r="Q5710" s="71"/>
      <c r="R5710" s="84"/>
      <c r="S5710" s="10"/>
      <c r="T5710" s="10"/>
      <c r="U5710" s="10"/>
      <c r="V5710" s="10"/>
      <c r="W5710" s="138"/>
      <c r="Y5710"/>
      <c r="Z5710"/>
      <c r="AA5710"/>
      <c r="AB5710"/>
      <c r="AC5710"/>
      <c r="AD5710"/>
      <c r="AE5710"/>
      <c r="AF5710"/>
      <c r="AG5710"/>
      <c r="AH5710"/>
      <c r="AI5710"/>
      <c r="AJ5710"/>
      <c r="AK5710"/>
      <c r="AL5710"/>
      <c r="AM5710"/>
      <c r="AN5710"/>
      <c r="AO5710"/>
    </row>
    <row r="5711" spans="1:41" ht="15">
      <c r="A5711"/>
      <c r="B5711"/>
      <c r="C5711" s="137"/>
      <c r="D5711" s="30"/>
      <c r="E5711" s="30"/>
      <c r="F5711" s="10"/>
      <c r="G5711" s="10"/>
      <c r="H5711" s="15"/>
      <c r="I5711" s="15"/>
      <c r="J5711" s="15"/>
      <c r="K5711" s="15"/>
      <c r="L5711" s="15"/>
      <c r="M5711" s="15"/>
      <c r="N5711" s="15"/>
      <c r="O5711" s="15"/>
      <c r="P5711" s="15"/>
      <c r="Q5711" s="71"/>
      <c r="R5711" s="84"/>
      <c r="S5711" s="10"/>
      <c r="T5711" s="10"/>
      <c r="U5711" s="10"/>
      <c r="V5711" s="10"/>
      <c r="W5711" s="138"/>
      <c r="Y5711"/>
      <c r="Z5711"/>
      <c r="AA5711"/>
      <c r="AB5711"/>
      <c r="AC5711"/>
      <c r="AD5711"/>
      <c r="AE5711"/>
      <c r="AF5711"/>
      <c r="AG5711"/>
      <c r="AH5711"/>
      <c r="AI5711"/>
      <c r="AJ5711"/>
      <c r="AK5711"/>
      <c r="AL5711"/>
      <c r="AM5711"/>
      <c r="AN5711"/>
      <c r="AO5711"/>
    </row>
    <row r="5712" spans="1:41" ht="15">
      <c r="A5712"/>
      <c r="B5712"/>
      <c r="C5712" s="137"/>
      <c r="D5712" s="30"/>
      <c r="E5712" s="30"/>
      <c r="F5712" s="10"/>
      <c r="G5712" s="10"/>
      <c r="H5712" s="15"/>
      <c r="I5712" s="15"/>
      <c r="J5712" s="15"/>
      <c r="K5712" s="15"/>
      <c r="L5712" s="15"/>
      <c r="M5712" s="15"/>
      <c r="N5712" s="15"/>
      <c r="O5712" s="15"/>
      <c r="P5712" s="15"/>
      <c r="Q5712" s="71"/>
      <c r="R5712" s="84"/>
      <c r="S5712" s="10"/>
      <c r="T5712" s="10"/>
      <c r="U5712" s="10"/>
      <c r="V5712" s="10"/>
      <c r="W5712" s="138"/>
      <c r="Y5712"/>
      <c r="Z5712"/>
      <c r="AA5712"/>
      <c r="AB5712"/>
      <c r="AC5712"/>
      <c r="AD5712"/>
      <c r="AE5712"/>
      <c r="AF5712"/>
      <c r="AG5712"/>
      <c r="AH5712"/>
      <c r="AI5712"/>
      <c r="AJ5712"/>
      <c r="AK5712"/>
      <c r="AL5712"/>
      <c r="AM5712"/>
      <c r="AN5712"/>
      <c r="AO5712"/>
    </row>
    <row r="5713" spans="1:41" ht="15">
      <c r="A5713"/>
      <c r="B5713"/>
      <c r="C5713" s="137"/>
      <c r="D5713" s="30"/>
      <c r="E5713" s="30"/>
      <c r="F5713" s="10"/>
      <c r="G5713" s="10"/>
      <c r="H5713" s="15"/>
      <c r="I5713" s="15"/>
      <c r="J5713" s="15"/>
      <c r="K5713" s="15"/>
      <c r="L5713" s="15"/>
      <c r="M5713" s="15"/>
      <c r="N5713" s="15"/>
      <c r="O5713" s="15"/>
      <c r="P5713" s="15"/>
      <c r="Q5713" s="71"/>
      <c r="R5713" s="84"/>
      <c r="S5713" s="10"/>
      <c r="T5713" s="10"/>
      <c r="U5713" s="10"/>
      <c r="V5713" s="10"/>
      <c r="W5713" s="138"/>
      <c r="Y5713"/>
      <c r="Z5713"/>
      <c r="AA5713"/>
      <c r="AB5713"/>
      <c r="AC5713"/>
      <c r="AD5713"/>
      <c r="AE5713"/>
      <c r="AF5713"/>
      <c r="AG5713"/>
      <c r="AH5713"/>
      <c r="AI5713"/>
      <c r="AJ5713"/>
      <c r="AK5713"/>
      <c r="AL5713"/>
      <c r="AM5713"/>
      <c r="AN5713"/>
      <c r="AO5713"/>
    </row>
    <row r="5714" spans="1:41" ht="15">
      <c r="A5714"/>
      <c r="B5714"/>
      <c r="C5714" s="137"/>
      <c r="D5714" s="30"/>
      <c r="E5714" s="30"/>
      <c r="F5714" s="10"/>
      <c r="G5714" s="10"/>
      <c r="H5714" s="15"/>
      <c r="I5714" s="15"/>
      <c r="J5714" s="15"/>
      <c r="K5714" s="15"/>
      <c r="L5714" s="15"/>
      <c r="M5714" s="15"/>
      <c r="N5714" s="15"/>
      <c r="O5714" s="15"/>
      <c r="P5714" s="15"/>
      <c r="Q5714" s="71"/>
      <c r="R5714" s="84"/>
      <c r="S5714" s="10"/>
      <c r="T5714" s="10"/>
      <c r="U5714" s="10"/>
      <c r="V5714" s="10"/>
      <c r="W5714" s="138"/>
      <c r="Y5714"/>
      <c r="Z5714"/>
      <c r="AA5714"/>
      <c r="AB5714"/>
      <c r="AC5714"/>
      <c r="AD5714"/>
      <c r="AE5714"/>
      <c r="AF5714"/>
      <c r="AG5714"/>
      <c r="AH5714"/>
      <c r="AI5714"/>
      <c r="AJ5714"/>
      <c r="AK5714"/>
      <c r="AL5714"/>
      <c r="AM5714"/>
      <c r="AN5714"/>
      <c r="AO5714"/>
    </row>
    <row r="5715" spans="1:41" ht="15">
      <c r="A5715"/>
      <c r="B5715"/>
      <c r="C5715" s="137"/>
      <c r="D5715" s="30"/>
      <c r="E5715" s="30"/>
      <c r="F5715" s="10"/>
      <c r="G5715" s="10"/>
      <c r="H5715" s="15"/>
      <c r="I5715" s="15"/>
      <c r="J5715" s="15"/>
      <c r="K5715" s="15"/>
      <c r="L5715" s="15"/>
      <c r="M5715" s="15"/>
      <c r="N5715" s="15"/>
      <c r="O5715" s="15"/>
      <c r="P5715" s="15"/>
      <c r="Q5715" s="71"/>
      <c r="R5715" s="84"/>
      <c r="S5715" s="10"/>
      <c r="T5715" s="10"/>
      <c r="U5715" s="10"/>
      <c r="V5715" s="10"/>
      <c r="W5715" s="138"/>
      <c r="Y5715"/>
      <c r="Z5715"/>
      <c r="AA5715"/>
      <c r="AB5715"/>
      <c r="AC5715"/>
      <c r="AD5715"/>
      <c r="AE5715"/>
      <c r="AF5715"/>
      <c r="AG5715"/>
      <c r="AH5715"/>
      <c r="AI5715"/>
      <c r="AJ5715"/>
      <c r="AK5715"/>
      <c r="AL5715"/>
      <c r="AM5715"/>
      <c r="AN5715"/>
      <c r="AO5715"/>
    </row>
    <row r="5716" spans="1:41" ht="15">
      <c r="A5716"/>
      <c r="B5716"/>
      <c r="C5716" s="137"/>
      <c r="D5716" s="30"/>
      <c r="E5716" s="30"/>
      <c r="F5716" s="10"/>
      <c r="G5716" s="10"/>
      <c r="H5716" s="15"/>
      <c r="I5716" s="15"/>
      <c r="J5716" s="15"/>
      <c r="K5716" s="15"/>
      <c r="L5716" s="15"/>
      <c r="M5716" s="15"/>
      <c r="N5716" s="15"/>
      <c r="O5716" s="15"/>
      <c r="P5716" s="15"/>
      <c r="Q5716" s="71"/>
      <c r="R5716" s="84"/>
      <c r="S5716" s="10"/>
      <c r="T5716" s="10"/>
      <c r="U5716" s="10"/>
      <c r="V5716" s="10"/>
      <c r="W5716" s="138"/>
      <c r="Y5716"/>
      <c r="Z5716"/>
      <c r="AA5716"/>
      <c r="AB5716"/>
      <c r="AC5716"/>
      <c r="AD5716"/>
      <c r="AE5716"/>
      <c r="AF5716"/>
      <c r="AG5716"/>
      <c r="AH5716"/>
      <c r="AI5716"/>
      <c r="AJ5716"/>
      <c r="AK5716"/>
      <c r="AL5716"/>
      <c r="AM5716"/>
      <c r="AN5716"/>
      <c r="AO5716"/>
    </row>
    <row r="5717" spans="1:41" ht="15">
      <c r="A5717"/>
      <c r="B5717"/>
      <c r="C5717" s="137"/>
      <c r="D5717" s="30"/>
      <c r="E5717" s="30"/>
      <c r="F5717" s="10"/>
      <c r="G5717" s="10"/>
      <c r="H5717" s="15"/>
      <c r="I5717" s="15"/>
      <c r="J5717" s="15"/>
      <c r="K5717" s="15"/>
      <c r="L5717" s="15"/>
      <c r="M5717" s="15"/>
      <c r="N5717" s="15"/>
      <c r="O5717" s="15"/>
      <c r="P5717" s="15"/>
      <c r="Q5717" s="71"/>
      <c r="R5717" s="84"/>
      <c r="S5717" s="10"/>
      <c r="T5717" s="10"/>
      <c r="U5717" s="10"/>
      <c r="V5717" s="10"/>
      <c r="W5717" s="138"/>
      <c r="Y5717"/>
      <c r="Z5717"/>
      <c r="AA5717"/>
      <c r="AB5717"/>
      <c r="AC5717"/>
      <c r="AD5717"/>
      <c r="AE5717"/>
      <c r="AF5717"/>
      <c r="AG5717"/>
      <c r="AH5717"/>
      <c r="AI5717"/>
      <c r="AJ5717"/>
      <c r="AK5717"/>
      <c r="AL5717"/>
      <c r="AM5717"/>
      <c r="AN5717"/>
      <c r="AO5717"/>
    </row>
    <row r="5718" spans="1:41" ht="15">
      <c r="A5718"/>
      <c r="B5718"/>
      <c r="C5718" s="137"/>
      <c r="D5718" s="30"/>
      <c r="E5718" s="30"/>
      <c r="F5718" s="10"/>
      <c r="G5718" s="10"/>
      <c r="H5718" s="15"/>
      <c r="I5718" s="15"/>
      <c r="J5718" s="15"/>
      <c r="K5718" s="15"/>
      <c r="L5718" s="15"/>
      <c r="M5718" s="15"/>
      <c r="N5718" s="15"/>
      <c r="O5718" s="15"/>
      <c r="P5718" s="15"/>
      <c r="Q5718" s="71"/>
      <c r="R5718" s="84"/>
      <c r="S5718" s="10"/>
      <c r="T5718" s="10"/>
      <c r="U5718" s="10"/>
      <c r="V5718" s="10"/>
      <c r="W5718" s="138"/>
      <c r="Y5718"/>
      <c r="Z5718"/>
      <c r="AA5718"/>
      <c r="AB5718"/>
      <c r="AC5718"/>
      <c r="AD5718"/>
      <c r="AE5718"/>
      <c r="AF5718"/>
      <c r="AG5718"/>
      <c r="AH5718"/>
      <c r="AI5718"/>
      <c r="AJ5718"/>
      <c r="AK5718"/>
      <c r="AL5718"/>
      <c r="AM5718"/>
      <c r="AN5718"/>
      <c r="AO5718"/>
    </row>
    <row r="5719" spans="1:41" ht="15">
      <c r="A5719"/>
      <c r="B5719"/>
      <c r="C5719" s="137"/>
      <c r="D5719" s="30"/>
      <c r="E5719" s="30"/>
      <c r="F5719" s="10"/>
      <c r="G5719" s="10"/>
      <c r="H5719" s="15"/>
      <c r="I5719" s="15"/>
      <c r="J5719" s="15"/>
      <c r="K5719" s="15"/>
      <c r="L5719" s="15"/>
      <c r="M5719" s="15"/>
      <c r="N5719" s="15"/>
      <c r="O5719" s="15"/>
      <c r="P5719" s="15"/>
      <c r="Q5719" s="71"/>
      <c r="R5719" s="84"/>
      <c r="S5719" s="10"/>
      <c r="T5719" s="10"/>
      <c r="U5719" s="10"/>
      <c r="V5719" s="10"/>
      <c r="W5719" s="138"/>
      <c r="Y5719"/>
      <c r="Z5719"/>
      <c r="AA5719"/>
      <c r="AB5719"/>
      <c r="AC5719"/>
      <c r="AD5719"/>
      <c r="AE5719"/>
      <c r="AF5719"/>
      <c r="AG5719"/>
      <c r="AH5719"/>
      <c r="AI5719"/>
      <c r="AJ5719"/>
      <c r="AK5719"/>
      <c r="AL5719"/>
      <c r="AM5719"/>
      <c r="AN5719"/>
      <c r="AO5719"/>
    </row>
    <row r="5720" spans="1:41" ht="15">
      <c r="A5720"/>
      <c r="B5720"/>
      <c r="C5720" s="137"/>
      <c r="D5720" s="30"/>
      <c r="E5720" s="30"/>
      <c r="F5720" s="10"/>
      <c r="G5720" s="10"/>
      <c r="H5720" s="15"/>
      <c r="I5720" s="15"/>
      <c r="J5720" s="15"/>
      <c r="K5720" s="15"/>
      <c r="L5720" s="15"/>
      <c r="M5720" s="15"/>
      <c r="N5720" s="15"/>
      <c r="O5720" s="15"/>
      <c r="P5720" s="15"/>
      <c r="Q5720" s="71"/>
      <c r="R5720" s="84"/>
      <c r="S5720" s="10"/>
      <c r="T5720" s="10"/>
      <c r="U5720" s="10"/>
      <c r="V5720" s="10"/>
      <c r="W5720" s="138"/>
      <c r="Y5720"/>
      <c r="Z5720"/>
      <c r="AA5720"/>
      <c r="AB5720"/>
      <c r="AC5720"/>
      <c r="AD5720"/>
      <c r="AE5720"/>
      <c r="AF5720"/>
      <c r="AG5720"/>
      <c r="AH5720"/>
      <c r="AI5720"/>
      <c r="AJ5720"/>
      <c r="AK5720"/>
      <c r="AL5720"/>
      <c r="AM5720"/>
      <c r="AN5720"/>
      <c r="AO5720"/>
    </row>
    <row r="5721" spans="1:41" ht="15">
      <c r="A5721"/>
      <c r="B5721"/>
      <c r="C5721" s="137"/>
      <c r="D5721" s="30"/>
      <c r="E5721" s="30"/>
      <c r="F5721" s="10"/>
      <c r="G5721" s="10"/>
      <c r="H5721" s="15"/>
      <c r="I5721" s="15"/>
      <c r="J5721" s="15"/>
      <c r="K5721" s="15"/>
      <c r="L5721" s="15"/>
      <c r="M5721" s="15"/>
      <c r="N5721" s="15"/>
      <c r="O5721" s="15"/>
      <c r="P5721" s="15"/>
      <c r="Q5721" s="71"/>
      <c r="R5721" s="84"/>
      <c r="S5721" s="10"/>
      <c r="T5721" s="10"/>
      <c r="U5721" s="10"/>
      <c r="V5721" s="10"/>
      <c r="W5721" s="138"/>
      <c r="Y5721"/>
      <c r="Z5721"/>
      <c r="AA5721"/>
      <c r="AB5721"/>
      <c r="AC5721"/>
      <c r="AD5721"/>
      <c r="AE5721"/>
      <c r="AF5721"/>
      <c r="AG5721"/>
      <c r="AH5721"/>
      <c r="AI5721"/>
      <c r="AJ5721"/>
      <c r="AK5721"/>
      <c r="AL5721"/>
      <c r="AM5721"/>
      <c r="AN5721"/>
      <c r="AO5721"/>
    </row>
    <row r="5722" spans="1:41" ht="15">
      <c r="A5722"/>
      <c r="B5722"/>
      <c r="C5722" s="137"/>
      <c r="D5722" s="30"/>
      <c r="E5722" s="30"/>
      <c r="F5722" s="10"/>
      <c r="G5722" s="10"/>
      <c r="H5722" s="15"/>
      <c r="I5722" s="15"/>
      <c r="J5722" s="15"/>
      <c r="K5722" s="15"/>
      <c r="L5722" s="15"/>
      <c r="M5722" s="15"/>
      <c r="N5722" s="15"/>
      <c r="O5722" s="15"/>
      <c r="P5722" s="15"/>
      <c r="Q5722" s="71"/>
      <c r="R5722" s="84"/>
      <c r="S5722" s="10"/>
      <c r="T5722" s="10"/>
      <c r="U5722" s="10"/>
      <c r="V5722" s="10"/>
      <c r="W5722" s="138"/>
      <c r="Y5722"/>
      <c r="Z5722"/>
      <c r="AA5722"/>
      <c r="AB5722"/>
      <c r="AC5722"/>
      <c r="AD5722"/>
      <c r="AE5722"/>
      <c r="AF5722"/>
      <c r="AG5722"/>
      <c r="AH5722"/>
      <c r="AI5722"/>
      <c r="AJ5722"/>
      <c r="AK5722"/>
      <c r="AL5722"/>
      <c r="AM5722"/>
      <c r="AN5722"/>
      <c r="AO5722"/>
    </row>
    <row r="5723" spans="1:41" ht="15">
      <c r="A5723"/>
      <c r="B5723"/>
      <c r="C5723" s="137"/>
      <c r="D5723" s="30"/>
      <c r="E5723" s="30"/>
      <c r="F5723" s="10"/>
      <c r="G5723" s="10"/>
      <c r="H5723" s="15"/>
      <c r="I5723" s="15"/>
      <c r="J5723" s="15"/>
      <c r="K5723" s="15"/>
      <c r="L5723" s="15"/>
      <c r="M5723" s="15"/>
      <c r="N5723" s="15"/>
      <c r="O5723" s="15"/>
      <c r="P5723" s="15"/>
      <c r="Q5723" s="71"/>
      <c r="R5723" s="84"/>
      <c r="S5723" s="10"/>
      <c r="T5723" s="10"/>
      <c r="U5723" s="10"/>
      <c r="V5723" s="10"/>
      <c r="W5723" s="138"/>
      <c r="Y5723"/>
      <c r="Z5723"/>
      <c r="AA5723"/>
      <c r="AB5723"/>
      <c r="AC5723"/>
      <c r="AD5723"/>
      <c r="AE5723"/>
      <c r="AF5723"/>
      <c r="AG5723"/>
      <c r="AH5723"/>
      <c r="AI5723"/>
      <c r="AJ5723"/>
      <c r="AK5723"/>
      <c r="AL5723"/>
      <c r="AM5723"/>
      <c r="AN5723"/>
      <c r="AO5723"/>
    </row>
    <row r="5724" spans="1:41" ht="15">
      <c r="A5724"/>
      <c r="B5724"/>
      <c r="C5724" s="137"/>
      <c r="D5724" s="30"/>
      <c r="E5724" s="30"/>
      <c r="F5724" s="10"/>
      <c r="G5724" s="10"/>
      <c r="H5724" s="15"/>
      <c r="I5724" s="15"/>
      <c r="J5724" s="15"/>
      <c r="K5724" s="15"/>
      <c r="L5724" s="15"/>
      <c r="M5724" s="15"/>
      <c r="N5724" s="15"/>
      <c r="O5724" s="15"/>
      <c r="P5724" s="15"/>
      <c r="Q5724" s="71"/>
      <c r="R5724" s="84"/>
      <c r="S5724" s="10"/>
      <c r="T5724" s="10"/>
      <c r="U5724" s="10"/>
      <c r="V5724" s="10"/>
      <c r="W5724" s="138"/>
      <c r="Y5724"/>
      <c r="Z5724"/>
      <c r="AA5724"/>
      <c r="AB5724"/>
      <c r="AC5724"/>
      <c r="AD5724"/>
      <c r="AE5724"/>
      <c r="AF5724"/>
      <c r="AG5724"/>
      <c r="AH5724"/>
      <c r="AI5724"/>
      <c r="AJ5724"/>
      <c r="AK5724"/>
      <c r="AL5724"/>
      <c r="AM5724"/>
      <c r="AN5724"/>
      <c r="AO5724"/>
    </row>
    <row r="5725" spans="1:41" ht="15">
      <c r="A5725"/>
      <c r="B5725"/>
      <c r="C5725" s="137"/>
      <c r="D5725" s="30"/>
      <c r="E5725" s="30"/>
      <c r="F5725" s="10"/>
      <c r="G5725" s="10"/>
      <c r="H5725" s="15"/>
      <c r="I5725" s="15"/>
      <c r="J5725" s="15"/>
      <c r="K5725" s="15"/>
      <c r="L5725" s="15"/>
      <c r="M5725" s="15"/>
      <c r="N5725" s="15"/>
      <c r="O5725" s="15"/>
      <c r="P5725" s="15"/>
      <c r="Q5725" s="71"/>
      <c r="R5725" s="84"/>
      <c r="S5725" s="10"/>
      <c r="T5725" s="10"/>
      <c r="U5725" s="10"/>
      <c r="V5725" s="10"/>
      <c r="W5725" s="138"/>
      <c r="Y5725"/>
      <c r="Z5725"/>
      <c r="AA5725"/>
      <c r="AB5725"/>
      <c r="AC5725"/>
      <c r="AD5725"/>
      <c r="AE5725"/>
      <c r="AF5725"/>
      <c r="AG5725"/>
      <c r="AH5725"/>
      <c r="AI5725"/>
      <c r="AJ5725"/>
      <c r="AK5725"/>
      <c r="AL5725"/>
      <c r="AM5725"/>
      <c r="AN5725"/>
      <c r="AO5725"/>
    </row>
    <row r="5726" spans="1:41" ht="15">
      <c r="A5726"/>
      <c r="B5726"/>
      <c r="C5726" s="137"/>
      <c r="D5726" s="30"/>
      <c r="E5726" s="30"/>
      <c r="F5726" s="10"/>
      <c r="G5726" s="10"/>
      <c r="H5726" s="15"/>
      <c r="I5726" s="15"/>
      <c r="J5726" s="15"/>
      <c r="K5726" s="15"/>
      <c r="L5726" s="15"/>
      <c r="M5726" s="15"/>
      <c r="N5726" s="15"/>
      <c r="O5726" s="15"/>
      <c r="P5726" s="15"/>
      <c r="Q5726" s="71"/>
      <c r="R5726" s="84"/>
      <c r="S5726" s="10"/>
      <c r="T5726" s="10"/>
      <c r="U5726" s="10"/>
      <c r="V5726" s="10"/>
      <c r="W5726" s="138"/>
      <c r="Y5726"/>
      <c r="Z5726"/>
      <c r="AA5726"/>
      <c r="AB5726"/>
      <c r="AC5726"/>
      <c r="AD5726"/>
      <c r="AE5726"/>
      <c r="AF5726"/>
      <c r="AG5726"/>
      <c r="AH5726"/>
      <c r="AI5726"/>
      <c r="AJ5726"/>
      <c r="AK5726"/>
      <c r="AL5726"/>
      <c r="AM5726"/>
      <c r="AN5726"/>
      <c r="AO5726"/>
    </row>
    <row r="5727" spans="1:41" ht="15">
      <c r="A5727"/>
      <c r="B5727"/>
      <c r="C5727" s="137"/>
      <c r="D5727" s="30"/>
      <c r="E5727" s="30"/>
      <c r="F5727" s="10"/>
      <c r="G5727" s="10"/>
      <c r="H5727" s="15"/>
      <c r="I5727" s="15"/>
      <c r="J5727" s="15"/>
      <c r="K5727" s="15"/>
      <c r="L5727" s="15"/>
      <c r="M5727" s="15"/>
      <c r="N5727" s="15"/>
      <c r="O5727" s="15"/>
      <c r="P5727" s="15"/>
      <c r="Q5727" s="71"/>
      <c r="R5727" s="84"/>
      <c r="S5727" s="10"/>
      <c r="T5727" s="10"/>
      <c r="U5727" s="10"/>
      <c r="V5727" s="10"/>
      <c r="W5727" s="138"/>
      <c r="Y5727"/>
      <c r="Z5727"/>
      <c r="AA5727"/>
      <c r="AB5727"/>
      <c r="AC5727"/>
      <c r="AD5727"/>
      <c r="AE5727"/>
      <c r="AF5727"/>
      <c r="AG5727"/>
      <c r="AH5727"/>
      <c r="AI5727"/>
      <c r="AJ5727"/>
      <c r="AK5727"/>
      <c r="AL5727"/>
      <c r="AM5727"/>
      <c r="AN5727"/>
      <c r="AO5727"/>
    </row>
    <row r="5728" spans="1:41" ht="15">
      <c r="A5728"/>
      <c r="B5728"/>
      <c r="C5728" s="137"/>
      <c r="D5728" s="30"/>
      <c r="E5728" s="30"/>
      <c r="F5728" s="10"/>
      <c r="G5728" s="10"/>
      <c r="H5728" s="15"/>
      <c r="I5728" s="15"/>
      <c r="J5728" s="15"/>
      <c r="K5728" s="15"/>
      <c r="L5728" s="15"/>
      <c r="M5728" s="15"/>
      <c r="N5728" s="15"/>
      <c r="O5728" s="15"/>
      <c r="P5728" s="15"/>
      <c r="Q5728" s="71"/>
      <c r="R5728" s="84"/>
      <c r="S5728" s="10"/>
      <c r="T5728" s="10"/>
      <c r="U5728" s="10"/>
      <c r="V5728" s="10"/>
      <c r="W5728" s="138"/>
      <c r="Y5728"/>
      <c r="Z5728"/>
      <c r="AA5728"/>
      <c r="AB5728"/>
      <c r="AC5728"/>
      <c r="AD5728"/>
      <c r="AE5728"/>
      <c r="AF5728"/>
      <c r="AG5728"/>
      <c r="AH5728"/>
      <c r="AI5728"/>
      <c r="AJ5728"/>
      <c r="AK5728"/>
      <c r="AL5728"/>
      <c r="AM5728"/>
      <c r="AN5728"/>
      <c r="AO5728"/>
    </row>
    <row r="5729" spans="1:41" ht="15">
      <c r="A5729"/>
      <c r="B5729"/>
      <c r="C5729" s="137"/>
      <c r="D5729" s="30"/>
      <c r="E5729" s="30"/>
      <c r="F5729" s="10"/>
      <c r="G5729" s="10"/>
      <c r="H5729" s="15"/>
      <c r="I5729" s="15"/>
      <c r="J5729" s="15"/>
      <c r="K5729" s="15"/>
      <c r="L5729" s="15"/>
      <c r="M5729" s="15"/>
      <c r="N5729" s="15"/>
      <c r="O5729" s="15"/>
      <c r="P5729" s="15"/>
      <c r="Q5729" s="71"/>
      <c r="R5729" s="84"/>
      <c r="S5729" s="10"/>
      <c r="T5729" s="10"/>
      <c r="U5729" s="10"/>
      <c r="V5729" s="10"/>
      <c r="W5729" s="138"/>
      <c r="Y5729"/>
      <c r="Z5729"/>
      <c r="AA5729"/>
      <c r="AB5729"/>
      <c r="AC5729"/>
      <c r="AD5729"/>
      <c r="AE5729"/>
      <c r="AF5729"/>
      <c r="AG5729"/>
      <c r="AH5729"/>
      <c r="AI5729"/>
      <c r="AJ5729"/>
      <c r="AK5729"/>
      <c r="AL5729"/>
      <c r="AM5729"/>
      <c r="AN5729"/>
      <c r="AO5729"/>
    </row>
    <row r="5730" spans="1:41" ht="15">
      <c r="A5730"/>
      <c r="B5730"/>
      <c r="C5730" s="137"/>
      <c r="D5730" s="30"/>
      <c r="E5730" s="30"/>
      <c r="F5730" s="10"/>
      <c r="G5730" s="10"/>
      <c r="H5730" s="15"/>
      <c r="I5730" s="15"/>
      <c r="J5730" s="15"/>
      <c r="K5730" s="15"/>
      <c r="L5730" s="15"/>
      <c r="M5730" s="15"/>
      <c r="N5730" s="15"/>
      <c r="O5730" s="15"/>
      <c r="P5730" s="15"/>
      <c r="Q5730" s="71"/>
      <c r="R5730" s="84"/>
      <c r="S5730" s="10"/>
      <c r="T5730" s="10"/>
      <c r="U5730" s="10"/>
      <c r="V5730" s="10"/>
      <c r="W5730" s="138"/>
      <c r="Y5730"/>
      <c r="Z5730"/>
      <c r="AA5730"/>
      <c r="AB5730"/>
      <c r="AC5730"/>
      <c r="AD5730"/>
      <c r="AE5730"/>
      <c r="AF5730"/>
      <c r="AG5730"/>
      <c r="AH5730"/>
      <c r="AI5730"/>
      <c r="AJ5730"/>
      <c r="AK5730"/>
      <c r="AL5730"/>
      <c r="AM5730"/>
      <c r="AN5730"/>
      <c r="AO5730"/>
    </row>
    <row r="5731" spans="1:41" ht="15">
      <c r="A5731"/>
      <c r="B5731"/>
      <c r="C5731" s="137"/>
      <c r="D5731" s="30"/>
      <c r="E5731" s="30"/>
      <c r="F5731" s="10"/>
      <c r="G5731" s="10"/>
      <c r="H5731" s="15"/>
      <c r="I5731" s="15"/>
      <c r="J5731" s="15"/>
      <c r="K5731" s="15"/>
      <c r="L5731" s="15"/>
      <c r="M5731" s="15"/>
      <c r="N5731" s="15"/>
      <c r="O5731" s="15"/>
      <c r="P5731" s="15"/>
      <c r="Q5731" s="71"/>
      <c r="R5731" s="84"/>
      <c r="S5731" s="10"/>
      <c r="T5731" s="10"/>
      <c r="U5731" s="10"/>
      <c r="V5731" s="10"/>
      <c r="W5731" s="138"/>
      <c r="Y5731"/>
      <c r="Z5731"/>
      <c r="AA5731"/>
      <c r="AB5731"/>
      <c r="AC5731"/>
      <c r="AD5731"/>
      <c r="AE5731"/>
      <c r="AF5731"/>
      <c r="AG5731"/>
      <c r="AH5731"/>
      <c r="AI5731"/>
      <c r="AJ5731"/>
      <c r="AK5731"/>
      <c r="AL5731"/>
      <c r="AM5731"/>
      <c r="AN5731"/>
      <c r="AO5731"/>
    </row>
    <row r="5732" spans="1:41" ht="15">
      <c r="A5732"/>
      <c r="B5732"/>
      <c r="C5732" s="137"/>
      <c r="D5732" s="30"/>
      <c r="E5732" s="30"/>
      <c r="F5732" s="10"/>
      <c r="G5732" s="10"/>
      <c r="H5732" s="15"/>
      <c r="I5732" s="15"/>
      <c r="J5732" s="15"/>
      <c r="K5732" s="15"/>
      <c r="L5732" s="15"/>
      <c r="M5732" s="15"/>
      <c r="N5732" s="15"/>
      <c r="O5732" s="15"/>
      <c r="P5732" s="15"/>
      <c r="Q5732" s="71"/>
      <c r="R5732" s="84"/>
      <c r="S5732" s="10"/>
      <c r="T5732" s="10"/>
      <c r="U5732" s="10"/>
      <c r="V5732" s="10"/>
      <c r="W5732" s="138"/>
      <c r="Y5732"/>
      <c r="Z5732"/>
      <c r="AA5732"/>
      <c r="AB5732"/>
      <c r="AC5732"/>
      <c r="AD5732"/>
      <c r="AE5732"/>
      <c r="AF5732"/>
      <c r="AG5732"/>
      <c r="AH5732"/>
      <c r="AI5732"/>
      <c r="AJ5732"/>
      <c r="AK5732"/>
      <c r="AL5732"/>
      <c r="AM5732"/>
      <c r="AN5732"/>
      <c r="AO5732"/>
    </row>
    <row r="5733" spans="1:41" ht="15">
      <c r="A5733"/>
      <c r="B5733"/>
      <c r="C5733" s="137"/>
      <c r="D5733" s="30"/>
      <c r="E5733" s="30"/>
      <c r="F5733" s="10"/>
      <c r="G5733" s="10"/>
      <c r="H5733" s="15"/>
      <c r="I5733" s="15"/>
      <c r="J5733" s="15"/>
      <c r="K5733" s="15"/>
      <c r="L5733" s="15"/>
      <c r="M5733" s="15"/>
      <c r="N5733" s="15"/>
      <c r="O5733" s="15"/>
      <c r="P5733" s="15"/>
      <c r="Q5733" s="71"/>
      <c r="R5733" s="84"/>
      <c r="S5733" s="10"/>
      <c r="T5733" s="10"/>
      <c r="U5733" s="10"/>
      <c r="V5733" s="10"/>
      <c r="W5733" s="138"/>
      <c r="Y5733"/>
      <c r="Z5733"/>
      <c r="AA5733"/>
      <c r="AB5733"/>
      <c r="AC5733"/>
      <c r="AD5733"/>
      <c r="AE5733"/>
      <c r="AF5733"/>
      <c r="AG5733"/>
      <c r="AH5733"/>
      <c r="AI5733"/>
      <c r="AJ5733"/>
      <c r="AK5733"/>
      <c r="AL5733"/>
      <c r="AM5733"/>
      <c r="AN5733"/>
      <c r="AO5733"/>
    </row>
    <row r="5734" spans="1:41" ht="15">
      <c r="A5734"/>
      <c r="B5734"/>
      <c r="C5734" s="137"/>
      <c r="D5734" s="30"/>
      <c r="E5734" s="30"/>
      <c r="F5734" s="10"/>
      <c r="G5734" s="10"/>
      <c r="H5734" s="15"/>
      <c r="I5734" s="15"/>
      <c r="J5734" s="15"/>
      <c r="K5734" s="15"/>
      <c r="L5734" s="15"/>
      <c r="M5734" s="15"/>
      <c r="N5734" s="15"/>
      <c r="O5734" s="15"/>
      <c r="P5734" s="15"/>
      <c r="Q5734" s="71"/>
      <c r="R5734" s="84"/>
      <c r="S5734" s="10"/>
      <c r="T5734" s="10"/>
      <c r="U5734" s="10"/>
      <c r="V5734" s="10"/>
      <c r="W5734" s="138"/>
      <c r="Y5734"/>
      <c r="Z5734"/>
      <c r="AA5734"/>
      <c r="AB5734"/>
      <c r="AC5734"/>
      <c r="AD5734"/>
      <c r="AE5734"/>
      <c r="AF5734"/>
      <c r="AG5734"/>
      <c r="AH5734"/>
      <c r="AI5734"/>
      <c r="AJ5734"/>
      <c r="AK5734"/>
      <c r="AL5734"/>
      <c r="AM5734"/>
      <c r="AN5734"/>
      <c r="AO5734"/>
    </row>
    <row r="5735" spans="1:41" ht="15">
      <c r="A5735"/>
      <c r="B5735"/>
      <c r="C5735" s="137"/>
      <c r="D5735" s="30"/>
      <c r="E5735" s="30"/>
      <c r="F5735" s="10"/>
      <c r="G5735" s="10"/>
      <c r="H5735" s="15"/>
      <c r="I5735" s="15"/>
      <c r="J5735" s="15"/>
      <c r="K5735" s="15"/>
      <c r="L5735" s="15"/>
      <c r="M5735" s="15"/>
      <c r="N5735" s="15"/>
      <c r="O5735" s="15"/>
      <c r="P5735" s="15"/>
      <c r="Q5735" s="71"/>
      <c r="R5735" s="84"/>
      <c r="S5735" s="10"/>
      <c r="T5735" s="10"/>
      <c r="U5735" s="10"/>
      <c r="V5735" s="10"/>
      <c r="W5735" s="138"/>
      <c r="Y5735"/>
      <c r="Z5735"/>
      <c r="AA5735"/>
      <c r="AB5735"/>
      <c r="AC5735"/>
      <c r="AD5735"/>
      <c r="AE5735"/>
      <c r="AF5735"/>
      <c r="AG5735"/>
      <c r="AH5735"/>
      <c r="AI5735"/>
      <c r="AJ5735"/>
      <c r="AK5735"/>
      <c r="AL5735"/>
      <c r="AM5735"/>
      <c r="AN5735"/>
      <c r="AO5735"/>
    </row>
    <row r="5736" spans="1:41" ht="15">
      <c r="A5736"/>
      <c r="B5736"/>
      <c r="C5736" s="137"/>
      <c r="D5736" s="30"/>
      <c r="E5736" s="30"/>
      <c r="F5736" s="10"/>
      <c r="G5736" s="10"/>
      <c r="H5736" s="15"/>
      <c r="I5736" s="15"/>
      <c r="J5736" s="15"/>
      <c r="K5736" s="15"/>
      <c r="L5736" s="15"/>
      <c r="M5736" s="15"/>
      <c r="N5736" s="15"/>
      <c r="O5736" s="15"/>
      <c r="P5736" s="15"/>
      <c r="Q5736" s="71"/>
      <c r="R5736" s="84"/>
      <c r="S5736" s="10"/>
      <c r="T5736" s="10"/>
      <c r="U5736" s="10"/>
      <c r="V5736" s="10"/>
      <c r="W5736" s="138"/>
      <c r="Y5736"/>
      <c r="Z5736"/>
      <c r="AA5736"/>
      <c r="AB5736"/>
      <c r="AC5736"/>
      <c r="AD5736"/>
      <c r="AE5736"/>
      <c r="AF5736"/>
      <c r="AG5736"/>
      <c r="AH5736"/>
      <c r="AI5736"/>
      <c r="AJ5736"/>
      <c r="AK5736"/>
      <c r="AL5736"/>
      <c r="AM5736"/>
      <c r="AN5736"/>
      <c r="AO5736"/>
    </row>
    <row r="5737" spans="1:41" ht="15">
      <c r="A5737"/>
      <c r="B5737"/>
      <c r="C5737" s="137"/>
      <c r="D5737" s="30"/>
      <c r="E5737" s="30"/>
      <c r="F5737" s="10"/>
      <c r="G5737" s="10"/>
      <c r="H5737" s="15"/>
      <c r="I5737" s="15"/>
      <c r="J5737" s="15"/>
      <c r="K5737" s="15"/>
      <c r="L5737" s="15"/>
      <c r="M5737" s="15"/>
      <c r="N5737" s="15"/>
      <c r="O5737" s="15"/>
      <c r="P5737" s="15"/>
      <c r="Q5737" s="71"/>
      <c r="R5737" s="84"/>
      <c r="S5737" s="10"/>
      <c r="T5737" s="10"/>
      <c r="U5737" s="10"/>
      <c r="V5737" s="10"/>
      <c r="W5737" s="138"/>
      <c r="Y5737"/>
      <c r="Z5737"/>
      <c r="AA5737"/>
      <c r="AB5737"/>
      <c r="AC5737"/>
      <c r="AD5737"/>
      <c r="AE5737"/>
      <c r="AF5737"/>
      <c r="AG5737"/>
      <c r="AH5737"/>
      <c r="AI5737"/>
      <c r="AJ5737"/>
      <c r="AK5737"/>
      <c r="AL5737"/>
      <c r="AM5737"/>
      <c r="AN5737"/>
      <c r="AO5737"/>
    </row>
    <row r="5738" spans="1:41" ht="15">
      <c r="A5738"/>
      <c r="B5738"/>
      <c r="C5738" s="137"/>
      <c r="D5738" s="30"/>
      <c r="E5738" s="30"/>
      <c r="F5738" s="10"/>
      <c r="G5738" s="10"/>
      <c r="H5738" s="15"/>
      <c r="I5738" s="15"/>
      <c r="J5738" s="15"/>
      <c r="K5738" s="15"/>
      <c r="L5738" s="15"/>
      <c r="M5738" s="15"/>
      <c r="N5738" s="15"/>
      <c r="O5738" s="15"/>
      <c r="P5738" s="15"/>
      <c r="Q5738" s="71"/>
      <c r="R5738" s="84"/>
      <c r="S5738" s="10"/>
      <c r="T5738" s="10"/>
      <c r="U5738" s="10"/>
      <c r="V5738" s="10"/>
      <c r="W5738" s="138"/>
      <c r="Y5738"/>
      <c r="Z5738"/>
      <c r="AA5738"/>
      <c r="AB5738"/>
      <c r="AC5738"/>
      <c r="AD5738"/>
      <c r="AE5738"/>
      <c r="AF5738"/>
      <c r="AG5738"/>
      <c r="AH5738"/>
      <c r="AI5738"/>
      <c r="AJ5738"/>
      <c r="AK5738"/>
      <c r="AL5738"/>
      <c r="AM5738"/>
      <c r="AN5738"/>
      <c r="AO5738"/>
    </row>
    <row r="5739" spans="1:41" ht="15">
      <c r="A5739"/>
      <c r="B5739"/>
      <c r="C5739" s="137"/>
      <c r="D5739" s="30"/>
      <c r="E5739" s="30"/>
      <c r="F5739" s="10"/>
      <c r="G5739" s="10"/>
      <c r="H5739" s="15"/>
      <c r="I5739" s="15"/>
      <c r="J5739" s="15"/>
      <c r="K5739" s="15"/>
      <c r="L5739" s="15"/>
      <c r="M5739" s="15"/>
      <c r="N5739" s="15"/>
      <c r="O5739" s="15"/>
      <c r="P5739" s="15"/>
      <c r="Q5739" s="71"/>
      <c r="R5739" s="84"/>
      <c r="S5739" s="10"/>
      <c r="T5739" s="10"/>
      <c r="U5739" s="10"/>
      <c r="V5739" s="10"/>
      <c r="W5739" s="138"/>
      <c r="Y5739"/>
      <c r="Z5739"/>
      <c r="AA5739"/>
      <c r="AB5739"/>
      <c r="AC5739"/>
      <c r="AD5739"/>
      <c r="AE5739"/>
      <c r="AF5739"/>
      <c r="AG5739"/>
      <c r="AH5739"/>
      <c r="AI5739"/>
      <c r="AJ5739"/>
      <c r="AK5739"/>
      <c r="AL5739"/>
      <c r="AM5739"/>
      <c r="AN5739"/>
      <c r="AO5739"/>
    </row>
    <row r="5740" spans="1:41" ht="15">
      <c r="A5740"/>
      <c r="B5740"/>
      <c r="C5740" s="137"/>
      <c r="D5740" s="30"/>
      <c r="E5740" s="30"/>
      <c r="F5740" s="10"/>
      <c r="G5740" s="10"/>
      <c r="H5740" s="15"/>
      <c r="I5740" s="15"/>
      <c r="J5740" s="15"/>
      <c r="K5740" s="15"/>
      <c r="L5740" s="15"/>
      <c r="M5740" s="15"/>
      <c r="N5740" s="15"/>
      <c r="O5740" s="15"/>
      <c r="P5740" s="15"/>
      <c r="Q5740" s="71"/>
      <c r="R5740" s="84"/>
      <c r="S5740" s="10"/>
      <c r="T5740" s="10"/>
      <c r="U5740" s="10"/>
      <c r="V5740" s="10"/>
      <c r="W5740" s="138"/>
      <c r="Y5740"/>
      <c r="Z5740"/>
      <c r="AA5740"/>
      <c r="AB5740"/>
      <c r="AC5740"/>
      <c r="AD5740"/>
      <c r="AE5740"/>
      <c r="AF5740"/>
      <c r="AG5740"/>
      <c r="AH5740"/>
      <c r="AI5740"/>
      <c r="AJ5740"/>
      <c r="AK5740"/>
      <c r="AL5740"/>
      <c r="AM5740"/>
      <c r="AN5740"/>
      <c r="AO5740"/>
    </row>
    <row r="5741" spans="1:41" ht="15">
      <c r="A5741"/>
      <c r="B5741"/>
      <c r="C5741" s="137"/>
      <c r="D5741" s="30"/>
      <c r="E5741" s="30"/>
      <c r="F5741" s="10"/>
      <c r="G5741" s="10"/>
      <c r="H5741" s="15"/>
      <c r="I5741" s="15"/>
      <c r="J5741" s="15"/>
      <c r="K5741" s="15"/>
      <c r="L5741" s="15"/>
      <c r="M5741" s="15"/>
      <c r="N5741" s="15"/>
      <c r="O5741" s="15"/>
      <c r="P5741" s="15"/>
      <c r="Q5741" s="71"/>
      <c r="R5741" s="84"/>
      <c r="S5741" s="10"/>
      <c r="T5741" s="10"/>
      <c r="U5741" s="10"/>
      <c r="V5741" s="10"/>
      <c r="W5741" s="138"/>
      <c r="Y5741"/>
      <c r="Z5741"/>
      <c r="AA5741"/>
      <c r="AB5741"/>
      <c r="AC5741"/>
      <c r="AD5741"/>
      <c r="AE5741"/>
      <c r="AF5741"/>
      <c r="AG5741"/>
      <c r="AH5741"/>
      <c r="AI5741"/>
      <c r="AJ5741"/>
      <c r="AK5741"/>
      <c r="AL5741"/>
      <c r="AM5741"/>
      <c r="AN5741"/>
      <c r="AO5741"/>
    </row>
    <row r="5742" spans="1:41" ht="15">
      <c r="A5742"/>
      <c r="B5742"/>
      <c r="C5742" s="137"/>
      <c r="D5742" s="30"/>
      <c r="E5742" s="30"/>
      <c r="F5742" s="10"/>
      <c r="G5742" s="10"/>
      <c r="H5742" s="15"/>
      <c r="I5742" s="15"/>
      <c r="J5742" s="15"/>
      <c r="K5742" s="15"/>
      <c r="L5742" s="15"/>
      <c r="M5742" s="15"/>
      <c r="N5742" s="15"/>
      <c r="O5742" s="15"/>
      <c r="P5742" s="15"/>
      <c r="Q5742" s="71"/>
      <c r="R5742" s="84"/>
      <c r="S5742" s="10"/>
      <c r="T5742" s="10"/>
      <c r="U5742" s="10"/>
      <c r="V5742" s="10"/>
      <c r="W5742" s="138"/>
      <c r="Y5742"/>
      <c r="Z5742"/>
      <c r="AA5742"/>
      <c r="AB5742"/>
      <c r="AC5742"/>
      <c r="AD5742"/>
      <c r="AE5742"/>
      <c r="AF5742"/>
      <c r="AG5742"/>
      <c r="AH5742"/>
      <c r="AI5742"/>
      <c r="AJ5742"/>
      <c r="AK5742"/>
      <c r="AL5742"/>
      <c r="AM5742"/>
      <c r="AN5742"/>
      <c r="AO5742"/>
    </row>
    <row r="5743" spans="1:41" ht="15">
      <c r="A5743"/>
      <c r="B5743"/>
      <c r="C5743" s="137"/>
      <c r="D5743" s="30"/>
      <c r="E5743" s="30"/>
      <c r="F5743" s="10"/>
      <c r="G5743" s="10"/>
      <c r="H5743" s="15"/>
      <c r="I5743" s="15"/>
      <c r="J5743" s="15"/>
      <c r="K5743" s="15"/>
      <c r="L5743" s="15"/>
      <c r="M5743" s="15"/>
      <c r="N5743" s="15"/>
      <c r="O5743" s="15"/>
      <c r="P5743" s="15"/>
      <c r="Q5743" s="71"/>
      <c r="R5743" s="84"/>
      <c r="S5743" s="10"/>
      <c r="T5743" s="10"/>
      <c r="U5743" s="10"/>
      <c r="V5743" s="10"/>
      <c r="W5743" s="138"/>
      <c r="Y5743"/>
      <c r="Z5743"/>
      <c r="AA5743"/>
      <c r="AB5743"/>
      <c r="AC5743"/>
      <c r="AD5743"/>
      <c r="AE5743"/>
      <c r="AF5743"/>
      <c r="AG5743"/>
      <c r="AH5743"/>
      <c r="AI5743"/>
      <c r="AJ5743"/>
      <c r="AK5743"/>
      <c r="AL5743"/>
      <c r="AM5743"/>
      <c r="AN5743"/>
      <c r="AO5743"/>
    </row>
    <row r="5744" spans="1:41" ht="15">
      <c r="A5744"/>
      <c r="B5744"/>
      <c r="C5744" s="137"/>
      <c r="D5744" s="30"/>
      <c r="E5744" s="30"/>
      <c r="F5744" s="10"/>
      <c r="G5744" s="10"/>
      <c r="H5744" s="15"/>
      <c r="I5744" s="15"/>
      <c r="J5744" s="15"/>
      <c r="K5744" s="15"/>
      <c r="L5744" s="15"/>
      <c r="M5744" s="15"/>
      <c r="N5744" s="15"/>
      <c r="O5744" s="15"/>
      <c r="P5744" s="15"/>
      <c r="Q5744" s="71"/>
      <c r="R5744" s="84"/>
      <c r="S5744" s="10"/>
      <c r="T5744" s="10"/>
      <c r="U5744" s="10"/>
      <c r="V5744" s="10"/>
      <c r="W5744" s="138"/>
      <c r="Y5744"/>
      <c r="Z5744"/>
      <c r="AA5744"/>
      <c r="AB5744"/>
      <c r="AC5744"/>
      <c r="AD5744"/>
      <c r="AE5744"/>
      <c r="AF5744"/>
      <c r="AG5744"/>
      <c r="AH5744"/>
      <c r="AI5744"/>
      <c r="AJ5744"/>
      <c r="AK5744"/>
      <c r="AL5744"/>
      <c r="AM5744"/>
      <c r="AN5744"/>
      <c r="AO5744"/>
    </row>
    <row r="5745" spans="1:41" ht="15">
      <c r="A5745"/>
      <c r="B5745"/>
      <c r="C5745" s="137"/>
      <c r="D5745" s="30"/>
      <c r="E5745" s="30"/>
      <c r="F5745" s="10"/>
      <c r="G5745" s="10"/>
      <c r="H5745" s="15"/>
      <c r="I5745" s="15"/>
      <c r="J5745" s="15"/>
      <c r="K5745" s="15"/>
      <c r="L5745" s="15"/>
      <c r="M5745" s="15"/>
      <c r="N5745" s="15"/>
      <c r="O5745" s="15"/>
      <c r="P5745" s="15"/>
      <c r="Q5745" s="71"/>
      <c r="R5745" s="84"/>
      <c r="S5745" s="10"/>
      <c r="T5745" s="10"/>
      <c r="U5745" s="10"/>
      <c r="V5745" s="10"/>
      <c r="W5745" s="138"/>
      <c r="Y5745"/>
      <c r="Z5745"/>
      <c r="AA5745"/>
      <c r="AB5745"/>
      <c r="AC5745"/>
      <c r="AD5745"/>
      <c r="AE5745"/>
      <c r="AF5745"/>
      <c r="AG5745"/>
      <c r="AH5745"/>
      <c r="AI5745"/>
      <c r="AJ5745"/>
      <c r="AK5745"/>
      <c r="AL5745"/>
      <c r="AM5745"/>
      <c r="AN5745"/>
      <c r="AO5745"/>
    </row>
    <row r="5746" spans="1:41" ht="15">
      <c r="A5746"/>
      <c r="B5746"/>
      <c r="C5746" s="137"/>
      <c r="D5746" s="30"/>
      <c r="E5746" s="30"/>
      <c r="F5746" s="10"/>
      <c r="G5746" s="10"/>
      <c r="H5746" s="15"/>
      <c r="I5746" s="15"/>
      <c r="J5746" s="15"/>
      <c r="K5746" s="15"/>
      <c r="L5746" s="15"/>
      <c r="M5746" s="15"/>
      <c r="N5746" s="15"/>
      <c r="O5746" s="15"/>
      <c r="P5746" s="15"/>
      <c r="Q5746" s="71"/>
      <c r="R5746" s="84"/>
      <c r="S5746" s="10"/>
      <c r="T5746" s="10"/>
      <c r="U5746" s="10"/>
      <c r="V5746" s="10"/>
      <c r="W5746" s="138"/>
      <c r="Y5746"/>
      <c r="Z5746"/>
      <c r="AA5746"/>
      <c r="AB5746"/>
      <c r="AC5746"/>
      <c r="AD5746"/>
      <c r="AE5746"/>
      <c r="AF5746"/>
      <c r="AG5746"/>
      <c r="AH5746"/>
      <c r="AI5746"/>
      <c r="AJ5746"/>
      <c r="AK5746"/>
      <c r="AL5746"/>
      <c r="AM5746"/>
      <c r="AN5746"/>
      <c r="AO5746"/>
    </row>
    <row r="5747" spans="1:41" ht="15">
      <c r="A5747"/>
      <c r="B5747"/>
      <c r="C5747" s="137"/>
      <c r="D5747" s="30"/>
      <c r="E5747" s="30"/>
      <c r="F5747" s="10"/>
      <c r="G5747" s="10"/>
      <c r="H5747" s="15"/>
      <c r="I5747" s="15"/>
      <c r="J5747" s="15"/>
      <c r="K5747" s="15"/>
      <c r="L5747" s="15"/>
      <c r="M5747" s="15"/>
      <c r="N5747" s="15"/>
      <c r="O5747" s="15"/>
      <c r="P5747" s="15"/>
      <c r="Q5747" s="71"/>
      <c r="R5747" s="84"/>
      <c r="S5747" s="10"/>
      <c r="T5747" s="10"/>
      <c r="U5747" s="10"/>
      <c r="V5747" s="10"/>
      <c r="W5747" s="138"/>
      <c r="Y5747"/>
      <c r="Z5747"/>
      <c r="AA5747"/>
      <c r="AB5747"/>
      <c r="AC5747"/>
      <c r="AD5747"/>
      <c r="AE5747"/>
      <c r="AF5747"/>
      <c r="AG5747"/>
      <c r="AH5747"/>
      <c r="AI5747"/>
      <c r="AJ5747"/>
      <c r="AK5747"/>
      <c r="AL5747"/>
      <c r="AM5747"/>
      <c r="AN5747"/>
      <c r="AO5747"/>
    </row>
    <row r="5748" spans="1:41" ht="15">
      <c r="A5748"/>
      <c r="B5748"/>
      <c r="C5748" s="137"/>
      <c r="D5748" s="30"/>
      <c r="E5748" s="30"/>
      <c r="F5748" s="10"/>
      <c r="G5748" s="10"/>
      <c r="H5748" s="15"/>
      <c r="I5748" s="15"/>
      <c r="J5748" s="15"/>
      <c r="K5748" s="15"/>
      <c r="L5748" s="15"/>
      <c r="M5748" s="15"/>
      <c r="N5748" s="15"/>
      <c r="O5748" s="15"/>
      <c r="P5748" s="15"/>
      <c r="Q5748" s="71"/>
      <c r="R5748" s="84"/>
      <c r="S5748" s="10"/>
      <c r="T5748" s="10"/>
      <c r="U5748" s="10"/>
      <c r="V5748" s="10"/>
      <c r="W5748" s="138"/>
      <c r="Y5748"/>
      <c r="Z5748"/>
      <c r="AA5748"/>
      <c r="AB5748"/>
      <c r="AC5748"/>
      <c r="AD5748"/>
      <c r="AE5748"/>
      <c r="AF5748"/>
      <c r="AG5748"/>
      <c r="AH5748"/>
      <c r="AI5748"/>
      <c r="AJ5748"/>
      <c r="AK5748"/>
      <c r="AL5748"/>
      <c r="AM5748"/>
      <c r="AN5748"/>
      <c r="AO5748"/>
    </row>
    <row r="5749" spans="1:41" ht="15">
      <c r="A5749"/>
      <c r="B5749"/>
      <c r="C5749" s="137"/>
      <c r="D5749" s="30"/>
      <c r="E5749" s="30"/>
      <c r="F5749" s="10"/>
      <c r="G5749" s="10"/>
      <c r="H5749" s="15"/>
      <c r="I5749" s="15"/>
      <c r="J5749" s="15"/>
      <c r="K5749" s="15"/>
      <c r="L5749" s="15"/>
      <c r="M5749" s="15"/>
      <c r="N5749" s="15"/>
      <c r="O5749" s="15"/>
      <c r="P5749" s="15"/>
      <c r="Q5749" s="71"/>
      <c r="R5749" s="84"/>
      <c r="S5749" s="10"/>
      <c r="T5749" s="10"/>
      <c r="U5749" s="10"/>
      <c r="V5749" s="10"/>
      <c r="W5749" s="138"/>
      <c r="Y5749"/>
      <c r="Z5749"/>
      <c r="AA5749"/>
      <c r="AB5749"/>
      <c r="AC5749"/>
      <c r="AD5749"/>
      <c r="AE5749"/>
      <c r="AF5749"/>
      <c r="AG5749"/>
      <c r="AH5749"/>
      <c r="AI5749"/>
      <c r="AJ5749"/>
      <c r="AK5749"/>
      <c r="AL5749"/>
      <c r="AM5749"/>
      <c r="AN5749"/>
      <c r="AO5749"/>
    </row>
    <row r="5750" spans="1:41" ht="15">
      <c r="A5750"/>
      <c r="B5750"/>
      <c r="C5750" s="137"/>
      <c r="D5750" s="30"/>
      <c r="E5750" s="30"/>
      <c r="F5750" s="10"/>
      <c r="G5750" s="10"/>
      <c r="H5750" s="15"/>
      <c r="I5750" s="15"/>
      <c r="J5750" s="15"/>
      <c r="K5750" s="15"/>
      <c r="L5750" s="15"/>
      <c r="M5750" s="15"/>
      <c r="N5750" s="15"/>
      <c r="O5750" s="15"/>
      <c r="P5750" s="15"/>
      <c r="Q5750" s="71"/>
      <c r="R5750" s="84"/>
      <c r="S5750" s="10"/>
      <c r="T5750" s="10"/>
      <c r="U5750" s="10"/>
      <c r="V5750" s="10"/>
      <c r="W5750" s="138"/>
      <c r="Y5750"/>
      <c r="Z5750"/>
      <c r="AA5750"/>
      <c r="AB5750"/>
      <c r="AC5750"/>
      <c r="AD5750"/>
      <c r="AE5750"/>
      <c r="AF5750"/>
      <c r="AG5750"/>
      <c r="AH5750"/>
      <c r="AI5750"/>
      <c r="AJ5750"/>
      <c r="AK5750"/>
      <c r="AL5750"/>
      <c r="AM5750"/>
      <c r="AN5750"/>
      <c r="AO5750"/>
    </row>
    <row r="5751" spans="1:41" ht="15">
      <c r="A5751"/>
      <c r="B5751"/>
      <c r="C5751" s="137"/>
      <c r="D5751" s="30"/>
      <c r="E5751" s="30"/>
      <c r="F5751" s="10"/>
      <c r="G5751" s="10"/>
      <c r="H5751" s="15"/>
      <c r="I5751" s="15"/>
      <c r="J5751" s="15"/>
      <c r="K5751" s="15"/>
      <c r="L5751" s="15"/>
      <c r="M5751" s="15"/>
      <c r="N5751" s="15"/>
      <c r="O5751" s="15"/>
      <c r="P5751" s="15"/>
      <c r="Q5751" s="71"/>
      <c r="R5751" s="84"/>
      <c r="S5751" s="10"/>
      <c r="T5751" s="10"/>
      <c r="U5751" s="10"/>
      <c r="V5751" s="10"/>
      <c r="W5751" s="138"/>
      <c r="Y5751"/>
      <c r="Z5751"/>
      <c r="AA5751"/>
      <c r="AB5751"/>
      <c r="AC5751"/>
      <c r="AD5751"/>
      <c r="AE5751"/>
      <c r="AF5751"/>
      <c r="AG5751"/>
      <c r="AH5751"/>
      <c r="AI5751"/>
      <c r="AJ5751"/>
      <c r="AK5751"/>
      <c r="AL5751"/>
      <c r="AM5751"/>
      <c r="AN5751"/>
      <c r="AO5751"/>
    </row>
    <row r="5752" spans="1:41" ht="15">
      <c r="A5752"/>
      <c r="B5752"/>
      <c r="C5752" s="137"/>
      <c r="D5752" s="30"/>
      <c r="E5752" s="30"/>
      <c r="F5752" s="10"/>
      <c r="G5752" s="10"/>
      <c r="H5752" s="15"/>
      <c r="I5752" s="15"/>
      <c r="J5752" s="15"/>
      <c r="K5752" s="15"/>
      <c r="L5752" s="15"/>
      <c r="M5752" s="15"/>
      <c r="N5752" s="15"/>
      <c r="O5752" s="15"/>
      <c r="P5752" s="15"/>
      <c r="Q5752" s="71"/>
      <c r="R5752" s="84"/>
      <c r="S5752" s="10"/>
      <c r="T5752" s="10"/>
      <c r="U5752" s="10"/>
      <c r="V5752" s="10"/>
      <c r="W5752" s="138"/>
      <c r="Y5752"/>
      <c r="Z5752"/>
      <c r="AA5752"/>
      <c r="AB5752"/>
      <c r="AC5752"/>
      <c r="AD5752"/>
      <c r="AE5752"/>
      <c r="AF5752"/>
      <c r="AG5752"/>
      <c r="AH5752"/>
      <c r="AI5752"/>
      <c r="AJ5752"/>
      <c r="AK5752"/>
      <c r="AL5752"/>
      <c r="AM5752"/>
      <c r="AN5752"/>
      <c r="AO5752"/>
    </row>
    <row r="5753" spans="1:41" ht="15">
      <c r="A5753"/>
      <c r="B5753"/>
      <c r="C5753" s="137"/>
      <c r="D5753" s="30"/>
      <c r="E5753" s="30"/>
      <c r="F5753" s="10"/>
      <c r="G5753" s="10"/>
      <c r="H5753" s="15"/>
      <c r="I5753" s="15"/>
      <c r="J5753" s="15"/>
      <c r="K5753" s="15"/>
      <c r="L5753" s="15"/>
      <c r="M5753" s="15"/>
      <c r="N5753" s="15"/>
      <c r="O5753" s="15"/>
      <c r="P5753" s="15"/>
      <c r="Q5753" s="71"/>
      <c r="R5753" s="84"/>
      <c r="S5753" s="10"/>
      <c r="T5753" s="10"/>
      <c r="U5753" s="10"/>
      <c r="V5753" s="10"/>
      <c r="W5753" s="138"/>
      <c r="Y5753"/>
      <c r="Z5753"/>
      <c r="AA5753"/>
      <c r="AB5753"/>
      <c r="AC5753"/>
      <c r="AD5753"/>
      <c r="AE5753"/>
      <c r="AF5753"/>
      <c r="AG5753"/>
      <c r="AH5753"/>
      <c r="AI5753"/>
      <c r="AJ5753"/>
      <c r="AK5753"/>
      <c r="AL5753"/>
      <c r="AM5753"/>
      <c r="AN5753"/>
      <c r="AO5753"/>
    </row>
    <row r="5754" spans="1:41" ht="15">
      <c r="A5754"/>
      <c r="B5754"/>
      <c r="C5754" s="137"/>
      <c r="D5754" s="30"/>
      <c r="E5754" s="30"/>
      <c r="F5754" s="10"/>
      <c r="G5754" s="10"/>
      <c r="H5754" s="15"/>
      <c r="I5754" s="15"/>
      <c r="J5754" s="15"/>
      <c r="K5754" s="15"/>
      <c r="L5754" s="15"/>
      <c r="M5754" s="15"/>
      <c r="N5754" s="15"/>
      <c r="O5754" s="15"/>
      <c r="P5754" s="15"/>
      <c r="Q5754" s="71"/>
      <c r="R5754" s="84"/>
      <c r="S5754" s="10"/>
      <c r="T5754" s="10"/>
      <c r="U5754" s="10"/>
      <c r="V5754" s="10"/>
      <c r="W5754" s="138"/>
      <c r="Y5754"/>
      <c r="Z5754"/>
      <c r="AA5754"/>
      <c r="AB5754"/>
      <c r="AC5754"/>
      <c r="AD5754"/>
      <c r="AE5754"/>
      <c r="AF5754"/>
      <c r="AG5754"/>
      <c r="AH5754"/>
      <c r="AI5754"/>
      <c r="AJ5754"/>
      <c r="AK5754"/>
      <c r="AL5754"/>
      <c r="AM5754"/>
      <c r="AN5754"/>
      <c r="AO5754"/>
    </row>
    <row r="5755" spans="1:41" ht="15">
      <c r="A5755"/>
      <c r="B5755"/>
      <c r="C5755" s="137"/>
      <c r="D5755" s="30"/>
      <c r="E5755" s="30"/>
      <c r="F5755" s="10"/>
      <c r="G5755" s="10"/>
      <c r="H5755" s="15"/>
      <c r="I5755" s="15"/>
      <c r="J5755" s="15"/>
      <c r="K5755" s="15"/>
      <c r="L5755" s="15"/>
      <c r="M5755" s="15"/>
      <c r="N5755" s="15"/>
      <c r="O5755" s="15"/>
      <c r="P5755" s="15"/>
      <c r="Q5755" s="71"/>
      <c r="R5755" s="84"/>
      <c r="S5755" s="10"/>
      <c r="T5755" s="10"/>
      <c r="U5755" s="10"/>
      <c r="V5755" s="10"/>
      <c r="W5755" s="138"/>
      <c r="Y5755"/>
      <c r="Z5755"/>
      <c r="AA5755"/>
      <c r="AB5755"/>
      <c r="AC5755"/>
      <c r="AD5755"/>
      <c r="AE5755"/>
      <c r="AF5755"/>
      <c r="AG5755"/>
      <c r="AH5755"/>
      <c r="AI5755"/>
      <c r="AJ5755"/>
      <c r="AK5755"/>
      <c r="AL5755"/>
      <c r="AM5755"/>
      <c r="AN5755"/>
      <c r="AO5755"/>
    </row>
    <row r="5756" spans="1:41" ht="15">
      <c r="A5756"/>
      <c r="B5756"/>
      <c r="C5756" s="137"/>
      <c r="D5756" s="30"/>
      <c r="E5756" s="30"/>
      <c r="F5756" s="10"/>
      <c r="G5756" s="10"/>
      <c r="H5756" s="15"/>
      <c r="I5756" s="15"/>
      <c r="J5756" s="15"/>
      <c r="K5756" s="15"/>
      <c r="L5756" s="15"/>
      <c r="M5756" s="15"/>
      <c r="N5756" s="15"/>
      <c r="O5756" s="15"/>
      <c r="P5756" s="15"/>
      <c r="Q5756" s="71"/>
      <c r="R5756" s="84"/>
      <c r="S5756" s="10"/>
      <c r="T5756" s="10"/>
      <c r="U5756" s="10"/>
      <c r="V5756" s="10"/>
      <c r="W5756" s="138"/>
      <c r="Y5756"/>
      <c r="Z5756"/>
      <c r="AA5756"/>
      <c r="AB5756"/>
      <c r="AC5756"/>
      <c r="AD5756"/>
      <c r="AE5756"/>
      <c r="AF5756"/>
      <c r="AG5756"/>
      <c r="AH5756"/>
      <c r="AI5756"/>
      <c r="AJ5756"/>
      <c r="AK5756"/>
      <c r="AL5756"/>
      <c r="AM5756"/>
      <c r="AN5756"/>
      <c r="AO5756"/>
    </row>
    <row r="5757" spans="1:41" ht="15">
      <c r="A5757"/>
      <c r="B5757"/>
      <c r="C5757" s="137"/>
      <c r="D5757" s="30"/>
      <c r="E5757" s="30"/>
      <c r="F5757" s="10"/>
      <c r="G5757" s="10"/>
      <c r="H5757" s="15"/>
      <c r="I5757" s="15"/>
      <c r="J5757" s="15"/>
      <c r="K5757" s="15"/>
      <c r="L5757" s="15"/>
      <c r="M5757" s="15"/>
      <c r="N5757" s="15"/>
      <c r="O5757" s="15"/>
      <c r="P5757" s="15"/>
      <c r="Q5757" s="71"/>
      <c r="R5757" s="84"/>
      <c r="S5757" s="10"/>
      <c r="T5757" s="10"/>
      <c r="U5757" s="10"/>
      <c r="V5757" s="10"/>
      <c r="W5757" s="138"/>
      <c r="Y5757"/>
      <c r="Z5757"/>
      <c r="AA5757"/>
      <c r="AB5757"/>
      <c r="AC5757"/>
      <c r="AD5757"/>
      <c r="AE5757"/>
      <c r="AF5757"/>
      <c r="AG5757"/>
      <c r="AH5757"/>
      <c r="AI5757"/>
      <c r="AJ5757"/>
      <c r="AK5757"/>
      <c r="AL5757"/>
      <c r="AM5757"/>
      <c r="AN5757"/>
      <c r="AO5757"/>
    </row>
    <row r="5758" spans="1:41" ht="15">
      <c r="A5758"/>
      <c r="B5758"/>
      <c r="C5758" s="137"/>
      <c r="D5758" s="30"/>
      <c r="E5758" s="30"/>
      <c r="F5758" s="10"/>
      <c r="G5758" s="10"/>
      <c r="H5758" s="15"/>
      <c r="I5758" s="15"/>
      <c r="J5758" s="15"/>
      <c r="K5758" s="15"/>
      <c r="L5758" s="15"/>
      <c r="M5758" s="15"/>
      <c r="N5758" s="15"/>
      <c r="O5758" s="15"/>
      <c r="P5758" s="15"/>
      <c r="Q5758" s="71"/>
      <c r="R5758" s="84"/>
      <c r="S5758" s="10"/>
      <c r="T5758" s="10"/>
      <c r="U5758" s="10"/>
      <c r="V5758" s="10"/>
      <c r="W5758" s="138"/>
      <c r="Y5758"/>
      <c r="Z5758"/>
      <c r="AA5758"/>
      <c r="AB5758"/>
      <c r="AC5758"/>
      <c r="AD5758"/>
      <c r="AE5758"/>
      <c r="AF5758"/>
      <c r="AG5758"/>
      <c r="AH5758"/>
      <c r="AI5758"/>
      <c r="AJ5758"/>
      <c r="AK5758"/>
      <c r="AL5758"/>
      <c r="AM5758"/>
      <c r="AN5758"/>
      <c r="AO5758"/>
    </row>
    <row r="5759" spans="1:41" ht="15">
      <c r="A5759"/>
      <c r="B5759"/>
      <c r="C5759" s="137"/>
      <c r="D5759" s="30"/>
      <c r="E5759" s="30"/>
      <c r="F5759" s="10"/>
      <c r="G5759" s="10"/>
      <c r="H5759" s="15"/>
      <c r="I5759" s="15"/>
      <c r="J5759" s="15"/>
      <c r="K5759" s="15"/>
      <c r="L5759" s="15"/>
      <c r="M5759" s="15"/>
      <c r="N5759" s="15"/>
      <c r="O5759" s="15"/>
      <c r="P5759" s="15"/>
      <c r="Q5759" s="71"/>
      <c r="R5759" s="84"/>
      <c r="S5759" s="10"/>
      <c r="T5759" s="10"/>
      <c r="U5759" s="10"/>
      <c r="V5759" s="10"/>
      <c r="W5759" s="138"/>
      <c r="Y5759"/>
      <c r="Z5759"/>
      <c r="AA5759"/>
      <c r="AB5759"/>
      <c r="AC5759"/>
      <c r="AD5759"/>
      <c r="AE5759"/>
      <c r="AF5759"/>
      <c r="AG5759"/>
      <c r="AH5759"/>
      <c r="AI5759"/>
      <c r="AJ5759"/>
      <c r="AK5759"/>
      <c r="AL5759"/>
      <c r="AM5759"/>
      <c r="AN5759"/>
      <c r="AO5759"/>
    </row>
    <row r="5760" spans="1:41" ht="15">
      <c r="A5760"/>
      <c r="B5760"/>
      <c r="C5760" s="137"/>
      <c r="D5760" s="30"/>
      <c r="E5760" s="30"/>
      <c r="F5760" s="10"/>
      <c r="G5760" s="10"/>
      <c r="H5760" s="15"/>
      <c r="I5760" s="15"/>
      <c r="J5760" s="15"/>
      <c r="K5760" s="15"/>
      <c r="L5760" s="15"/>
      <c r="M5760" s="15"/>
      <c r="N5760" s="15"/>
      <c r="O5760" s="15"/>
      <c r="P5760" s="15"/>
      <c r="Q5760" s="71"/>
      <c r="R5760" s="84"/>
      <c r="S5760" s="10"/>
      <c r="T5760" s="10"/>
      <c r="U5760" s="10"/>
      <c r="V5760" s="10"/>
      <c r="W5760" s="138"/>
      <c r="Y5760"/>
      <c r="Z5760"/>
      <c r="AA5760"/>
      <c r="AB5760"/>
      <c r="AC5760"/>
      <c r="AD5760"/>
      <c r="AE5760"/>
      <c r="AF5760"/>
      <c r="AG5760"/>
      <c r="AH5760"/>
      <c r="AI5760"/>
      <c r="AJ5760"/>
      <c r="AK5760"/>
      <c r="AL5760"/>
      <c r="AM5760"/>
      <c r="AN5760"/>
      <c r="AO5760"/>
    </row>
    <row r="5761" spans="1:41" ht="15">
      <c r="A5761"/>
      <c r="B5761"/>
      <c r="C5761" s="137"/>
      <c r="D5761" s="30"/>
      <c r="E5761" s="30"/>
      <c r="F5761" s="10"/>
      <c r="G5761" s="10"/>
      <c r="H5761" s="15"/>
      <c r="I5761" s="15"/>
      <c r="J5761" s="15"/>
      <c r="K5761" s="15"/>
      <c r="L5761" s="15"/>
      <c r="M5761" s="15"/>
      <c r="N5761" s="15"/>
      <c r="O5761" s="15"/>
      <c r="P5761" s="15"/>
      <c r="Q5761" s="71"/>
      <c r="R5761" s="84"/>
      <c r="S5761" s="10"/>
      <c r="T5761" s="10"/>
      <c r="U5761" s="10"/>
      <c r="V5761" s="10"/>
      <c r="W5761" s="138"/>
      <c r="Y5761"/>
      <c r="Z5761"/>
      <c r="AA5761"/>
      <c r="AB5761"/>
      <c r="AC5761"/>
      <c r="AD5761"/>
      <c r="AE5761"/>
      <c r="AF5761"/>
      <c r="AG5761"/>
      <c r="AH5761"/>
      <c r="AI5761"/>
      <c r="AJ5761"/>
      <c r="AK5761"/>
      <c r="AL5761"/>
      <c r="AM5761"/>
      <c r="AN5761"/>
      <c r="AO5761"/>
    </row>
    <row r="5762" spans="1:41" ht="15">
      <c r="A5762"/>
      <c r="B5762"/>
      <c r="C5762" s="137"/>
      <c r="D5762" s="30"/>
      <c r="E5762" s="30"/>
      <c r="F5762" s="10"/>
      <c r="G5762" s="10"/>
      <c r="H5762" s="15"/>
      <c r="I5762" s="15"/>
      <c r="J5762" s="15"/>
      <c r="K5762" s="15"/>
      <c r="L5762" s="15"/>
      <c r="M5762" s="15"/>
      <c r="N5762" s="15"/>
      <c r="O5762" s="15"/>
      <c r="P5762" s="15"/>
      <c r="Q5762" s="71"/>
      <c r="R5762" s="84"/>
      <c r="S5762" s="10"/>
      <c r="T5762" s="10"/>
      <c r="U5762" s="10"/>
      <c r="V5762" s="10"/>
      <c r="W5762" s="138"/>
      <c r="Y5762"/>
      <c r="Z5762"/>
      <c r="AA5762"/>
      <c r="AB5762"/>
      <c r="AC5762"/>
      <c r="AD5762"/>
      <c r="AE5762"/>
      <c r="AF5762"/>
      <c r="AG5762"/>
      <c r="AH5762"/>
      <c r="AI5762"/>
      <c r="AJ5762"/>
      <c r="AK5762"/>
      <c r="AL5762"/>
      <c r="AM5762"/>
      <c r="AN5762"/>
      <c r="AO5762"/>
    </row>
    <row r="5763" spans="1:41" ht="15">
      <c r="A5763"/>
      <c r="B5763"/>
      <c r="C5763" s="137"/>
      <c r="D5763" s="30"/>
      <c r="E5763" s="30"/>
      <c r="F5763" s="10"/>
      <c r="G5763" s="10"/>
      <c r="H5763" s="15"/>
      <c r="I5763" s="15"/>
      <c r="J5763" s="15"/>
      <c r="K5763" s="15"/>
      <c r="L5763" s="15"/>
      <c r="M5763" s="15"/>
      <c r="N5763" s="15"/>
      <c r="O5763" s="15"/>
      <c r="P5763" s="15"/>
      <c r="Q5763" s="71"/>
      <c r="R5763" s="84"/>
      <c r="S5763" s="10"/>
      <c r="T5763" s="10"/>
      <c r="U5763" s="10"/>
      <c r="V5763" s="10"/>
      <c r="W5763" s="138"/>
      <c r="Y5763"/>
      <c r="Z5763"/>
      <c r="AA5763"/>
      <c r="AB5763"/>
      <c r="AC5763"/>
      <c r="AD5763"/>
      <c r="AE5763"/>
      <c r="AF5763"/>
      <c r="AG5763"/>
      <c r="AH5763"/>
      <c r="AI5763"/>
      <c r="AJ5763"/>
      <c r="AK5763"/>
      <c r="AL5763"/>
      <c r="AM5763"/>
      <c r="AN5763"/>
      <c r="AO5763"/>
    </row>
    <row r="5764" spans="1:41" ht="15">
      <c r="A5764"/>
      <c r="B5764"/>
      <c r="C5764" s="137"/>
      <c r="D5764" s="30"/>
      <c r="E5764" s="30"/>
      <c r="F5764" s="10"/>
      <c r="G5764" s="10"/>
      <c r="H5764" s="15"/>
      <c r="I5764" s="15"/>
      <c r="J5764" s="15"/>
      <c r="K5764" s="15"/>
      <c r="L5764" s="15"/>
      <c r="M5764" s="15"/>
      <c r="N5764" s="15"/>
      <c r="O5764" s="15"/>
      <c r="P5764" s="15"/>
      <c r="Q5764" s="71"/>
      <c r="R5764" s="84"/>
      <c r="S5764" s="10"/>
      <c r="T5764" s="10"/>
      <c r="U5764" s="10"/>
      <c r="V5764" s="10"/>
      <c r="W5764" s="138"/>
      <c r="Y5764"/>
      <c r="Z5764"/>
      <c r="AA5764"/>
      <c r="AB5764"/>
      <c r="AC5764"/>
      <c r="AD5764"/>
      <c r="AE5764"/>
      <c r="AF5764"/>
      <c r="AG5764"/>
      <c r="AH5764"/>
      <c r="AI5764"/>
      <c r="AJ5764"/>
      <c r="AK5764"/>
      <c r="AL5764"/>
      <c r="AM5764"/>
      <c r="AN5764"/>
      <c r="AO5764"/>
    </row>
    <row r="5765" spans="1:41" ht="15">
      <c r="A5765"/>
      <c r="B5765"/>
      <c r="C5765" s="137"/>
      <c r="D5765" s="30"/>
      <c r="E5765" s="30"/>
      <c r="F5765" s="10"/>
      <c r="G5765" s="10"/>
      <c r="H5765" s="15"/>
      <c r="I5765" s="15"/>
      <c r="J5765" s="15"/>
      <c r="K5765" s="15"/>
      <c r="L5765" s="15"/>
      <c r="M5765" s="15"/>
      <c r="N5765" s="15"/>
      <c r="O5765" s="15"/>
      <c r="P5765" s="15"/>
      <c r="Q5765" s="71"/>
      <c r="R5765" s="84"/>
      <c r="S5765" s="10"/>
      <c r="T5765" s="10"/>
      <c r="U5765" s="10"/>
      <c r="V5765" s="10"/>
      <c r="W5765" s="138"/>
      <c r="Y5765"/>
      <c r="Z5765"/>
      <c r="AA5765"/>
      <c r="AB5765"/>
      <c r="AC5765"/>
      <c r="AD5765"/>
      <c r="AE5765"/>
      <c r="AF5765"/>
      <c r="AG5765"/>
      <c r="AH5765"/>
      <c r="AI5765"/>
      <c r="AJ5765"/>
      <c r="AK5765"/>
      <c r="AL5765"/>
      <c r="AM5765"/>
      <c r="AN5765"/>
      <c r="AO5765"/>
    </row>
    <row r="5766" spans="1:41" ht="15">
      <c r="A5766"/>
      <c r="B5766"/>
      <c r="C5766" s="137"/>
      <c r="D5766" s="30"/>
      <c r="E5766" s="30"/>
      <c r="F5766" s="10"/>
      <c r="G5766" s="10"/>
      <c r="H5766" s="15"/>
      <c r="I5766" s="15"/>
      <c r="J5766" s="15"/>
      <c r="K5766" s="15"/>
      <c r="L5766" s="15"/>
      <c r="M5766" s="15"/>
      <c r="N5766" s="15"/>
      <c r="O5766" s="15"/>
      <c r="P5766" s="15"/>
      <c r="Q5766" s="71"/>
      <c r="R5766" s="84"/>
      <c r="S5766" s="10"/>
      <c r="T5766" s="10"/>
      <c r="U5766" s="10"/>
      <c r="V5766" s="10"/>
      <c r="W5766" s="138"/>
      <c r="Y5766"/>
      <c r="Z5766"/>
      <c r="AA5766"/>
      <c r="AB5766"/>
      <c r="AC5766"/>
      <c r="AD5766"/>
      <c r="AE5766"/>
      <c r="AF5766"/>
      <c r="AG5766"/>
      <c r="AH5766"/>
      <c r="AI5766"/>
      <c r="AJ5766"/>
      <c r="AK5766"/>
      <c r="AL5766"/>
      <c r="AM5766"/>
      <c r="AN5766"/>
      <c r="AO5766"/>
    </row>
    <row r="5767" spans="1:41" ht="15">
      <c r="A5767"/>
      <c r="B5767"/>
      <c r="C5767" s="137"/>
      <c r="D5767" s="30"/>
      <c r="E5767" s="30"/>
      <c r="F5767" s="10"/>
      <c r="G5767" s="10"/>
      <c r="H5767" s="15"/>
      <c r="I5767" s="15"/>
      <c r="J5767" s="15"/>
      <c r="K5767" s="15"/>
      <c r="L5767" s="15"/>
      <c r="M5767" s="15"/>
      <c r="N5767" s="15"/>
      <c r="O5767" s="15"/>
      <c r="P5767" s="15"/>
      <c r="Q5767" s="71"/>
      <c r="R5767" s="84"/>
      <c r="S5767" s="10"/>
      <c r="T5767" s="10"/>
      <c r="U5767" s="10"/>
      <c r="V5767" s="10"/>
      <c r="W5767" s="138"/>
      <c r="Y5767"/>
      <c r="Z5767"/>
      <c r="AA5767"/>
      <c r="AB5767"/>
      <c r="AC5767"/>
      <c r="AD5767"/>
      <c r="AE5767"/>
      <c r="AF5767"/>
      <c r="AG5767"/>
      <c r="AH5767"/>
      <c r="AI5767"/>
      <c r="AJ5767"/>
      <c r="AK5767"/>
      <c r="AL5767"/>
      <c r="AM5767"/>
      <c r="AN5767"/>
      <c r="AO5767"/>
    </row>
    <row r="5768" spans="1:41" ht="15">
      <c r="A5768"/>
      <c r="B5768"/>
      <c r="C5768" s="137"/>
      <c r="D5768" s="30"/>
      <c r="E5768" s="30"/>
      <c r="F5768" s="10"/>
      <c r="G5768" s="10"/>
      <c r="H5768" s="15"/>
      <c r="I5768" s="15"/>
      <c r="J5768" s="15"/>
      <c r="K5768" s="15"/>
      <c r="L5768" s="15"/>
      <c r="M5768" s="15"/>
      <c r="N5768" s="15"/>
      <c r="O5768" s="15"/>
      <c r="P5768" s="15"/>
      <c r="Q5768" s="71"/>
      <c r="R5768" s="84"/>
      <c r="S5768" s="10"/>
      <c r="T5768" s="10"/>
      <c r="U5768" s="10"/>
      <c r="V5768" s="10"/>
      <c r="W5768" s="138"/>
      <c r="Y5768"/>
      <c r="Z5768"/>
      <c r="AA5768"/>
      <c r="AB5768"/>
      <c r="AC5768"/>
      <c r="AD5768"/>
      <c r="AE5768"/>
      <c r="AF5768"/>
      <c r="AG5768"/>
      <c r="AH5768"/>
      <c r="AI5768"/>
      <c r="AJ5768"/>
      <c r="AK5768"/>
      <c r="AL5768"/>
      <c r="AM5768"/>
      <c r="AN5768"/>
      <c r="AO5768"/>
    </row>
    <row r="5769" spans="1:41" ht="15">
      <c r="A5769"/>
      <c r="B5769"/>
      <c r="C5769" s="137"/>
      <c r="D5769" s="30"/>
      <c r="E5769" s="30"/>
      <c r="F5769" s="10"/>
      <c r="G5769" s="10"/>
      <c r="H5769" s="15"/>
      <c r="I5769" s="15"/>
      <c r="J5769" s="15"/>
      <c r="K5769" s="15"/>
      <c r="L5769" s="15"/>
      <c r="M5769" s="15"/>
      <c r="N5769" s="15"/>
      <c r="O5769" s="15"/>
      <c r="P5769" s="15"/>
      <c r="Q5769" s="71"/>
      <c r="R5769" s="84"/>
      <c r="S5769" s="10"/>
      <c r="T5769" s="10"/>
      <c r="U5769" s="10"/>
      <c r="V5769" s="10"/>
      <c r="W5769" s="138"/>
      <c r="Y5769"/>
      <c r="Z5769"/>
      <c r="AA5769"/>
      <c r="AB5769"/>
      <c r="AC5769"/>
      <c r="AD5769"/>
      <c r="AE5769"/>
      <c r="AF5769"/>
      <c r="AG5769"/>
      <c r="AH5769"/>
      <c r="AI5769"/>
      <c r="AJ5769"/>
      <c r="AK5769"/>
      <c r="AL5769"/>
      <c r="AM5769"/>
      <c r="AN5769"/>
      <c r="AO5769"/>
    </row>
    <row r="5770" spans="1:41" ht="15">
      <c r="A5770"/>
      <c r="B5770"/>
      <c r="C5770" s="137"/>
      <c r="D5770" s="30"/>
      <c r="E5770" s="30"/>
      <c r="F5770" s="10"/>
      <c r="G5770" s="10"/>
      <c r="H5770" s="15"/>
      <c r="I5770" s="15"/>
      <c r="J5770" s="15"/>
      <c r="K5770" s="15"/>
      <c r="L5770" s="15"/>
      <c r="M5770" s="15"/>
      <c r="N5770" s="15"/>
      <c r="O5770" s="15"/>
      <c r="P5770" s="15"/>
      <c r="Q5770" s="71"/>
      <c r="R5770" s="84"/>
      <c r="S5770" s="10"/>
      <c r="T5770" s="10"/>
      <c r="U5770" s="10"/>
      <c r="V5770" s="10"/>
      <c r="W5770" s="138"/>
      <c r="Y5770"/>
      <c r="Z5770"/>
      <c r="AA5770"/>
      <c r="AB5770"/>
      <c r="AC5770"/>
      <c r="AD5770"/>
      <c r="AE5770"/>
      <c r="AF5770"/>
      <c r="AG5770"/>
      <c r="AH5770"/>
      <c r="AI5770"/>
      <c r="AJ5770"/>
      <c r="AK5770"/>
      <c r="AL5770"/>
      <c r="AM5770"/>
      <c r="AN5770"/>
      <c r="AO5770"/>
    </row>
    <row r="5771" spans="1:41" ht="15">
      <c r="A5771"/>
      <c r="B5771"/>
      <c r="C5771" s="137"/>
      <c r="D5771" s="30"/>
      <c r="E5771" s="30"/>
      <c r="F5771" s="10"/>
      <c r="G5771" s="10"/>
      <c r="H5771" s="15"/>
      <c r="I5771" s="15"/>
      <c r="J5771" s="15"/>
      <c r="K5771" s="15"/>
      <c r="L5771" s="15"/>
      <c r="M5771" s="15"/>
      <c r="N5771" s="15"/>
      <c r="O5771" s="15"/>
      <c r="P5771" s="15"/>
      <c r="Q5771" s="71"/>
      <c r="R5771" s="84"/>
      <c r="S5771" s="10"/>
      <c r="T5771" s="10"/>
      <c r="U5771" s="10"/>
      <c r="V5771" s="10"/>
      <c r="W5771" s="138"/>
      <c r="Y5771"/>
      <c r="Z5771"/>
      <c r="AA5771"/>
      <c r="AB5771"/>
      <c r="AC5771"/>
      <c r="AD5771"/>
      <c r="AE5771"/>
      <c r="AF5771"/>
      <c r="AG5771"/>
      <c r="AH5771"/>
      <c r="AI5771"/>
      <c r="AJ5771"/>
      <c r="AK5771"/>
      <c r="AL5771"/>
      <c r="AM5771"/>
      <c r="AN5771"/>
      <c r="AO5771"/>
    </row>
    <row r="5772" spans="1:41" ht="15">
      <c r="A5772"/>
      <c r="B5772"/>
      <c r="C5772" s="137"/>
      <c r="D5772" s="30"/>
      <c r="E5772" s="30"/>
      <c r="F5772" s="10"/>
      <c r="G5772" s="10"/>
      <c r="H5772" s="15"/>
      <c r="I5772" s="15"/>
      <c r="J5772" s="15"/>
      <c r="K5772" s="15"/>
      <c r="L5772" s="15"/>
      <c r="M5772" s="15"/>
      <c r="N5772" s="15"/>
      <c r="O5772" s="15"/>
      <c r="P5772" s="15"/>
      <c r="Q5772" s="71"/>
      <c r="R5772" s="84"/>
      <c r="S5772" s="10"/>
      <c r="T5772" s="10"/>
      <c r="U5772" s="10"/>
      <c r="V5772" s="10"/>
      <c r="W5772" s="138"/>
      <c r="Y5772"/>
      <c r="Z5772"/>
      <c r="AA5772"/>
      <c r="AB5772"/>
      <c r="AC5772"/>
      <c r="AD5772"/>
      <c r="AE5772"/>
      <c r="AF5772"/>
      <c r="AG5772"/>
      <c r="AH5772"/>
      <c r="AI5772"/>
      <c r="AJ5772"/>
      <c r="AK5772"/>
      <c r="AL5772"/>
      <c r="AM5772"/>
      <c r="AN5772"/>
      <c r="AO5772"/>
    </row>
    <row r="5773" spans="1:41" ht="15">
      <c r="A5773"/>
      <c r="B5773"/>
      <c r="C5773" s="137"/>
      <c r="D5773" s="30"/>
      <c r="E5773" s="30"/>
      <c r="F5773" s="10"/>
      <c r="G5773" s="10"/>
      <c r="H5773" s="15"/>
      <c r="I5773" s="15"/>
      <c r="J5773" s="15"/>
      <c r="K5773" s="15"/>
      <c r="L5773" s="15"/>
      <c r="M5773" s="15"/>
      <c r="N5773" s="15"/>
      <c r="O5773" s="15"/>
      <c r="P5773" s="15"/>
      <c r="Q5773" s="71"/>
      <c r="R5773" s="84"/>
      <c r="S5773" s="10"/>
      <c r="T5773" s="10"/>
      <c r="U5773" s="10"/>
      <c r="V5773" s="10"/>
      <c r="W5773" s="138"/>
      <c r="Y5773"/>
      <c r="Z5773"/>
      <c r="AA5773"/>
      <c r="AB5773"/>
      <c r="AC5773"/>
      <c r="AD5773"/>
      <c r="AE5773"/>
      <c r="AF5773"/>
      <c r="AG5773"/>
      <c r="AH5773"/>
      <c r="AI5773"/>
      <c r="AJ5773"/>
      <c r="AK5773"/>
      <c r="AL5773"/>
      <c r="AM5773"/>
      <c r="AN5773"/>
      <c r="AO5773"/>
    </row>
    <row r="5774" spans="1:41" ht="15">
      <c r="A5774"/>
      <c r="B5774"/>
      <c r="C5774" s="137"/>
      <c r="D5774" s="30"/>
      <c r="E5774" s="30"/>
      <c r="F5774" s="10"/>
      <c r="G5774" s="10"/>
      <c r="H5774" s="15"/>
      <c r="I5774" s="15"/>
      <c r="J5774" s="15"/>
      <c r="K5774" s="15"/>
      <c r="L5774" s="15"/>
      <c r="M5774" s="15"/>
      <c r="N5774" s="15"/>
      <c r="O5774" s="15"/>
      <c r="P5774" s="15"/>
      <c r="Q5774" s="71"/>
      <c r="R5774" s="84"/>
      <c r="S5774" s="10"/>
      <c r="T5774" s="10"/>
      <c r="U5774" s="10"/>
      <c r="V5774" s="10"/>
      <c r="W5774" s="138"/>
      <c r="Y5774"/>
      <c r="Z5774"/>
      <c r="AA5774"/>
      <c r="AB5774"/>
      <c r="AC5774"/>
      <c r="AD5774"/>
      <c r="AE5774"/>
      <c r="AF5774"/>
      <c r="AG5774"/>
      <c r="AH5774"/>
      <c r="AI5774"/>
      <c r="AJ5774"/>
      <c r="AK5774"/>
      <c r="AL5774"/>
      <c r="AM5774"/>
      <c r="AN5774"/>
      <c r="AO5774"/>
    </row>
    <row r="5775" spans="1:41" ht="15">
      <c r="A5775"/>
      <c r="B5775"/>
      <c r="C5775" s="137"/>
      <c r="D5775" s="30"/>
      <c r="E5775" s="30"/>
      <c r="F5775" s="10"/>
      <c r="G5775" s="10"/>
      <c r="H5775" s="15"/>
      <c r="I5775" s="15"/>
      <c r="J5775" s="15"/>
      <c r="K5775" s="15"/>
      <c r="L5775" s="15"/>
      <c r="M5775" s="15"/>
      <c r="N5775" s="15"/>
      <c r="O5775" s="15"/>
      <c r="P5775" s="15"/>
      <c r="Q5775" s="71"/>
      <c r="R5775" s="84"/>
      <c r="S5775" s="10"/>
      <c r="T5775" s="10"/>
      <c r="U5775" s="10"/>
      <c r="V5775" s="10"/>
      <c r="W5775" s="138"/>
      <c r="Y5775"/>
      <c r="Z5775"/>
      <c r="AA5775"/>
      <c r="AB5775"/>
      <c r="AC5775"/>
      <c r="AD5775"/>
      <c r="AE5775"/>
      <c r="AF5775"/>
      <c r="AG5775"/>
      <c r="AH5775"/>
      <c r="AI5775"/>
      <c r="AJ5775"/>
      <c r="AK5775"/>
      <c r="AL5775"/>
      <c r="AM5775"/>
      <c r="AN5775"/>
      <c r="AO5775"/>
    </row>
    <row r="5776" spans="1:41" ht="15">
      <c r="A5776"/>
      <c r="B5776"/>
      <c r="C5776" s="137"/>
      <c r="D5776" s="30"/>
      <c r="E5776" s="30"/>
      <c r="F5776" s="10"/>
      <c r="G5776" s="10"/>
      <c r="H5776" s="15"/>
      <c r="I5776" s="15"/>
      <c r="J5776" s="15"/>
      <c r="K5776" s="15"/>
      <c r="L5776" s="15"/>
      <c r="M5776" s="15"/>
      <c r="N5776" s="15"/>
      <c r="O5776" s="15"/>
      <c r="P5776" s="15"/>
      <c r="Q5776" s="71"/>
      <c r="R5776" s="84"/>
      <c r="S5776" s="10"/>
      <c r="T5776" s="10"/>
      <c r="U5776" s="10"/>
      <c r="V5776" s="10"/>
      <c r="W5776" s="138"/>
      <c r="Y5776"/>
      <c r="Z5776"/>
      <c r="AA5776"/>
      <c r="AB5776"/>
      <c r="AC5776"/>
      <c r="AD5776"/>
      <c r="AE5776"/>
      <c r="AF5776"/>
      <c r="AG5776"/>
      <c r="AH5776"/>
      <c r="AI5776"/>
      <c r="AJ5776"/>
      <c r="AK5776"/>
      <c r="AL5776"/>
      <c r="AM5776"/>
      <c r="AN5776"/>
      <c r="AO5776"/>
    </row>
    <row r="5777" spans="1:41" ht="15">
      <c r="A5777"/>
      <c r="B5777"/>
      <c r="C5777" s="137"/>
      <c r="D5777" s="30"/>
      <c r="E5777" s="30"/>
      <c r="F5777" s="10"/>
      <c r="G5777" s="10"/>
      <c r="H5777" s="15"/>
      <c r="I5777" s="15"/>
      <c r="J5777" s="15"/>
      <c r="K5777" s="15"/>
      <c r="L5777" s="15"/>
      <c r="M5777" s="15"/>
      <c r="N5777" s="15"/>
      <c r="O5777" s="15"/>
      <c r="P5777" s="15"/>
      <c r="Q5777" s="71"/>
      <c r="R5777" s="84"/>
      <c r="S5777" s="10"/>
      <c r="T5777" s="10"/>
      <c r="U5777" s="10"/>
      <c r="V5777" s="10"/>
      <c r="W5777" s="138"/>
      <c r="Y5777"/>
      <c r="Z5777"/>
      <c r="AA5777"/>
      <c r="AB5777"/>
      <c r="AC5777"/>
      <c r="AD5777"/>
      <c r="AE5777"/>
      <c r="AF5777"/>
      <c r="AG5777"/>
      <c r="AH5777"/>
      <c r="AI5777"/>
      <c r="AJ5777"/>
      <c r="AK5777"/>
      <c r="AL5777"/>
      <c r="AM5777"/>
      <c r="AN5777"/>
      <c r="AO5777"/>
    </row>
    <row r="5778" spans="1:41" ht="15">
      <c r="A5778"/>
      <c r="B5778"/>
      <c r="C5778" s="137"/>
      <c r="D5778" s="30"/>
      <c r="E5778" s="30"/>
      <c r="F5778" s="10"/>
      <c r="G5778" s="10"/>
      <c r="H5778" s="15"/>
      <c r="I5778" s="15"/>
      <c r="J5778" s="15"/>
      <c r="K5778" s="15"/>
      <c r="L5778" s="15"/>
      <c r="M5778" s="15"/>
      <c r="N5778" s="15"/>
      <c r="O5778" s="15"/>
      <c r="P5778" s="15"/>
      <c r="Q5778" s="71"/>
      <c r="R5778" s="84"/>
      <c r="S5778" s="10"/>
      <c r="T5778" s="10"/>
      <c r="U5778" s="10"/>
      <c r="V5778" s="10"/>
      <c r="W5778" s="138"/>
      <c r="Y5778"/>
      <c r="Z5778"/>
      <c r="AA5778"/>
      <c r="AB5778"/>
      <c r="AC5778"/>
      <c r="AD5778"/>
      <c r="AE5778"/>
      <c r="AF5778"/>
      <c r="AG5778"/>
      <c r="AH5778"/>
      <c r="AI5778"/>
      <c r="AJ5778"/>
      <c r="AK5778"/>
      <c r="AL5778"/>
      <c r="AM5778"/>
      <c r="AN5778"/>
      <c r="AO5778"/>
    </row>
    <row r="5779" spans="1:41" ht="15">
      <c r="A5779"/>
      <c r="B5779"/>
      <c r="C5779" s="137"/>
      <c r="D5779" s="30"/>
      <c r="E5779" s="30"/>
      <c r="F5779" s="10"/>
      <c r="G5779" s="10"/>
      <c r="H5779" s="15"/>
      <c r="I5779" s="15"/>
      <c r="J5779" s="15"/>
      <c r="K5779" s="15"/>
      <c r="L5779" s="15"/>
      <c r="M5779" s="15"/>
      <c r="N5779" s="15"/>
      <c r="O5779" s="15"/>
      <c r="P5779" s="15"/>
      <c r="Q5779" s="71"/>
      <c r="R5779" s="84"/>
      <c r="S5779" s="10"/>
      <c r="T5779" s="10"/>
      <c r="U5779" s="10"/>
      <c r="V5779" s="10"/>
      <c r="W5779" s="138"/>
      <c r="Y5779"/>
      <c r="Z5779"/>
      <c r="AA5779"/>
      <c r="AB5779"/>
      <c r="AC5779"/>
      <c r="AD5779"/>
      <c r="AE5779"/>
      <c r="AF5779"/>
      <c r="AG5779"/>
      <c r="AH5779"/>
      <c r="AI5779"/>
      <c r="AJ5779"/>
      <c r="AK5779"/>
      <c r="AL5779"/>
      <c r="AM5779"/>
      <c r="AN5779"/>
      <c r="AO5779"/>
    </row>
    <row r="5780" spans="1:41" ht="15">
      <c r="A5780"/>
      <c r="B5780"/>
      <c r="C5780" s="137"/>
      <c r="D5780" s="30"/>
      <c r="E5780" s="30"/>
      <c r="F5780" s="10"/>
      <c r="G5780" s="10"/>
      <c r="H5780" s="15"/>
      <c r="I5780" s="15"/>
      <c r="J5780" s="15"/>
      <c r="K5780" s="15"/>
      <c r="L5780" s="15"/>
      <c r="M5780" s="15"/>
      <c r="N5780" s="15"/>
      <c r="O5780" s="15"/>
      <c r="P5780" s="15"/>
      <c r="Q5780" s="71"/>
      <c r="R5780" s="84"/>
      <c r="S5780" s="10"/>
      <c r="T5780" s="10"/>
      <c r="U5780" s="10"/>
      <c r="V5780" s="10"/>
      <c r="W5780" s="138"/>
      <c r="Y5780"/>
      <c r="Z5780"/>
      <c r="AA5780"/>
      <c r="AB5780"/>
      <c r="AC5780"/>
      <c r="AD5780"/>
      <c r="AE5780"/>
      <c r="AF5780"/>
      <c r="AG5780"/>
      <c r="AH5780"/>
      <c r="AI5780"/>
      <c r="AJ5780"/>
      <c r="AK5780"/>
      <c r="AL5780"/>
      <c r="AM5780"/>
      <c r="AN5780"/>
      <c r="AO5780"/>
    </row>
    <row r="5781" spans="1:41" ht="15">
      <c r="A5781"/>
      <c r="B5781"/>
      <c r="C5781" s="137"/>
      <c r="D5781" s="30"/>
      <c r="E5781" s="30"/>
      <c r="F5781" s="10"/>
      <c r="G5781" s="10"/>
      <c r="H5781" s="15"/>
      <c r="I5781" s="15"/>
      <c r="J5781" s="15"/>
      <c r="K5781" s="15"/>
      <c r="L5781" s="15"/>
      <c r="M5781" s="15"/>
      <c r="N5781" s="15"/>
      <c r="O5781" s="15"/>
      <c r="P5781" s="15"/>
      <c r="Q5781" s="71"/>
      <c r="R5781" s="84"/>
      <c r="S5781" s="10"/>
      <c r="T5781" s="10"/>
      <c r="U5781" s="10"/>
      <c r="V5781" s="10"/>
      <c r="W5781" s="138"/>
      <c r="Y5781"/>
      <c r="Z5781"/>
      <c r="AA5781"/>
      <c r="AB5781"/>
      <c r="AC5781"/>
      <c r="AD5781"/>
      <c r="AE5781"/>
      <c r="AF5781"/>
      <c r="AG5781"/>
      <c r="AH5781"/>
      <c r="AI5781"/>
      <c r="AJ5781"/>
      <c r="AK5781"/>
      <c r="AL5781"/>
      <c r="AM5781"/>
      <c r="AN5781"/>
      <c r="AO5781"/>
    </row>
    <row r="5782" spans="1:41" ht="15">
      <c r="A5782"/>
      <c r="B5782"/>
      <c r="C5782" s="137"/>
      <c r="D5782" s="30"/>
      <c r="E5782" s="30"/>
      <c r="F5782" s="10"/>
      <c r="G5782" s="10"/>
      <c r="H5782" s="15"/>
      <c r="I5782" s="15"/>
      <c r="J5782" s="15"/>
      <c r="K5782" s="15"/>
      <c r="L5782" s="15"/>
      <c r="M5782" s="15"/>
      <c r="N5782" s="15"/>
      <c r="O5782" s="15"/>
      <c r="P5782" s="15"/>
      <c r="Q5782" s="71"/>
      <c r="R5782" s="84"/>
      <c r="S5782" s="10"/>
      <c r="T5782" s="10"/>
      <c r="U5782" s="10"/>
      <c r="V5782" s="10"/>
      <c r="W5782" s="138"/>
      <c r="Y5782"/>
      <c r="Z5782"/>
      <c r="AA5782"/>
      <c r="AB5782"/>
      <c r="AC5782"/>
      <c r="AD5782"/>
      <c r="AE5782"/>
      <c r="AF5782"/>
      <c r="AG5782"/>
      <c r="AH5782"/>
      <c r="AI5782"/>
      <c r="AJ5782"/>
      <c r="AK5782"/>
      <c r="AL5782"/>
      <c r="AM5782"/>
      <c r="AN5782"/>
      <c r="AO5782"/>
    </row>
    <row r="5783" spans="1:41" ht="15">
      <c r="A5783"/>
      <c r="B5783"/>
      <c r="C5783" s="137"/>
      <c r="D5783" s="30"/>
      <c r="E5783" s="30"/>
      <c r="F5783" s="10"/>
      <c r="G5783" s="10"/>
      <c r="H5783" s="15"/>
      <c r="I5783" s="15"/>
      <c r="J5783" s="15"/>
      <c r="K5783" s="15"/>
      <c r="L5783" s="15"/>
      <c r="M5783" s="15"/>
      <c r="N5783" s="15"/>
      <c r="O5783" s="15"/>
      <c r="P5783" s="15"/>
      <c r="Q5783" s="71"/>
      <c r="R5783" s="84"/>
      <c r="S5783" s="10"/>
      <c r="T5783" s="10"/>
      <c r="U5783" s="10"/>
      <c r="V5783" s="10"/>
      <c r="W5783" s="138"/>
      <c r="Y5783"/>
      <c r="Z5783"/>
      <c r="AA5783"/>
      <c r="AB5783"/>
      <c r="AC5783"/>
      <c r="AD5783"/>
      <c r="AE5783"/>
      <c r="AF5783"/>
      <c r="AG5783"/>
      <c r="AH5783"/>
      <c r="AI5783"/>
      <c r="AJ5783"/>
      <c r="AK5783"/>
      <c r="AL5783"/>
      <c r="AM5783"/>
      <c r="AN5783"/>
      <c r="AO5783"/>
    </row>
    <row r="5784" spans="1:41" ht="15">
      <c r="A5784"/>
      <c r="B5784"/>
      <c r="C5784" s="137"/>
      <c r="D5784" s="30"/>
      <c r="E5784" s="30"/>
      <c r="F5784" s="10"/>
      <c r="G5784" s="10"/>
      <c r="H5784" s="15"/>
      <c r="I5784" s="15"/>
      <c r="J5784" s="15"/>
      <c r="K5784" s="15"/>
      <c r="L5784" s="15"/>
      <c r="M5784" s="15"/>
      <c r="N5784" s="15"/>
      <c r="O5784" s="15"/>
      <c r="P5784" s="15"/>
      <c r="Q5784" s="71"/>
      <c r="R5784" s="84"/>
      <c r="S5784" s="10"/>
      <c r="T5784" s="10"/>
      <c r="U5784" s="10"/>
      <c r="V5784" s="10"/>
      <c r="W5784" s="138"/>
      <c r="Y5784"/>
      <c r="Z5784"/>
      <c r="AA5784"/>
      <c r="AB5784"/>
      <c r="AC5784"/>
      <c r="AD5784"/>
      <c r="AE5784"/>
      <c r="AF5784"/>
      <c r="AG5784"/>
      <c r="AH5784"/>
      <c r="AI5784"/>
      <c r="AJ5784"/>
      <c r="AK5784"/>
      <c r="AL5784"/>
      <c r="AM5784"/>
      <c r="AN5784"/>
      <c r="AO5784"/>
    </row>
    <row r="5785" spans="1:41" ht="15">
      <c r="A5785"/>
      <c r="B5785"/>
      <c r="C5785" s="137"/>
      <c r="D5785" s="30"/>
      <c r="E5785" s="30"/>
      <c r="F5785" s="10"/>
      <c r="G5785" s="10"/>
      <c r="H5785" s="15"/>
      <c r="I5785" s="15"/>
      <c r="J5785" s="15"/>
      <c r="K5785" s="15"/>
      <c r="L5785" s="15"/>
      <c r="M5785" s="15"/>
      <c r="N5785" s="15"/>
      <c r="O5785" s="15"/>
      <c r="P5785" s="15"/>
      <c r="Q5785" s="71"/>
      <c r="R5785" s="84"/>
      <c r="S5785" s="10"/>
      <c r="T5785" s="10"/>
      <c r="U5785" s="10"/>
      <c r="V5785" s="10"/>
      <c r="W5785" s="138"/>
      <c r="Y5785"/>
      <c r="Z5785"/>
      <c r="AA5785"/>
      <c r="AB5785"/>
      <c r="AC5785"/>
      <c r="AD5785"/>
      <c r="AE5785"/>
      <c r="AF5785"/>
      <c r="AG5785"/>
      <c r="AH5785"/>
      <c r="AI5785"/>
      <c r="AJ5785"/>
      <c r="AK5785"/>
      <c r="AL5785"/>
      <c r="AM5785"/>
      <c r="AN5785"/>
      <c r="AO5785"/>
    </row>
    <row r="5786" spans="1:41" ht="15">
      <c r="A5786"/>
      <c r="B5786"/>
      <c r="C5786" s="137"/>
      <c r="D5786" s="30"/>
      <c r="E5786" s="30"/>
      <c r="F5786" s="10"/>
      <c r="G5786" s="10"/>
      <c r="H5786" s="15"/>
      <c r="I5786" s="15"/>
      <c r="J5786" s="15"/>
      <c r="K5786" s="15"/>
      <c r="L5786" s="15"/>
      <c r="M5786" s="15"/>
      <c r="N5786" s="15"/>
      <c r="O5786" s="15"/>
      <c r="P5786" s="15"/>
      <c r="Q5786" s="71"/>
      <c r="R5786" s="84"/>
      <c r="S5786" s="10"/>
      <c r="T5786" s="10"/>
      <c r="U5786" s="10"/>
      <c r="V5786" s="10"/>
      <c r="W5786" s="138"/>
      <c r="Y5786"/>
      <c r="Z5786"/>
      <c r="AA5786"/>
      <c r="AB5786"/>
      <c r="AC5786"/>
      <c r="AD5786"/>
      <c r="AE5786"/>
      <c r="AF5786"/>
      <c r="AG5786"/>
      <c r="AH5786"/>
      <c r="AI5786"/>
      <c r="AJ5786"/>
      <c r="AK5786"/>
      <c r="AL5786"/>
      <c r="AM5786"/>
      <c r="AN5786"/>
      <c r="AO5786"/>
    </row>
    <row r="5787" spans="1:41" ht="15">
      <c r="A5787"/>
      <c r="B5787"/>
      <c r="C5787" s="137"/>
      <c r="D5787" s="30"/>
      <c r="E5787" s="30"/>
      <c r="F5787" s="10"/>
      <c r="G5787" s="10"/>
      <c r="H5787" s="15"/>
      <c r="I5787" s="15"/>
      <c r="J5787" s="15"/>
      <c r="K5787" s="15"/>
      <c r="L5787" s="15"/>
      <c r="M5787" s="15"/>
      <c r="N5787" s="15"/>
      <c r="O5787" s="15"/>
      <c r="P5787" s="15"/>
      <c r="Q5787" s="71"/>
      <c r="R5787" s="84"/>
      <c r="S5787" s="10"/>
      <c r="T5787" s="10"/>
      <c r="U5787" s="10"/>
      <c r="V5787" s="10"/>
      <c r="W5787" s="138"/>
      <c r="Y5787"/>
      <c r="Z5787"/>
      <c r="AA5787"/>
      <c r="AB5787"/>
      <c r="AC5787"/>
      <c r="AD5787"/>
      <c r="AE5787"/>
      <c r="AF5787"/>
      <c r="AG5787"/>
      <c r="AH5787"/>
      <c r="AI5787"/>
      <c r="AJ5787"/>
      <c r="AK5787"/>
      <c r="AL5787"/>
      <c r="AM5787"/>
      <c r="AN5787"/>
      <c r="AO5787"/>
    </row>
    <row r="5788" spans="1:41" ht="15">
      <c r="A5788"/>
      <c r="B5788"/>
      <c r="C5788" s="137"/>
      <c r="D5788" s="30"/>
      <c r="E5788" s="30"/>
      <c r="F5788" s="10"/>
      <c r="G5788" s="10"/>
      <c r="H5788" s="15"/>
      <c r="I5788" s="15"/>
      <c r="J5788" s="15"/>
      <c r="K5788" s="15"/>
      <c r="L5788" s="15"/>
      <c r="M5788" s="15"/>
      <c r="N5788" s="15"/>
      <c r="O5788" s="15"/>
      <c r="P5788" s="15"/>
      <c r="Q5788" s="71"/>
      <c r="R5788" s="84"/>
      <c r="S5788" s="10"/>
      <c r="T5788" s="10"/>
      <c r="U5788" s="10"/>
      <c r="V5788" s="10"/>
      <c r="W5788" s="138"/>
      <c r="Y5788"/>
      <c r="Z5788"/>
      <c r="AA5788"/>
      <c r="AB5788"/>
      <c r="AC5788"/>
      <c r="AD5788"/>
      <c r="AE5788"/>
      <c r="AF5788"/>
      <c r="AG5788"/>
      <c r="AH5788"/>
      <c r="AI5788"/>
      <c r="AJ5788"/>
      <c r="AK5788"/>
      <c r="AL5788"/>
      <c r="AM5788"/>
      <c r="AN5788"/>
      <c r="AO5788"/>
    </row>
    <row r="5789" spans="1:41" ht="15">
      <c r="A5789"/>
      <c r="B5789"/>
      <c r="C5789" s="137"/>
      <c r="D5789" s="30"/>
      <c r="E5789" s="30"/>
      <c r="F5789" s="10"/>
      <c r="G5789" s="10"/>
      <c r="H5789" s="15"/>
      <c r="I5789" s="15"/>
      <c r="J5789" s="15"/>
      <c r="K5789" s="15"/>
      <c r="L5789" s="15"/>
      <c r="M5789" s="15"/>
      <c r="N5789" s="15"/>
      <c r="O5789" s="15"/>
      <c r="P5789" s="15"/>
      <c r="Q5789" s="71"/>
      <c r="R5789" s="84"/>
      <c r="S5789" s="10"/>
      <c r="T5789" s="10"/>
      <c r="U5789" s="10"/>
      <c r="V5789" s="10"/>
      <c r="W5789" s="138"/>
      <c r="Y5789"/>
      <c r="Z5789"/>
      <c r="AA5789"/>
      <c r="AB5789"/>
      <c r="AC5789"/>
      <c r="AD5789"/>
      <c r="AE5789"/>
      <c r="AF5789"/>
      <c r="AG5789"/>
      <c r="AH5789"/>
      <c r="AI5789"/>
      <c r="AJ5789"/>
      <c r="AK5789"/>
      <c r="AL5789"/>
      <c r="AM5789"/>
      <c r="AN5789"/>
      <c r="AO5789"/>
    </row>
    <row r="5790" spans="1:41" ht="15">
      <c r="A5790"/>
      <c r="B5790"/>
      <c r="C5790" s="137"/>
      <c r="D5790" s="30"/>
      <c r="E5790" s="30"/>
      <c r="F5790" s="10"/>
      <c r="G5790" s="10"/>
      <c r="H5790" s="15"/>
      <c r="I5790" s="15"/>
      <c r="J5790" s="15"/>
      <c r="K5790" s="15"/>
      <c r="L5790" s="15"/>
      <c r="M5790" s="15"/>
      <c r="N5790" s="15"/>
      <c r="O5790" s="15"/>
      <c r="P5790" s="15"/>
      <c r="Q5790" s="71"/>
      <c r="R5790" s="84"/>
      <c r="S5790" s="10"/>
      <c r="T5790" s="10"/>
      <c r="U5790" s="10"/>
      <c r="V5790" s="10"/>
      <c r="W5790" s="138"/>
      <c r="Y5790"/>
      <c r="Z5790"/>
      <c r="AA5790"/>
      <c r="AB5790"/>
      <c r="AC5790"/>
      <c r="AD5790"/>
      <c r="AE5790"/>
      <c r="AF5790"/>
      <c r="AG5790"/>
      <c r="AH5790"/>
      <c r="AI5790"/>
      <c r="AJ5790"/>
      <c r="AK5790"/>
      <c r="AL5790"/>
      <c r="AM5790"/>
      <c r="AN5790"/>
      <c r="AO5790"/>
    </row>
    <row r="5791" spans="1:41" ht="15">
      <c r="A5791"/>
      <c r="B5791"/>
      <c r="C5791" s="137"/>
      <c r="D5791" s="30"/>
      <c r="E5791" s="30"/>
      <c r="F5791" s="10"/>
      <c r="G5791" s="10"/>
      <c r="H5791" s="15"/>
      <c r="I5791" s="15"/>
      <c r="J5791" s="15"/>
      <c r="K5791" s="15"/>
      <c r="L5791" s="15"/>
      <c r="M5791" s="15"/>
      <c r="N5791" s="15"/>
      <c r="O5791" s="15"/>
      <c r="P5791" s="15"/>
      <c r="Q5791" s="71"/>
      <c r="R5791" s="84"/>
      <c r="S5791" s="10"/>
      <c r="T5791" s="10"/>
      <c r="U5791" s="10"/>
      <c r="V5791" s="10"/>
      <c r="W5791" s="138"/>
      <c r="Y5791"/>
      <c r="Z5791"/>
      <c r="AA5791"/>
      <c r="AB5791"/>
      <c r="AC5791"/>
      <c r="AD5791"/>
      <c r="AE5791"/>
      <c r="AF5791"/>
      <c r="AG5791"/>
      <c r="AH5791"/>
      <c r="AI5791"/>
      <c r="AJ5791"/>
      <c r="AK5791"/>
      <c r="AL5791"/>
      <c r="AM5791"/>
      <c r="AN5791"/>
      <c r="AO5791"/>
    </row>
    <row r="5792" spans="1:41" ht="15">
      <c r="A5792"/>
      <c r="B5792"/>
      <c r="C5792" s="137"/>
      <c r="D5792" s="30"/>
      <c r="E5792" s="30"/>
      <c r="F5792" s="10"/>
      <c r="G5792" s="10"/>
      <c r="H5792" s="15"/>
      <c r="I5792" s="15"/>
      <c r="J5792" s="15"/>
      <c r="K5792" s="15"/>
      <c r="L5792" s="15"/>
      <c r="M5792" s="15"/>
      <c r="N5792" s="15"/>
      <c r="O5792" s="15"/>
      <c r="P5792" s="15"/>
      <c r="Q5792" s="71"/>
      <c r="R5792" s="84"/>
      <c r="S5792" s="10"/>
      <c r="T5792" s="10"/>
      <c r="U5792" s="10"/>
      <c r="V5792" s="10"/>
      <c r="W5792" s="138"/>
      <c r="Y5792"/>
      <c r="Z5792"/>
      <c r="AA5792"/>
      <c r="AB5792"/>
      <c r="AC5792"/>
      <c r="AD5792"/>
      <c r="AE5792"/>
      <c r="AF5792"/>
      <c r="AG5792"/>
      <c r="AH5792"/>
      <c r="AI5792"/>
      <c r="AJ5792"/>
      <c r="AK5792"/>
      <c r="AL5792"/>
      <c r="AM5792"/>
      <c r="AN5792"/>
      <c r="AO5792"/>
    </row>
    <row r="5793" spans="1:41" ht="15">
      <c r="A5793"/>
      <c r="B5793"/>
      <c r="C5793" s="137"/>
      <c r="D5793" s="30"/>
      <c r="E5793" s="30"/>
      <c r="F5793" s="10"/>
      <c r="G5793" s="10"/>
      <c r="H5793" s="15"/>
      <c r="I5793" s="15"/>
      <c r="J5793" s="15"/>
      <c r="K5793" s="15"/>
      <c r="L5793" s="15"/>
      <c r="M5793" s="15"/>
      <c r="N5793" s="15"/>
      <c r="O5793" s="15"/>
      <c r="P5793" s="15"/>
      <c r="Q5793" s="71"/>
      <c r="R5793" s="84"/>
      <c r="S5793" s="10"/>
      <c r="T5793" s="10"/>
      <c r="U5793" s="10"/>
      <c r="V5793" s="10"/>
      <c r="W5793" s="138"/>
      <c r="Y5793"/>
      <c r="Z5793"/>
      <c r="AA5793"/>
      <c r="AB5793"/>
      <c r="AC5793"/>
      <c r="AD5793"/>
      <c r="AE5793"/>
      <c r="AF5793"/>
      <c r="AG5793"/>
      <c r="AH5793"/>
      <c r="AI5793"/>
      <c r="AJ5793"/>
      <c r="AK5793"/>
      <c r="AL5793"/>
      <c r="AM5793"/>
      <c r="AN5793"/>
      <c r="AO5793"/>
    </row>
    <row r="5794" spans="1:41" ht="15">
      <c r="A5794"/>
      <c r="B5794"/>
      <c r="C5794" s="137"/>
      <c r="D5794" s="30"/>
      <c r="E5794" s="30"/>
      <c r="F5794" s="10"/>
      <c r="G5794" s="10"/>
      <c r="H5794" s="15"/>
      <c r="I5794" s="15"/>
      <c r="J5794" s="15"/>
      <c r="K5794" s="15"/>
      <c r="L5794" s="15"/>
      <c r="M5794" s="15"/>
      <c r="N5794" s="15"/>
      <c r="O5794" s="15"/>
      <c r="P5794" s="15"/>
      <c r="Q5794" s="71"/>
      <c r="R5794" s="84"/>
      <c r="S5794" s="10"/>
      <c r="T5794" s="10"/>
      <c r="U5794" s="10"/>
      <c r="V5794" s="10"/>
      <c r="W5794" s="138"/>
      <c r="Y5794"/>
      <c r="Z5794"/>
      <c r="AA5794"/>
      <c r="AB5794"/>
      <c r="AC5794"/>
      <c r="AD5794"/>
      <c r="AE5794"/>
      <c r="AF5794"/>
      <c r="AG5794"/>
      <c r="AH5794"/>
      <c r="AI5794"/>
      <c r="AJ5794"/>
      <c r="AK5794"/>
      <c r="AL5794"/>
      <c r="AM5794"/>
      <c r="AN5794"/>
      <c r="AO5794"/>
    </row>
    <row r="5795" spans="1:41" ht="15">
      <c r="A5795"/>
      <c r="B5795"/>
      <c r="C5795" s="137"/>
      <c r="D5795" s="30"/>
      <c r="E5795" s="30"/>
      <c r="F5795" s="10"/>
      <c r="G5795" s="10"/>
      <c r="H5795" s="15"/>
      <c r="I5795" s="15"/>
      <c r="J5795" s="15"/>
      <c r="K5795" s="15"/>
      <c r="L5795" s="15"/>
      <c r="M5795" s="15"/>
      <c r="N5795" s="15"/>
      <c r="O5795" s="15"/>
      <c r="P5795" s="15"/>
      <c r="Q5795" s="71"/>
      <c r="R5795" s="84"/>
      <c r="S5795" s="10"/>
      <c r="T5795" s="10"/>
      <c r="U5795" s="10"/>
      <c r="V5795" s="10"/>
      <c r="W5795" s="138"/>
      <c r="Y5795"/>
      <c r="Z5795"/>
      <c r="AA5795"/>
      <c r="AB5795"/>
      <c r="AC5795"/>
      <c r="AD5795"/>
      <c r="AE5795"/>
      <c r="AF5795"/>
      <c r="AG5795"/>
      <c r="AH5795"/>
      <c r="AI5795"/>
      <c r="AJ5795"/>
      <c r="AK5795"/>
      <c r="AL5795"/>
      <c r="AM5795"/>
      <c r="AN5795"/>
      <c r="AO5795"/>
    </row>
    <row r="5796" spans="1:41" ht="15">
      <c r="A5796"/>
      <c r="B5796"/>
      <c r="C5796" s="137"/>
      <c r="Y5796"/>
      <c r="Z5796"/>
      <c r="AA5796"/>
      <c r="AB5796"/>
      <c r="AC5796"/>
      <c r="AD5796"/>
      <c r="AE5796"/>
      <c r="AF5796"/>
      <c r="AG5796"/>
      <c r="AH5796"/>
      <c r="AI5796"/>
      <c r="AJ5796"/>
      <c r="AK5796"/>
      <c r="AL5796"/>
      <c r="AM5796"/>
      <c r="AN5796"/>
      <c r="AO5796"/>
    </row>
    <row r="5797" spans="1:41" ht="15">
      <c r="A5797"/>
      <c r="B5797"/>
      <c r="C5797" s="137"/>
      <c r="Y5797"/>
      <c r="Z5797"/>
      <c r="AA5797"/>
      <c r="AB5797"/>
      <c r="AC5797"/>
      <c r="AD5797"/>
      <c r="AE5797"/>
      <c r="AF5797"/>
      <c r="AG5797"/>
      <c r="AH5797"/>
      <c r="AI5797"/>
      <c r="AJ5797"/>
      <c r="AK5797"/>
      <c r="AL5797"/>
      <c r="AM5797"/>
      <c r="AN5797"/>
      <c r="AO5797"/>
    </row>
  </sheetData>
  <mergeCells count="159">
    <mergeCell ref="D8:R8"/>
    <mergeCell ref="S8:U8"/>
    <mergeCell ref="D9:R9"/>
    <mergeCell ref="S9:U9"/>
    <mergeCell ref="D12:R12"/>
    <mergeCell ref="D906:V906"/>
    <mergeCell ref="D62:R62"/>
    <mergeCell ref="D63:R63"/>
    <mergeCell ref="D538:L538"/>
    <mergeCell ref="D530:S530"/>
    <mergeCell ref="D531:S531"/>
    <mergeCell ref="D584:V584"/>
    <mergeCell ref="S453:V453"/>
    <mergeCell ref="D461:Q461"/>
    <mergeCell ref="D462:V462"/>
    <mergeCell ref="D113:V113"/>
    <mergeCell ref="D114:V114"/>
    <mergeCell ref="D112:V112"/>
    <mergeCell ref="D117:V117"/>
    <mergeCell ref="D537:R537"/>
    <mergeCell ref="D505:V505"/>
    <mergeCell ref="D188:V188"/>
    <mergeCell ref="D163:V163"/>
    <mergeCell ref="D221:V221"/>
    <mergeCell ref="D252:S252"/>
    <mergeCell ref="D394:V394"/>
    <mergeCell ref="D298:V298"/>
    <mergeCell ref="D282:V282"/>
    <mergeCell ref="D283:V283"/>
    <mergeCell ref="D731:R731"/>
    <mergeCell ref="D419:V419"/>
    <mergeCell ref="D506:R506"/>
    <mergeCell ref="D484:V484"/>
    <mergeCell ref="D344:V344"/>
    <mergeCell ref="D345:V345"/>
    <mergeCell ref="D354:V354"/>
    <mergeCell ref="D389:V389"/>
    <mergeCell ref="D380:V380"/>
    <mergeCell ref="D381:V381"/>
    <mergeCell ref="D256:V256"/>
    <mergeCell ref="D449:R449"/>
    <mergeCell ref="D451:R451"/>
    <mergeCell ref="S451:V451"/>
    <mergeCell ref="D255:V255"/>
    <mergeCell ref="D438:R438"/>
    <mergeCell ref="D116:V116"/>
    <mergeCell ref="D71:Q71"/>
    <mergeCell ref="D119:V119"/>
    <mergeCell ref="D115:V115"/>
    <mergeCell ref="D150:V150"/>
    <mergeCell ref="D154:V154"/>
    <mergeCell ref="P118:V118"/>
    <mergeCell ref="D160:V160"/>
    <mergeCell ref="D162:V162"/>
    <mergeCell ref="D208:V208"/>
    <mergeCell ref="D209:V209"/>
    <mergeCell ref="D177:V177"/>
    <mergeCell ref="D120:V120"/>
    <mergeCell ref="D137:V137"/>
    <mergeCell ref="D157:V157"/>
    <mergeCell ref="D158:V158"/>
    <mergeCell ref="D247:V247"/>
    <mergeCell ref="D248:V248"/>
    <mergeCell ref="D922:R922"/>
    <mergeCell ref="D921:R921"/>
    <mergeCell ref="D665:R665"/>
    <mergeCell ref="D690:S690"/>
    <mergeCell ref="D691:S691"/>
    <mergeCell ref="D670:V670"/>
    <mergeCell ref="D633:V633"/>
    <mergeCell ref="D574:R574"/>
    <mergeCell ref="D575:L575"/>
    <mergeCell ref="D829:V829"/>
    <mergeCell ref="D705:V705"/>
    <mergeCell ref="D659:S659"/>
    <mergeCell ref="D658:S658"/>
    <mergeCell ref="D585:V585"/>
    <mergeCell ref="D697:R697"/>
    <mergeCell ref="D666:L666"/>
    <mergeCell ref="D806:R806"/>
    <mergeCell ref="D801:V801"/>
    <mergeCell ref="D912:V912"/>
    <mergeCell ref="D887:V887"/>
    <mergeCell ref="D888:V888"/>
    <mergeCell ref="D913:V913"/>
    <mergeCell ref="Q896:V896"/>
    <mergeCell ref="D884:V884"/>
    <mergeCell ref="D7:R7"/>
    <mergeCell ref="D17:V17"/>
    <mergeCell ref="D41:R41"/>
    <mergeCell ref="D542:V542"/>
    <mergeCell ref="D43:R43"/>
    <mergeCell ref="D445:V445"/>
    <mergeCell ref="D155:V155"/>
    <mergeCell ref="D153:V153"/>
    <mergeCell ref="D156:V156"/>
    <mergeCell ref="D433:V433"/>
    <mergeCell ref="D179:R179"/>
    <mergeCell ref="D180:R180"/>
    <mergeCell ref="S180:V180"/>
    <mergeCell ref="D418:V418"/>
    <mergeCell ref="D217:V217"/>
    <mergeCell ref="D315:V315"/>
    <mergeCell ref="D453:R453"/>
    <mergeCell ref="D460:V460"/>
    <mergeCell ref="D511:V511"/>
    <mergeCell ref="D509:V509"/>
    <mergeCell ref="D510:V510"/>
    <mergeCell ref="D459:V459"/>
    <mergeCell ref="D493:V493"/>
    <mergeCell ref="D485:V485"/>
    <mergeCell ref="D15:V15"/>
    <mergeCell ref="D854:V854"/>
    <mergeCell ref="D865:V865"/>
    <mergeCell ref="D873:V873"/>
    <mergeCell ref="D855:V855"/>
    <mergeCell ref="D870:R870"/>
    <mergeCell ref="D869:R869"/>
    <mergeCell ref="D868:R868"/>
    <mergeCell ref="D832:V832"/>
    <mergeCell ref="D831:V831"/>
    <mergeCell ref="D853:V853"/>
    <mergeCell ref="D844:V844"/>
    <mergeCell ref="D867:R867"/>
    <mergeCell ref="D852:V852"/>
    <mergeCell ref="D543:V543"/>
    <mergeCell ref="D804:R804"/>
    <mergeCell ref="D567:S567"/>
    <mergeCell ref="D568:S568"/>
    <mergeCell ref="D830:V830"/>
    <mergeCell ref="D828:V828"/>
    <mergeCell ref="D737:V737"/>
    <mergeCell ref="D725:S725"/>
    <mergeCell ref="D784:V784"/>
    <mergeCell ref="D785:V785"/>
    <mergeCell ref="D22:V22"/>
    <mergeCell ref="D875:V875"/>
    <mergeCell ref="D864:V864"/>
    <mergeCell ref="D42:R42"/>
    <mergeCell ref="D491:V491"/>
    <mergeCell ref="D494:V494"/>
    <mergeCell ref="D634:V634"/>
    <mergeCell ref="D40:R40"/>
    <mergeCell ref="D886:V886"/>
    <mergeCell ref="D883:V883"/>
    <mergeCell ref="D885:V885"/>
    <mergeCell ref="D879:V879"/>
    <mergeCell ref="D724:S724"/>
    <mergeCell ref="D698:R698"/>
    <mergeCell ref="D706:V706"/>
    <mergeCell ref="D732:R732"/>
    <mergeCell ref="D736:V736"/>
    <mergeCell ref="D669:V669"/>
    <mergeCell ref="D64:R64"/>
    <mergeCell ref="D152:V152"/>
    <mergeCell ref="D452:V452"/>
    <mergeCell ref="D447:R447"/>
    <mergeCell ref="D314:V314"/>
    <mergeCell ref="D328:V328"/>
  </mergeCells>
  <conditionalFormatting sqref="V200">
    <cfRule type="dataBar" priority="5">
      <dataBar>
        <cfvo type="min" val="0"/>
        <cfvo type="max" val="0"/>
        <color rgb="FF638EC6"/>
      </dataBar>
    </cfRule>
    <cfRule type="iconSet" priority="6">
      <iconSet iconSet="3ArrowsGray">
        <cfvo type="percent" val="0"/>
        <cfvo type="percent" val="$R$200"/>
        <cfvo type="percent" val="67"/>
      </iconSet>
    </cfRule>
    <cfRule type="iconSet" priority="8">
      <iconSet iconSet="3ArrowsGray">
        <cfvo type="percent" val="0"/>
        <cfvo type="percent" val="33"/>
        <cfvo type="percent" val="67"/>
      </iconSet>
    </cfRule>
  </conditionalFormatting>
  <pageMargins left="0.25" right="0.25" top="0.25" bottom="0.25" header="0.3" footer="0.3"/>
  <pageSetup orientation="portrait" r:id="rId1"/>
  <headerFooter differentFirst="1" scaleWithDoc="0" alignWithMargins="0">
    <oddFooter>&amp;C&amp;10Copyright Reserved&amp;R&amp;P</oddFooter>
  </headerFooter>
  <ignoredErrors>
    <ignoredError sqref="R306:R311 R412:R415 R375:R377 W503" formula="1"/>
  </ignoredErrors>
  <drawing r:id="rId2"/>
  <legacyDrawing r:id="rId3"/>
  <picture r:id="rId4"/>
</worksheet>
</file>

<file path=xl/worksheets/sheet17.xml><?xml version="1.0" encoding="utf-8"?>
<worksheet xmlns="http://schemas.openxmlformats.org/spreadsheetml/2006/main" xmlns:r="http://schemas.openxmlformats.org/officeDocument/2006/relationships">
  <dimension ref="A1:P644"/>
  <sheetViews>
    <sheetView showGridLines="0" showRowColHeaders="0" workbookViewId="0">
      <selection activeCell="C14" sqref="C14"/>
    </sheetView>
  </sheetViews>
  <sheetFormatPr defaultRowHeight="15"/>
  <cols>
    <col min="4" max="4" width="20.5703125" customWidth="1"/>
    <col min="10" max="10" width="10.140625" bestFit="1" customWidth="1"/>
    <col min="12" max="12" width="27.85546875" customWidth="1"/>
    <col min="13" max="13" width="16.85546875" customWidth="1"/>
    <col min="14" max="14" width="15.85546875" customWidth="1"/>
  </cols>
  <sheetData>
    <row r="1" spans="1:16">
      <c r="A1" s="891"/>
      <c r="B1" s="891"/>
      <c r="C1" s="891"/>
      <c r="D1" s="891"/>
      <c r="E1" s="891"/>
      <c r="F1" s="891"/>
      <c r="G1" s="891"/>
      <c r="H1" s="891"/>
      <c r="I1" s="891"/>
      <c r="J1" s="891"/>
      <c r="K1" s="891"/>
      <c r="L1" s="891"/>
      <c r="M1" s="891"/>
      <c r="N1" s="891"/>
      <c r="O1" s="891"/>
      <c r="P1" s="891"/>
    </row>
    <row r="2" spans="1:16">
      <c r="A2" s="891"/>
      <c r="B2" s="891"/>
      <c r="C2" s="891"/>
      <c r="D2" s="891" t="s">
        <v>644</v>
      </c>
      <c r="E2" s="891">
        <v>173.85</v>
      </c>
      <c r="F2" s="891">
        <v>68.989999999999995</v>
      </c>
      <c r="G2" s="891">
        <v>123.52</v>
      </c>
      <c r="H2" s="891">
        <v>162.53</v>
      </c>
      <c r="I2" s="891">
        <v>183.3</v>
      </c>
      <c r="J2" s="891">
        <v>95.91</v>
      </c>
      <c r="K2" s="891"/>
      <c r="L2" s="891" t="s">
        <v>1165</v>
      </c>
      <c r="M2" s="891" t="s">
        <v>401</v>
      </c>
      <c r="N2" s="891" t="s">
        <v>482</v>
      </c>
      <c r="O2" s="891"/>
      <c r="P2" s="891"/>
    </row>
    <row r="3" spans="1:16">
      <c r="A3" s="891"/>
      <c r="B3" s="891"/>
      <c r="C3" s="891"/>
      <c r="D3" s="891" t="s">
        <v>555</v>
      </c>
      <c r="E3" s="891">
        <v>151.77000000000001</v>
      </c>
      <c r="F3" s="891">
        <v>70.900000000000006</v>
      </c>
      <c r="G3" s="891">
        <v>112.95</v>
      </c>
      <c r="H3" s="891">
        <v>153.05000000000001</v>
      </c>
      <c r="I3" s="891">
        <v>142.36000000000001</v>
      </c>
      <c r="J3" s="891">
        <v>137.26</v>
      </c>
      <c r="K3" s="891"/>
      <c r="L3" s="891" t="s">
        <v>33</v>
      </c>
      <c r="M3" s="891" t="s">
        <v>776</v>
      </c>
      <c r="N3" s="891" t="s">
        <v>581</v>
      </c>
      <c r="O3" s="891"/>
      <c r="P3" s="891"/>
    </row>
    <row r="4" spans="1:16">
      <c r="A4" s="891"/>
      <c r="B4" s="891"/>
      <c r="C4" s="891"/>
      <c r="D4" s="891" t="s">
        <v>610</v>
      </c>
      <c r="E4" s="891">
        <v>133.66</v>
      </c>
      <c r="F4" s="891">
        <v>72.72</v>
      </c>
      <c r="G4" s="891">
        <v>104.41</v>
      </c>
      <c r="H4" s="891">
        <v>128.69</v>
      </c>
      <c r="I4" s="891">
        <v>116.39</v>
      </c>
      <c r="J4" s="891">
        <v>103.02</v>
      </c>
      <c r="K4" s="891"/>
      <c r="L4" s="891" t="s">
        <v>20</v>
      </c>
      <c r="M4" s="891" t="s">
        <v>777</v>
      </c>
      <c r="N4" s="891" t="s">
        <v>591</v>
      </c>
      <c r="O4" s="891"/>
      <c r="P4" s="891"/>
    </row>
    <row r="5" spans="1:16">
      <c r="A5" s="891"/>
      <c r="B5" s="891"/>
      <c r="C5" s="891"/>
      <c r="D5" s="891" t="s">
        <v>579</v>
      </c>
      <c r="E5" s="891">
        <v>124.76</v>
      </c>
      <c r="F5" s="891">
        <v>67.680000000000007</v>
      </c>
      <c r="G5" s="891">
        <v>97.36</v>
      </c>
      <c r="H5" s="891">
        <v>111.78</v>
      </c>
      <c r="I5" s="891">
        <v>130.80000000000001</v>
      </c>
      <c r="J5" s="891">
        <v>121.39</v>
      </c>
      <c r="K5" s="891"/>
      <c r="L5" s="891" t="s">
        <v>252</v>
      </c>
      <c r="M5" s="891" t="s">
        <v>778</v>
      </c>
      <c r="N5" s="891" t="s">
        <v>605</v>
      </c>
      <c r="O5" s="891"/>
      <c r="P5" s="891"/>
    </row>
    <row r="6" spans="1:16">
      <c r="A6" s="891"/>
      <c r="B6" s="891"/>
      <c r="C6" s="891"/>
      <c r="D6" s="891" t="s">
        <v>593</v>
      </c>
      <c r="E6" s="891">
        <v>119.95</v>
      </c>
      <c r="F6" s="891">
        <v>42.93</v>
      </c>
      <c r="G6" s="891">
        <v>82.98</v>
      </c>
      <c r="H6" s="891">
        <v>103.97</v>
      </c>
      <c r="I6" s="891">
        <v>130.5</v>
      </c>
      <c r="J6" s="891">
        <v>102.15</v>
      </c>
      <c r="K6" s="891"/>
      <c r="L6" s="891" t="s">
        <v>246</v>
      </c>
      <c r="M6" s="891" t="s">
        <v>779</v>
      </c>
      <c r="N6" s="891" t="s">
        <v>565</v>
      </c>
      <c r="O6" s="891"/>
      <c r="P6" s="891"/>
    </row>
    <row r="7" spans="1:16">
      <c r="A7" s="891"/>
      <c r="B7" s="891"/>
      <c r="C7" s="891"/>
      <c r="D7" s="891" t="s">
        <v>603</v>
      </c>
      <c r="E7" s="891">
        <v>115.24</v>
      </c>
      <c r="F7" s="891">
        <v>43.81</v>
      </c>
      <c r="G7" s="891">
        <v>80.959999999999994</v>
      </c>
      <c r="H7" s="891">
        <v>112.83</v>
      </c>
      <c r="I7" s="891">
        <v>70.010000000000005</v>
      </c>
      <c r="J7" s="891">
        <v>85.99</v>
      </c>
      <c r="K7" s="891"/>
      <c r="L7" s="891" t="s">
        <v>220</v>
      </c>
      <c r="M7" s="891" t="s">
        <v>780</v>
      </c>
      <c r="N7" s="891" t="s">
        <v>608</v>
      </c>
      <c r="O7" s="891"/>
      <c r="P7" s="891"/>
    </row>
    <row r="8" spans="1:16">
      <c r="A8" s="891"/>
      <c r="B8" s="891"/>
      <c r="C8" s="891"/>
      <c r="D8" s="891" t="s">
        <v>584</v>
      </c>
      <c r="E8" s="891">
        <v>114.47</v>
      </c>
      <c r="F8" s="891">
        <v>36.11</v>
      </c>
      <c r="G8" s="891">
        <v>76.86</v>
      </c>
      <c r="H8" s="891">
        <v>105.57</v>
      </c>
      <c r="I8" s="891">
        <v>110.14</v>
      </c>
      <c r="J8" s="891">
        <v>106.57</v>
      </c>
      <c r="K8" s="891"/>
      <c r="L8" s="891" t="s">
        <v>278</v>
      </c>
      <c r="M8" s="891" t="s">
        <v>781</v>
      </c>
      <c r="N8" s="891" t="s">
        <v>624</v>
      </c>
      <c r="O8" s="891"/>
      <c r="P8" s="891"/>
    </row>
    <row r="9" spans="1:16">
      <c r="A9" s="891"/>
      <c r="B9" s="891"/>
      <c r="C9" s="891"/>
      <c r="D9" s="891" t="s">
        <v>651</v>
      </c>
      <c r="E9" s="891">
        <v>113.63</v>
      </c>
      <c r="F9" s="891">
        <v>46.06</v>
      </c>
      <c r="G9" s="891">
        <v>81.2</v>
      </c>
      <c r="H9" s="891">
        <v>111.68</v>
      </c>
      <c r="I9" s="891">
        <v>93.48</v>
      </c>
      <c r="J9" s="891">
        <v>80.650000000000006</v>
      </c>
      <c r="K9" s="891"/>
      <c r="L9" s="891" t="s">
        <v>24</v>
      </c>
      <c r="M9" s="891" t="s">
        <v>782</v>
      </c>
      <c r="N9" s="891" t="s">
        <v>579</v>
      </c>
      <c r="O9" s="891"/>
      <c r="P9" s="891"/>
    </row>
    <row r="10" spans="1:16">
      <c r="A10" s="891"/>
      <c r="B10" s="891"/>
      <c r="C10" s="891"/>
      <c r="D10" s="891" t="s">
        <v>640</v>
      </c>
      <c r="E10" s="891">
        <v>113.49</v>
      </c>
      <c r="F10" s="891">
        <v>29.58</v>
      </c>
      <c r="G10" s="891">
        <v>73.209999999999994</v>
      </c>
      <c r="H10" s="891">
        <v>162.91</v>
      </c>
      <c r="I10" s="891">
        <v>71.010000000000005</v>
      </c>
      <c r="J10" s="891">
        <v>59.29</v>
      </c>
      <c r="K10" s="891"/>
      <c r="L10" s="891" t="s">
        <v>383</v>
      </c>
      <c r="M10" s="891" t="s">
        <v>783</v>
      </c>
      <c r="N10" s="891" t="s">
        <v>560</v>
      </c>
      <c r="O10" s="891"/>
      <c r="P10" s="891"/>
    </row>
    <row r="11" spans="1:16">
      <c r="A11" s="891"/>
      <c r="B11" s="891"/>
      <c r="C11" s="891"/>
      <c r="D11" s="891" t="s">
        <v>587</v>
      </c>
      <c r="E11" s="891">
        <v>112.43</v>
      </c>
      <c r="F11" s="891">
        <v>39.299999999999997</v>
      </c>
      <c r="G11" s="891">
        <v>77.33</v>
      </c>
      <c r="H11" s="891">
        <v>118.81</v>
      </c>
      <c r="I11" s="891">
        <v>99.72</v>
      </c>
      <c r="J11" s="891">
        <v>67.91</v>
      </c>
      <c r="K11" s="891"/>
      <c r="L11" s="891" t="s">
        <v>203</v>
      </c>
      <c r="M11" s="891" t="s">
        <v>784</v>
      </c>
      <c r="N11" s="891" t="s">
        <v>554</v>
      </c>
      <c r="O11" s="891"/>
      <c r="P11" s="891"/>
    </row>
    <row r="12" spans="1:16">
      <c r="A12" s="891"/>
      <c r="B12" s="891"/>
      <c r="C12" s="891"/>
      <c r="D12" s="891" t="s">
        <v>654</v>
      </c>
      <c r="E12" s="891">
        <v>112.33</v>
      </c>
      <c r="F12" s="891">
        <v>40.369999999999997</v>
      </c>
      <c r="G12" s="891">
        <v>77.790000000000006</v>
      </c>
      <c r="H12" s="891">
        <v>105.55</v>
      </c>
      <c r="I12" s="891">
        <v>102.99</v>
      </c>
      <c r="J12" s="891">
        <v>95.06</v>
      </c>
      <c r="K12" s="891"/>
      <c r="L12" s="891" t="s">
        <v>368</v>
      </c>
      <c r="M12" s="891" t="s">
        <v>785</v>
      </c>
      <c r="N12" s="891" t="s">
        <v>652</v>
      </c>
      <c r="O12" s="891"/>
      <c r="P12" s="891"/>
    </row>
    <row r="13" spans="1:16">
      <c r="A13" s="891"/>
      <c r="B13" s="891"/>
      <c r="C13" s="891"/>
      <c r="D13" s="891" t="s">
        <v>635</v>
      </c>
      <c r="E13" s="891">
        <v>111.01</v>
      </c>
      <c r="F13" s="891">
        <v>41.48</v>
      </c>
      <c r="G13" s="891">
        <v>77.64</v>
      </c>
      <c r="H13" s="891">
        <v>126.37</v>
      </c>
      <c r="I13" s="891">
        <v>93.65</v>
      </c>
      <c r="J13" s="891">
        <v>16.64</v>
      </c>
      <c r="K13" s="891"/>
      <c r="L13" s="891" t="s">
        <v>370</v>
      </c>
      <c r="M13" s="891" t="s">
        <v>786</v>
      </c>
      <c r="N13" s="891" t="s">
        <v>555</v>
      </c>
      <c r="O13" s="891"/>
      <c r="P13" s="891"/>
    </row>
    <row r="14" spans="1:16">
      <c r="A14" s="891"/>
      <c r="B14" s="891"/>
      <c r="C14" s="891"/>
      <c r="D14" s="891" t="s">
        <v>611</v>
      </c>
      <c r="E14" s="891">
        <v>108.04</v>
      </c>
      <c r="F14" s="891">
        <v>39.18</v>
      </c>
      <c r="G14" s="891">
        <v>74.989999999999995</v>
      </c>
      <c r="H14" s="891">
        <v>90.14</v>
      </c>
      <c r="I14" s="891">
        <v>115.6</v>
      </c>
      <c r="J14" s="891">
        <v>94.09</v>
      </c>
      <c r="K14" s="891"/>
      <c r="L14" s="891" t="s">
        <v>187</v>
      </c>
      <c r="M14" s="891" t="s">
        <v>787</v>
      </c>
      <c r="N14" s="891" t="s">
        <v>596</v>
      </c>
      <c r="O14" s="891"/>
      <c r="P14" s="891"/>
    </row>
    <row r="15" spans="1:16">
      <c r="A15" s="891"/>
      <c r="B15" s="891"/>
      <c r="C15" s="891"/>
      <c r="D15" s="891" t="s">
        <v>637</v>
      </c>
      <c r="E15" s="891">
        <v>106.99</v>
      </c>
      <c r="F15" s="891">
        <v>40.369999999999997</v>
      </c>
      <c r="G15" s="891">
        <v>75.02</v>
      </c>
      <c r="H15" s="891">
        <v>101.29</v>
      </c>
      <c r="I15" s="891">
        <v>100.24</v>
      </c>
      <c r="J15" s="891">
        <v>94.06</v>
      </c>
      <c r="K15" s="891"/>
      <c r="L15" s="891" t="s">
        <v>227</v>
      </c>
      <c r="M15" s="891" t="s">
        <v>788</v>
      </c>
      <c r="N15" s="891" t="s">
        <v>573</v>
      </c>
      <c r="O15" s="891"/>
      <c r="P15" s="891"/>
    </row>
    <row r="16" spans="1:16">
      <c r="A16" s="891"/>
      <c r="B16" s="891"/>
      <c r="C16" s="891"/>
      <c r="D16" s="891" t="s">
        <v>628</v>
      </c>
      <c r="E16" s="891">
        <v>105.39</v>
      </c>
      <c r="F16" s="891">
        <v>103.04</v>
      </c>
      <c r="G16" s="891">
        <v>104.26</v>
      </c>
      <c r="H16" s="891">
        <v>91.19</v>
      </c>
      <c r="I16" s="891">
        <v>63.28</v>
      </c>
      <c r="J16" s="891">
        <v>59.94</v>
      </c>
      <c r="K16" s="891"/>
      <c r="L16" s="891" t="s">
        <v>247</v>
      </c>
      <c r="M16" s="891" t="s">
        <v>789</v>
      </c>
      <c r="N16" s="891" t="s">
        <v>572</v>
      </c>
      <c r="O16" s="891"/>
      <c r="P16" s="891"/>
    </row>
    <row r="17" spans="1:16">
      <c r="A17" s="891"/>
      <c r="B17" s="891"/>
      <c r="C17" s="891"/>
      <c r="D17" s="891" t="s">
        <v>559</v>
      </c>
      <c r="E17" s="891">
        <v>103.9</v>
      </c>
      <c r="F17" s="891">
        <v>45.71</v>
      </c>
      <c r="G17" s="891">
        <v>75.97</v>
      </c>
      <c r="H17" s="891">
        <v>81.11</v>
      </c>
      <c r="I17" s="891">
        <v>107.68</v>
      </c>
      <c r="J17" s="891">
        <v>92.88</v>
      </c>
      <c r="K17" s="891"/>
      <c r="L17" s="891" t="s">
        <v>68</v>
      </c>
      <c r="M17" s="891" t="s">
        <v>790</v>
      </c>
      <c r="N17" s="891" t="s">
        <v>590</v>
      </c>
      <c r="O17" s="891"/>
      <c r="P17" s="891"/>
    </row>
    <row r="18" spans="1:16">
      <c r="A18" s="891"/>
      <c r="B18" s="891"/>
      <c r="C18" s="891"/>
      <c r="D18" s="891" t="s">
        <v>612</v>
      </c>
      <c r="E18" s="891">
        <v>103.24</v>
      </c>
      <c r="F18" s="891">
        <v>37.99</v>
      </c>
      <c r="G18" s="891">
        <v>71.92</v>
      </c>
      <c r="H18" s="891">
        <v>97.75</v>
      </c>
      <c r="I18" s="891">
        <v>100.45</v>
      </c>
      <c r="J18" s="891">
        <v>98.11</v>
      </c>
      <c r="K18" s="891"/>
      <c r="L18" s="891" t="s">
        <v>78</v>
      </c>
      <c r="M18" s="891" t="s">
        <v>791</v>
      </c>
      <c r="N18" s="891" t="s">
        <v>554</v>
      </c>
      <c r="O18" s="891"/>
      <c r="P18" s="891"/>
    </row>
    <row r="19" spans="1:16">
      <c r="A19" s="891"/>
      <c r="B19" s="891"/>
      <c r="C19" s="891"/>
      <c r="D19" s="891" t="s">
        <v>552</v>
      </c>
      <c r="E19" s="891">
        <v>102.24</v>
      </c>
      <c r="F19" s="891">
        <v>41.1</v>
      </c>
      <c r="G19" s="891">
        <v>72.89</v>
      </c>
      <c r="H19" s="891">
        <v>93.06</v>
      </c>
      <c r="I19" s="891">
        <v>94.28</v>
      </c>
      <c r="J19" s="891">
        <v>89.07</v>
      </c>
      <c r="K19" s="891"/>
      <c r="L19" s="891" t="s">
        <v>300</v>
      </c>
      <c r="M19" s="891" t="s">
        <v>792</v>
      </c>
      <c r="N19" s="891" t="s">
        <v>617</v>
      </c>
      <c r="O19" s="891"/>
      <c r="P19" s="891"/>
    </row>
    <row r="20" spans="1:16">
      <c r="A20" s="891"/>
      <c r="B20" s="891"/>
      <c r="C20" s="891"/>
      <c r="D20" s="891" t="s">
        <v>625</v>
      </c>
      <c r="E20" s="891">
        <v>101.42</v>
      </c>
      <c r="F20" s="891">
        <v>36.21</v>
      </c>
      <c r="G20" s="891">
        <v>70.12</v>
      </c>
      <c r="H20" s="891">
        <v>87.31</v>
      </c>
      <c r="I20" s="891">
        <v>107.38</v>
      </c>
      <c r="J20" s="891">
        <v>70.44</v>
      </c>
      <c r="K20" s="891"/>
      <c r="L20" s="891" t="s">
        <v>307</v>
      </c>
      <c r="M20" s="891" t="s">
        <v>793</v>
      </c>
      <c r="N20" s="891" t="s">
        <v>617</v>
      </c>
      <c r="O20" s="891"/>
      <c r="P20" s="891"/>
    </row>
    <row r="21" spans="1:16">
      <c r="A21" s="891"/>
      <c r="B21" s="891"/>
      <c r="C21" s="891"/>
      <c r="D21" s="891" t="s">
        <v>614</v>
      </c>
      <c r="E21" s="891">
        <v>99.65</v>
      </c>
      <c r="F21" s="891">
        <v>39.85</v>
      </c>
      <c r="G21" s="891">
        <v>70.94</v>
      </c>
      <c r="H21" s="891">
        <v>101.24</v>
      </c>
      <c r="I21" s="891">
        <v>85.58</v>
      </c>
      <c r="J21" s="891">
        <v>109.56</v>
      </c>
      <c r="K21" s="891"/>
      <c r="L21" s="891" t="s">
        <v>91</v>
      </c>
      <c r="M21" s="891" t="s">
        <v>794</v>
      </c>
      <c r="N21" s="891" t="s">
        <v>587</v>
      </c>
      <c r="O21" s="891"/>
      <c r="P21" s="891"/>
    </row>
    <row r="22" spans="1:16">
      <c r="A22" s="891"/>
      <c r="B22" s="891"/>
      <c r="C22" s="891"/>
      <c r="D22" s="891" t="s">
        <v>607</v>
      </c>
      <c r="E22" s="891">
        <v>98.61</v>
      </c>
      <c r="F22" s="891">
        <v>24.99</v>
      </c>
      <c r="G22" s="891">
        <v>63.28</v>
      </c>
      <c r="H22" s="891">
        <v>89.35</v>
      </c>
      <c r="I22" s="891">
        <v>101.17</v>
      </c>
      <c r="J22" s="891">
        <v>72.48</v>
      </c>
      <c r="K22" s="891"/>
      <c r="L22" s="891" t="s">
        <v>14</v>
      </c>
      <c r="M22" s="891" t="s">
        <v>795</v>
      </c>
      <c r="N22" s="891" t="s">
        <v>581</v>
      </c>
      <c r="O22" s="891"/>
      <c r="P22" s="891"/>
    </row>
    <row r="23" spans="1:16">
      <c r="A23" s="891"/>
      <c r="B23" s="891"/>
      <c r="C23" s="891"/>
      <c r="D23" s="891" t="s">
        <v>592</v>
      </c>
      <c r="E23" s="891">
        <v>97.88</v>
      </c>
      <c r="F23" s="891">
        <v>36.81</v>
      </c>
      <c r="G23" s="891">
        <v>68.569999999999993</v>
      </c>
      <c r="H23" s="891">
        <v>92.75</v>
      </c>
      <c r="I23" s="891">
        <v>81.430000000000007</v>
      </c>
      <c r="J23" s="891">
        <v>87.47</v>
      </c>
      <c r="K23" s="891"/>
      <c r="L23" s="891" t="s">
        <v>125</v>
      </c>
      <c r="M23" s="891" t="s">
        <v>796</v>
      </c>
      <c r="N23" s="891" t="s">
        <v>564</v>
      </c>
      <c r="O23" s="891"/>
      <c r="P23" s="891"/>
    </row>
    <row r="24" spans="1:16">
      <c r="A24" s="891"/>
      <c r="B24" s="891"/>
      <c r="C24" s="891"/>
      <c r="D24" s="891" t="s">
        <v>619</v>
      </c>
      <c r="E24" s="891">
        <v>92.57</v>
      </c>
      <c r="F24" s="891">
        <v>18.64</v>
      </c>
      <c r="G24" s="891">
        <v>57.09</v>
      </c>
      <c r="H24" s="891">
        <v>74.67</v>
      </c>
      <c r="I24" s="891">
        <v>95.52</v>
      </c>
      <c r="J24" s="891">
        <v>49.44</v>
      </c>
      <c r="K24" s="891"/>
      <c r="L24" s="891" t="s">
        <v>177</v>
      </c>
      <c r="M24" s="891" t="s">
        <v>797</v>
      </c>
      <c r="N24" s="891" t="s">
        <v>554</v>
      </c>
      <c r="O24" s="891"/>
      <c r="P24" s="891"/>
    </row>
    <row r="25" spans="1:16">
      <c r="A25" s="891"/>
      <c r="B25" s="891"/>
      <c r="C25" s="891"/>
      <c r="D25" s="891" t="s">
        <v>581</v>
      </c>
      <c r="E25" s="891">
        <v>92.24</v>
      </c>
      <c r="F25" s="891">
        <v>32.28</v>
      </c>
      <c r="G25" s="891">
        <v>63.46</v>
      </c>
      <c r="H25" s="891">
        <v>76.92</v>
      </c>
      <c r="I25" s="891">
        <v>90.09</v>
      </c>
      <c r="J25" s="891">
        <v>72.55</v>
      </c>
      <c r="K25" s="891"/>
      <c r="L25" s="891" t="s">
        <v>34</v>
      </c>
      <c r="M25" s="891" t="s">
        <v>798</v>
      </c>
      <c r="N25" s="891" t="s">
        <v>583</v>
      </c>
      <c r="O25" s="891"/>
      <c r="P25" s="891"/>
    </row>
    <row r="26" spans="1:16">
      <c r="A26" s="891"/>
      <c r="B26" s="891"/>
      <c r="C26" s="891"/>
      <c r="D26" s="891" t="s">
        <v>615</v>
      </c>
      <c r="E26" s="891">
        <v>91.64</v>
      </c>
      <c r="F26" s="891">
        <v>33.24</v>
      </c>
      <c r="G26" s="891">
        <v>63.61</v>
      </c>
      <c r="H26" s="891">
        <v>80.739999999999995</v>
      </c>
      <c r="I26" s="891">
        <v>79.680000000000007</v>
      </c>
      <c r="J26" s="891">
        <v>117.58</v>
      </c>
      <c r="K26" s="891"/>
      <c r="L26" s="891" t="s">
        <v>160</v>
      </c>
      <c r="M26" s="891" t="s">
        <v>799</v>
      </c>
      <c r="N26" s="891" t="s">
        <v>554</v>
      </c>
      <c r="O26" s="891"/>
      <c r="P26" s="891"/>
    </row>
    <row r="27" spans="1:16">
      <c r="A27" s="891"/>
      <c r="B27" s="891"/>
      <c r="C27" s="891"/>
      <c r="D27" s="891" t="s">
        <v>649</v>
      </c>
      <c r="E27" s="891">
        <v>87.18</v>
      </c>
      <c r="F27" s="891">
        <v>17.89</v>
      </c>
      <c r="G27" s="891">
        <v>53.92</v>
      </c>
      <c r="H27" s="891">
        <v>92.93</v>
      </c>
      <c r="I27" s="891">
        <v>62.45</v>
      </c>
      <c r="J27" s="891">
        <v>32.729999999999997</v>
      </c>
      <c r="K27" s="891"/>
      <c r="L27" s="891" t="s">
        <v>327</v>
      </c>
      <c r="M27" s="891" t="s">
        <v>800</v>
      </c>
      <c r="N27" s="891" t="s">
        <v>553</v>
      </c>
      <c r="O27" s="891"/>
      <c r="P27" s="891"/>
    </row>
    <row r="28" spans="1:16">
      <c r="A28" s="891"/>
      <c r="B28" s="891"/>
      <c r="C28" s="891"/>
      <c r="D28" s="891" t="s">
        <v>652</v>
      </c>
      <c r="E28" s="891">
        <v>85.61</v>
      </c>
      <c r="F28" s="891">
        <v>20.6</v>
      </c>
      <c r="G28" s="891">
        <v>54.4</v>
      </c>
      <c r="H28" s="891">
        <v>73.680000000000007</v>
      </c>
      <c r="I28" s="891">
        <v>77.569999999999993</v>
      </c>
      <c r="J28" s="891">
        <v>77.819999999999993</v>
      </c>
      <c r="K28" s="891"/>
      <c r="L28" s="891" t="s">
        <v>228</v>
      </c>
      <c r="M28" s="891" t="s">
        <v>801</v>
      </c>
      <c r="N28" s="891" t="s">
        <v>603</v>
      </c>
      <c r="O28" s="891"/>
      <c r="P28" s="891"/>
    </row>
    <row r="29" spans="1:16">
      <c r="A29" s="891"/>
      <c r="B29" s="891"/>
      <c r="C29" s="891"/>
      <c r="D29" s="891" t="s">
        <v>609</v>
      </c>
      <c r="E29" s="891">
        <v>83.14</v>
      </c>
      <c r="F29" s="891">
        <v>29.09</v>
      </c>
      <c r="G29" s="891">
        <v>57.2</v>
      </c>
      <c r="H29" s="891">
        <v>66.55</v>
      </c>
      <c r="I29" s="891">
        <v>80.97</v>
      </c>
      <c r="J29" s="891">
        <v>84.04</v>
      </c>
      <c r="K29" s="891"/>
      <c r="L29" s="891" t="s">
        <v>182</v>
      </c>
      <c r="M29" s="891" t="s">
        <v>802</v>
      </c>
      <c r="N29" s="891" t="s">
        <v>554</v>
      </c>
      <c r="O29" s="891"/>
      <c r="P29" s="891"/>
    </row>
    <row r="30" spans="1:16">
      <c r="A30" s="891"/>
      <c r="B30" s="891"/>
      <c r="C30" s="891"/>
      <c r="D30" s="891" t="s">
        <v>624</v>
      </c>
      <c r="E30" s="891">
        <v>82.56</v>
      </c>
      <c r="F30" s="891">
        <v>25</v>
      </c>
      <c r="G30" s="891">
        <v>54.93</v>
      </c>
      <c r="H30" s="891">
        <v>83.45</v>
      </c>
      <c r="I30" s="891">
        <v>65.03</v>
      </c>
      <c r="J30" s="891">
        <v>94.08</v>
      </c>
      <c r="K30" s="891"/>
      <c r="L30" s="891" t="s">
        <v>241</v>
      </c>
      <c r="M30" s="891" t="s">
        <v>803</v>
      </c>
      <c r="N30" s="891" t="s">
        <v>752</v>
      </c>
      <c r="O30" s="891"/>
      <c r="P30" s="891"/>
    </row>
    <row r="31" spans="1:16">
      <c r="A31" s="891"/>
      <c r="B31" s="891"/>
      <c r="C31" s="891"/>
      <c r="D31" s="891" t="s">
        <v>588</v>
      </c>
      <c r="E31" s="891">
        <v>82.36</v>
      </c>
      <c r="F31" s="891">
        <v>84.11</v>
      </c>
      <c r="G31" s="891">
        <v>83.2</v>
      </c>
      <c r="H31" s="891">
        <v>75</v>
      </c>
      <c r="I31" s="891">
        <v>78.790000000000006</v>
      </c>
      <c r="J31" s="891">
        <v>136.65</v>
      </c>
      <c r="K31" s="891"/>
      <c r="L31" s="891" t="s">
        <v>366</v>
      </c>
      <c r="M31" s="891" t="s">
        <v>804</v>
      </c>
      <c r="N31" s="891" t="s">
        <v>562</v>
      </c>
      <c r="O31" s="891"/>
      <c r="P31" s="891"/>
    </row>
    <row r="32" spans="1:16">
      <c r="A32" s="891"/>
      <c r="B32" s="891"/>
      <c r="C32" s="891"/>
      <c r="D32" s="891" t="s">
        <v>569</v>
      </c>
      <c r="E32" s="891">
        <v>82.06</v>
      </c>
      <c r="F32" s="891">
        <v>26.48</v>
      </c>
      <c r="G32" s="891">
        <v>55.38</v>
      </c>
      <c r="H32" s="891">
        <v>70.489999999999995</v>
      </c>
      <c r="I32" s="891">
        <v>63.24</v>
      </c>
      <c r="J32" s="891">
        <v>59.25</v>
      </c>
      <c r="K32" s="891"/>
      <c r="L32" s="891" t="s">
        <v>380</v>
      </c>
      <c r="M32" s="891" t="s">
        <v>805</v>
      </c>
      <c r="N32" s="891" t="s">
        <v>560</v>
      </c>
      <c r="O32" s="891"/>
      <c r="P32" s="891"/>
    </row>
    <row r="33" spans="1:16">
      <c r="A33" s="891"/>
      <c r="B33" s="891"/>
      <c r="C33" s="891"/>
      <c r="D33" s="891" t="s">
        <v>568</v>
      </c>
      <c r="E33" s="891">
        <v>81.66</v>
      </c>
      <c r="F33" s="891">
        <v>26.14</v>
      </c>
      <c r="G33" s="891">
        <v>55.01</v>
      </c>
      <c r="H33" s="891">
        <v>70.53</v>
      </c>
      <c r="I33" s="891">
        <v>75.66</v>
      </c>
      <c r="J33" s="891">
        <v>37.58</v>
      </c>
      <c r="K33" s="891"/>
      <c r="L33" s="891" t="s">
        <v>287</v>
      </c>
      <c r="M33" s="891" t="s">
        <v>806</v>
      </c>
      <c r="N33" s="891" t="s">
        <v>639</v>
      </c>
      <c r="O33" s="891"/>
      <c r="P33" s="891"/>
    </row>
    <row r="34" spans="1:16">
      <c r="A34" s="891"/>
      <c r="B34" s="891"/>
      <c r="C34" s="891"/>
      <c r="D34" s="891" t="s">
        <v>566</v>
      </c>
      <c r="E34" s="891">
        <v>80.739999999999995</v>
      </c>
      <c r="F34" s="891">
        <v>34.549999999999997</v>
      </c>
      <c r="G34" s="891">
        <v>58.57</v>
      </c>
      <c r="H34" s="891">
        <v>78.989999999999995</v>
      </c>
      <c r="I34" s="891">
        <v>78.650000000000006</v>
      </c>
      <c r="J34" s="891">
        <v>84.61</v>
      </c>
      <c r="K34" s="891"/>
      <c r="L34" s="891" t="s">
        <v>750</v>
      </c>
      <c r="M34" s="891" t="s">
        <v>807</v>
      </c>
      <c r="N34" s="891" t="s">
        <v>763</v>
      </c>
      <c r="O34" s="891"/>
      <c r="P34" s="891"/>
    </row>
    <row r="35" spans="1:16">
      <c r="A35" s="891"/>
      <c r="B35" s="891"/>
      <c r="C35" s="891"/>
      <c r="D35" s="891" t="s">
        <v>564</v>
      </c>
      <c r="E35" s="891">
        <v>80.540000000000006</v>
      </c>
      <c r="F35" s="891">
        <v>37.39</v>
      </c>
      <c r="G35" s="891">
        <v>59.83</v>
      </c>
      <c r="H35" s="891">
        <v>80.739999999999995</v>
      </c>
      <c r="I35" s="891">
        <v>67.87</v>
      </c>
      <c r="J35" s="891">
        <v>136.5</v>
      </c>
      <c r="K35" s="891"/>
      <c r="L35" s="891" t="s">
        <v>153</v>
      </c>
      <c r="M35" s="891" t="s">
        <v>808</v>
      </c>
      <c r="N35" s="891" t="s">
        <v>596</v>
      </c>
      <c r="O35" s="891"/>
      <c r="P35" s="891"/>
    </row>
    <row r="36" spans="1:16">
      <c r="A36" s="891"/>
      <c r="B36" s="891"/>
      <c r="C36" s="891"/>
      <c r="D36" s="891" t="s">
        <v>561</v>
      </c>
      <c r="E36" s="891">
        <v>80.44</v>
      </c>
      <c r="F36" s="891">
        <v>28.66</v>
      </c>
      <c r="G36" s="891">
        <v>55.58</v>
      </c>
      <c r="H36" s="891">
        <v>94.12</v>
      </c>
      <c r="I36" s="891">
        <v>46.5</v>
      </c>
      <c r="J36" s="891">
        <v>102.13</v>
      </c>
      <c r="K36" s="891"/>
      <c r="L36" s="891" t="s">
        <v>31</v>
      </c>
      <c r="M36" s="891" t="s">
        <v>809</v>
      </c>
      <c r="N36" s="891" t="s">
        <v>559</v>
      </c>
      <c r="O36" s="891"/>
      <c r="P36" s="891"/>
    </row>
    <row r="37" spans="1:16">
      <c r="A37" s="891"/>
      <c r="B37" s="891"/>
      <c r="C37" s="891"/>
      <c r="D37" s="891" t="s">
        <v>618</v>
      </c>
      <c r="E37" s="891">
        <v>78.25</v>
      </c>
      <c r="F37" s="891">
        <v>41.92</v>
      </c>
      <c r="G37" s="891">
        <v>60.81</v>
      </c>
      <c r="H37" s="891">
        <v>67.88</v>
      </c>
      <c r="I37" s="891">
        <v>64.83</v>
      </c>
      <c r="J37" s="891">
        <v>20.48</v>
      </c>
      <c r="K37" s="891"/>
      <c r="L37" s="891" t="s">
        <v>285</v>
      </c>
      <c r="M37" s="891" t="s">
        <v>810</v>
      </c>
      <c r="N37" s="891" t="s">
        <v>552</v>
      </c>
      <c r="O37" s="891"/>
      <c r="P37" s="891"/>
    </row>
    <row r="38" spans="1:16">
      <c r="A38" s="891"/>
      <c r="B38" s="891"/>
      <c r="C38" s="891"/>
      <c r="D38" s="891" t="s">
        <v>585</v>
      </c>
      <c r="E38" s="891">
        <v>77.81</v>
      </c>
      <c r="F38" s="891">
        <v>88.57</v>
      </c>
      <c r="G38" s="891">
        <v>82.98</v>
      </c>
      <c r="H38" s="891">
        <v>79.819999999999993</v>
      </c>
      <c r="I38" s="891">
        <v>54.48</v>
      </c>
      <c r="J38" s="891">
        <v>80.3</v>
      </c>
      <c r="K38" s="891"/>
      <c r="L38" s="891" t="s">
        <v>189</v>
      </c>
      <c r="M38" s="891" t="s">
        <v>811</v>
      </c>
      <c r="N38" s="891" t="s">
        <v>604</v>
      </c>
      <c r="O38" s="891"/>
      <c r="P38" s="891"/>
    </row>
    <row r="39" spans="1:16">
      <c r="A39" s="891"/>
      <c r="B39" s="891"/>
      <c r="C39" s="891"/>
      <c r="D39" s="891" t="s">
        <v>560</v>
      </c>
      <c r="E39" s="891">
        <v>75.63</v>
      </c>
      <c r="F39" s="891">
        <v>38.51</v>
      </c>
      <c r="G39" s="891">
        <v>57.82</v>
      </c>
      <c r="H39" s="891">
        <v>58.06</v>
      </c>
      <c r="I39" s="891">
        <v>65.2</v>
      </c>
      <c r="J39" s="891">
        <v>42.46</v>
      </c>
      <c r="K39" s="891"/>
      <c r="L39" s="891" t="s">
        <v>146</v>
      </c>
      <c r="M39" s="891" t="s">
        <v>812</v>
      </c>
      <c r="N39" s="891" t="s">
        <v>591</v>
      </c>
      <c r="O39" s="891"/>
      <c r="P39" s="891"/>
    </row>
    <row r="40" spans="1:16">
      <c r="A40" s="891"/>
      <c r="B40" s="891"/>
      <c r="C40" s="891"/>
      <c r="D40" s="891" t="s">
        <v>562</v>
      </c>
      <c r="E40" s="891">
        <v>75.48</v>
      </c>
      <c r="F40" s="891">
        <v>63.29</v>
      </c>
      <c r="G40" s="891">
        <v>69.63</v>
      </c>
      <c r="H40" s="891">
        <v>64.989999999999995</v>
      </c>
      <c r="I40" s="891">
        <v>69.900000000000006</v>
      </c>
      <c r="J40" s="891">
        <v>121.24</v>
      </c>
      <c r="K40" s="891"/>
      <c r="L40" s="891" t="s">
        <v>298</v>
      </c>
      <c r="M40" s="891" t="s">
        <v>813</v>
      </c>
      <c r="N40" s="891" t="s">
        <v>634</v>
      </c>
      <c r="O40" s="891"/>
      <c r="P40" s="891"/>
    </row>
    <row r="41" spans="1:16">
      <c r="A41" s="891"/>
      <c r="B41" s="891"/>
      <c r="C41" s="891"/>
      <c r="D41" s="891" t="s">
        <v>626</v>
      </c>
      <c r="E41" s="891">
        <v>75.31</v>
      </c>
      <c r="F41" s="891">
        <v>24.34</v>
      </c>
      <c r="G41" s="891">
        <v>50.84</v>
      </c>
      <c r="H41" s="891">
        <v>61.25</v>
      </c>
      <c r="I41" s="891">
        <v>59.09</v>
      </c>
      <c r="J41" s="891">
        <v>54.12</v>
      </c>
      <c r="K41" s="891"/>
      <c r="L41" s="891" t="s">
        <v>257</v>
      </c>
      <c r="M41" s="891" t="s">
        <v>814</v>
      </c>
      <c r="N41" s="891" t="s">
        <v>611</v>
      </c>
      <c r="O41" s="891"/>
      <c r="P41" s="891"/>
    </row>
    <row r="42" spans="1:16">
      <c r="A42" s="891"/>
      <c r="B42" s="891"/>
      <c r="C42" s="891"/>
      <c r="D42" s="891" t="s">
        <v>553</v>
      </c>
      <c r="E42" s="891">
        <v>72.239999999999995</v>
      </c>
      <c r="F42" s="891">
        <v>14.9</v>
      </c>
      <c r="G42" s="891">
        <v>44.72</v>
      </c>
      <c r="H42" s="891">
        <v>64.47</v>
      </c>
      <c r="I42" s="891">
        <v>55.98</v>
      </c>
      <c r="J42" s="891">
        <v>51.58</v>
      </c>
      <c r="K42" s="891"/>
      <c r="L42" s="891" t="s">
        <v>39</v>
      </c>
      <c r="M42" s="891" t="s">
        <v>815</v>
      </c>
      <c r="N42" s="891" t="s">
        <v>563</v>
      </c>
      <c r="O42" s="891"/>
      <c r="P42" s="891"/>
    </row>
    <row r="43" spans="1:16">
      <c r="A43" s="891"/>
      <c r="B43" s="891"/>
      <c r="C43" s="891"/>
      <c r="D43" s="891" t="s">
        <v>571</v>
      </c>
      <c r="E43" s="891">
        <v>72.17</v>
      </c>
      <c r="F43" s="891">
        <v>15.73</v>
      </c>
      <c r="G43" s="891">
        <v>45.08</v>
      </c>
      <c r="H43" s="891">
        <v>74.47</v>
      </c>
      <c r="I43" s="891">
        <v>36.51</v>
      </c>
      <c r="J43" s="891">
        <v>114.63</v>
      </c>
      <c r="K43" s="891"/>
      <c r="L43" s="891" t="s">
        <v>6</v>
      </c>
      <c r="M43" s="891" t="s">
        <v>816</v>
      </c>
      <c r="N43" s="891" t="s">
        <v>577</v>
      </c>
      <c r="O43" s="891"/>
      <c r="P43" s="891"/>
    </row>
    <row r="44" spans="1:16">
      <c r="A44" s="891"/>
      <c r="B44" s="891"/>
      <c r="C44" s="891"/>
      <c r="D44" s="891" t="s">
        <v>570</v>
      </c>
      <c r="E44" s="891">
        <v>70.75</v>
      </c>
      <c r="F44" s="891">
        <v>16.8</v>
      </c>
      <c r="G44" s="891">
        <v>44.86</v>
      </c>
      <c r="H44" s="891">
        <v>60.94</v>
      </c>
      <c r="I44" s="891">
        <v>53.36</v>
      </c>
      <c r="J44" s="891">
        <v>53.09</v>
      </c>
      <c r="K44" s="891"/>
      <c r="L44" s="891" t="s">
        <v>155</v>
      </c>
      <c r="M44" s="891" t="s">
        <v>817</v>
      </c>
      <c r="N44" s="891" t="s">
        <v>566</v>
      </c>
      <c r="O44" s="891"/>
      <c r="P44" s="891"/>
    </row>
    <row r="45" spans="1:16">
      <c r="A45" s="891"/>
      <c r="B45" s="891"/>
      <c r="C45" s="891"/>
      <c r="D45" s="891" t="s">
        <v>563</v>
      </c>
      <c r="E45" s="891">
        <v>70.44</v>
      </c>
      <c r="F45" s="891">
        <v>20.12</v>
      </c>
      <c r="G45" s="891">
        <v>46.29</v>
      </c>
      <c r="H45" s="891">
        <v>64.52</v>
      </c>
      <c r="I45" s="891">
        <v>65.430000000000007</v>
      </c>
      <c r="J45" s="891">
        <v>50.24</v>
      </c>
      <c r="K45" s="891"/>
      <c r="L45" s="891" t="s">
        <v>9</v>
      </c>
      <c r="M45" s="891" t="s">
        <v>818</v>
      </c>
      <c r="N45" s="891" t="s">
        <v>578</v>
      </c>
      <c r="O45" s="891"/>
      <c r="P45" s="891"/>
    </row>
    <row r="46" spans="1:16">
      <c r="A46" s="891"/>
      <c r="B46" s="891"/>
      <c r="C46" s="891"/>
      <c r="D46" s="891" t="s">
        <v>557</v>
      </c>
      <c r="E46" s="891">
        <v>70</v>
      </c>
      <c r="F46" s="891">
        <v>22.79</v>
      </c>
      <c r="G46" s="891">
        <v>47.34</v>
      </c>
      <c r="H46" s="891">
        <v>53.97</v>
      </c>
      <c r="I46" s="891">
        <v>51.81</v>
      </c>
      <c r="J46" s="891">
        <v>41.26</v>
      </c>
      <c r="K46" s="891"/>
      <c r="L46" s="891" t="s">
        <v>387</v>
      </c>
      <c r="M46" s="891" t="s">
        <v>819</v>
      </c>
      <c r="N46" s="891" t="s">
        <v>560</v>
      </c>
      <c r="O46" s="891"/>
      <c r="P46" s="891"/>
    </row>
    <row r="47" spans="1:16">
      <c r="A47" s="891"/>
      <c r="B47" s="891"/>
      <c r="C47" s="891"/>
      <c r="D47" s="891" t="s">
        <v>572</v>
      </c>
      <c r="E47" s="891">
        <v>69.69</v>
      </c>
      <c r="F47" s="891">
        <v>29.38</v>
      </c>
      <c r="G47" s="891">
        <v>50.34</v>
      </c>
      <c r="H47" s="891">
        <v>56.88</v>
      </c>
      <c r="I47" s="891">
        <v>73.64</v>
      </c>
      <c r="J47" s="891">
        <v>42.96</v>
      </c>
      <c r="K47" s="891"/>
      <c r="L47" s="891" t="s">
        <v>397</v>
      </c>
      <c r="M47" s="891" t="s">
        <v>820</v>
      </c>
      <c r="N47" s="891" t="s">
        <v>560</v>
      </c>
      <c r="O47" s="891"/>
      <c r="P47" s="891"/>
    </row>
    <row r="48" spans="1:16">
      <c r="A48" s="891"/>
      <c r="B48" s="891"/>
      <c r="C48" s="891"/>
      <c r="D48" s="891" t="s">
        <v>573</v>
      </c>
      <c r="E48" s="891">
        <v>68.38</v>
      </c>
      <c r="F48" s="891">
        <v>21.3</v>
      </c>
      <c r="G48" s="891">
        <v>45.79</v>
      </c>
      <c r="H48" s="891">
        <v>58.15</v>
      </c>
      <c r="I48" s="891">
        <v>56.28</v>
      </c>
      <c r="J48" s="891">
        <v>56.43</v>
      </c>
      <c r="K48" s="891"/>
      <c r="L48" s="891" t="s">
        <v>330</v>
      </c>
      <c r="M48" s="891" t="s">
        <v>821</v>
      </c>
      <c r="N48" s="891" t="s">
        <v>629</v>
      </c>
      <c r="O48" s="891"/>
      <c r="P48" s="891"/>
    </row>
    <row r="49" spans="1:16">
      <c r="A49" s="891"/>
      <c r="B49" s="891"/>
      <c r="C49" s="891"/>
      <c r="D49" s="891" t="s">
        <v>627</v>
      </c>
      <c r="E49" s="891">
        <v>67.959999999999994</v>
      </c>
      <c r="F49" s="891">
        <v>15.26</v>
      </c>
      <c r="G49" s="891">
        <v>42.67</v>
      </c>
      <c r="H49" s="891">
        <v>55.36</v>
      </c>
      <c r="I49" s="891">
        <v>58.45</v>
      </c>
      <c r="J49" s="891">
        <v>41.34</v>
      </c>
      <c r="K49" s="891"/>
      <c r="L49" s="891" t="s">
        <v>74</v>
      </c>
      <c r="M49" s="891" t="s">
        <v>822</v>
      </c>
      <c r="N49" s="891" t="s">
        <v>591</v>
      </c>
      <c r="O49" s="891"/>
      <c r="P49" s="891"/>
    </row>
    <row r="50" spans="1:16">
      <c r="A50" s="891"/>
      <c r="B50" s="891"/>
      <c r="C50" s="891"/>
      <c r="D50" s="891" t="s">
        <v>601</v>
      </c>
      <c r="E50" s="891">
        <v>67.83</v>
      </c>
      <c r="F50" s="891">
        <v>20.52</v>
      </c>
      <c r="G50" s="891">
        <v>45.12</v>
      </c>
      <c r="H50" s="891">
        <v>79.959999999999994</v>
      </c>
      <c r="I50" s="891">
        <v>31.75</v>
      </c>
      <c r="J50" s="891">
        <v>73.02</v>
      </c>
      <c r="K50" s="891"/>
      <c r="L50" s="891" t="s">
        <v>286</v>
      </c>
      <c r="M50" s="891" t="s">
        <v>823</v>
      </c>
      <c r="N50" s="891" t="s">
        <v>625</v>
      </c>
      <c r="O50" s="891"/>
      <c r="P50" s="891"/>
    </row>
    <row r="51" spans="1:16">
      <c r="A51" s="891"/>
      <c r="B51" s="891"/>
      <c r="C51" s="891"/>
      <c r="D51" s="891" t="s">
        <v>567</v>
      </c>
      <c r="E51" s="891">
        <v>66.62</v>
      </c>
      <c r="F51" s="891">
        <v>20.87</v>
      </c>
      <c r="G51" s="891">
        <v>44.66</v>
      </c>
      <c r="H51" s="891">
        <v>71.790000000000006</v>
      </c>
      <c r="I51" s="891">
        <v>54.7</v>
      </c>
      <c r="J51" s="891">
        <v>45.59</v>
      </c>
      <c r="K51" s="891"/>
      <c r="L51" s="891" t="s">
        <v>98</v>
      </c>
      <c r="M51" s="891" t="s">
        <v>824</v>
      </c>
      <c r="N51" s="891" t="s">
        <v>563</v>
      </c>
      <c r="O51" s="891"/>
      <c r="P51" s="891"/>
    </row>
    <row r="52" spans="1:16">
      <c r="A52" s="891"/>
      <c r="B52" s="891"/>
      <c r="C52" s="891"/>
      <c r="D52" s="891" t="s">
        <v>604</v>
      </c>
      <c r="E52" s="891">
        <v>66.17</v>
      </c>
      <c r="F52" s="891">
        <v>15.44</v>
      </c>
      <c r="G52" s="891">
        <v>41.82</v>
      </c>
      <c r="H52" s="891">
        <v>66.12</v>
      </c>
      <c r="I52" s="891">
        <v>41.54</v>
      </c>
      <c r="J52" s="891">
        <v>27.99</v>
      </c>
      <c r="K52" s="891"/>
      <c r="L52" s="891" t="s">
        <v>93</v>
      </c>
      <c r="M52" s="891" t="s">
        <v>825</v>
      </c>
      <c r="N52" s="891" t="s">
        <v>569</v>
      </c>
      <c r="O52" s="891"/>
      <c r="P52" s="891"/>
    </row>
    <row r="53" spans="1:16">
      <c r="A53" s="891"/>
      <c r="B53" s="891"/>
      <c r="C53" s="891"/>
      <c r="D53" s="891" t="s">
        <v>620</v>
      </c>
      <c r="E53" s="891">
        <v>65.72</v>
      </c>
      <c r="F53" s="891">
        <v>24.46</v>
      </c>
      <c r="G53" s="891">
        <v>45.92</v>
      </c>
      <c r="H53" s="891">
        <v>56.16</v>
      </c>
      <c r="I53" s="891">
        <v>44.54</v>
      </c>
      <c r="J53" s="891">
        <v>53.78</v>
      </c>
      <c r="K53" s="891"/>
      <c r="L53" s="891" t="s">
        <v>110</v>
      </c>
      <c r="M53" s="891" t="s">
        <v>826</v>
      </c>
      <c r="N53" s="891" t="s">
        <v>554</v>
      </c>
      <c r="O53" s="891"/>
      <c r="P53" s="891"/>
    </row>
    <row r="54" spans="1:16">
      <c r="A54" s="891"/>
      <c r="B54" s="891"/>
      <c r="C54" s="891"/>
      <c r="D54" s="891" t="s">
        <v>580</v>
      </c>
      <c r="E54" s="891">
        <v>65.55</v>
      </c>
      <c r="F54" s="891">
        <v>15.63</v>
      </c>
      <c r="G54" s="891">
        <v>41.59</v>
      </c>
      <c r="H54" s="891">
        <v>56.78</v>
      </c>
      <c r="I54" s="891">
        <v>56.37</v>
      </c>
      <c r="J54" s="891">
        <v>36.18</v>
      </c>
      <c r="K54" s="891"/>
      <c r="L54" s="891" t="s">
        <v>237</v>
      </c>
      <c r="M54" s="891" t="s">
        <v>827</v>
      </c>
      <c r="N54" s="891" t="s">
        <v>606</v>
      </c>
      <c r="O54" s="891"/>
      <c r="P54" s="891"/>
    </row>
    <row r="55" spans="1:16">
      <c r="A55" s="891"/>
      <c r="B55" s="891"/>
      <c r="C55" s="891"/>
      <c r="D55" s="891" t="s">
        <v>650</v>
      </c>
      <c r="E55" s="891">
        <v>65.16</v>
      </c>
      <c r="F55" s="891">
        <v>26.56</v>
      </c>
      <c r="G55" s="891">
        <v>46.64</v>
      </c>
      <c r="H55" s="891">
        <v>51.34</v>
      </c>
      <c r="I55" s="891">
        <v>67.36</v>
      </c>
      <c r="J55" s="891">
        <v>32.21</v>
      </c>
      <c r="K55" s="891"/>
      <c r="L55" s="891" t="s">
        <v>233</v>
      </c>
      <c r="M55" s="891" t="s">
        <v>828</v>
      </c>
      <c r="N55" s="891" t="s">
        <v>611</v>
      </c>
      <c r="O55" s="891"/>
      <c r="P55" s="891"/>
    </row>
    <row r="56" spans="1:16">
      <c r="A56" s="891"/>
      <c r="B56" s="891"/>
      <c r="C56" s="891"/>
      <c r="D56" s="891" t="s">
        <v>576</v>
      </c>
      <c r="E56" s="891">
        <v>64.39</v>
      </c>
      <c r="F56" s="891">
        <v>16.16</v>
      </c>
      <c r="G56" s="891">
        <v>41.24</v>
      </c>
      <c r="H56" s="891">
        <v>50.04</v>
      </c>
      <c r="I56" s="891">
        <v>46.33</v>
      </c>
      <c r="J56" s="891">
        <v>56.44</v>
      </c>
      <c r="K56" s="891"/>
      <c r="L56" s="891" t="s">
        <v>318</v>
      </c>
      <c r="M56" s="891" t="s">
        <v>829</v>
      </c>
      <c r="N56" s="891" t="s">
        <v>638</v>
      </c>
      <c r="O56" s="891"/>
      <c r="P56" s="891"/>
    </row>
    <row r="57" spans="1:16">
      <c r="A57" s="891"/>
      <c r="B57" s="891"/>
      <c r="C57" s="891"/>
      <c r="D57" s="891" t="s">
        <v>595</v>
      </c>
      <c r="E57" s="891">
        <v>63.9</v>
      </c>
      <c r="F57" s="891">
        <v>12.6</v>
      </c>
      <c r="G57" s="891">
        <v>39.28</v>
      </c>
      <c r="H57" s="891">
        <v>50.87</v>
      </c>
      <c r="I57" s="891">
        <v>47.33</v>
      </c>
      <c r="J57" s="891">
        <v>42.97</v>
      </c>
      <c r="K57" s="891"/>
      <c r="L57" s="891" t="s">
        <v>232</v>
      </c>
      <c r="M57" s="891" t="s">
        <v>830</v>
      </c>
      <c r="N57" s="891" t="s">
        <v>616</v>
      </c>
      <c r="O57" s="891"/>
      <c r="P57" s="891"/>
    </row>
    <row r="58" spans="1:16">
      <c r="A58" s="891"/>
      <c r="B58" s="891"/>
      <c r="C58" s="891"/>
      <c r="D58" s="891" t="s">
        <v>632</v>
      </c>
      <c r="E58" s="891">
        <v>63.35</v>
      </c>
      <c r="F58" s="891">
        <v>21.04</v>
      </c>
      <c r="G58" s="891">
        <v>43.04</v>
      </c>
      <c r="H58" s="891">
        <v>54.69</v>
      </c>
      <c r="I58" s="891">
        <v>40.61</v>
      </c>
      <c r="J58" s="891">
        <v>60.65</v>
      </c>
      <c r="K58" s="891"/>
      <c r="L58" s="891" t="s">
        <v>22</v>
      </c>
      <c r="M58" s="891" t="s">
        <v>831</v>
      </c>
      <c r="N58" s="891" t="s">
        <v>579</v>
      </c>
      <c r="O58" s="891"/>
      <c r="P58" s="891"/>
    </row>
    <row r="59" spans="1:16">
      <c r="A59" s="891"/>
      <c r="B59" s="891"/>
      <c r="C59" s="891"/>
      <c r="D59" s="891" t="s">
        <v>558</v>
      </c>
      <c r="E59" s="891">
        <v>63.33</v>
      </c>
      <c r="F59" s="891">
        <v>16.18</v>
      </c>
      <c r="G59" s="891">
        <v>40.700000000000003</v>
      </c>
      <c r="H59" s="891">
        <v>55.36</v>
      </c>
      <c r="I59" s="891">
        <v>41.98</v>
      </c>
      <c r="J59" s="891">
        <v>42.24</v>
      </c>
      <c r="K59" s="891"/>
      <c r="L59" s="891" t="s">
        <v>38</v>
      </c>
      <c r="M59" s="891" t="s">
        <v>832</v>
      </c>
      <c r="N59" s="891" t="s">
        <v>591</v>
      </c>
      <c r="O59" s="891"/>
      <c r="P59" s="891"/>
    </row>
    <row r="60" spans="1:16">
      <c r="A60" s="891"/>
      <c r="B60" s="891"/>
      <c r="C60" s="891"/>
      <c r="D60" s="891" t="s">
        <v>648</v>
      </c>
      <c r="E60" s="891">
        <v>63.18</v>
      </c>
      <c r="F60" s="891">
        <v>15.2</v>
      </c>
      <c r="G60" s="891">
        <v>40.15</v>
      </c>
      <c r="H60" s="891">
        <v>56.02</v>
      </c>
      <c r="I60" s="891">
        <v>55.2</v>
      </c>
      <c r="J60" s="891">
        <v>43.94</v>
      </c>
      <c r="K60" s="891"/>
      <c r="L60" s="891" t="s">
        <v>254</v>
      </c>
      <c r="M60" s="891" t="s">
        <v>833</v>
      </c>
      <c r="N60" s="891" t="s">
        <v>619</v>
      </c>
      <c r="O60" s="891"/>
      <c r="P60" s="891"/>
    </row>
    <row r="61" spans="1:16">
      <c r="A61" s="891"/>
      <c r="B61" s="891"/>
      <c r="C61" s="891"/>
      <c r="D61" s="891" t="s">
        <v>621</v>
      </c>
      <c r="E61" s="891">
        <v>61.75</v>
      </c>
      <c r="F61" s="891">
        <v>25.82</v>
      </c>
      <c r="G61" s="891">
        <v>44.51</v>
      </c>
      <c r="H61" s="891">
        <v>66.430000000000007</v>
      </c>
      <c r="I61" s="891">
        <v>36.53</v>
      </c>
      <c r="J61" s="891">
        <v>37.270000000000003</v>
      </c>
      <c r="K61" s="891"/>
      <c r="L61" s="891" t="s">
        <v>54</v>
      </c>
      <c r="M61" s="891" t="s">
        <v>834</v>
      </c>
      <c r="N61" s="891" t="s">
        <v>587</v>
      </c>
      <c r="O61" s="891"/>
      <c r="P61" s="891"/>
    </row>
    <row r="62" spans="1:16">
      <c r="A62" s="891"/>
      <c r="B62" s="891"/>
      <c r="C62" s="891"/>
      <c r="D62" s="891" t="s">
        <v>633</v>
      </c>
      <c r="E62" s="891">
        <v>61.6</v>
      </c>
      <c r="F62" s="891">
        <v>30.56</v>
      </c>
      <c r="G62" s="891">
        <v>46.7</v>
      </c>
      <c r="H62" s="891">
        <v>55.8</v>
      </c>
      <c r="I62" s="891">
        <v>48.42</v>
      </c>
      <c r="J62" s="891">
        <v>44.27</v>
      </c>
      <c r="K62" s="891"/>
      <c r="L62" s="891" t="s">
        <v>302</v>
      </c>
      <c r="M62" s="891" t="s">
        <v>835</v>
      </c>
      <c r="N62" s="891" t="s">
        <v>638</v>
      </c>
      <c r="O62" s="891"/>
      <c r="P62" s="891"/>
    </row>
    <row r="63" spans="1:16">
      <c r="A63" s="891"/>
      <c r="B63" s="891"/>
      <c r="C63" s="891"/>
      <c r="D63" s="891" t="s">
        <v>655</v>
      </c>
      <c r="E63" s="891">
        <v>60.2</v>
      </c>
      <c r="F63" s="891">
        <v>21.39</v>
      </c>
      <c r="G63" s="891">
        <v>41.57</v>
      </c>
      <c r="H63" s="891">
        <v>52.86</v>
      </c>
      <c r="I63" s="891">
        <v>49.76</v>
      </c>
      <c r="J63" s="891">
        <v>105.33</v>
      </c>
      <c r="K63" s="891"/>
      <c r="L63" s="891" t="s">
        <v>261</v>
      </c>
      <c r="M63" s="891" t="s">
        <v>836</v>
      </c>
      <c r="N63" s="891" t="s">
        <v>618</v>
      </c>
      <c r="O63" s="891"/>
      <c r="P63" s="891"/>
    </row>
    <row r="64" spans="1:16">
      <c r="A64" s="891"/>
      <c r="B64" s="891"/>
      <c r="C64" s="891"/>
      <c r="D64" s="891" t="s">
        <v>590</v>
      </c>
      <c r="E64" s="891">
        <v>59.86</v>
      </c>
      <c r="F64" s="891">
        <v>24.26</v>
      </c>
      <c r="G64" s="891">
        <v>42.77</v>
      </c>
      <c r="H64" s="891">
        <v>62.51</v>
      </c>
      <c r="I64" s="891">
        <v>26.1</v>
      </c>
      <c r="J64" s="891">
        <v>11.48</v>
      </c>
      <c r="K64" s="891"/>
      <c r="L64" s="891" t="s">
        <v>214</v>
      </c>
      <c r="M64" s="891" t="s">
        <v>837</v>
      </c>
      <c r="N64" s="891" t="s">
        <v>610</v>
      </c>
      <c r="O64" s="891"/>
      <c r="P64" s="891"/>
    </row>
    <row r="65" spans="1:16">
      <c r="A65" s="891"/>
      <c r="B65" s="891"/>
      <c r="C65" s="891"/>
      <c r="D65" s="891" t="s">
        <v>583</v>
      </c>
      <c r="E65" s="891">
        <v>58.44</v>
      </c>
      <c r="F65" s="891">
        <v>14.01</v>
      </c>
      <c r="G65" s="891">
        <v>37.119999999999997</v>
      </c>
      <c r="H65" s="891">
        <v>52.83</v>
      </c>
      <c r="I65" s="891">
        <v>38.31</v>
      </c>
      <c r="J65" s="891">
        <v>29.71</v>
      </c>
      <c r="K65" s="891"/>
      <c r="L65" s="891" t="s">
        <v>167</v>
      </c>
      <c r="M65" s="891" t="s">
        <v>838</v>
      </c>
      <c r="N65" s="891" t="s">
        <v>554</v>
      </c>
      <c r="O65" s="891"/>
      <c r="P65" s="891"/>
    </row>
    <row r="66" spans="1:16">
      <c r="A66" s="891"/>
      <c r="B66" s="891"/>
      <c r="C66" s="891"/>
      <c r="D66" s="891" t="s">
        <v>594</v>
      </c>
      <c r="E66" s="891">
        <v>57.16</v>
      </c>
      <c r="F66" s="891">
        <v>18.04</v>
      </c>
      <c r="G66" s="891">
        <v>38.39</v>
      </c>
      <c r="H66" s="891">
        <v>50.89</v>
      </c>
      <c r="I66" s="891">
        <v>46.23</v>
      </c>
      <c r="J66" s="891">
        <v>33.659999999999997</v>
      </c>
      <c r="K66" s="891"/>
      <c r="L66" s="891" t="s">
        <v>119</v>
      </c>
      <c r="M66" s="891" t="s">
        <v>839</v>
      </c>
      <c r="N66" s="891" t="s">
        <v>602</v>
      </c>
      <c r="O66" s="891"/>
      <c r="P66" s="891"/>
    </row>
    <row r="67" spans="1:16">
      <c r="A67" s="891"/>
      <c r="B67" s="891"/>
      <c r="C67" s="891"/>
      <c r="D67" s="891" t="s">
        <v>577</v>
      </c>
      <c r="E67" s="891">
        <v>57.04</v>
      </c>
      <c r="F67" s="891">
        <v>24.3</v>
      </c>
      <c r="G67" s="891">
        <v>41.33</v>
      </c>
      <c r="H67" s="891">
        <v>59.28</v>
      </c>
      <c r="I67" s="891">
        <v>42.76</v>
      </c>
      <c r="J67" s="891">
        <v>37.51</v>
      </c>
      <c r="K67" s="891"/>
      <c r="L67" s="891" t="s">
        <v>315</v>
      </c>
      <c r="M67" s="891" t="s">
        <v>840</v>
      </c>
      <c r="N67" s="891" t="s">
        <v>629</v>
      </c>
      <c r="O67" s="891"/>
      <c r="P67" s="891"/>
    </row>
    <row r="68" spans="1:16">
      <c r="A68" s="891"/>
      <c r="B68" s="891"/>
      <c r="C68" s="891"/>
      <c r="D68" s="891" t="s">
        <v>631</v>
      </c>
      <c r="E68" s="891">
        <v>56.99</v>
      </c>
      <c r="F68" s="891">
        <v>17.190000000000001</v>
      </c>
      <c r="G68" s="891">
        <v>37.89</v>
      </c>
      <c r="H68" s="891">
        <v>60.96</v>
      </c>
      <c r="I68" s="891">
        <v>33.82</v>
      </c>
      <c r="J68" s="891">
        <v>38.93</v>
      </c>
      <c r="K68" s="891"/>
      <c r="L68" s="891" t="s">
        <v>50</v>
      </c>
      <c r="M68" s="891" t="s">
        <v>841</v>
      </c>
      <c r="N68" s="891" t="s">
        <v>579</v>
      </c>
      <c r="O68" s="891"/>
      <c r="P68" s="891"/>
    </row>
    <row r="69" spans="1:16">
      <c r="A69" s="891"/>
      <c r="B69" s="891"/>
      <c r="C69" s="891"/>
      <c r="D69" s="891" t="s">
        <v>656</v>
      </c>
      <c r="E69" s="891">
        <v>55.84</v>
      </c>
      <c r="F69" s="891">
        <v>9.18</v>
      </c>
      <c r="G69" s="891">
        <v>33.44</v>
      </c>
      <c r="H69" s="891">
        <v>64.349999999999994</v>
      </c>
      <c r="I69" s="891">
        <v>24.45</v>
      </c>
      <c r="J69" s="891">
        <v>15.45</v>
      </c>
      <c r="K69" s="891"/>
      <c r="L69" s="891" t="s">
        <v>367</v>
      </c>
      <c r="M69" s="891" t="s">
        <v>842</v>
      </c>
      <c r="N69" s="891" t="s">
        <v>652</v>
      </c>
      <c r="O69" s="891"/>
      <c r="P69" s="891"/>
    </row>
    <row r="70" spans="1:16">
      <c r="A70" s="891"/>
      <c r="B70" s="891"/>
      <c r="C70" s="891"/>
      <c r="D70" s="891" t="s">
        <v>636</v>
      </c>
      <c r="E70" s="891">
        <v>55.64</v>
      </c>
      <c r="F70" s="891">
        <v>20.2</v>
      </c>
      <c r="G70" s="891">
        <v>38.630000000000003</v>
      </c>
      <c r="H70" s="891">
        <v>46.58</v>
      </c>
      <c r="I70" s="891">
        <v>43.08</v>
      </c>
      <c r="J70" s="891">
        <v>54.72</v>
      </c>
      <c r="K70" s="891"/>
      <c r="L70" s="891" t="s">
        <v>58</v>
      </c>
      <c r="M70" s="891" t="s">
        <v>843</v>
      </c>
      <c r="N70" s="891" t="s">
        <v>559</v>
      </c>
      <c r="O70" s="891"/>
      <c r="P70" s="891"/>
    </row>
    <row r="71" spans="1:16">
      <c r="A71" s="891"/>
      <c r="B71" s="891"/>
      <c r="C71" s="891"/>
      <c r="D71" s="891" t="s">
        <v>643</v>
      </c>
      <c r="E71" s="891">
        <v>54.88</v>
      </c>
      <c r="F71" s="891">
        <v>13.91</v>
      </c>
      <c r="G71" s="891">
        <v>35.22</v>
      </c>
      <c r="H71" s="891">
        <v>59.2</v>
      </c>
      <c r="I71" s="891">
        <v>24.94</v>
      </c>
      <c r="J71" s="891">
        <v>66.03</v>
      </c>
      <c r="K71" s="891"/>
      <c r="L71" s="891" t="s">
        <v>45</v>
      </c>
      <c r="M71" s="891" t="s">
        <v>844</v>
      </c>
      <c r="N71" s="891" t="s">
        <v>591</v>
      </c>
      <c r="O71" s="891"/>
      <c r="P71" s="891"/>
    </row>
    <row r="72" spans="1:16">
      <c r="A72" s="891"/>
      <c r="B72" s="891"/>
      <c r="C72" s="891"/>
      <c r="D72" s="891" t="s">
        <v>646</v>
      </c>
      <c r="E72" s="891">
        <v>54.82</v>
      </c>
      <c r="F72" s="891">
        <v>15.25</v>
      </c>
      <c r="G72" s="891">
        <v>35.83</v>
      </c>
      <c r="H72" s="891">
        <v>51.46</v>
      </c>
      <c r="I72" s="891">
        <v>27.37</v>
      </c>
      <c r="J72" s="891">
        <v>69.64</v>
      </c>
      <c r="K72" s="891"/>
      <c r="L72" s="891" t="s">
        <v>240</v>
      </c>
      <c r="M72" s="891" t="s">
        <v>845</v>
      </c>
      <c r="N72" s="891" t="s">
        <v>611</v>
      </c>
      <c r="O72" s="891"/>
      <c r="P72" s="891"/>
    </row>
    <row r="73" spans="1:16">
      <c r="A73" s="891"/>
      <c r="B73" s="891"/>
      <c r="C73" s="891"/>
      <c r="D73" s="891" t="s">
        <v>629</v>
      </c>
      <c r="E73" s="891">
        <v>54.56</v>
      </c>
      <c r="F73" s="891">
        <v>27.5</v>
      </c>
      <c r="G73" s="891">
        <v>41.57</v>
      </c>
      <c r="H73" s="891">
        <v>51.37</v>
      </c>
      <c r="I73" s="891">
        <v>39.81</v>
      </c>
      <c r="J73" s="891">
        <v>129.19999999999999</v>
      </c>
      <c r="K73" s="891"/>
      <c r="L73" s="891" t="s">
        <v>29</v>
      </c>
      <c r="M73" s="891" t="s">
        <v>846</v>
      </c>
      <c r="N73" s="891" t="s">
        <v>579</v>
      </c>
      <c r="O73" s="891"/>
      <c r="P73" s="891"/>
    </row>
    <row r="74" spans="1:16">
      <c r="A74" s="891"/>
      <c r="B74" s="891"/>
      <c r="C74" s="891"/>
      <c r="D74" s="891" t="s">
        <v>606</v>
      </c>
      <c r="E74" s="891">
        <v>54.48</v>
      </c>
      <c r="F74" s="891">
        <v>23.36</v>
      </c>
      <c r="G74" s="891">
        <v>39.54</v>
      </c>
      <c r="H74" s="891">
        <v>43.46</v>
      </c>
      <c r="I74" s="891">
        <v>53.48</v>
      </c>
      <c r="J74" s="891">
        <v>46.08</v>
      </c>
      <c r="K74" s="891"/>
      <c r="L74" s="891" t="s">
        <v>321</v>
      </c>
      <c r="M74" s="891" t="s">
        <v>847</v>
      </c>
      <c r="N74" s="891" t="s">
        <v>623</v>
      </c>
      <c r="O74" s="891"/>
      <c r="P74" s="891"/>
    </row>
    <row r="75" spans="1:16">
      <c r="A75" s="891"/>
      <c r="B75" s="891"/>
      <c r="C75" s="891"/>
      <c r="D75" s="891" t="s">
        <v>597</v>
      </c>
      <c r="E75" s="891">
        <v>54.04</v>
      </c>
      <c r="F75" s="891">
        <v>16.7</v>
      </c>
      <c r="G75" s="891">
        <v>36.119999999999997</v>
      </c>
      <c r="H75" s="891">
        <v>44.71</v>
      </c>
      <c r="I75" s="891">
        <v>42.31</v>
      </c>
      <c r="J75" s="891">
        <v>26.38</v>
      </c>
      <c r="K75" s="891"/>
      <c r="L75" s="891" t="s">
        <v>19</v>
      </c>
      <c r="M75" s="891" t="s">
        <v>848</v>
      </c>
      <c r="N75" s="891" t="s">
        <v>586</v>
      </c>
      <c r="O75" s="891"/>
      <c r="P75" s="891"/>
    </row>
    <row r="76" spans="1:16">
      <c r="A76" s="891"/>
      <c r="B76" s="891"/>
      <c r="C76" s="891"/>
      <c r="D76" s="891" t="s">
        <v>598</v>
      </c>
      <c r="E76" s="891">
        <v>53.8</v>
      </c>
      <c r="F76" s="891">
        <v>17.09</v>
      </c>
      <c r="G76" s="891">
        <v>36.18</v>
      </c>
      <c r="H76" s="891">
        <v>45.54</v>
      </c>
      <c r="I76" s="891">
        <v>47.48</v>
      </c>
      <c r="J76" s="891">
        <v>28.56</v>
      </c>
      <c r="K76" s="891"/>
      <c r="L76" s="891" t="s">
        <v>118</v>
      </c>
      <c r="M76" s="891" t="s">
        <v>849</v>
      </c>
      <c r="N76" s="891" t="s">
        <v>591</v>
      </c>
      <c r="O76" s="891"/>
      <c r="P76" s="891"/>
    </row>
    <row r="77" spans="1:16">
      <c r="A77" s="891"/>
      <c r="B77" s="891"/>
      <c r="C77" s="891"/>
      <c r="D77" s="891" t="s">
        <v>638</v>
      </c>
      <c r="E77" s="891">
        <v>53.59</v>
      </c>
      <c r="F77" s="891">
        <v>11.96</v>
      </c>
      <c r="G77" s="891">
        <v>33.61</v>
      </c>
      <c r="H77" s="891">
        <v>43.53</v>
      </c>
      <c r="I77" s="891">
        <v>42.78</v>
      </c>
      <c r="J77" s="891">
        <v>36.58</v>
      </c>
      <c r="K77" s="891"/>
      <c r="L77" s="891" t="s">
        <v>350</v>
      </c>
      <c r="M77" s="891" t="s">
        <v>850</v>
      </c>
      <c r="N77" s="891" t="s">
        <v>646</v>
      </c>
      <c r="O77" s="891"/>
      <c r="P77" s="891"/>
    </row>
    <row r="78" spans="1:16">
      <c r="A78" s="891"/>
      <c r="B78" s="891"/>
      <c r="C78" s="891"/>
      <c r="D78" s="891" t="s">
        <v>556</v>
      </c>
      <c r="E78" s="891">
        <v>53.56</v>
      </c>
      <c r="F78" s="891">
        <v>13.29</v>
      </c>
      <c r="G78" s="891">
        <v>34.229999999999997</v>
      </c>
      <c r="H78" s="891">
        <v>52.48</v>
      </c>
      <c r="I78" s="891">
        <v>37.4</v>
      </c>
      <c r="J78" s="891">
        <v>59.77</v>
      </c>
      <c r="K78" s="891"/>
      <c r="L78" s="891" t="s">
        <v>389</v>
      </c>
      <c r="M78" s="891" t="s">
        <v>851</v>
      </c>
      <c r="N78" s="891" t="s">
        <v>560</v>
      </c>
      <c r="O78" s="891"/>
      <c r="P78" s="891"/>
    </row>
    <row r="79" spans="1:16">
      <c r="A79" s="891"/>
      <c r="B79" s="891"/>
      <c r="C79" s="891"/>
      <c r="D79" s="891" t="s">
        <v>608</v>
      </c>
      <c r="E79" s="891">
        <v>53.4</v>
      </c>
      <c r="F79" s="891">
        <v>8.65</v>
      </c>
      <c r="G79" s="891">
        <v>31.92</v>
      </c>
      <c r="H79" s="891">
        <v>47.43</v>
      </c>
      <c r="I79" s="891">
        <v>38.07</v>
      </c>
      <c r="J79" s="891">
        <v>46.42</v>
      </c>
      <c r="K79" s="891"/>
      <c r="L79" s="891" t="s">
        <v>388</v>
      </c>
      <c r="M79" s="891" t="s">
        <v>852</v>
      </c>
      <c r="N79" s="891" t="s">
        <v>560</v>
      </c>
      <c r="O79" s="891"/>
      <c r="P79" s="891"/>
    </row>
    <row r="80" spans="1:16">
      <c r="A80" s="891"/>
      <c r="B80" s="891"/>
      <c r="C80" s="891"/>
      <c r="D80" s="891" t="s">
        <v>634</v>
      </c>
      <c r="E80" s="891">
        <v>53.38</v>
      </c>
      <c r="F80" s="891">
        <v>28.26</v>
      </c>
      <c r="G80" s="891">
        <v>41.32</v>
      </c>
      <c r="H80" s="891">
        <v>58.83</v>
      </c>
      <c r="I80" s="891">
        <v>36.26</v>
      </c>
      <c r="J80" s="891">
        <v>37.520000000000003</v>
      </c>
      <c r="K80" s="891"/>
      <c r="L80" s="891" t="s">
        <v>363</v>
      </c>
      <c r="M80" s="891" t="s">
        <v>853</v>
      </c>
      <c r="N80" s="891" t="s">
        <v>639</v>
      </c>
      <c r="O80" s="891"/>
      <c r="P80" s="891"/>
    </row>
    <row r="81" spans="1:16">
      <c r="A81" s="891"/>
      <c r="B81" s="891"/>
      <c r="C81" s="891"/>
      <c r="D81" s="891" t="s">
        <v>589</v>
      </c>
      <c r="E81" s="891">
        <v>52.68</v>
      </c>
      <c r="F81" s="891">
        <v>12.39</v>
      </c>
      <c r="G81" s="891">
        <v>33.35</v>
      </c>
      <c r="H81" s="891">
        <v>46.89</v>
      </c>
      <c r="I81" s="891">
        <v>38.82</v>
      </c>
      <c r="J81" s="891">
        <v>37.71</v>
      </c>
      <c r="K81" s="891"/>
      <c r="L81" s="891" t="s">
        <v>165</v>
      </c>
      <c r="M81" s="891" t="s">
        <v>854</v>
      </c>
      <c r="N81" s="891" t="s">
        <v>554</v>
      </c>
      <c r="O81" s="891"/>
      <c r="P81" s="891"/>
    </row>
    <row r="82" spans="1:16">
      <c r="A82" s="891"/>
      <c r="B82" s="891"/>
      <c r="C82" s="891"/>
      <c r="D82" s="891" t="s">
        <v>616</v>
      </c>
      <c r="E82" s="891">
        <v>51.89</v>
      </c>
      <c r="F82" s="891">
        <v>14.14</v>
      </c>
      <c r="G82" s="891">
        <v>33.770000000000003</v>
      </c>
      <c r="H82" s="891">
        <v>47.31</v>
      </c>
      <c r="I82" s="891">
        <v>37.200000000000003</v>
      </c>
      <c r="J82" s="891">
        <v>35.81</v>
      </c>
      <c r="K82" s="891"/>
      <c r="L82" s="891" t="s">
        <v>364</v>
      </c>
      <c r="M82" s="891" t="s">
        <v>855</v>
      </c>
      <c r="N82" s="891" t="s">
        <v>648</v>
      </c>
      <c r="O82" s="891"/>
      <c r="P82" s="891"/>
    </row>
    <row r="83" spans="1:16">
      <c r="A83" s="891"/>
      <c r="B83" s="891"/>
      <c r="C83" s="891"/>
      <c r="D83" s="891" t="s">
        <v>599</v>
      </c>
      <c r="E83" s="891">
        <v>51.78</v>
      </c>
      <c r="F83" s="891">
        <v>21.3</v>
      </c>
      <c r="G83" s="891">
        <v>37.15</v>
      </c>
      <c r="H83" s="891">
        <v>57.93</v>
      </c>
      <c r="I83" s="891">
        <v>25.48</v>
      </c>
      <c r="J83" s="891">
        <v>35.01</v>
      </c>
      <c r="K83" s="891"/>
      <c r="L83" s="891" t="s">
        <v>56</v>
      </c>
      <c r="M83" s="891" t="s">
        <v>856</v>
      </c>
      <c r="N83" s="891" t="s">
        <v>583</v>
      </c>
      <c r="O83" s="891"/>
      <c r="P83" s="891"/>
    </row>
    <row r="84" spans="1:16">
      <c r="A84" s="891"/>
      <c r="B84" s="891"/>
      <c r="C84" s="891"/>
      <c r="D84" s="891" t="s">
        <v>623</v>
      </c>
      <c r="E84" s="891">
        <v>51.32</v>
      </c>
      <c r="F84" s="891">
        <v>13.28</v>
      </c>
      <c r="G84" s="891">
        <v>33.06</v>
      </c>
      <c r="H84" s="891">
        <v>41.89</v>
      </c>
      <c r="I84" s="891">
        <v>58.09</v>
      </c>
      <c r="J84" s="891">
        <v>23.45</v>
      </c>
      <c r="K84" s="891"/>
      <c r="L84" s="891" t="s">
        <v>154</v>
      </c>
      <c r="M84" s="891" t="s">
        <v>857</v>
      </c>
      <c r="N84" s="891" t="s">
        <v>554</v>
      </c>
      <c r="O84" s="891"/>
      <c r="P84" s="891"/>
    </row>
    <row r="85" spans="1:16">
      <c r="A85" s="891"/>
      <c r="B85" s="891"/>
      <c r="C85" s="891"/>
      <c r="D85" s="891" t="s">
        <v>602</v>
      </c>
      <c r="E85" s="891">
        <v>50.58</v>
      </c>
      <c r="F85" s="891">
        <v>14.52</v>
      </c>
      <c r="G85" s="891">
        <v>33.270000000000003</v>
      </c>
      <c r="H85" s="891">
        <v>55</v>
      </c>
      <c r="I85" s="891">
        <v>29.73</v>
      </c>
      <c r="J85" s="891">
        <v>27.18</v>
      </c>
      <c r="K85" s="891"/>
      <c r="L85" s="891" t="s">
        <v>337</v>
      </c>
      <c r="M85" s="891" t="s">
        <v>858</v>
      </c>
      <c r="N85" s="891" t="s">
        <v>638</v>
      </c>
      <c r="O85" s="891"/>
      <c r="P85" s="891"/>
    </row>
    <row r="86" spans="1:16">
      <c r="A86" s="891"/>
      <c r="B86" s="891"/>
      <c r="C86" s="891"/>
      <c r="D86" s="891" t="s">
        <v>596</v>
      </c>
      <c r="E86" s="891">
        <v>50.32</v>
      </c>
      <c r="F86" s="891">
        <v>11.61</v>
      </c>
      <c r="G86" s="891">
        <v>31.74</v>
      </c>
      <c r="H86" s="891">
        <v>44.39</v>
      </c>
      <c r="I86" s="891">
        <v>36.83</v>
      </c>
      <c r="J86" s="891">
        <v>34.18</v>
      </c>
      <c r="K86" s="891"/>
      <c r="L86" s="891" t="s">
        <v>396</v>
      </c>
      <c r="M86" s="891" t="s">
        <v>859</v>
      </c>
      <c r="N86" s="891" t="s">
        <v>560</v>
      </c>
      <c r="O86" s="891"/>
      <c r="P86" s="891"/>
    </row>
    <row r="87" spans="1:16">
      <c r="A87" s="891"/>
      <c r="B87" s="891"/>
      <c r="C87" s="891"/>
      <c r="D87" s="891" t="s">
        <v>641</v>
      </c>
      <c r="E87" s="891">
        <v>48.82</v>
      </c>
      <c r="F87" s="891">
        <v>15.47</v>
      </c>
      <c r="G87" s="891">
        <v>32.81</v>
      </c>
      <c r="H87" s="891">
        <v>42.62</v>
      </c>
      <c r="I87" s="891">
        <v>31.18</v>
      </c>
      <c r="J87" s="891">
        <v>45.28</v>
      </c>
      <c r="K87" s="891"/>
      <c r="L87" s="891" t="s">
        <v>229</v>
      </c>
      <c r="M87" s="891" t="s">
        <v>860</v>
      </c>
      <c r="N87" s="891" t="s">
        <v>606</v>
      </c>
      <c r="O87" s="891"/>
      <c r="P87" s="891"/>
    </row>
    <row r="88" spans="1:16">
      <c r="A88" s="891"/>
      <c r="B88" s="891"/>
      <c r="C88" s="891"/>
      <c r="D88" s="891" t="s">
        <v>582</v>
      </c>
      <c r="E88" s="891">
        <v>48.64</v>
      </c>
      <c r="F88" s="891">
        <v>10.84</v>
      </c>
      <c r="G88" s="891">
        <v>30.5</v>
      </c>
      <c r="H88" s="891">
        <v>40.229999999999997</v>
      </c>
      <c r="I88" s="891">
        <v>31.83</v>
      </c>
      <c r="J88" s="891">
        <v>35.28</v>
      </c>
      <c r="K88" s="891"/>
      <c r="L88" s="891" t="s">
        <v>138</v>
      </c>
      <c r="M88" s="891" t="s">
        <v>861</v>
      </c>
      <c r="N88" s="891" t="s">
        <v>566</v>
      </c>
      <c r="O88" s="891"/>
      <c r="P88" s="891"/>
    </row>
    <row r="89" spans="1:16">
      <c r="A89" s="891"/>
      <c r="B89" s="891"/>
      <c r="C89" s="891"/>
      <c r="D89" s="891" t="s">
        <v>578</v>
      </c>
      <c r="E89" s="891">
        <v>48.56</v>
      </c>
      <c r="F89" s="891">
        <v>14.74</v>
      </c>
      <c r="G89" s="891">
        <v>32.33</v>
      </c>
      <c r="H89" s="891">
        <v>41.48</v>
      </c>
      <c r="I89" s="891">
        <v>43.47</v>
      </c>
      <c r="J89" s="891">
        <v>31.97</v>
      </c>
      <c r="K89" s="891"/>
      <c r="L89" s="891" t="s">
        <v>362</v>
      </c>
      <c r="M89" s="891" t="s">
        <v>862</v>
      </c>
      <c r="N89" s="891" t="s">
        <v>641</v>
      </c>
      <c r="O89" s="891"/>
      <c r="P89" s="891"/>
    </row>
    <row r="90" spans="1:16">
      <c r="A90" s="891"/>
      <c r="B90" s="891"/>
      <c r="C90" s="891"/>
      <c r="D90" s="891" t="s">
        <v>647</v>
      </c>
      <c r="E90" s="891">
        <v>48.01</v>
      </c>
      <c r="F90" s="891">
        <v>10.91</v>
      </c>
      <c r="G90" s="891">
        <v>30.2</v>
      </c>
      <c r="H90" s="891">
        <v>51.23</v>
      </c>
      <c r="I90" s="891">
        <v>26.89</v>
      </c>
      <c r="J90" s="891">
        <v>25.66</v>
      </c>
      <c r="K90" s="891"/>
      <c r="L90" s="891" t="s">
        <v>185</v>
      </c>
      <c r="M90" s="891" t="s">
        <v>863</v>
      </c>
      <c r="N90" s="891" t="s">
        <v>554</v>
      </c>
      <c r="O90" s="891"/>
      <c r="P90" s="891"/>
    </row>
    <row r="91" spans="1:16">
      <c r="A91" s="891"/>
      <c r="B91" s="891"/>
      <c r="C91" s="891"/>
      <c r="D91" s="891" t="s">
        <v>613</v>
      </c>
      <c r="E91" s="891">
        <v>47.3</v>
      </c>
      <c r="F91" s="891">
        <v>17.61</v>
      </c>
      <c r="G91" s="891">
        <v>33.049999999999997</v>
      </c>
      <c r="H91" s="891">
        <v>36.700000000000003</v>
      </c>
      <c r="I91" s="891">
        <v>40.65</v>
      </c>
      <c r="J91" s="891">
        <v>21.89</v>
      </c>
      <c r="K91" s="891"/>
      <c r="L91" s="891" t="s">
        <v>16</v>
      </c>
      <c r="M91" s="891" t="s">
        <v>864</v>
      </c>
      <c r="N91" s="891" t="s">
        <v>581</v>
      </c>
      <c r="O91" s="891"/>
      <c r="P91" s="891"/>
    </row>
    <row r="92" spans="1:16">
      <c r="A92" s="891"/>
      <c r="B92" s="891"/>
      <c r="C92" s="891"/>
      <c r="D92" s="891" t="s">
        <v>630</v>
      </c>
      <c r="E92" s="891">
        <v>47.24</v>
      </c>
      <c r="F92" s="891">
        <v>12.89</v>
      </c>
      <c r="G92" s="891">
        <v>30.75</v>
      </c>
      <c r="H92" s="891">
        <v>38.28</v>
      </c>
      <c r="I92" s="891">
        <v>37.97</v>
      </c>
      <c r="J92" s="891">
        <v>24.52</v>
      </c>
      <c r="K92" s="891"/>
      <c r="L92" s="891" t="s">
        <v>256</v>
      </c>
      <c r="M92" s="891" t="s">
        <v>865</v>
      </c>
      <c r="N92" s="891" t="s">
        <v>610</v>
      </c>
      <c r="O92" s="891"/>
      <c r="P92" s="891"/>
    </row>
    <row r="93" spans="1:16">
      <c r="A93" s="891"/>
      <c r="B93" s="891"/>
      <c r="C93" s="891"/>
      <c r="D93" s="891" t="s">
        <v>639</v>
      </c>
      <c r="E93" s="891">
        <v>46.61</v>
      </c>
      <c r="F93" s="891">
        <v>12.91</v>
      </c>
      <c r="G93" s="891">
        <v>30.44</v>
      </c>
      <c r="H93" s="891">
        <v>48.18</v>
      </c>
      <c r="I93" s="891">
        <v>26.45</v>
      </c>
      <c r="J93" s="891">
        <v>25.47</v>
      </c>
      <c r="K93" s="891"/>
      <c r="L93" s="891" t="s">
        <v>41</v>
      </c>
      <c r="M93" s="891" t="s">
        <v>866</v>
      </c>
      <c r="N93" s="891" t="s">
        <v>571</v>
      </c>
      <c r="O93" s="891"/>
      <c r="P93" s="891"/>
    </row>
    <row r="94" spans="1:16">
      <c r="A94" s="891"/>
      <c r="B94" s="891"/>
      <c r="C94" s="891"/>
      <c r="D94" s="891" t="s">
        <v>622</v>
      </c>
      <c r="E94" s="891">
        <v>46.48</v>
      </c>
      <c r="F94" s="891">
        <v>10.72</v>
      </c>
      <c r="G94" s="891">
        <v>29.32</v>
      </c>
      <c r="H94" s="891">
        <v>38.44</v>
      </c>
      <c r="I94" s="891">
        <v>33.22</v>
      </c>
      <c r="J94" s="891">
        <v>34.9</v>
      </c>
      <c r="K94" s="891"/>
      <c r="L94" s="891" t="s">
        <v>360</v>
      </c>
      <c r="M94" s="891" t="s">
        <v>867</v>
      </c>
      <c r="N94" s="891" t="s">
        <v>649</v>
      </c>
      <c r="O94" s="891"/>
      <c r="P94" s="891"/>
    </row>
    <row r="95" spans="1:16">
      <c r="A95" s="891"/>
      <c r="B95" s="891"/>
      <c r="C95" s="891"/>
      <c r="D95" s="891" t="s">
        <v>642</v>
      </c>
      <c r="E95" s="891">
        <v>46.14</v>
      </c>
      <c r="F95" s="891">
        <v>17.579999999999998</v>
      </c>
      <c r="G95" s="891">
        <v>32.43</v>
      </c>
      <c r="H95" s="891">
        <v>51</v>
      </c>
      <c r="I95" s="891">
        <v>23.71</v>
      </c>
      <c r="J95" s="891">
        <v>24.62</v>
      </c>
      <c r="K95" s="891"/>
      <c r="L95" s="891" t="s">
        <v>259</v>
      </c>
      <c r="M95" s="891" t="s">
        <v>868</v>
      </c>
      <c r="N95" s="891" t="s">
        <v>611</v>
      </c>
      <c r="O95" s="891"/>
      <c r="P95" s="891"/>
    </row>
    <row r="96" spans="1:16">
      <c r="A96" s="891"/>
      <c r="B96" s="891"/>
      <c r="C96" s="891"/>
      <c r="D96" s="891" t="s">
        <v>617</v>
      </c>
      <c r="E96" s="891">
        <v>44.83</v>
      </c>
      <c r="F96" s="891">
        <v>7.79</v>
      </c>
      <c r="G96" s="891">
        <v>27.05</v>
      </c>
      <c r="H96" s="891">
        <v>38.51</v>
      </c>
      <c r="I96" s="891">
        <v>26.43</v>
      </c>
      <c r="J96" s="891">
        <v>33.26</v>
      </c>
      <c r="K96" s="891"/>
      <c r="L96" s="891" t="s">
        <v>186</v>
      </c>
      <c r="M96" s="891" t="s">
        <v>869</v>
      </c>
      <c r="N96" s="891" t="s">
        <v>554</v>
      </c>
      <c r="O96" s="891"/>
      <c r="P96" s="891"/>
    </row>
    <row r="97" spans="1:16">
      <c r="A97" s="891"/>
      <c r="B97" s="891"/>
      <c r="C97" s="891"/>
      <c r="D97" s="891" t="s">
        <v>645</v>
      </c>
      <c r="E97" s="891">
        <v>44.82</v>
      </c>
      <c r="F97" s="891">
        <v>11.1</v>
      </c>
      <c r="G97" s="891">
        <v>28.64</v>
      </c>
      <c r="H97" s="891">
        <v>40.33</v>
      </c>
      <c r="I97" s="891">
        <v>37.18</v>
      </c>
      <c r="J97" s="891">
        <v>30.32</v>
      </c>
      <c r="K97" s="891"/>
      <c r="L97" s="891" t="s">
        <v>357</v>
      </c>
      <c r="M97" s="891" t="s">
        <v>870</v>
      </c>
      <c r="N97" s="891" t="s">
        <v>647</v>
      </c>
      <c r="O97" s="891"/>
      <c r="P97" s="891"/>
    </row>
    <row r="98" spans="1:16">
      <c r="A98" s="891"/>
      <c r="B98" s="891"/>
      <c r="C98" s="891"/>
      <c r="D98" s="891" t="s">
        <v>605</v>
      </c>
      <c r="E98" s="891">
        <v>43.21</v>
      </c>
      <c r="F98" s="891">
        <v>20.77</v>
      </c>
      <c r="G98" s="891">
        <v>32.44</v>
      </c>
      <c r="H98" s="891">
        <v>41.77</v>
      </c>
      <c r="I98" s="891">
        <v>23.74</v>
      </c>
      <c r="J98" s="891">
        <v>31.86</v>
      </c>
      <c r="K98" s="891"/>
      <c r="L98" s="891" t="s">
        <v>297</v>
      </c>
      <c r="M98" s="891" t="s">
        <v>871</v>
      </c>
      <c r="N98" s="891" t="s">
        <v>630</v>
      </c>
      <c r="O98" s="891"/>
      <c r="P98" s="891"/>
    </row>
    <row r="99" spans="1:16">
      <c r="A99" s="891"/>
      <c r="B99" s="891"/>
      <c r="C99" s="891"/>
      <c r="D99" s="891" t="s">
        <v>591</v>
      </c>
      <c r="E99" s="891">
        <v>41.5</v>
      </c>
      <c r="F99" s="891">
        <v>12.48</v>
      </c>
      <c r="G99" s="891">
        <v>27.57</v>
      </c>
      <c r="H99" s="891">
        <v>36.42</v>
      </c>
      <c r="I99" s="891">
        <v>21.48</v>
      </c>
      <c r="J99" s="891">
        <v>46.39</v>
      </c>
      <c r="K99" s="891"/>
      <c r="L99" s="891" t="s">
        <v>11</v>
      </c>
      <c r="M99" s="891" t="s">
        <v>872</v>
      </c>
      <c r="N99" s="891" t="s">
        <v>579</v>
      </c>
      <c r="O99" s="891"/>
      <c r="P99" s="891"/>
    </row>
    <row r="100" spans="1:16">
      <c r="A100" s="891"/>
      <c r="B100" s="891"/>
      <c r="C100" s="891"/>
      <c r="D100" s="891" t="s">
        <v>554</v>
      </c>
      <c r="E100" s="891">
        <v>41.49</v>
      </c>
      <c r="F100" s="891">
        <v>6.06</v>
      </c>
      <c r="G100" s="891">
        <v>24.48</v>
      </c>
      <c r="H100" s="891">
        <v>43.76</v>
      </c>
      <c r="I100" s="891">
        <v>24.84</v>
      </c>
      <c r="J100" s="891">
        <v>32.71</v>
      </c>
      <c r="K100" s="891"/>
      <c r="L100" s="891" t="s">
        <v>369</v>
      </c>
      <c r="M100" s="891" t="s">
        <v>873</v>
      </c>
      <c r="N100" s="891" t="s">
        <v>646</v>
      </c>
      <c r="O100" s="891"/>
      <c r="P100" s="891"/>
    </row>
    <row r="101" spans="1:16">
      <c r="A101" s="891"/>
      <c r="B101" s="891"/>
      <c r="C101" s="891"/>
      <c r="D101" s="891" t="s">
        <v>600</v>
      </c>
      <c r="E101" s="891">
        <v>38.74</v>
      </c>
      <c r="F101" s="891">
        <v>3.66</v>
      </c>
      <c r="G101" s="891">
        <v>21.91</v>
      </c>
      <c r="H101" s="891">
        <v>36.729999999999997</v>
      </c>
      <c r="I101" s="891">
        <v>26.19</v>
      </c>
      <c r="J101" s="891">
        <v>29.49</v>
      </c>
      <c r="K101" s="891"/>
      <c r="L101" s="891" t="s">
        <v>378</v>
      </c>
      <c r="M101" s="891" t="s">
        <v>874</v>
      </c>
      <c r="N101" s="891" t="s">
        <v>560</v>
      </c>
      <c r="O101" s="891"/>
      <c r="P101" s="891"/>
    </row>
    <row r="102" spans="1:16">
      <c r="A102" s="891"/>
      <c r="B102" s="891"/>
      <c r="C102" s="891"/>
      <c r="D102" s="891" t="s">
        <v>586</v>
      </c>
      <c r="E102" s="891">
        <v>33.409999999999997</v>
      </c>
      <c r="F102" s="891">
        <v>6.12</v>
      </c>
      <c r="G102" s="891">
        <v>20.309999999999999</v>
      </c>
      <c r="H102" s="891">
        <v>32.090000000000003</v>
      </c>
      <c r="I102" s="891">
        <v>25.34</v>
      </c>
      <c r="J102" s="891">
        <v>26.03</v>
      </c>
      <c r="K102" s="891"/>
      <c r="L102" s="891" t="s">
        <v>158</v>
      </c>
      <c r="M102" s="891" t="s">
        <v>875</v>
      </c>
      <c r="N102" s="891" t="s">
        <v>554</v>
      </c>
      <c r="O102" s="891"/>
      <c r="P102" s="891"/>
    </row>
    <row r="103" spans="1:16">
      <c r="A103" s="891"/>
      <c r="B103" s="891"/>
      <c r="C103" s="891"/>
      <c r="D103" s="891" t="s">
        <v>653</v>
      </c>
      <c r="E103" s="891">
        <v>30.92</v>
      </c>
      <c r="F103" s="891">
        <v>7.36</v>
      </c>
      <c r="G103" s="891">
        <v>19.61</v>
      </c>
      <c r="H103" s="891">
        <v>32.51</v>
      </c>
      <c r="I103" s="891">
        <v>18.09</v>
      </c>
      <c r="J103" s="891">
        <v>61.92</v>
      </c>
      <c r="K103" s="891"/>
      <c r="L103" s="891" t="s">
        <v>216</v>
      </c>
      <c r="M103" s="891" t="s">
        <v>876</v>
      </c>
      <c r="N103" s="891" t="s">
        <v>554</v>
      </c>
      <c r="O103" s="891"/>
      <c r="P103" s="891"/>
    </row>
    <row r="104" spans="1:16">
      <c r="A104" s="891"/>
      <c r="B104" s="891"/>
      <c r="C104" s="891"/>
      <c r="D104" s="891" t="s">
        <v>0</v>
      </c>
      <c r="E104" s="891"/>
      <c r="F104" s="891"/>
      <c r="G104" s="891"/>
      <c r="H104" s="891"/>
      <c r="I104" s="891"/>
      <c r="J104" s="891"/>
      <c r="K104" s="891"/>
      <c r="L104" s="891" t="s">
        <v>169</v>
      </c>
      <c r="M104" s="891" t="s">
        <v>877</v>
      </c>
      <c r="N104" s="891" t="s">
        <v>554</v>
      </c>
      <c r="O104" s="891"/>
      <c r="P104" s="891"/>
    </row>
    <row r="105" spans="1:16">
      <c r="A105" s="891"/>
      <c r="B105" s="891"/>
      <c r="C105" s="891"/>
      <c r="D105" s="891"/>
      <c r="E105" s="891"/>
      <c r="F105" s="891"/>
      <c r="G105" s="891"/>
      <c r="H105" s="891"/>
      <c r="I105" s="891"/>
      <c r="J105" s="891"/>
      <c r="K105" s="891"/>
      <c r="L105" s="891" t="s">
        <v>361</v>
      </c>
      <c r="M105" s="891" t="s">
        <v>878</v>
      </c>
      <c r="N105" s="891" t="s">
        <v>651</v>
      </c>
      <c r="O105" s="891"/>
      <c r="P105" s="891"/>
    </row>
    <row r="106" spans="1:16">
      <c r="A106" s="891"/>
      <c r="B106" s="891"/>
      <c r="C106" s="891"/>
      <c r="D106" s="891"/>
      <c r="E106" s="891"/>
      <c r="F106" s="891"/>
      <c r="G106" s="891"/>
      <c r="H106" s="891"/>
      <c r="I106" s="891"/>
      <c r="J106" s="891"/>
      <c r="K106" s="891"/>
      <c r="L106" s="891" t="s">
        <v>348</v>
      </c>
      <c r="M106" s="891" t="s">
        <v>879</v>
      </c>
      <c r="N106" s="891" t="s">
        <v>645</v>
      </c>
      <c r="O106" s="891"/>
      <c r="P106" s="891"/>
    </row>
    <row r="107" spans="1:16">
      <c r="A107" s="891"/>
      <c r="B107" s="891"/>
      <c r="C107" s="891"/>
      <c r="D107" s="899" t="str">
        <f>'Full Report'!$N$8</f>
        <v>Meal, in a Budget Restaurant0.101591187270502higher than in Dubai, United Arab Emirates</v>
      </c>
      <c r="E107" s="891"/>
      <c r="F107" s="891"/>
      <c r="G107" s="891"/>
      <c r="H107" s="891"/>
      <c r="I107" s="891"/>
      <c r="J107" s="891"/>
      <c r="K107" s="891"/>
      <c r="L107" s="891" t="s">
        <v>202</v>
      </c>
      <c r="M107" s="891" t="s">
        <v>880</v>
      </c>
      <c r="N107" s="891" t="s">
        <v>598</v>
      </c>
      <c r="O107" s="891"/>
      <c r="P107" s="891"/>
    </row>
    <row r="108" spans="1:16">
      <c r="A108" s="891"/>
      <c r="B108" s="891"/>
      <c r="C108" s="891"/>
      <c r="D108" s="891"/>
      <c r="E108" s="891"/>
      <c r="F108" s="891"/>
      <c r="G108" s="891"/>
      <c r="H108" s="891"/>
      <c r="I108" s="891"/>
      <c r="J108" s="891"/>
      <c r="K108" s="891"/>
      <c r="L108" s="891" t="s">
        <v>353</v>
      </c>
      <c r="M108" s="891" t="s">
        <v>881</v>
      </c>
      <c r="N108" s="891" t="s">
        <v>645</v>
      </c>
      <c r="O108" s="891"/>
      <c r="P108" s="891"/>
    </row>
    <row r="109" spans="1:16">
      <c r="A109" s="891"/>
      <c r="B109" s="891"/>
      <c r="C109" s="891"/>
      <c r="D109" s="891"/>
      <c r="E109" s="891"/>
      <c r="F109" s="891"/>
      <c r="G109" s="891"/>
      <c r="H109" s="891"/>
      <c r="I109" s="891"/>
      <c r="J109" s="891"/>
      <c r="K109" s="891"/>
      <c r="L109" s="891" t="s">
        <v>188</v>
      </c>
      <c r="M109" s="891" t="s">
        <v>882</v>
      </c>
      <c r="N109" s="891" t="s">
        <v>566</v>
      </c>
      <c r="O109" s="891"/>
      <c r="P109" s="891"/>
    </row>
    <row r="110" spans="1:16">
      <c r="A110" s="891"/>
      <c r="B110" s="891"/>
      <c r="C110" s="891"/>
      <c r="D110" s="891"/>
      <c r="E110" s="891"/>
      <c r="F110" s="891"/>
      <c r="G110" s="891"/>
      <c r="H110" s="891"/>
      <c r="I110" s="891"/>
      <c r="J110" s="891"/>
      <c r="K110" s="891"/>
      <c r="L110" s="891" t="s">
        <v>217</v>
      </c>
      <c r="M110" s="891" t="s">
        <v>883</v>
      </c>
      <c r="N110" s="891" t="s">
        <v>605</v>
      </c>
      <c r="O110" s="891"/>
      <c r="P110" s="891"/>
    </row>
    <row r="111" spans="1:16">
      <c r="A111" s="891"/>
      <c r="B111" s="891"/>
      <c r="C111" s="891"/>
      <c r="D111" s="891"/>
      <c r="E111" s="891"/>
      <c r="F111" s="891"/>
      <c r="G111" s="891"/>
      <c r="H111" s="891"/>
      <c r="I111" s="891"/>
      <c r="J111" s="891"/>
      <c r="K111" s="891"/>
      <c r="L111" s="891" t="s">
        <v>21</v>
      </c>
      <c r="M111" s="891" t="s">
        <v>884</v>
      </c>
      <c r="N111" s="891" t="s">
        <v>571</v>
      </c>
      <c r="O111" s="891"/>
      <c r="P111" s="891"/>
    </row>
    <row r="112" spans="1:16">
      <c r="A112" s="891"/>
      <c r="B112" s="891"/>
      <c r="C112" s="891"/>
      <c r="D112" s="891"/>
      <c r="E112" s="891"/>
      <c r="F112" s="891"/>
      <c r="G112" s="891"/>
      <c r="H112" s="891"/>
      <c r="I112" s="891"/>
      <c r="J112" s="891"/>
      <c r="K112" s="891"/>
      <c r="L112" s="891" t="s">
        <v>107</v>
      </c>
      <c r="M112" s="891" t="s">
        <v>885</v>
      </c>
      <c r="N112" s="891" t="s">
        <v>566</v>
      </c>
      <c r="O112" s="891"/>
      <c r="P112" s="891"/>
    </row>
    <row r="113" spans="1:16">
      <c r="A113" s="891"/>
      <c r="B113" s="891"/>
      <c r="C113" s="891"/>
      <c r="D113" s="891"/>
      <c r="E113" s="891"/>
      <c r="F113" s="891"/>
      <c r="G113" s="891"/>
      <c r="H113" s="891"/>
      <c r="I113" s="891"/>
      <c r="J113" s="891"/>
      <c r="K113" s="891"/>
      <c r="L113" s="891" t="s">
        <v>52</v>
      </c>
      <c r="M113" s="891" t="s">
        <v>886</v>
      </c>
      <c r="N113" s="891" t="s">
        <v>591</v>
      </c>
      <c r="O113" s="891"/>
      <c r="P113" s="891"/>
    </row>
    <row r="114" spans="1:16">
      <c r="A114" s="891"/>
      <c r="B114" s="891"/>
      <c r="C114" s="891"/>
      <c r="D114" s="891"/>
      <c r="E114" s="891"/>
      <c r="F114" s="891"/>
      <c r="G114" s="891"/>
      <c r="H114" s="891"/>
      <c r="I114" s="891"/>
      <c r="J114" s="891"/>
      <c r="K114" s="891"/>
      <c r="L114" s="891" t="s">
        <v>100</v>
      </c>
      <c r="M114" s="891" t="s">
        <v>887</v>
      </c>
      <c r="N114" s="891" t="s">
        <v>559</v>
      </c>
      <c r="O114" s="891"/>
      <c r="P114" s="891"/>
    </row>
    <row r="115" spans="1:16">
      <c r="A115" s="891"/>
      <c r="B115" s="891"/>
      <c r="C115" s="891"/>
      <c r="D115" s="891"/>
      <c r="E115" s="891"/>
      <c r="F115" s="891"/>
      <c r="G115" s="891"/>
      <c r="H115" s="891"/>
      <c r="I115" s="891"/>
      <c r="J115" s="891"/>
      <c r="K115" s="891"/>
      <c r="L115" s="891" t="s">
        <v>88</v>
      </c>
      <c r="M115" s="891" t="s">
        <v>888</v>
      </c>
      <c r="N115" s="891" t="s">
        <v>590</v>
      </c>
      <c r="O115" s="891"/>
      <c r="P115" s="891"/>
    </row>
    <row r="116" spans="1:16">
      <c r="A116" s="891"/>
      <c r="B116" s="891"/>
      <c r="C116" s="891"/>
      <c r="D116" s="891"/>
      <c r="E116" s="891"/>
      <c r="F116" s="891"/>
      <c r="G116" s="891"/>
      <c r="H116" s="891"/>
      <c r="I116" s="891"/>
      <c r="J116" s="891"/>
      <c r="K116" s="891"/>
      <c r="L116" s="891" t="s">
        <v>359</v>
      </c>
      <c r="M116" s="891" t="s">
        <v>889</v>
      </c>
      <c r="N116" s="891" t="s">
        <v>626</v>
      </c>
      <c r="O116" s="891"/>
      <c r="P116" s="891"/>
    </row>
    <row r="117" spans="1:16">
      <c r="A117" s="891"/>
      <c r="B117" s="891"/>
      <c r="C117" s="891"/>
      <c r="D117" s="891"/>
      <c r="E117" s="891"/>
      <c r="F117" s="891"/>
      <c r="G117" s="891"/>
      <c r="H117" s="891"/>
      <c r="I117" s="891"/>
      <c r="J117" s="891"/>
      <c r="K117" s="891"/>
      <c r="L117" s="891" t="s">
        <v>42</v>
      </c>
      <c r="M117" s="891" t="s">
        <v>890</v>
      </c>
      <c r="N117" s="891" t="s">
        <v>563</v>
      </c>
      <c r="O117" s="891"/>
      <c r="P117" s="891"/>
    </row>
    <row r="118" spans="1:16">
      <c r="A118" s="891"/>
      <c r="B118" s="891"/>
      <c r="C118" s="891"/>
      <c r="D118" s="891"/>
      <c r="E118" s="891"/>
      <c r="F118" s="891"/>
      <c r="G118" s="891"/>
      <c r="H118" s="891"/>
      <c r="I118" s="891"/>
      <c r="J118" s="891"/>
      <c r="K118" s="891"/>
      <c r="L118" s="891" t="s">
        <v>269</v>
      </c>
      <c r="M118" s="891" t="s">
        <v>891</v>
      </c>
      <c r="N118" s="891" t="s">
        <v>611</v>
      </c>
      <c r="O118" s="891"/>
      <c r="P118" s="891"/>
    </row>
    <row r="119" spans="1:16">
      <c r="A119" s="891"/>
      <c r="B119" s="891"/>
      <c r="C119" s="891"/>
      <c r="D119" s="891"/>
      <c r="E119" s="891"/>
      <c r="F119" s="891"/>
      <c r="G119" s="891"/>
      <c r="H119" s="891"/>
      <c r="I119" s="891"/>
      <c r="J119" s="891"/>
      <c r="K119" s="891"/>
      <c r="L119" s="891" t="s">
        <v>27</v>
      </c>
      <c r="M119" s="891" t="s">
        <v>892</v>
      </c>
      <c r="N119" s="891" t="s">
        <v>559</v>
      </c>
      <c r="O119" s="891"/>
      <c r="P119" s="891"/>
    </row>
    <row r="120" spans="1:16">
      <c r="A120" s="891"/>
      <c r="B120" s="891"/>
      <c r="C120" s="891"/>
      <c r="D120" s="891"/>
      <c r="E120" s="891"/>
      <c r="F120" s="891"/>
      <c r="G120" s="891"/>
      <c r="H120" s="891"/>
      <c r="I120" s="891"/>
      <c r="J120" s="891"/>
      <c r="K120" s="891"/>
      <c r="L120" s="891" t="s">
        <v>77</v>
      </c>
      <c r="M120" s="891" t="s">
        <v>893</v>
      </c>
      <c r="N120" s="891" t="s">
        <v>566</v>
      </c>
      <c r="O120" s="891"/>
      <c r="P120" s="891"/>
    </row>
    <row r="121" spans="1:16">
      <c r="A121" s="891"/>
      <c r="B121" s="891"/>
      <c r="C121" s="891"/>
      <c r="D121" s="891"/>
      <c r="E121" s="891"/>
      <c r="F121" s="891"/>
      <c r="G121" s="891"/>
      <c r="H121" s="891"/>
      <c r="I121" s="891"/>
      <c r="J121" s="891"/>
      <c r="K121" s="891"/>
      <c r="L121" s="891" t="s">
        <v>335</v>
      </c>
      <c r="M121" s="891" t="s">
        <v>894</v>
      </c>
      <c r="N121" s="891" t="s">
        <v>753</v>
      </c>
      <c r="O121" s="891"/>
      <c r="P121" s="891"/>
    </row>
    <row r="122" spans="1:16">
      <c r="A122" s="891"/>
      <c r="B122" s="891"/>
      <c r="C122" s="891"/>
      <c r="D122" s="891"/>
      <c r="E122" s="891"/>
      <c r="F122" s="891"/>
      <c r="G122" s="891"/>
      <c r="H122" s="891"/>
      <c r="I122" s="891"/>
      <c r="J122" s="891"/>
      <c r="K122" s="891"/>
      <c r="L122" s="891" t="s">
        <v>64</v>
      </c>
      <c r="M122" s="891" t="s">
        <v>895</v>
      </c>
      <c r="N122" s="891" t="s">
        <v>571</v>
      </c>
      <c r="O122" s="891"/>
      <c r="P122" s="891"/>
    </row>
    <row r="123" spans="1:16">
      <c r="A123" s="891"/>
      <c r="B123" s="891"/>
      <c r="C123" s="891"/>
      <c r="D123" s="891"/>
      <c r="E123" s="891"/>
      <c r="F123" s="891"/>
      <c r="G123" s="891"/>
      <c r="H123" s="891"/>
      <c r="I123" s="891"/>
      <c r="J123" s="891"/>
      <c r="K123" s="891"/>
      <c r="L123" s="891" t="s">
        <v>304</v>
      </c>
      <c r="M123" s="891" t="s">
        <v>896</v>
      </c>
      <c r="N123" s="891" t="s">
        <v>629</v>
      </c>
      <c r="O123" s="891"/>
      <c r="P123" s="891"/>
    </row>
    <row r="124" spans="1:16">
      <c r="A124" s="891"/>
      <c r="B124" s="891"/>
      <c r="C124" s="891"/>
      <c r="D124" s="891"/>
      <c r="E124" s="891"/>
      <c r="F124" s="891"/>
      <c r="G124" s="891"/>
      <c r="H124" s="891"/>
      <c r="I124" s="891"/>
      <c r="J124" s="891"/>
      <c r="K124" s="891"/>
      <c r="L124" s="891" t="s">
        <v>5</v>
      </c>
      <c r="M124" s="891" t="s">
        <v>897</v>
      </c>
      <c r="N124" s="891" t="s">
        <v>578</v>
      </c>
      <c r="O124" s="891"/>
      <c r="P124" s="891"/>
    </row>
    <row r="125" spans="1:16">
      <c r="A125" s="891"/>
      <c r="B125" s="891"/>
      <c r="C125" s="891"/>
      <c r="D125" s="891"/>
      <c r="E125" s="891"/>
      <c r="F125" s="891"/>
      <c r="G125" s="891"/>
      <c r="H125" s="891"/>
      <c r="I125" s="891"/>
      <c r="J125" s="891"/>
      <c r="K125" s="891"/>
      <c r="L125" s="891" t="s">
        <v>35</v>
      </c>
      <c r="M125" s="891" t="s">
        <v>898</v>
      </c>
      <c r="N125" s="891" t="s">
        <v>563</v>
      </c>
      <c r="O125" s="891"/>
      <c r="P125" s="891"/>
    </row>
    <row r="126" spans="1:16">
      <c r="A126" s="891"/>
      <c r="B126" s="891"/>
      <c r="C126" s="891"/>
      <c r="D126" s="891"/>
      <c r="E126" s="891"/>
      <c r="F126" s="891"/>
      <c r="G126" s="891"/>
      <c r="H126" s="891"/>
      <c r="I126" s="891"/>
      <c r="J126" s="891"/>
      <c r="K126" s="891"/>
      <c r="L126" s="891" t="s">
        <v>140</v>
      </c>
      <c r="M126" s="891" t="s">
        <v>899</v>
      </c>
      <c r="N126" s="891" t="s">
        <v>587</v>
      </c>
      <c r="O126" s="891"/>
      <c r="P126" s="891"/>
    </row>
    <row r="127" spans="1:16">
      <c r="A127" s="891"/>
      <c r="B127" s="891"/>
      <c r="C127" s="891"/>
      <c r="D127" s="891"/>
      <c r="E127" s="891"/>
      <c r="F127" s="891"/>
      <c r="G127" s="891"/>
      <c r="H127" s="891"/>
      <c r="I127" s="891"/>
      <c r="J127" s="891"/>
      <c r="K127" s="891"/>
      <c r="L127" s="891" t="s">
        <v>322</v>
      </c>
      <c r="M127" s="891" t="s">
        <v>900</v>
      </c>
      <c r="N127" s="891" t="s">
        <v>611</v>
      </c>
      <c r="O127" s="891"/>
      <c r="P127" s="891"/>
    </row>
    <row r="128" spans="1:16">
      <c r="A128" s="891"/>
      <c r="B128" s="891"/>
      <c r="C128" s="891"/>
      <c r="D128" s="891"/>
      <c r="E128" s="891"/>
      <c r="F128" s="891"/>
      <c r="G128" s="891"/>
      <c r="H128" s="891"/>
      <c r="I128" s="891"/>
      <c r="J128" s="891"/>
      <c r="K128" s="891"/>
      <c r="L128" s="891" t="s">
        <v>47</v>
      </c>
      <c r="M128" s="891" t="s">
        <v>901</v>
      </c>
      <c r="N128" s="891" t="s">
        <v>579</v>
      </c>
      <c r="O128" s="891"/>
      <c r="P128" s="891"/>
    </row>
    <row r="129" spans="1:16">
      <c r="A129" s="891"/>
      <c r="B129" s="891"/>
      <c r="C129" s="891"/>
      <c r="D129" s="891"/>
      <c r="E129" s="891"/>
      <c r="F129" s="891"/>
      <c r="G129" s="891"/>
      <c r="H129" s="891"/>
      <c r="I129" s="891"/>
      <c r="J129" s="891"/>
      <c r="K129" s="891"/>
      <c r="L129" s="891" t="s">
        <v>53</v>
      </c>
      <c r="M129" s="891" t="s">
        <v>902</v>
      </c>
      <c r="N129" s="891" t="s">
        <v>582</v>
      </c>
      <c r="O129" s="891"/>
      <c r="P129" s="891"/>
    </row>
    <row r="130" spans="1:16">
      <c r="A130" s="891"/>
      <c r="B130" s="891"/>
      <c r="C130" s="891"/>
      <c r="D130" s="891"/>
      <c r="E130" s="891"/>
      <c r="F130" s="891"/>
      <c r="G130" s="891"/>
      <c r="H130" s="891"/>
      <c r="I130" s="891"/>
      <c r="J130" s="891"/>
      <c r="K130" s="891"/>
      <c r="L130" s="891" t="s">
        <v>174</v>
      </c>
      <c r="M130" s="891" t="s">
        <v>903</v>
      </c>
      <c r="N130" s="891" t="s">
        <v>593</v>
      </c>
      <c r="O130" s="891"/>
      <c r="P130" s="891"/>
    </row>
    <row r="131" spans="1:16">
      <c r="A131" s="891"/>
      <c r="B131" s="891"/>
      <c r="C131" s="891"/>
      <c r="D131" s="891"/>
      <c r="E131" s="891"/>
      <c r="F131" s="891"/>
      <c r="G131" s="891"/>
      <c r="H131" s="891"/>
      <c r="I131" s="891"/>
      <c r="J131" s="891"/>
      <c r="K131" s="891"/>
      <c r="L131" s="891" t="s">
        <v>71</v>
      </c>
      <c r="M131" s="891" t="s">
        <v>904</v>
      </c>
      <c r="N131" s="891" t="s">
        <v>569</v>
      </c>
      <c r="O131" s="891"/>
      <c r="P131" s="891"/>
    </row>
    <row r="132" spans="1:16">
      <c r="A132" s="891"/>
      <c r="B132" s="891"/>
      <c r="C132" s="891"/>
      <c r="D132" s="891"/>
      <c r="E132" s="891"/>
      <c r="F132" s="891"/>
      <c r="G132" s="891"/>
      <c r="H132" s="891"/>
      <c r="I132" s="891"/>
      <c r="J132" s="891"/>
      <c r="K132" s="891"/>
      <c r="L132" s="891" t="s">
        <v>55</v>
      </c>
      <c r="M132" s="891" t="s">
        <v>905</v>
      </c>
      <c r="N132" s="891" t="s">
        <v>590</v>
      </c>
      <c r="O132" s="891"/>
      <c r="P132" s="891"/>
    </row>
    <row r="133" spans="1:16">
      <c r="A133" s="891"/>
      <c r="B133" s="891"/>
      <c r="C133" s="891"/>
      <c r="D133" s="891"/>
      <c r="E133" s="891"/>
      <c r="F133" s="891"/>
      <c r="G133" s="891"/>
      <c r="H133" s="891"/>
      <c r="I133" s="891"/>
      <c r="J133" s="891"/>
      <c r="K133" s="891"/>
      <c r="L133" s="891" t="s">
        <v>349</v>
      </c>
      <c r="M133" s="891" t="s">
        <v>906</v>
      </c>
      <c r="N133" s="891" t="s">
        <v>558</v>
      </c>
      <c r="O133" s="891"/>
      <c r="P133" s="891"/>
    </row>
    <row r="134" spans="1:16">
      <c r="A134" s="891"/>
      <c r="B134" s="891"/>
      <c r="C134" s="891"/>
      <c r="D134" s="891"/>
      <c r="E134" s="891"/>
      <c r="F134" s="891"/>
      <c r="G134" s="891"/>
      <c r="H134" s="891"/>
      <c r="I134" s="891"/>
      <c r="J134" s="891"/>
      <c r="K134" s="891"/>
      <c r="L134" s="891" t="s">
        <v>319</v>
      </c>
      <c r="M134" s="891" t="s">
        <v>907</v>
      </c>
      <c r="N134" s="891" t="s">
        <v>552</v>
      </c>
      <c r="O134" s="891"/>
      <c r="P134" s="891"/>
    </row>
    <row r="135" spans="1:16">
      <c r="A135" s="891"/>
      <c r="B135" s="891"/>
      <c r="C135" s="891"/>
      <c r="D135" s="891"/>
      <c r="E135" s="891"/>
      <c r="F135" s="891"/>
      <c r="G135" s="891"/>
      <c r="H135" s="891"/>
      <c r="I135" s="891"/>
      <c r="J135" s="891"/>
      <c r="K135" s="891"/>
      <c r="L135" s="891" t="s">
        <v>291</v>
      </c>
      <c r="M135" s="891" t="s">
        <v>908</v>
      </c>
      <c r="N135" s="891" t="s">
        <v>754</v>
      </c>
      <c r="O135" s="891"/>
      <c r="P135" s="891"/>
    </row>
    <row r="136" spans="1:16">
      <c r="A136" s="891"/>
      <c r="B136" s="891"/>
      <c r="C136" s="891"/>
      <c r="D136" s="891"/>
      <c r="E136" s="891"/>
      <c r="F136" s="891"/>
      <c r="G136" s="891"/>
      <c r="H136" s="891"/>
      <c r="I136" s="891"/>
      <c r="J136" s="891"/>
      <c r="K136" s="891"/>
      <c r="L136" s="891" t="s">
        <v>46</v>
      </c>
      <c r="M136" s="891" t="s">
        <v>909</v>
      </c>
      <c r="N136" s="891" t="s">
        <v>591</v>
      </c>
      <c r="O136" s="891"/>
      <c r="P136" s="891"/>
    </row>
    <row r="137" spans="1:16">
      <c r="A137" s="891"/>
      <c r="B137" s="891"/>
      <c r="C137" s="891"/>
      <c r="D137" s="891"/>
      <c r="E137" s="891"/>
      <c r="F137" s="891"/>
      <c r="G137" s="891"/>
      <c r="H137" s="891"/>
      <c r="I137" s="891"/>
      <c r="J137" s="891"/>
      <c r="K137" s="891"/>
      <c r="L137" s="891" t="s">
        <v>373</v>
      </c>
      <c r="M137" s="891" t="s">
        <v>910</v>
      </c>
      <c r="N137" s="891" t="s">
        <v>560</v>
      </c>
      <c r="O137" s="891"/>
      <c r="P137" s="891"/>
    </row>
    <row r="138" spans="1:16">
      <c r="A138" s="891"/>
      <c r="B138" s="891"/>
      <c r="C138" s="891"/>
      <c r="D138" s="891"/>
      <c r="E138" s="891"/>
      <c r="F138" s="891"/>
      <c r="G138" s="891"/>
      <c r="H138" s="891"/>
      <c r="I138" s="891"/>
      <c r="J138" s="891"/>
      <c r="K138" s="891"/>
      <c r="L138" s="891" t="s">
        <v>139</v>
      </c>
      <c r="M138" s="891" t="s">
        <v>911</v>
      </c>
      <c r="N138" s="891" t="s">
        <v>570</v>
      </c>
      <c r="O138" s="891"/>
      <c r="P138" s="891"/>
    </row>
    <row r="139" spans="1:16">
      <c r="A139" s="891"/>
      <c r="B139" s="891"/>
      <c r="C139" s="891"/>
      <c r="D139" s="891"/>
      <c r="E139" s="891"/>
      <c r="F139" s="891"/>
      <c r="G139" s="891"/>
      <c r="H139" s="891"/>
      <c r="I139" s="891"/>
      <c r="J139" s="891"/>
      <c r="K139" s="891"/>
      <c r="L139" s="891" t="s">
        <v>49</v>
      </c>
      <c r="M139" s="891" t="s">
        <v>912</v>
      </c>
      <c r="N139" s="891" t="s">
        <v>559</v>
      </c>
      <c r="O139" s="891"/>
      <c r="P139" s="891"/>
    </row>
    <row r="140" spans="1:16">
      <c r="A140" s="891"/>
      <c r="B140" s="891"/>
      <c r="C140" s="891"/>
      <c r="D140" s="891"/>
      <c r="E140" s="891"/>
      <c r="F140" s="891"/>
      <c r="G140" s="891"/>
      <c r="H140" s="891"/>
      <c r="I140" s="891"/>
      <c r="J140" s="891"/>
      <c r="K140" s="891"/>
      <c r="L140" s="891" t="s">
        <v>122</v>
      </c>
      <c r="M140" s="891" t="s">
        <v>913</v>
      </c>
      <c r="N140" s="891" t="s">
        <v>566</v>
      </c>
      <c r="O140" s="891"/>
      <c r="P140" s="891"/>
    </row>
    <row r="141" spans="1:16">
      <c r="A141" s="891"/>
      <c r="B141" s="891"/>
      <c r="C141" s="891"/>
      <c r="D141" s="891"/>
      <c r="E141" s="891"/>
      <c r="F141" s="891"/>
      <c r="G141" s="891"/>
      <c r="H141" s="891"/>
      <c r="I141" s="891"/>
      <c r="J141" s="891"/>
      <c r="K141" s="891"/>
      <c r="L141" s="891" t="s">
        <v>123</v>
      </c>
      <c r="M141" s="891" t="s">
        <v>914</v>
      </c>
      <c r="N141" s="891" t="s">
        <v>559</v>
      </c>
      <c r="O141" s="891"/>
      <c r="P141" s="891"/>
    </row>
    <row r="142" spans="1:16">
      <c r="A142" s="891"/>
      <c r="B142" s="891"/>
      <c r="C142" s="891"/>
      <c r="D142" s="891"/>
      <c r="E142" s="891"/>
      <c r="F142" s="891"/>
      <c r="G142" s="891"/>
      <c r="H142" s="891"/>
      <c r="I142" s="891"/>
      <c r="J142" s="891"/>
      <c r="K142" s="891"/>
      <c r="L142" s="891" t="s">
        <v>270</v>
      </c>
      <c r="M142" s="891" t="s">
        <v>915</v>
      </c>
      <c r="N142" s="891" t="s">
        <v>552</v>
      </c>
      <c r="O142" s="891"/>
      <c r="P142" s="891"/>
    </row>
    <row r="143" spans="1:16">
      <c r="A143" s="891"/>
      <c r="B143" s="891"/>
      <c r="C143" s="891"/>
      <c r="D143" s="891"/>
      <c r="E143" s="891"/>
      <c r="F143" s="891"/>
      <c r="G143" s="891"/>
      <c r="H143" s="891"/>
      <c r="I143" s="891"/>
      <c r="J143" s="891"/>
      <c r="K143" s="891"/>
      <c r="L143" s="891" t="s">
        <v>332</v>
      </c>
      <c r="M143" s="891" t="s">
        <v>916</v>
      </c>
      <c r="N143" s="891" t="s">
        <v>653</v>
      </c>
      <c r="O143" s="891"/>
      <c r="P143" s="891"/>
    </row>
    <row r="144" spans="1:16">
      <c r="A144" s="891"/>
      <c r="B144" s="891"/>
      <c r="C144" s="891"/>
      <c r="D144" s="891"/>
      <c r="E144" s="891"/>
      <c r="F144" s="891"/>
      <c r="G144" s="891"/>
      <c r="H144" s="891"/>
      <c r="I144" s="891"/>
      <c r="J144" s="891"/>
      <c r="K144" s="891"/>
      <c r="L144" s="891" t="s">
        <v>223</v>
      </c>
      <c r="M144" s="891" t="s">
        <v>917</v>
      </c>
      <c r="N144" s="891" t="s">
        <v>755</v>
      </c>
      <c r="O144" s="891"/>
      <c r="P144" s="891"/>
    </row>
    <row r="145" spans="1:16">
      <c r="A145" s="891"/>
      <c r="B145" s="891"/>
      <c r="C145" s="891"/>
      <c r="D145" s="891"/>
      <c r="E145" s="891"/>
      <c r="F145" s="891"/>
      <c r="G145" s="891"/>
      <c r="H145" s="891"/>
      <c r="I145" s="891"/>
      <c r="J145" s="891"/>
      <c r="K145" s="891"/>
      <c r="L145" s="891" t="s">
        <v>85</v>
      </c>
      <c r="M145" s="891" t="s">
        <v>918</v>
      </c>
      <c r="N145" s="891" t="s">
        <v>566</v>
      </c>
      <c r="O145" s="891"/>
      <c r="P145" s="891"/>
    </row>
    <row r="146" spans="1:16">
      <c r="A146" s="891"/>
      <c r="B146" s="891"/>
      <c r="C146" s="891"/>
      <c r="D146" s="891"/>
      <c r="E146" s="891"/>
      <c r="F146" s="891"/>
      <c r="G146" s="891"/>
      <c r="H146" s="891"/>
      <c r="I146" s="891"/>
      <c r="J146" s="891"/>
      <c r="K146" s="891"/>
      <c r="L146" s="891" t="s">
        <v>36</v>
      </c>
      <c r="M146" s="891" t="s">
        <v>919</v>
      </c>
      <c r="N146" s="891" t="s">
        <v>588</v>
      </c>
      <c r="O146" s="891"/>
      <c r="P146" s="891"/>
    </row>
    <row r="147" spans="1:16">
      <c r="A147" s="891"/>
      <c r="B147" s="891"/>
      <c r="C147" s="891"/>
      <c r="D147" s="891"/>
      <c r="E147" s="891"/>
      <c r="F147" s="891"/>
      <c r="G147" s="891"/>
      <c r="H147" s="891"/>
      <c r="I147" s="891"/>
      <c r="J147" s="891"/>
      <c r="K147" s="891"/>
      <c r="L147" s="891" t="s">
        <v>356</v>
      </c>
      <c r="M147" s="891" t="s">
        <v>920</v>
      </c>
      <c r="N147" s="891" t="s">
        <v>653</v>
      </c>
      <c r="O147" s="891"/>
      <c r="P147" s="891"/>
    </row>
    <row r="148" spans="1:16">
      <c r="A148" s="891"/>
      <c r="B148" s="891"/>
      <c r="C148" s="891"/>
      <c r="D148" s="891"/>
      <c r="E148" s="891"/>
      <c r="F148" s="891"/>
      <c r="G148" s="891"/>
      <c r="H148" s="891"/>
      <c r="I148" s="891"/>
      <c r="J148" s="891"/>
      <c r="K148" s="891"/>
      <c r="L148" s="891" t="s">
        <v>159</v>
      </c>
      <c r="M148" s="891" t="s">
        <v>561</v>
      </c>
      <c r="N148" s="891" t="s">
        <v>561</v>
      </c>
      <c r="O148" s="891"/>
      <c r="P148" s="891"/>
    </row>
    <row r="149" spans="1:16">
      <c r="A149" s="891"/>
      <c r="B149" s="891"/>
      <c r="C149" s="891"/>
      <c r="D149" s="891"/>
      <c r="E149" s="891"/>
      <c r="F149" s="891"/>
      <c r="G149" s="891"/>
      <c r="H149" s="891"/>
      <c r="I149" s="891"/>
      <c r="J149" s="891"/>
      <c r="K149" s="891"/>
      <c r="L149" s="891" t="s">
        <v>51</v>
      </c>
      <c r="M149" s="891" t="s">
        <v>921</v>
      </c>
      <c r="N149" s="891" t="s">
        <v>554</v>
      </c>
      <c r="O149" s="891"/>
      <c r="P149" s="891"/>
    </row>
    <row r="150" spans="1:16">
      <c r="A150" s="891"/>
      <c r="B150" s="891"/>
      <c r="C150" s="891"/>
      <c r="D150" s="891"/>
      <c r="E150" s="891"/>
      <c r="F150" s="891"/>
      <c r="G150" s="891"/>
      <c r="H150" s="891"/>
      <c r="I150" s="891"/>
      <c r="J150" s="891"/>
      <c r="K150" s="891"/>
      <c r="L150" s="891" t="s">
        <v>192</v>
      </c>
      <c r="M150" s="891" t="s">
        <v>922</v>
      </c>
      <c r="N150" s="891" t="s">
        <v>554</v>
      </c>
      <c r="O150" s="891"/>
      <c r="P150" s="891"/>
    </row>
    <row r="151" spans="1:16">
      <c r="A151" s="891"/>
      <c r="B151" s="891"/>
      <c r="C151" s="891"/>
      <c r="D151" s="891"/>
      <c r="E151" s="891"/>
      <c r="F151" s="891"/>
      <c r="G151" s="891"/>
      <c r="H151" s="891"/>
      <c r="I151" s="891"/>
      <c r="J151" s="891"/>
      <c r="K151" s="891"/>
      <c r="L151" s="891" t="s">
        <v>210</v>
      </c>
      <c r="M151" s="891" t="s">
        <v>923</v>
      </c>
      <c r="N151" s="891" t="s">
        <v>554</v>
      </c>
      <c r="O151" s="891"/>
      <c r="P151" s="891"/>
    </row>
    <row r="152" spans="1:16">
      <c r="A152" s="891"/>
      <c r="B152" s="891"/>
      <c r="C152" s="891"/>
      <c r="D152" s="891"/>
      <c r="E152" s="891"/>
      <c r="F152" s="891"/>
      <c r="G152" s="891"/>
      <c r="H152" s="891"/>
      <c r="I152" s="891"/>
      <c r="J152" s="891"/>
      <c r="K152" s="891"/>
      <c r="L152" s="891" t="s">
        <v>395</v>
      </c>
      <c r="M152" s="891" t="s">
        <v>924</v>
      </c>
      <c r="N152" s="891" t="s">
        <v>560</v>
      </c>
      <c r="O152" s="891"/>
      <c r="P152" s="891"/>
    </row>
    <row r="153" spans="1:16">
      <c r="A153" s="891"/>
      <c r="B153" s="891"/>
      <c r="C153" s="891"/>
      <c r="D153" s="891"/>
      <c r="E153" s="891"/>
      <c r="F153" s="891"/>
      <c r="G153" s="891"/>
      <c r="H153" s="891"/>
      <c r="I153" s="891"/>
      <c r="J153" s="891"/>
      <c r="K153" s="891"/>
      <c r="L153" s="891" t="s">
        <v>316</v>
      </c>
      <c r="M153" s="891" t="s">
        <v>925</v>
      </c>
      <c r="N153" s="891" t="s">
        <v>638</v>
      </c>
      <c r="O153" s="891"/>
      <c r="P153" s="891"/>
    </row>
    <row r="154" spans="1:16">
      <c r="A154" s="891"/>
      <c r="B154" s="891"/>
      <c r="C154" s="891"/>
      <c r="D154" s="891"/>
      <c r="E154" s="891"/>
      <c r="F154" s="891"/>
      <c r="G154" s="891"/>
      <c r="H154" s="891"/>
      <c r="I154" s="891"/>
      <c r="J154" s="891"/>
      <c r="K154" s="891"/>
      <c r="L154" s="891" t="s">
        <v>205</v>
      </c>
      <c r="M154" s="891" t="s">
        <v>926</v>
      </c>
      <c r="N154" s="891" t="s">
        <v>554</v>
      </c>
      <c r="O154" s="891"/>
      <c r="P154" s="891"/>
    </row>
    <row r="155" spans="1:16">
      <c r="A155" s="891"/>
      <c r="B155" s="891"/>
      <c r="C155" s="891"/>
      <c r="D155" s="891"/>
      <c r="E155" s="891"/>
      <c r="F155" s="891"/>
      <c r="G155" s="891"/>
      <c r="H155" s="891"/>
      <c r="I155" s="891"/>
      <c r="J155" s="891"/>
      <c r="K155" s="891"/>
      <c r="L155" s="891" t="s">
        <v>398</v>
      </c>
      <c r="M155" s="891" t="s">
        <v>927</v>
      </c>
      <c r="N155" s="891" t="s">
        <v>560</v>
      </c>
      <c r="O155" s="891"/>
      <c r="P155" s="891"/>
    </row>
    <row r="156" spans="1:16">
      <c r="A156" s="891"/>
      <c r="B156" s="891"/>
      <c r="C156" s="891"/>
      <c r="D156" s="891"/>
      <c r="E156" s="891"/>
      <c r="F156" s="891"/>
      <c r="G156" s="891"/>
      <c r="H156" s="891"/>
      <c r="I156" s="891"/>
      <c r="J156" s="891"/>
      <c r="K156" s="891"/>
      <c r="L156" s="891" t="s">
        <v>265</v>
      </c>
      <c r="M156" s="891" t="s">
        <v>928</v>
      </c>
      <c r="N156" s="891" t="s">
        <v>553</v>
      </c>
      <c r="O156" s="891"/>
      <c r="P156" s="891"/>
    </row>
    <row r="157" spans="1:16">
      <c r="A157" s="891"/>
      <c r="B157" s="891"/>
      <c r="C157" s="891"/>
      <c r="D157" s="891"/>
      <c r="E157" s="891"/>
      <c r="F157" s="891"/>
      <c r="G157" s="891"/>
      <c r="H157" s="891"/>
      <c r="I157" s="891"/>
      <c r="J157" s="891"/>
      <c r="K157" s="891"/>
      <c r="L157" s="891" t="s">
        <v>376</v>
      </c>
      <c r="M157" s="891" t="s">
        <v>929</v>
      </c>
      <c r="N157" s="891" t="s">
        <v>656</v>
      </c>
      <c r="O157" s="891"/>
      <c r="P157" s="891"/>
    </row>
    <row r="158" spans="1:16">
      <c r="A158" s="891"/>
      <c r="B158" s="891"/>
      <c r="C158" s="891"/>
      <c r="D158" s="891"/>
      <c r="E158" s="891"/>
      <c r="F158" s="891"/>
      <c r="G158" s="891"/>
      <c r="H158" s="891"/>
      <c r="I158" s="891"/>
      <c r="J158" s="891"/>
      <c r="K158" s="891"/>
      <c r="L158" s="891" t="s">
        <v>266</v>
      </c>
      <c r="M158" s="891" t="s">
        <v>930</v>
      </c>
      <c r="N158" s="891" t="s">
        <v>617</v>
      </c>
      <c r="O158" s="891"/>
      <c r="P158" s="891"/>
    </row>
    <row r="159" spans="1:16">
      <c r="A159" s="891"/>
      <c r="B159" s="891"/>
      <c r="C159" s="891"/>
      <c r="D159" s="891"/>
      <c r="E159" s="891"/>
      <c r="F159" s="891"/>
      <c r="G159" s="891"/>
      <c r="H159" s="891"/>
      <c r="I159" s="891"/>
      <c r="J159" s="891"/>
      <c r="K159" s="891"/>
      <c r="L159" s="891" t="s">
        <v>296</v>
      </c>
      <c r="M159" s="891" t="s">
        <v>931</v>
      </c>
      <c r="N159" s="891" t="s">
        <v>617</v>
      </c>
      <c r="O159" s="891"/>
      <c r="P159" s="891"/>
    </row>
    <row r="160" spans="1:16">
      <c r="A160" s="891"/>
      <c r="B160" s="891"/>
      <c r="C160" s="891"/>
      <c r="D160" s="891"/>
      <c r="E160" s="891"/>
      <c r="F160" s="891"/>
      <c r="G160" s="891"/>
      <c r="H160" s="891"/>
      <c r="I160" s="891"/>
      <c r="J160" s="891"/>
      <c r="K160" s="891"/>
      <c r="L160" s="891" t="s">
        <v>394</v>
      </c>
      <c r="M160" s="891" t="s">
        <v>932</v>
      </c>
      <c r="N160" s="891" t="s">
        <v>560</v>
      </c>
      <c r="O160" s="891"/>
      <c r="P160" s="891"/>
    </row>
    <row r="161" spans="1:16">
      <c r="A161" s="891"/>
      <c r="B161" s="891"/>
      <c r="C161" s="891"/>
      <c r="D161" s="891"/>
      <c r="E161" s="891"/>
      <c r="F161" s="891"/>
      <c r="G161" s="891"/>
      <c r="H161" s="891"/>
      <c r="I161" s="891"/>
      <c r="J161" s="891"/>
      <c r="K161" s="891"/>
      <c r="L161" s="891" t="s">
        <v>351</v>
      </c>
      <c r="M161" s="891" t="s">
        <v>933</v>
      </c>
      <c r="N161" s="891" t="s">
        <v>562</v>
      </c>
      <c r="O161" s="891"/>
      <c r="P161" s="891"/>
    </row>
    <row r="162" spans="1:16">
      <c r="A162" s="891"/>
      <c r="B162" s="891"/>
      <c r="C162" s="891"/>
      <c r="D162" s="891"/>
      <c r="E162" s="891"/>
      <c r="F162" s="891"/>
      <c r="G162" s="891"/>
      <c r="H162" s="891"/>
      <c r="I162" s="891"/>
      <c r="J162" s="891"/>
      <c r="K162" s="891"/>
      <c r="L162" s="891" t="s">
        <v>26</v>
      </c>
      <c r="M162" s="891" t="s">
        <v>934</v>
      </c>
      <c r="N162" s="891" t="s">
        <v>608</v>
      </c>
      <c r="O162" s="891"/>
      <c r="P162" s="891"/>
    </row>
    <row r="163" spans="1:16">
      <c r="A163" s="891"/>
      <c r="B163" s="891"/>
      <c r="C163" s="891"/>
      <c r="D163" s="891"/>
      <c r="E163" s="891"/>
      <c r="F163" s="891"/>
      <c r="G163" s="891"/>
      <c r="H163" s="891"/>
      <c r="I163" s="891"/>
      <c r="J163" s="891"/>
      <c r="K163" s="891"/>
      <c r="L163" s="891" t="s">
        <v>121</v>
      </c>
      <c r="M163" s="891" t="s">
        <v>935</v>
      </c>
      <c r="N163" s="891" t="s">
        <v>570</v>
      </c>
      <c r="O163" s="891"/>
      <c r="P163" s="891"/>
    </row>
    <row r="164" spans="1:16">
      <c r="A164" s="891"/>
      <c r="B164" s="891"/>
      <c r="C164" s="891"/>
      <c r="D164" s="891"/>
      <c r="E164" s="891"/>
      <c r="F164" s="891"/>
      <c r="G164" s="891"/>
      <c r="H164" s="891"/>
      <c r="I164" s="891"/>
      <c r="J164" s="891"/>
      <c r="K164" s="891"/>
      <c r="L164" s="891" t="s">
        <v>289</v>
      </c>
      <c r="M164" s="891" t="s">
        <v>936</v>
      </c>
      <c r="N164" s="891" t="s">
        <v>623</v>
      </c>
      <c r="O164" s="891"/>
      <c r="P164" s="891"/>
    </row>
    <row r="165" spans="1:16">
      <c r="A165" s="891"/>
      <c r="B165" s="891"/>
      <c r="C165" s="891"/>
      <c r="D165" s="891"/>
      <c r="E165" s="891"/>
      <c r="F165" s="891"/>
      <c r="G165" s="891"/>
      <c r="H165" s="891"/>
      <c r="I165" s="891"/>
      <c r="J165" s="891"/>
      <c r="K165" s="891"/>
      <c r="L165" s="891" t="s">
        <v>312</v>
      </c>
      <c r="M165" s="891" t="s">
        <v>937</v>
      </c>
      <c r="N165" s="891" t="s">
        <v>576</v>
      </c>
      <c r="O165" s="891"/>
      <c r="P165" s="891"/>
    </row>
    <row r="166" spans="1:16">
      <c r="A166" s="891"/>
      <c r="B166" s="891"/>
      <c r="C166" s="891"/>
      <c r="D166" s="891"/>
      <c r="E166" s="891"/>
      <c r="F166" s="891"/>
      <c r="G166" s="891"/>
      <c r="H166" s="891"/>
      <c r="I166" s="891"/>
      <c r="J166" s="891"/>
      <c r="K166" s="891"/>
      <c r="L166" s="891" t="s">
        <v>317</v>
      </c>
      <c r="M166" s="891" t="s">
        <v>938</v>
      </c>
      <c r="N166" s="891" t="s">
        <v>756</v>
      </c>
      <c r="O166" s="891"/>
      <c r="P166" s="891"/>
    </row>
    <row r="167" spans="1:16">
      <c r="A167" s="891"/>
      <c r="B167" s="891"/>
      <c r="C167" s="891"/>
      <c r="D167" s="891"/>
      <c r="E167" s="891"/>
      <c r="F167" s="891"/>
      <c r="G167" s="891"/>
      <c r="H167" s="891"/>
      <c r="I167" s="891"/>
      <c r="J167" s="891"/>
      <c r="K167" s="891"/>
      <c r="L167" s="891" t="s">
        <v>200</v>
      </c>
      <c r="M167" s="891" t="s">
        <v>939</v>
      </c>
      <c r="N167" s="891" t="s">
        <v>554</v>
      </c>
      <c r="O167" s="891"/>
      <c r="P167" s="891"/>
    </row>
    <row r="168" spans="1:16">
      <c r="A168" s="891"/>
      <c r="B168" s="891"/>
      <c r="C168" s="891"/>
      <c r="D168" s="891"/>
      <c r="E168" s="891"/>
      <c r="F168" s="891"/>
      <c r="G168" s="891"/>
      <c r="H168" s="891"/>
      <c r="I168" s="891"/>
      <c r="J168" s="891"/>
      <c r="K168" s="891"/>
      <c r="L168" s="891" t="s">
        <v>377</v>
      </c>
      <c r="M168" s="891" t="s">
        <v>940</v>
      </c>
      <c r="N168" s="891" t="s">
        <v>656</v>
      </c>
      <c r="O168" s="891"/>
      <c r="P168" s="891"/>
    </row>
    <row r="169" spans="1:16">
      <c r="A169" s="891"/>
      <c r="B169" s="891"/>
      <c r="C169" s="891"/>
      <c r="D169" s="891"/>
      <c r="E169" s="891"/>
      <c r="F169" s="891"/>
      <c r="G169" s="891"/>
      <c r="H169" s="891"/>
      <c r="I169" s="891"/>
      <c r="J169" s="891"/>
      <c r="K169" s="891"/>
      <c r="L169" s="891" t="s">
        <v>374</v>
      </c>
      <c r="M169" s="891" t="s">
        <v>941</v>
      </c>
      <c r="N169" s="891" t="s">
        <v>655</v>
      </c>
      <c r="O169" s="891"/>
      <c r="P169" s="891"/>
    </row>
    <row r="170" spans="1:16">
      <c r="A170" s="891"/>
      <c r="B170" s="891"/>
      <c r="C170" s="891"/>
      <c r="D170" s="891"/>
      <c r="E170" s="891"/>
      <c r="F170" s="891"/>
      <c r="G170" s="891"/>
      <c r="H170" s="891"/>
      <c r="I170" s="891"/>
      <c r="J170" s="891"/>
      <c r="K170" s="891"/>
      <c r="L170" s="891" t="s">
        <v>336</v>
      </c>
      <c r="M170" s="891" t="s">
        <v>942</v>
      </c>
      <c r="N170" s="891" t="s">
        <v>629</v>
      </c>
      <c r="O170" s="891"/>
      <c r="P170" s="891"/>
    </row>
    <row r="171" spans="1:16">
      <c r="A171" s="891"/>
      <c r="B171" s="891"/>
      <c r="C171" s="891"/>
      <c r="D171" s="891"/>
      <c r="E171" s="891"/>
      <c r="F171" s="891"/>
      <c r="G171" s="891"/>
      <c r="H171" s="891"/>
      <c r="I171" s="891"/>
      <c r="J171" s="891"/>
      <c r="K171" s="891"/>
      <c r="L171" s="891" t="s">
        <v>253</v>
      </c>
      <c r="M171" s="891" t="s">
        <v>943</v>
      </c>
      <c r="N171" s="891" t="s">
        <v>620</v>
      </c>
      <c r="O171" s="891"/>
      <c r="P171" s="891"/>
    </row>
    <row r="172" spans="1:16">
      <c r="A172" s="891"/>
      <c r="B172" s="891"/>
      <c r="C172" s="891"/>
      <c r="D172" s="891"/>
      <c r="E172" s="891"/>
      <c r="F172" s="891"/>
      <c r="G172" s="891"/>
      <c r="H172" s="891"/>
      <c r="I172" s="891"/>
      <c r="J172" s="891"/>
      <c r="K172" s="891"/>
      <c r="L172" s="891" t="s">
        <v>136</v>
      </c>
      <c r="M172" s="891" t="s">
        <v>944</v>
      </c>
      <c r="N172" s="891" t="s">
        <v>559</v>
      </c>
      <c r="O172" s="891"/>
      <c r="P172" s="891"/>
    </row>
    <row r="173" spans="1:16">
      <c r="A173" s="891"/>
      <c r="B173" s="891"/>
      <c r="C173" s="891"/>
      <c r="D173" s="891"/>
      <c r="E173" s="891"/>
      <c r="F173" s="891"/>
      <c r="G173" s="891"/>
      <c r="H173" s="891"/>
      <c r="I173" s="891"/>
      <c r="J173" s="891"/>
      <c r="K173" s="891"/>
      <c r="L173" s="891" t="s">
        <v>346</v>
      </c>
      <c r="M173" s="891" t="s">
        <v>945</v>
      </c>
      <c r="N173" s="891" t="s">
        <v>645</v>
      </c>
      <c r="O173" s="891"/>
      <c r="P173" s="891"/>
    </row>
    <row r="174" spans="1:16">
      <c r="A174" s="891"/>
      <c r="B174" s="891"/>
      <c r="C174" s="891"/>
      <c r="D174" s="891"/>
      <c r="E174" s="891"/>
      <c r="F174" s="891"/>
      <c r="G174" s="891"/>
      <c r="H174" s="891"/>
      <c r="I174" s="891"/>
      <c r="J174" s="891"/>
      <c r="K174" s="891"/>
      <c r="L174" s="891" t="s">
        <v>249</v>
      </c>
      <c r="M174" s="891" t="s">
        <v>946</v>
      </c>
      <c r="N174" s="891" t="s">
        <v>662</v>
      </c>
      <c r="O174" s="891"/>
      <c r="P174" s="891"/>
    </row>
    <row r="175" spans="1:16">
      <c r="A175" s="891"/>
      <c r="B175" s="891"/>
      <c r="C175" s="891"/>
      <c r="D175" s="891"/>
      <c r="E175" s="891"/>
      <c r="F175" s="891"/>
      <c r="G175" s="891"/>
      <c r="H175" s="891"/>
      <c r="I175" s="891"/>
      <c r="J175" s="891"/>
      <c r="K175" s="891"/>
      <c r="L175" s="891" t="s">
        <v>313</v>
      </c>
      <c r="M175" s="891" t="s">
        <v>947</v>
      </c>
      <c r="N175" s="891" t="s">
        <v>645</v>
      </c>
      <c r="O175" s="891"/>
      <c r="P175" s="891"/>
    </row>
    <row r="176" spans="1:16">
      <c r="A176" s="891"/>
      <c r="B176" s="891"/>
      <c r="C176" s="891"/>
      <c r="D176" s="891"/>
      <c r="E176" s="891"/>
      <c r="F176" s="891"/>
      <c r="G176" s="891"/>
      <c r="H176" s="891"/>
      <c r="I176" s="891"/>
      <c r="J176" s="891"/>
      <c r="K176" s="891"/>
      <c r="L176" s="891" t="s">
        <v>163</v>
      </c>
      <c r="M176" s="891" t="s">
        <v>948</v>
      </c>
      <c r="N176" s="891" t="s">
        <v>757</v>
      </c>
      <c r="O176" s="891"/>
      <c r="P176" s="891"/>
    </row>
    <row r="177" spans="1:16">
      <c r="A177" s="891"/>
      <c r="B177" s="891"/>
      <c r="C177" s="891"/>
      <c r="D177" s="891"/>
      <c r="E177" s="891"/>
      <c r="F177" s="891"/>
      <c r="G177" s="891"/>
      <c r="H177" s="891"/>
      <c r="I177" s="891"/>
      <c r="J177" s="891"/>
      <c r="K177" s="891"/>
      <c r="L177" s="891" t="s">
        <v>124</v>
      </c>
      <c r="M177" s="891" t="s">
        <v>949</v>
      </c>
      <c r="N177" s="891" t="s">
        <v>559</v>
      </c>
      <c r="O177" s="891"/>
      <c r="P177" s="891"/>
    </row>
    <row r="178" spans="1:16">
      <c r="A178" s="891"/>
      <c r="B178" s="891"/>
      <c r="C178" s="891"/>
      <c r="D178" s="891"/>
      <c r="E178" s="891"/>
      <c r="F178" s="891"/>
      <c r="G178" s="891"/>
      <c r="H178" s="891"/>
      <c r="I178" s="891"/>
      <c r="J178" s="891"/>
      <c r="K178" s="891"/>
      <c r="L178" s="891" t="s">
        <v>392</v>
      </c>
      <c r="M178" s="891" t="s">
        <v>950</v>
      </c>
      <c r="N178" s="891" t="s">
        <v>560</v>
      </c>
      <c r="O178" s="891"/>
      <c r="P178" s="891"/>
    </row>
    <row r="179" spans="1:16">
      <c r="A179" s="891"/>
      <c r="B179" s="891"/>
      <c r="C179" s="891"/>
      <c r="D179" s="891"/>
      <c r="E179" s="891"/>
      <c r="F179" s="891"/>
      <c r="G179" s="891"/>
      <c r="H179" s="891"/>
      <c r="I179" s="891"/>
      <c r="J179" s="891"/>
      <c r="K179" s="891"/>
      <c r="L179" s="891" t="s">
        <v>390</v>
      </c>
      <c r="M179" s="891" t="s">
        <v>951</v>
      </c>
      <c r="N179" s="891" t="s">
        <v>560</v>
      </c>
      <c r="O179" s="891"/>
      <c r="P179" s="891"/>
    </row>
    <row r="180" spans="1:16">
      <c r="A180" s="891"/>
      <c r="B180" s="891"/>
      <c r="C180" s="891"/>
      <c r="D180" s="891"/>
      <c r="E180" s="891"/>
      <c r="F180" s="891"/>
      <c r="G180" s="891"/>
      <c r="H180" s="891"/>
      <c r="I180" s="891"/>
      <c r="J180" s="891"/>
      <c r="K180" s="891"/>
      <c r="L180" s="891" t="s">
        <v>263</v>
      </c>
      <c r="M180" s="891" t="s">
        <v>952</v>
      </c>
      <c r="N180" s="891" t="s">
        <v>616</v>
      </c>
      <c r="O180" s="891"/>
      <c r="P180" s="891"/>
    </row>
    <row r="181" spans="1:16">
      <c r="A181" s="891"/>
      <c r="B181" s="891"/>
      <c r="C181" s="891"/>
      <c r="D181" s="891"/>
      <c r="E181" s="891"/>
      <c r="F181" s="891"/>
      <c r="G181" s="891"/>
      <c r="H181" s="891"/>
      <c r="I181" s="891"/>
      <c r="J181" s="891"/>
      <c r="K181" s="891"/>
      <c r="L181" s="891" t="s">
        <v>221</v>
      </c>
      <c r="M181" s="891" t="s">
        <v>953</v>
      </c>
      <c r="N181" s="891" t="s">
        <v>561</v>
      </c>
      <c r="O181" s="891"/>
      <c r="P181" s="891"/>
    </row>
    <row r="182" spans="1:16">
      <c r="A182" s="891"/>
      <c r="B182" s="891"/>
      <c r="C182" s="891"/>
      <c r="D182" s="891"/>
      <c r="E182" s="891"/>
      <c r="F182" s="891"/>
      <c r="G182" s="891"/>
      <c r="H182" s="891"/>
      <c r="I182" s="891"/>
      <c r="J182" s="891"/>
      <c r="K182" s="891"/>
      <c r="L182" s="891" t="s">
        <v>309</v>
      </c>
      <c r="M182" s="891" t="s">
        <v>954</v>
      </c>
      <c r="N182" s="891" t="s">
        <v>629</v>
      </c>
      <c r="O182" s="891"/>
      <c r="P182" s="891"/>
    </row>
    <row r="183" spans="1:16">
      <c r="A183" s="891"/>
      <c r="B183" s="891"/>
      <c r="C183" s="891"/>
      <c r="D183" s="891"/>
      <c r="E183" s="891"/>
      <c r="F183" s="891"/>
      <c r="G183" s="891"/>
      <c r="H183" s="891"/>
      <c r="I183" s="891"/>
      <c r="J183" s="891"/>
      <c r="K183" s="891"/>
      <c r="L183" s="891" t="s">
        <v>305</v>
      </c>
      <c r="M183" s="891" t="s">
        <v>955</v>
      </c>
      <c r="N183" s="891" t="s">
        <v>556</v>
      </c>
      <c r="O183" s="891"/>
      <c r="P183" s="891"/>
    </row>
    <row r="184" spans="1:16">
      <c r="A184" s="891"/>
      <c r="B184" s="891"/>
      <c r="C184" s="891"/>
      <c r="D184" s="891"/>
      <c r="E184" s="891"/>
      <c r="F184" s="891"/>
      <c r="G184" s="891"/>
      <c r="H184" s="891"/>
      <c r="I184" s="891"/>
      <c r="J184" s="891"/>
      <c r="K184" s="891"/>
      <c r="L184" s="891" t="s">
        <v>292</v>
      </c>
      <c r="M184" s="891" t="s">
        <v>956</v>
      </c>
      <c r="N184" s="891" t="s">
        <v>576</v>
      </c>
      <c r="O184" s="891"/>
      <c r="P184" s="891"/>
    </row>
    <row r="185" spans="1:16">
      <c r="A185" s="891"/>
      <c r="B185" s="891"/>
      <c r="C185" s="891"/>
      <c r="D185" s="891"/>
      <c r="E185" s="891"/>
      <c r="F185" s="891"/>
      <c r="G185" s="891"/>
      <c r="H185" s="891"/>
      <c r="I185" s="891"/>
      <c r="J185" s="891"/>
      <c r="K185" s="891"/>
      <c r="L185" s="891" t="s">
        <v>156</v>
      </c>
      <c r="M185" s="891" t="s">
        <v>957</v>
      </c>
      <c r="N185" s="891" t="s">
        <v>601</v>
      </c>
      <c r="O185" s="891"/>
      <c r="P185" s="891"/>
    </row>
    <row r="186" spans="1:16">
      <c r="A186" s="891"/>
      <c r="B186" s="891"/>
      <c r="C186" s="891"/>
      <c r="D186" s="891"/>
      <c r="E186" s="891"/>
      <c r="F186" s="891"/>
      <c r="G186" s="891"/>
      <c r="H186" s="891"/>
      <c r="I186" s="891"/>
      <c r="J186" s="891"/>
      <c r="K186" s="891"/>
      <c r="L186" s="891" t="s">
        <v>157</v>
      </c>
      <c r="M186" s="891" t="s">
        <v>958</v>
      </c>
      <c r="N186" s="891" t="s">
        <v>594</v>
      </c>
      <c r="O186" s="891"/>
      <c r="P186" s="891"/>
    </row>
    <row r="187" spans="1:16">
      <c r="A187" s="891"/>
      <c r="B187" s="891"/>
      <c r="C187" s="891"/>
      <c r="D187" s="891"/>
      <c r="E187" s="891"/>
      <c r="F187" s="891"/>
      <c r="G187" s="891"/>
      <c r="H187" s="891"/>
      <c r="I187" s="891"/>
      <c r="J187" s="891"/>
      <c r="K187" s="891"/>
      <c r="L187" s="891" t="s">
        <v>372</v>
      </c>
      <c r="M187" s="891" t="s">
        <v>959</v>
      </c>
      <c r="N187" s="891" t="s">
        <v>656</v>
      </c>
      <c r="O187" s="891"/>
      <c r="P187" s="891"/>
    </row>
    <row r="188" spans="1:16">
      <c r="A188" s="891"/>
      <c r="B188" s="891"/>
      <c r="C188" s="891"/>
      <c r="D188" s="891"/>
      <c r="E188" s="891"/>
      <c r="F188" s="891"/>
      <c r="G188" s="891"/>
      <c r="H188" s="891"/>
      <c r="I188" s="891"/>
      <c r="J188" s="891"/>
      <c r="K188" s="891"/>
      <c r="L188" s="891" t="s">
        <v>180</v>
      </c>
      <c r="M188" s="891" t="s">
        <v>960</v>
      </c>
      <c r="N188" s="891" t="s">
        <v>554</v>
      </c>
      <c r="O188" s="891"/>
      <c r="P188" s="891"/>
    </row>
    <row r="189" spans="1:16">
      <c r="A189" s="891"/>
      <c r="B189" s="891"/>
      <c r="C189" s="891"/>
      <c r="D189" s="891"/>
      <c r="E189" s="891"/>
      <c r="F189" s="891"/>
      <c r="G189" s="891"/>
      <c r="H189" s="891"/>
      <c r="I189" s="891"/>
      <c r="J189" s="891"/>
      <c r="K189" s="891"/>
      <c r="L189" s="891" t="s">
        <v>8</v>
      </c>
      <c r="M189" s="891" t="s">
        <v>961</v>
      </c>
      <c r="N189" s="891" t="s">
        <v>578</v>
      </c>
      <c r="O189" s="891"/>
      <c r="P189" s="891"/>
    </row>
    <row r="190" spans="1:16">
      <c r="A190" s="891"/>
      <c r="B190" s="891"/>
      <c r="C190" s="891"/>
      <c r="D190" s="891"/>
      <c r="E190" s="891"/>
      <c r="F190" s="891"/>
      <c r="G190" s="891"/>
      <c r="H190" s="891"/>
      <c r="I190" s="891"/>
      <c r="J190" s="891"/>
      <c r="K190" s="891"/>
      <c r="L190" s="891" t="s">
        <v>92</v>
      </c>
      <c r="M190" s="891" t="s">
        <v>962</v>
      </c>
      <c r="N190" s="891" t="s">
        <v>591</v>
      </c>
      <c r="O190" s="891"/>
      <c r="P190" s="891"/>
    </row>
    <row r="191" spans="1:16">
      <c r="A191" s="891"/>
      <c r="B191" s="891"/>
      <c r="C191" s="891"/>
      <c r="D191" s="891"/>
      <c r="E191" s="891"/>
      <c r="F191" s="891"/>
      <c r="G191" s="891"/>
      <c r="H191" s="891"/>
      <c r="I191" s="891"/>
      <c r="J191" s="891"/>
      <c r="K191" s="891"/>
      <c r="L191" s="891" t="s">
        <v>112</v>
      </c>
      <c r="M191" s="891" t="s">
        <v>963</v>
      </c>
      <c r="N191" s="891" t="s">
        <v>591</v>
      </c>
      <c r="O191" s="891"/>
      <c r="P191" s="891"/>
    </row>
    <row r="192" spans="1:16">
      <c r="A192" s="891"/>
      <c r="B192" s="891"/>
      <c r="C192" s="891"/>
      <c r="D192" s="891"/>
      <c r="E192" s="891"/>
      <c r="F192" s="891"/>
      <c r="G192" s="891"/>
      <c r="H192" s="891"/>
      <c r="I192" s="891"/>
      <c r="J192" s="891"/>
      <c r="K192" s="891"/>
      <c r="L192" s="891" t="s">
        <v>75</v>
      </c>
      <c r="M192" s="891" t="s">
        <v>964</v>
      </c>
      <c r="N192" s="891" t="s">
        <v>590</v>
      </c>
      <c r="O192" s="891"/>
      <c r="P192" s="891"/>
    </row>
    <row r="193" spans="1:16">
      <c r="A193" s="891"/>
      <c r="B193" s="891"/>
      <c r="C193" s="891"/>
      <c r="D193" s="891"/>
      <c r="E193" s="891"/>
      <c r="F193" s="891"/>
      <c r="G193" s="891"/>
      <c r="H193" s="891"/>
      <c r="I193" s="891"/>
      <c r="J193" s="891"/>
      <c r="K193" s="891"/>
      <c r="L193" s="891" t="s">
        <v>83</v>
      </c>
      <c r="M193" s="891" t="s">
        <v>965</v>
      </c>
      <c r="N193" s="891" t="s">
        <v>569</v>
      </c>
      <c r="O193" s="891"/>
      <c r="P193" s="891"/>
    </row>
    <row r="194" spans="1:16">
      <c r="A194" s="891"/>
      <c r="B194" s="891"/>
      <c r="C194" s="891"/>
      <c r="D194" s="891"/>
      <c r="E194" s="891"/>
      <c r="F194" s="891"/>
      <c r="G194" s="891"/>
      <c r="H194" s="891"/>
      <c r="I194" s="891"/>
      <c r="J194" s="891"/>
      <c r="K194" s="891"/>
      <c r="L194" s="891" t="s">
        <v>294</v>
      </c>
      <c r="M194" s="891" t="s">
        <v>966</v>
      </c>
      <c r="N194" s="891" t="s">
        <v>643</v>
      </c>
      <c r="O194" s="891"/>
      <c r="P194" s="891"/>
    </row>
    <row r="195" spans="1:16">
      <c r="A195" s="891"/>
      <c r="B195" s="891"/>
      <c r="C195" s="891"/>
      <c r="D195" s="891"/>
      <c r="E195" s="891"/>
      <c r="F195" s="891"/>
      <c r="G195" s="891"/>
      <c r="H195" s="891"/>
      <c r="I195" s="891"/>
      <c r="J195" s="891"/>
      <c r="K195" s="891"/>
      <c r="L195" s="891" t="s">
        <v>135</v>
      </c>
      <c r="M195" s="891" t="s">
        <v>967</v>
      </c>
      <c r="N195" s="891" t="s">
        <v>592</v>
      </c>
      <c r="O195" s="891"/>
      <c r="P195" s="891"/>
    </row>
    <row r="196" spans="1:16">
      <c r="A196" s="891"/>
      <c r="B196" s="891"/>
      <c r="C196" s="891"/>
      <c r="D196" s="891"/>
      <c r="E196" s="891"/>
      <c r="F196" s="891"/>
      <c r="G196" s="891"/>
      <c r="H196" s="891"/>
      <c r="I196" s="891"/>
      <c r="J196" s="891"/>
      <c r="K196" s="891"/>
      <c r="L196" s="891" t="s">
        <v>72</v>
      </c>
      <c r="M196" s="891" t="s">
        <v>968</v>
      </c>
      <c r="N196" s="891" t="s">
        <v>571</v>
      </c>
      <c r="O196" s="891"/>
      <c r="P196" s="891"/>
    </row>
    <row r="197" spans="1:16">
      <c r="A197" s="891"/>
      <c r="B197" s="891"/>
      <c r="C197" s="891"/>
      <c r="D197" s="891"/>
      <c r="E197" s="891"/>
      <c r="F197" s="891"/>
      <c r="G197" s="891"/>
      <c r="H197" s="891"/>
      <c r="I197" s="891"/>
      <c r="J197" s="891"/>
      <c r="K197" s="891"/>
      <c r="L197" s="891" t="s">
        <v>204</v>
      </c>
      <c r="M197" s="891" t="s">
        <v>969</v>
      </c>
      <c r="N197" s="891" t="s">
        <v>606</v>
      </c>
      <c r="O197" s="891"/>
      <c r="P197" s="891"/>
    </row>
    <row r="198" spans="1:16">
      <c r="A198" s="891"/>
      <c r="B198" s="891"/>
      <c r="C198" s="891"/>
      <c r="D198" s="891"/>
      <c r="E198" s="891"/>
      <c r="F198" s="891"/>
      <c r="G198" s="891"/>
      <c r="H198" s="891"/>
      <c r="I198" s="891"/>
      <c r="J198" s="891"/>
      <c r="K198" s="891"/>
      <c r="L198" s="891" t="s">
        <v>97</v>
      </c>
      <c r="M198" s="891" t="s">
        <v>970</v>
      </c>
      <c r="N198" s="891" t="s">
        <v>591</v>
      </c>
      <c r="O198" s="891"/>
      <c r="P198" s="891"/>
    </row>
    <row r="199" spans="1:16">
      <c r="A199" s="891"/>
      <c r="B199" s="891"/>
      <c r="C199" s="891"/>
      <c r="D199" s="891"/>
      <c r="E199" s="891"/>
      <c r="F199" s="891"/>
      <c r="G199" s="891"/>
      <c r="H199" s="891"/>
      <c r="I199" s="891"/>
      <c r="J199" s="891"/>
      <c r="K199" s="891"/>
      <c r="L199" s="891" t="s">
        <v>173</v>
      </c>
      <c r="M199" s="891" t="s">
        <v>971</v>
      </c>
      <c r="N199" s="891" t="s">
        <v>599</v>
      </c>
      <c r="O199" s="891"/>
      <c r="P199" s="891"/>
    </row>
    <row r="200" spans="1:16">
      <c r="A200" s="891"/>
      <c r="B200" s="891"/>
      <c r="C200" s="891"/>
      <c r="D200" s="891"/>
      <c r="E200" s="891"/>
      <c r="F200" s="891"/>
      <c r="G200" s="891"/>
      <c r="H200" s="891"/>
      <c r="I200" s="891"/>
      <c r="J200" s="891"/>
      <c r="K200" s="891"/>
      <c r="L200" s="891" t="s">
        <v>310</v>
      </c>
      <c r="M200" s="891" t="s">
        <v>972</v>
      </c>
      <c r="N200" s="891" t="s">
        <v>629</v>
      </c>
      <c r="O200" s="891"/>
      <c r="P200" s="891"/>
    </row>
    <row r="201" spans="1:16">
      <c r="A201" s="891"/>
      <c r="B201" s="891"/>
      <c r="C201" s="891"/>
      <c r="D201" s="891"/>
      <c r="E201" s="891"/>
      <c r="F201" s="891"/>
      <c r="G201" s="891"/>
      <c r="H201" s="891"/>
      <c r="I201" s="891"/>
      <c r="J201" s="891"/>
      <c r="K201" s="891"/>
      <c r="L201" s="891" t="s">
        <v>115</v>
      </c>
      <c r="M201" s="891" t="s">
        <v>973</v>
      </c>
      <c r="N201" s="891" t="s">
        <v>559</v>
      </c>
      <c r="O201" s="891"/>
      <c r="P201" s="891"/>
    </row>
    <row r="202" spans="1:16">
      <c r="A202" s="891"/>
      <c r="B202" s="891"/>
      <c r="C202" s="891"/>
      <c r="D202" s="891"/>
      <c r="E202" s="891"/>
      <c r="F202" s="891"/>
      <c r="G202" s="891"/>
      <c r="H202" s="891"/>
      <c r="I202" s="891"/>
      <c r="J202" s="891"/>
      <c r="K202" s="891"/>
      <c r="L202" s="891" t="s">
        <v>30</v>
      </c>
      <c r="M202" s="891" t="s">
        <v>973</v>
      </c>
      <c r="N202" s="891" t="s">
        <v>591</v>
      </c>
      <c r="O202" s="891"/>
      <c r="P202" s="891"/>
    </row>
    <row r="203" spans="1:16">
      <c r="A203" s="891"/>
      <c r="B203" s="891"/>
      <c r="C203" s="891"/>
      <c r="D203" s="891"/>
      <c r="E203" s="891"/>
      <c r="F203" s="891"/>
      <c r="G203" s="891"/>
      <c r="H203" s="891"/>
      <c r="I203" s="891"/>
      <c r="J203" s="891"/>
      <c r="K203" s="891"/>
      <c r="L203" s="891" t="s">
        <v>211</v>
      </c>
      <c r="M203" s="891" t="s">
        <v>974</v>
      </c>
      <c r="N203" s="891" t="s">
        <v>554</v>
      </c>
      <c r="O203" s="891"/>
      <c r="P203" s="891"/>
    </row>
    <row r="204" spans="1:16">
      <c r="A204" s="891"/>
      <c r="B204" s="891"/>
      <c r="C204" s="891"/>
      <c r="D204" s="891"/>
      <c r="E204" s="891"/>
      <c r="F204" s="891"/>
      <c r="G204" s="891"/>
      <c r="H204" s="891"/>
      <c r="I204" s="891"/>
      <c r="J204" s="891"/>
      <c r="K204" s="891"/>
      <c r="L204" s="891" t="s">
        <v>329</v>
      </c>
      <c r="M204" s="891" t="s">
        <v>975</v>
      </c>
      <c r="N204" s="891" t="s">
        <v>629</v>
      </c>
      <c r="O204" s="891"/>
      <c r="P204" s="891"/>
    </row>
    <row r="205" spans="1:16">
      <c r="A205" s="891"/>
      <c r="B205" s="891"/>
      <c r="C205" s="891"/>
      <c r="D205" s="891"/>
      <c r="E205" s="891"/>
      <c r="F205" s="891"/>
      <c r="G205" s="891"/>
      <c r="H205" s="891"/>
      <c r="I205" s="891"/>
      <c r="J205" s="891"/>
      <c r="K205" s="891"/>
      <c r="L205" s="891" t="s">
        <v>12</v>
      </c>
      <c r="M205" s="891" t="s">
        <v>976</v>
      </c>
      <c r="N205" s="891" t="s">
        <v>578</v>
      </c>
      <c r="O205" s="891"/>
      <c r="P205" s="891"/>
    </row>
    <row r="206" spans="1:16">
      <c r="A206" s="891"/>
      <c r="B206" s="891"/>
      <c r="C206" s="891"/>
      <c r="D206" s="891"/>
      <c r="E206" s="891"/>
      <c r="F206" s="891"/>
      <c r="G206" s="891"/>
      <c r="H206" s="891"/>
      <c r="I206" s="891"/>
      <c r="J206" s="891"/>
      <c r="K206" s="891"/>
      <c r="L206" s="891" t="s">
        <v>25</v>
      </c>
      <c r="M206" s="891" t="s">
        <v>580</v>
      </c>
      <c r="N206" s="891" t="s">
        <v>580</v>
      </c>
      <c r="O206" s="891"/>
      <c r="P206" s="891"/>
    </row>
    <row r="207" spans="1:16">
      <c r="A207" s="891"/>
      <c r="B207" s="891"/>
      <c r="C207" s="891"/>
      <c r="D207" s="891"/>
      <c r="E207" s="891"/>
      <c r="F207" s="891"/>
      <c r="G207" s="891"/>
      <c r="H207" s="891"/>
      <c r="I207" s="891"/>
      <c r="J207" s="891"/>
      <c r="K207" s="891"/>
      <c r="L207" s="891" t="s">
        <v>344</v>
      </c>
      <c r="M207" s="891" t="s">
        <v>977</v>
      </c>
      <c r="N207" s="891" t="s">
        <v>645</v>
      </c>
      <c r="O207" s="891"/>
      <c r="P207" s="891"/>
    </row>
    <row r="208" spans="1:16">
      <c r="A208" s="891"/>
      <c r="B208" s="891"/>
      <c r="C208" s="891"/>
      <c r="D208" s="891"/>
      <c r="E208" s="891"/>
      <c r="F208" s="891"/>
      <c r="G208" s="891"/>
      <c r="H208" s="891"/>
      <c r="I208" s="891"/>
      <c r="J208" s="891"/>
      <c r="K208" s="891"/>
      <c r="L208" s="891" t="s">
        <v>65</v>
      </c>
      <c r="M208" s="891" t="s">
        <v>978</v>
      </c>
      <c r="N208" s="891" t="s">
        <v>569</v>
      </c>
      <c r="O208" s="891"/>
      <c r="P208" s="891"/>
    </row>
    <row r="209" spans="1:16">
      <c r="A209" s="891"/>
      <c r="B209" s="891"/>
      <c r="C209" s="891"/>
      <c r="D209" s="891"/>
      <c r="E209" s="891"/>
      <c r="F209" s="891"/>
      <c r="G209" s="891"/>
      <c r="H209" s="891"/>
      <c r="I209" s="891"/>
      <c r="J209" s="891"/>
      <c r="K209" s="891"/>
      <c r="L209" s="891" t="s">
        <v>231</v>
      </c>
      <c r="M209" s="891" t="s">
        <v>663</v>
      </c>
      <c r="N209" s="891" t="s">
        <v>663</v>
      </c>
      <c r="O209" s="891"/>
      <c r="P209" s="891"/>
    </row>
    <row r="210" spans="1:16">
      <c r="A210" s="891"/>
      <c r="B210" s="891"/>
      <c r="C210" s="891"/>
      <c r="D210" s="891"/>
      <c r="E210" s="891"/>
      <c r="F210" s="891"/>
      <c r="G210" s="891"/>
      <c r="H210" s="891"/>
      <c r="I210" s="891"/>
      <c r="J210" s="891"/>
      <c r="K210" s="891"/>
      <c r="L210" s="891" t="s">
        <v>152</v>
      </c>
      <c r="M210" s="891" t="s">
        <v>979</v>
      </c>
      <c r="N210" s="891" t="s">
        <v>554</v>
      </c>
      <c r="O210" s="891"/>
      <c r="P210" s="891"/>
    </row>
    <row r="211" spans="1:16">
      <c r="A211" s="891"/>
      <c r="B211" s="891"/>
      <c r="C211" s="891"/>
      <c r="D211" s="891"/>
      <c r="E211" s="891"/>
      <c r="F211" s="891"/>
      <c r="G211" s="891"/>
      <c r="H211" s="891"/>
      <c r="I211" s="891"/>
      <c r="J211" s="891"/>
      <c r="K211" s="891"/>
      <c r="L211" s="891" t="s">
        <v>161</v>
      </c>
      <c r="M211" s="891" t="s">
        <v>980</v>
      </c>
      <c r="N211" s="891" t="s">
        <v>596</v>
      </c>
      <c r="O211" s="891"/>
      <c r="P211" s="891"/>
    </row>
    <row r="212" spans="1:16">
      <c r="A212" s="891"/>
      <c r="B212" s="891"/>
      <c r="C212" s="891"/>
      <c r="D212" s="891"/>
      <c r="E212" s="891"/>
      <c r="F212" s="891"/>
      <c r="G212" s="891"/>
      <c r="H212" s="891"/>
      <c r="I212" s="891"/>
      <c r="J212" s="891"/>
      <c r="K212" s="891"/>
      <c r="L212" s="891" t="s">
        <v>308</v>
      </c>
      <c r="M212" s="891" t="s">
        <v>981</v>
      </c>
      <c r="N212" s="891" t="s">
        <v>646</v>
      </c>
      <c r="O212" s="891"/>
      <c r="P212" s="891"/>
    </row>
    <row r="213" spans="1:16">
      <c r="A213" s="891"/>
      <c r="B213" s="891"/>
      <c r="C213" s="891"/>
      <c r="D213" s="891"/>
      <c r="E213" s="891"/>
      <c r="F213" s="891"/>
      <c r="G213" s="891"/>
      <c r="H213" s="891"/>
      <c r="I213" s="891"/>
      <c r="J213" s="891"/>
      <c r="K213" s="891"/>
      <c r="L213" s="891" t="s">
        <v>236</v>
      </c>
      <c r="M213" s="891" t="s">
        <v>982</v>
      </c>
      <c r="N213" s="891" t="s">
        <v>596</v>
      </c>
      <c r="O213" s="891"/>
      <c r="P213" s="891"/>
    </row>
    <row r="214" spans="1:16">
      <c r="A214" s="891"/>
      <c r="B214" s="891"/>
      <c r="C214" s="891"/>
      <c r="D214" s="891"/>
      <c r="E214" s="891"/>
      <c r="F214" s="891"/>
      <c r="G214" s="891"/>
      <c r="H214" s="891"/>
      <c r="I214" s="891"/>
      <c r="J214" s="891"/>
      <c r="K214" s="891"/>
      <c r="L214" s="891" t="s">
        <v>60</v>
      </c>
      <c r="M214" s="891" t="s">
        <v>983</v>
      </c>
      <c r="N214" s="891" t="s">
        <v>582</v>
      </c>
      <c r="O214" s="891"/>
      <c r="P214" s="891"/>
    </row>
    <row r="215" spans="1:16">
      <c r="A215" s="891"/>
      <c r="B215" s="891"/>
      <c r="C215" s="891"/>
      <c r="D215" s="891"/>
      <c r="E215" s="891"/>
      <c r="F215" s="891"/>
      <c r="G215" s="891"/>
      <c r="H215" s="891"/>
      <c r="I215" s="891"/>
      <c r="J215" s="891"/>
      <c r="K215" s="891"/>
      <c r="L215" s="891" t="s">
        <v>262</v>
      </c>
      <c r="M215" s="891" t="s">
        <v>984</v>
      </c>
      <c r="N215" s="891" t="s">
        <v>584</v>
      </c>
      <c r="O215" s="891"/>
      <c r="P215" s="891"/>
    </row>
    <row r="216" spans="1:16">
      <c r="A216" s="891"/>
      <c r="B216" s="891"/>
      <c r="C216" s="891"/>
      <c r="D216" s="891"/>
      <c r="E216" s="891"/>
      <c r="F216" s="891"/>
      <c r="G216" s="891"/>
      <c r="H216" s="891"/>
      <c r="I216" s="891"/>
      <c r="J216" s="891"/>
      <c r="K216" s="891"/>
      <c r="L216" s="891" t="s">
        <v>354</v>
      </c>
      <c r="M216" s="891" t="s">
        <v>985</v>
      </c>
      <c r="N216" s="891" t="s">
        <v>646</v>
      </c>
      <c r="O216" s="891"/>
      <c r="P216" s="891"/>
    </row>
    <row r="217" spans="1:16">
      <c r="A217" s="891"/>
      <c r="B217" s="891"/>
      <c r="C217" s="891"/>
      <c r="D217" s="891"/>
      <c r="E217" s="891"/>
      <c r="F217" s="891"/>
      <c r="G217" s="891"/>
      <c r="H217" s="891"/>
      <c r="I217" s="891"/>
      <c r="J217" s="891"/>
      <c r="K217" s="891"/>
      <c r="L217" s="891" t="s">
        <v>209</v>
      </c>
      <c r="M217" s="891" t="s">
        <v>986</v>
      </c>
      <c r="N217" s="891" t="s">
        <v>599</v>
      </c>
      <c r="O217" s="891"/>
      <c r="P217" s="891"/>
    </row>
    <row r="218" spans="1:16">
      <c r="A218" s="891"/>
      <c r="B218" s="891"/>
      <c r="C218" s="891"/>
      <c r="D218" s="891"/>
      <c r="E218" s="891"/>
      <c r="F218" s="891"/>
      <c r="G218" s="891"/>
      <c r="H218" s="891"/>
      <c r="I218" s="891"/>
      <c r="J218" s="891"/>
      <c r="K218" s="891"/>
      <c r="L218" s="891" t="s">
        <v>94</v>
      </c>
      <c r="M218" s="891" t="s">
        <v>987</v>
      </c>
      <c r="N218" s="891" t="s">
        <v>569</v>
      </c>
      <c r="O218" s="891"/>
      <c r="P218" s="891"/>
    </row>
    <row r="219" spans="1:16">
      <c r="A219" s="891"/>
      <c r="B219" s="891"/>
      <c r="C219" s="891"/>
      <c r="D219" s="891"/>
      <c r="E219" s="891"/>
      <c r="F219" s="891"/>
      <c r="G219" s="891"/>
      <c r="H219" s="891"/>
      <c r="I219" s="891"/>
      <c r="J219" s="891"/>
      <c r="K219" s="891"/>
      <c r="L219" s="891" t="s">
        <v>314</v>
      </c>
      <c r="M219" s="891" t="s">
        <v>988</v>
      </c>
      <c r="N219" s="891" t="s">
        <v>625</v>
      </c>
      <c r="O219" s="891"/>
      <c r="P219" s="891"/>
    </row>
    <row r="220" spans="1:16">
      <c r="A220" s="891"/>
      <c r="B220" s="891"/>
      <c r="C220" s="891"/>
      <c r="D220" s="891"/>
      <c r="E220" s="891"/>
      <c r="F220" s="891"/>
      <c r="G220" s="891"/>
      <c r="H220" s="891"/>
      <c r="I220" s="891"/>
      <c r="J220" s="891"/>
      <c r="K220" s="891"/>
      <c r="L220" s="891" t="s">
        <v>17</v>
      </c>
      <c r="M220" s="891" t="s">
        <v>989</v>
      </c>
      <c r="N220" s="891" t="s">
        <v>579</v>
      </c>
      <c r="O220" s="891"/>
      <c r="P220" s="891"/>
    </row>
    <row r="221" spans="1:16">
      <c r="A221" s="891"/>
      <c r="B221" s="891"/>
      <c r="C221" s="891"/>
      <c r="D221" s="891"/>
      <c r="E221" s="891"/>
      <c r="F221" s="891"/>
      <c r="G221" s="891"/>
      <c r="H221" s="891"/>
      <c r="I221" s="891"/>
      <c r="J221" s="891"/>
      <c r="K221" s="891"/>
      <c r="L221" s="891" t="s">
        <v>306</v>
      </c>
      <c r="M221" s="891" t="s">
        <v>990</v>
      </c>
      <c r="N221" s="891" t="s">
        <v>558</v>
      </c>
      <c r="O221" s="891"/>
      <c r="P221" s="891"/>
    </row>
    <row r="222" spans="1:16">
      <c r="A222" s="891"/>
      <c r="B222" s="891"/>
      <c r="C222" s="891"/>
      <c r="D222" s="891"/>
      <c r="E222" s="891"/>
      <c r="F222" s="891"/>
      <c r="G222" s="891"/>
      <c r="H222" s="891"/>
      <c r="I222" s="891"/>
      <c r="J222" s="891"/>
      <c r="K222" s="891"/>
      <c r="L222" s="891" t="s">
        <v>303</v>
      </c>
      <c r="M222" s="891" t="s">
        <v>991</v>
      </c>
      <c r="N222" s="891" t="s">
        <v>558</v>
      </c>
      <c r="O222" s="891"/>
      <c r="P222" s="891"/>
    </row>
    <row r="223" spans="1:16">
      <c r="A223" s="891"/>
      <c r="B223" s="891"/>
      <c r="C223" s="891"/>
      <c r="D223" s="891"/>
      <c r="E223" s="891"/>
      <c r="F223" s="891"/>
      <c r="G223" s="891"/>
      <c r="H223" s="891"/>
      <c r="I223" s="891"/>
      <c r="J223" s="891"/>
      <c r="K223" s="891"/>
      <c r="L223" s="891" t="s">
        <v>145</v>
      </c>
      <c r="M223" s="891" t="s">
        <v>992</v>
      </c>
      <c r="N223" s="891" t="s">
        <v>554</v>
      </c>
      <c r="O223" s="891"/>
      <c r="P223" s="891"/>
    </row>
    <row r="224" spans="1:16">
      <c r="A224" s="891"/>
      <c r="B224" s="891"/>
      <c r="C224" s="891"/>
      <c r="D224" s="891"/>
      <c r="E224" s="891"/>
      <c r="F224" s="891"/>
      <c r="G224" s="891"/>
      <c r="H224" s="891"/>
      <c r="I224" s="891"/>
      <c r="J224" s="891"/>
      <c r="K224" s="891"/>
      <c r="L224" s="891" t="s">
        <v>73</v>
      </c>
      <c r="M224" s="891" t="s">
        <v>993</v>
      </c>
      <c r="N224" s="891" t="s">
        <v>563</v>
      </c>
      <c r="O224" s="891"/>
      <c r="P224" s="891"/>
    </row>
    <row r="225" spans="1:16">
      <c r="A225" s="891"/>
      <c r="B225" s="891"/>
      <c r="C225" s="891"/>
      <c r="D225" s="891"/>
      <c r="E225" s="891"/>
      <c r="F225" s="891"/>
      <c r="G225" s="891"/>
      <c r="H225" s="891"/>
      <c r="I225" s="891"/>
      <c r="J225" s="891"/>
      <c r="K225" s="891"/>
      <c r="L225" s="891" t="s">
        <v>242</v>
      </c>
      <c r="M225" s="891" t="s">
        <v>994</v>
      </c>
      <c r="N225" s="891" t="s">
        <v>554</v>
      </c>
      <c r="O225" s="891"/>
      <c r="P225" s="891"/>
    </row>
    <row r="226" spans="1:16">
      <c r="A226" s="891"/>
      <c r="B226" s="891"/>
      <c r="C226" s="891"/>
      <c r="D226" s="891"/>
      <c r="E226" s="891"/>
      <c r="F226" s="891"/>
      <c r="G226" s="891"/>
      <c r="H226" s="891"/>
      <c r="I226" s="891"/>
      <c r="J226" s="891"/>
      <c r="K226" s="891"/>
      <c r="L226" s="891" t="s">
        <v>116</v>
      </c>
      <c r="M226" s="891" t="s">
        <v>995</v>
      </c>
      <c r="N226" s="891" t="s">
        <v>554</v>
      </c>
      <c r="O226" s="891"/>
      <c r="P226" s="891"/>
    </row>
    <row r="227" spans="1:16">
      <c r="A227" s="891"/>
      <c r="B227" s="891"/>
      <c r="C227" s="891"/>
      <c r="D227" s="891"/>
      <c r="E227" s="891"/>
      <c r="F227" s="891"/>
      <c r="G227" s="891"/>
      <c r="H227" s="891"/>
      <c r="I227" s="891"/>
      <c r="J227" s="891"/>
      <c r="K227" s="891"/>
      <c r="L227" s="891" t="s">
        <v>323</v>
      </c>
      <c r="M227" s="891" t="s">
        <v>996</v>
      </c>
      <c r="N227" s="891" t="s">
        <v>640</v>
      </c>
      <c r="O227" s="891"/>
      <c r="P227" s="891"/>
    </row>
    <row r="228" spans="1:16">
      <c r="A228" s="891"/>
      <c r="B228" s="891"/>
      <c r="C228" s="891"/>
      <c r="D228" s="891"/>
      <c r="E228" s="891"/>
      <c r="F228" s="891"/>
      <c r="G228" s="891"/>
      <c r="H228" s="891"/>
      <c r="I228" s="891"/>
      <c r="J228" s="891"/>
      <c r="K228" s="891"/>
      <c r="L228" s="891" t="s">
        <v>80</v>
      </c>
      <c r="M228" s="891" t="s">
        <v>997</v>
      </c>
      <c r="N228" s="891" t="s">
        <v>559</v>
      </c>
      <c r="O228" s="891"/>
      <c r="P228" s="891"/>
    </row>
    <row r="229" spans="1:16">
      <c r="A229" s="891"/>
      <c r="B229" s="891"/>
      <c r="C229" s="891"/>
      <c r="D229" s="891"/>
      <c r="E229" s="891"/>
      <c r="F229" s="891"/>
      <c r="G229" s="891"/>
      <c r="H229" s="891"/>
      <c r="I229" s="891"/>
      <c r="J229" s="891"/>
      <c r="K229" s="891"/>
      <c r="L229" s="891" t="s">
        <v>282</v>
      </c>
      <c r="M229" s="891" t="s">
        <v>998</v>
      </c>
      <c r="N229" s="891" t="s">
        <v>558</v>
      </c>
      <c r="O229" s="891"/>
      <c r="P229" s="891"/>
    </row>
    <row r="230" spans="1:16">
      <c r="A230" s="891"/>
      <c r="B230" s="891"/>
      <c r="C230" s="891"/>
      <c r="D230" s="891"/>
      <c r="E230" s="891"/>
      <c r="F230" s="891"/>
      <c r="G230" s="891"/>
      <c r="H230" s="891"/>
      <c r="I230" s="891"/>
      <c r="J230" s="891"/>
      <c r="K230" s="891"/>
      <c r="L230" s="891" t="s">
        <v>201</v>
      </c>
      <c r="M230" s="891" t="s">
        <v>999</v>
      </c>
      <c r="N230" s="891" t="s">
        <v>600</v>
      </c>
      <c r="O230" s="891"/>
      <c r="P230" s="891"/>
    </row>
    <row r="231" spans="1:16">
      <c r="A231" s="891"/>
      <c r="B231" s="891"/>
      <c r="C231" s="891"/>
      <c r="D231" s="891"/>
      <c r="E231" s="891"/>
      <c r="F231" s="891"/>
      <c r="G231" s="891"/>
      <c r="H231" s="891"/>
      <c r="I231" s="891"/>
      <c r="J231" s="891"/>
      <c r="K231" s="891"/>
      <c r="L231" s="891" t="s">
        <v>143</v>
      </c>
      <c r="M231" s="891" t="s">
        <v>1000</v>
      </c>
      <c r="N231" s="891" t="s">
        <v>559</v>
      </c>
      <c r="O231" s="891"/>
      <c r="P231" s="891"/>
    </row>
    <row r="232" spans="1:16">
      <c r="A232" s="891"/>
      <c r="B232" s="891"/>
      <c r="C232" s="891"/>
      <c r="D232" s="891"/>
      <c r="E232" s="891"/>
      <c r="F232" s="891"/>
      <c r="G232" s="891"/>
      <c r="H232" s="891"/>
      <c r="I232" s="891"/>
      <c r="J232" s="891"/>
      <c r="K232" s="891"/>
      <c r="L232" s="891" t="s">
        <v>183</v>
      </c>
      <c r="M232" s="891" t="s">
        <v>1001</v>
      </c>
      <c r="N232" s="891" t="s">
        <v>556</v>
      </c>
      <c r="O232" s="891"/>
      <c r="P232" s="891"/>
    </row>
    <row r="233" spans="1:16">
      <c r="A233" s="891"/>
      <c r="B233" s="891"/>
      <c r="C233" s="891"/>
      <c r="D233" s="891"/>
      <c r="E233" s="891"/>
      <c r="F233" s="891"/>
      <c r="G233" s="891"/>
      <c r="H233" s="891"/>
      <c r="I233" s="891"/>
      <c r="J233" s="891"/>
      <c r="K233" s="891"/>
      <c r="L233" s="891" t="s">
        <v>375</v>
      </c>
      <c r="M233" s="891" t="s">
        <v>1002</v>
      </c>
      <c r="N233" s="891" t="s">
        <v>560</v>
      </c>
      <c r="O233" s="891"/>
      <c r="P233" s="891"/>
    </row>
    <row r="234" spans="1:16">
      <c r="A234" s="891"/>
      <c r="B234" s="891"/>
      <c r="C234" s="891"/>
      <c r="D234" s="891"/>
      <c r="E234" s="891"/>
      <c r="F234" s="891"/>
      <c r="G234" s="891"/>
      <c r="H234" s="891"/>
      <c r="I234" s="891"/>
      <c r="J234" s="891"/>
      <c r="K234" s="891"/>
      <c r="L234" s="891" t="s">
        <v>87</v>
      </c>
      <c r="M234" s="891" t="s">
        <v>1003</v>
      </c>
      <c r="N234" s="891" t="s">
        <v>566</v>
      </c>
      <c r="O234" s="891"/>
      <c r="P234" s="891"/>
    </row>
    <row r="235" spans="1:16">
      <c r="A235" s="891"/>
      <c r="B235" s="891"/>
      <c r="C235" s="891"/>
      <c r="D235" s="891"/>
      <c r="E235" s="891"/>
      <c r="F235" s="891"/>
      <c r="G235" s="891"/>
      <c r="H235" s="891"/>
      <c r="I235" s="891"/>
      <c r="J235" s="891"/>
      <c r="K235" s="891"/>
      <c r="L235" s="891" t="s">
        <v>268</v>
      </c>
      <c r="M235" s="891" t="s">
        <v>1004</v>
      </c>
      <c r="N235" s="891" t="s">
        <v>631</v>
      </c>
      <c r="O235" s="891"/>
      <c r="P235" s="891"/>
    </row>
    <row r="236" spans="1:16">
      <c r="A236" s="891"/>
      <c r="B236" s="891"/>
      <c r="C236" s="891"/>
      <c r="D236" s="891"/>
      <c r="E236" s="891"/>
      <c r="F236" s="891"/>
      <c r="G236" s="891"/>
      <c r="H236" s="891"/>
      <c r="I236" s="891"/>
      <c r="J236" s="891"/>
      <c r="K236" s="891"/>
      <c r="L236" s="891" t="s">
        <v>393</v>
      </c>
      <c r="M236" s="891" t="s">
        <v>1005</v>
      </c>
      <c r="N236" s="891" t="s">
        <v>560</v>
      </c>
      <c r="O236" s="891"/>
      <c r="P236" s="891"/>
    </row>
    <row r="237" spans="1:16">
      <c r="A237" s="891"/>
      <c r="B237" s="891"/>
      <c r="C237" s="891"/>
      <c r="D237" s="891"/>
      <c r="E237" s="891"/>
      <c r="F237" s="891"/>
      <c r="G237" s="891"/>
      <c r="H237" s="891"/>
      <c r="I237" s="891"/>
      <c r="J237" s="891"/>
      <c r="K237" s="891"/>
      <c r="L237" s="891" t="s">
        <v>276</v>
      </c>
      <c r="M237" s="891" t="s">
        <v>1006</v>
      </c>
      <c r="N237" s="891" t="s">
        <v>627</v>
      </c>
      <c r="O237" s="891"/>
      <c r="P237" s="891"/>
    </row>
    <row r="238" spans="1:16">
      <c r="A238" s="891"/>
      <c r="B238" s="891"/>
      <c r="C238" s="891"/>
      <c r="D238" s="891"/>
      <c r="E238" s="891"/>
      <c r="F238" s="891"/>
      <c r="G238" s="891"/>
      <c r="H238" s="891"/>
      <c r="I238" s="891"/>
      <c r="J238" s="891"/>
      <c r="K238" s="891"/>
      <c r="L238" s="891" t="s">
        <v>103</v>
      </c>
      <c r="M238" s="891" t="s">
        <v>1007</v>
      </c>
      <c r="N238" s="891" t="s">
        <v>569</v>
      </c>
      <c r="O238" s="891"/>
      <c r="P238" s="891"/>
    </row>
    <row r="239" spans="1:16">
      <c r="A239" s="891"/>
      <c r="B239" s="891"/>
      <c r="C239" s="891"/>
      <c r="D239" s="891"/>
      <c r="E239" s="891"/>
      <c r="F239" s="891"/>
      <c r="G239" s="891"/>
      <c r="H239" s="891"/>
      <c r="I239" s="891"/>
      <c r="J239" s="891"/>
      <c r="K239" s="891"/>
      <c r="L239" s="891" t="s">
        <v>134</v>
      </c>
      <c r="M239" s="891" t="s">
        <v>1008</v>
      </c>
      <c r="N239" s="891" t="s">
        <v>563</v>
      </c>
      <c r="O239" s="891"/>
      <c r="P239" s="891"/>
    </row>
    <row r="240" spans="1:16">
      <c r="A240" s="891"/>
      <c r="B240" s="891"/>
      <c r="C240" s="891"/>
      <c r="D240" s="891"/>
      <c r="E240" s="891"/>
      <c r="F240" s="891"/>
      <c r="G240" s="891"/>
      <c r="H240" s="891"/>
      <c r="I240" s="891"/>
      <c r="J240" s="891"/>
      <c r="K240" s="891"/>
      <c r="L240" s="891" t="s">
        <v>195</v>
      </c>
      <c r="M240" s="891" t="s">
        <v>1009</v>
      </c>
      <c r="N240" s="891" t="s">
        <v>554</v>
      </c>
      <c r="O240" s="891"/>
      <c r="P240" s="891"/>
    </row>
    <row r="241" spans="1:16">
      <c r="A241" s="891"/>
      <c r="B241" s="891"/>
      <c r="C241" s="891"/>
      <c r="D241" s="891"/>
      <c r="E241" s="891"/>
      <c r="F241" s="891"/>
      <c r="G241" s="891"/>
      <c r="H241" s="891"/>
      <c r="I241" s="891"/>
      <c r="J241" s="891"/>
      <c r="K241" s="891"/>
      <c r="L241" s="891" t="s">
        <v>391</v>
      </c>
      <c r="M241" s="891" t="s">
        <v>1010</v>
      </c>
      <c r="N241" s="891" t="s">
        <v>560</v>
      </c>
      <c r="O241" s="891"/>
      <c r="P241" s="891"/>
    </row>
    <row r="242" spans="1:16">
      <c r="A242" s="891"/>
      <c r="B242" s="891"/>
      <c r="C242" s="891"/>
      <c r="D242" s="891"/>
      <c r="E242" s="891"/>
      <c r="F242" s="891"/>
      <c r="G242" s="891"/>
      <c r="H242" s="891"/>
      <c r="I242" s="891"/>
      <c r="J242" s="891"/>
      <c r="K242" s="891"/>
      <c r="L242" s="891" t="s">
        <v>381</v>
      </c>
      <c r="M242" s="891" t="s">
        <v>1011</v>
      </c>
      <c r="N242" s="891" t="s">
        <v>560</v>
      </c>
      <c r="O242" s="891"/>
      <c r="P242" s="891"/>
    </row>
    <row r="243" spans="1:16">
      <c r="A243" s="891"/>
      <c r="B243" s="891"/>
      <c r="C243" s="891"/>
      <c r="D243" s="891"/>
      <c r="E243" s="891"/>
      <c r="F243" s="891"/>
      <c r="G243" s="891"/>
      <c r="H243" s="891"/>
      <c r="I243" s="891"/>
      <c r="J243" s="891"/>
      <c r="K243" s="891"/>
      <c r="L243" s="891" t="s">
        <v>168</v>
      </c>
      <c r="M243" s="891" t="s">
        <v>1012</v>
      </c>
      <c r="N243" s="891" t="s">
        <v>554</v>
      </c>
      <c r="O243" s="891"/>
      <c r="P243" s="891"/>
    </row>
    <row r="244" spans="1:16">
      <c r="A244" s="891"/>
      <c r="B244" s="891"/>
      <c r="C244" s="891"/>
      <c r="D244" s="891"/>
      <c r="E244" s="891"/>
      <c r="F244" s="891"/>
      <c r="G244" s="891"/>
      <c r="H244" s="891"/>
      <c r="I244" s="891"/>
      <c r="J244" s="891"/>
      <c r="K244" s="891"/>
      <c r="L244" s="891" t="s">
        <v>79</v>
      </c>
      <c r="M244" s="891" t="s">
        <v>1013</v>
      </c>
      <c r="N244" s="891" t="s">
        <v>554</v>
      </c>
      <c r="O244" s="891"/>
      <c r="P244" s="891"/>
    </row>
    <row r="245" spans="1:16">
      <c r="A245" s="891"/>
      <c r="B245" s="891"/>
      <c r="C245" s="891"/>
      <c r="D245" s="891"/>
      <c r="E245" s="891"/>
      <c r="F245" s="891"/>
      <c r="G245" s="891"/>
      <c r="H245" s="891"/>
      <c r="I245" s="891"/>
      <c r="J245" s="891"/>
      <c r="K245" s="891"/>
      <c r="L245" s="891" t="s">
        <v>176</v>
      </c>
      <c r="M245" s="891" t="s">
        <v>1014</v>
      </c>
      <c r="N245" s="891" t="s">
        <v>554</v>
      </c>
      <c r="O245" s="891"/>
      <c r="P245" s="891"/>
    </row>
    <row r="246" spans="1:16">
      <c r="A246" s="891"/>
      <c r="B246" s="891"/>
      <c r="C246" s="891"/>
      <c r="D246" s="891"/>
      <c r="E246" s="891"/>
      <c r="F246" s="891"/>
      <c r="G246" s="891"/>
      <c r="H246" s="891"/>
      <c r="I246" s="891"/>
      <c r="J246" s="891"/>
      <c r="K246" s="891"/>
      <c r="L246" s="891" t="s">
        <v>748</v>
      </c>
      <c r="M246" s="891" t="s">
        <v>1015</v>
      </c>
      <c r="N246" s="891" t="s">
        <v>591</v>
      </c>
      <c r="O246" s="891"/>
      <c r="P246" s="891"/>
    </row>
    <row r="247" spans="1:16">
      <c r="A247" s="891"/>
      <c r="B247" s="891"/>
      <c r="C247" s="891"/>
      <c r="D247" s="891"/>
      <c r="E247" s="891"/>
      <c r="F247" s="891"/>
      <c r="G247" s="891"/>
      <c r="H247" s="891"/>
      <c r="I247" s="891"/>
      <c r="J247" s="891"/>
      <c r="K247" s="891"/>
      <c r="L247" s="891" t="s">
        <v>44</v>
      </c>
      <c r="M247" s="891" t="s">
        <v>1016</v>
      </c>
      <c r="N247" s="891" t="s">
        <v>569</v>
      </c>
      <c r="O247" s="891"/>
      <c r="P247" s="891"/>
    </row>
    <row r="248" spans="1:16">
      <c r="A248" s="891"/>
      <c r="B248" s="891"/>
      <c r="C248" s="891"/>
      <c r="D248" s="891"/>
      <c r="E248" s="891"/>
      <c r="F248" s="891"/>
      <c r="G248" s="891"/>
      <c r="H248" s="891"/>
      <c r="I248" s="891"/>
      <c r="J248" s="891"/>
      <c r="K248" s="891"/>
      <c r="L248" s="891" t="s">
        <v>86</v>
      </c>
      <c r="M248" s="891" t="s">
        <v>1017</v>
      </c>
      <c r="N248" s="891" t="s">
        <v>592</v>
      </c>
      <c r="O248" s="891"/>
      <c r="P248" s="891"/>
    </row>
    <row r="249" spans="1:16">
      <c r="A249" s="891"/>
      <c r="B249" s="891"/>
      <c r="C249" s="891"/>
      <c r="D249" s="891"/>
      <c r="E249" s="891"/>
      <c r="F249" s="891"/>
      <c r="G249" s="891"/>
      <c r="H249" s="891"/>
      <c r="I249" s="891"/>
      <c r="J249" s="891"/>
      <c r="K249" s="891"/>
      <c r="L249" s="891" t="s">
        <v>352</v>
      </c>
      <c r="M249" s="891" t="s">
        <v>1018</v>
      </c>
      <c r="N249" s="891" t="s">
        <v>634</v>
      </c>
      <c r="O249" s="891"/>
      <c r="P249" s="891"/>
    </row>
    <row r="250" spans="1:16">
      <c r="A250" s="891"/>
      <c r="B250" s="891"/>
      <c r="C250" s="891"/>
      <c r="D250" s="891"/>
      <c r="E250" s="891"/>
      <c r="F250" s="891"/>
      <c r="G250" s="891"/>
      <c r="H250" s="891"/>
      <c r="I250" s="891"/>
      <c r="J250" s="891"/>
      <c r="K250" s="891"/>
      <c r="L250" s="891" t="s">
        <v>273</v>
      </c>
      <c r="M250" s="891" t="s">
        <v>1019</v>
      </c>
      <c r="N250" s="891" t="s">
        <v>556</v>
      </c>
      <c r="O250" s="891"/>
      <c r="P250" s="891"/>
    </row>
    <row r="251" spans="1:16">
      <c r="A251" s="891"/>
      <c r="B251" s="891"/>
      <c r="C251" s="891"/>
      <c r="D251" s="891"/>
      <c r="E251" s="891"/>
      <c r="F251" s="891"/>
      <c r="G251" s="891"/>
      <c r="H251" s="891"/>
      <c r="I251" s="891"/>
      <c r="J251" s="891"/>
      <c r="K251" s="891"/>
      <c r="L251" s="891" t="s">
        <v>379</v>
      </c>
      <c r="M251" s="891" t="s">
        <v>1020</v>
      </c>
      <c r="N251" s="891" t="s">
        <v>560</v>
      </c>
      <c r="O251" s="891"/>
      <c r="P251" s="891"/>
    </row>
    <row r="252" spans="1:16">
      <c r="A252" s="891"/>
      <c r="B252" s="891"/>
      <c r="C252" s="891"/>
      <c r="D252" s="891"/>
      <c r="E252" s="891"/>
      <c r="F252" s="891"/>
      <c r="G252" s="891"/>
      <c r="H252" s="891"/>
      <c r="I252" s="891"/>
      <c r="J252" s="891"/>
      <c r="K252" s="891"/>
      <c r="L252" s="891" t="s">
        <v>113</v>
      </c>
      <c r="M252" s="891" t="s">
        <v>1021</v>
      </c>
      <c r="N252" s="891" t="s">
        <v>591</v>
      </c>
      <c r="O252" s="891"/>
      <c r="P252" s="891"/>
    </row>
    <row r="253" spans="1:16">
      <c r="A253" s="891"/>
      <c r="B253" s="891"/>
      <c r="C253" s="891"/>
      <c r="D253" s="891"/>
      <c r="E253" s="891"/>
      <c r="F253" s="891"/>
      <c r="G253" s="891"/>
      <c r="H253" s="891"/>
      <c r="I253" s="891"/>
      <c r="J253" s="891"/>
      <c r="K253" s="891"/>
      <c r="L253" s="891" t="s">
        <v>311</v>
      </c>
      <c r="M253" s="891" t="s">
        <v>1022</v>
      </c>
      <c r="N253" s="891" t="s">
        <v>634</v>
      </c>
      <c r="O253" s="891"/>
      <c r="P253" s="891"/>
    </row>
    <row r="254" spans="1:16">
      <c r="A254" s="891"/>
      <c r="B254" s="891"/>
      <c r="C254" s="891"/>
      <c r="D254" s="891"/>
      <c r="E254" s="891"/>
      <c r="F254" s="891"/>
      <c r="G254" s="891"/>
      <c r="H254" s="891"/>
      <c r="I254" s="891"/>
      <c r="J254" s="891"/>
      <c r="K254" s="891"/>
      <c r="L254" s="891" t="s">
        <v>271</v>
      </c>
      <c r="M254" s="891" t="s">
        <v>1023</v>
      </c>
      <c r="N254" s="891" t="s">
        <v>556</v>
      </c>
      <c r="O254" s="891"/>
      <c r="P254" s="891"/>
    </row>
    <row r="255" spans="1:16">
      <c r="A255" s="891"/>
      <c r="B255" s="891"/>
      <c r="C255" s="891"/>
      <c r="D255" s="891"/>
      <c r="E255" s="891"/>
      <c r="F255" s="891"/>
      <c r="G255" s="891"/>
      <c r="H255" s="891"/>
      <c r="I255" s="891"/>
      <c r="J255" s="891"/>
      <c r="K255" s="891"/>
      <c r="L255" s="891" t="s">
        <v>166</v>
      </c>
      <c r="M255" s="891" t="s">
        <v>1024</v>
      </c>
      <c r="N255" s="891" t="s">
        <v>566</v>
      </c>
      <c r="O255" s="891"/>
      <c r="P255" s="891"/>
    </row>
    <row r="256" spans="1:16">
      <c r="A256" s="891"/>
      <c r="B256" s="891"/>
      <c r="C256" s="891"/>
      <c r="D256" s="891"/>
      <c r="E256" s="891"/>
      <c r="F256" s="891"/>
      <c r="G256" s="891"/>
      <c r="H256" s="891"/>
      <c r="I256" s="891"/>
      <c r="J256" s="891"/>
      <c r="K256" s="891"/>
      <c r="L256" s="891" t="s">
        <v>23</v>
      </c>
      <c r="M256" s="891" t="s">
        <v>1025</v>
      </c>
      <c r="N256" s="891" t="s">
        <v>581</v>
      </c>
      <c r="O256" s="891"/>
      <c r="P256" s="891"/>
    </row>
    <row r="257" spans="1:16">
      <c r="A257" s="891"/>
      <c r="B257" s="891"/>
      <c r="C257" s="891"/>
      <c r="D257" s="891"/>
      <c r="E257" s="891"/>
      <c r="F257" s="891"/>
      <c r="G257" s="891"/>
      <c r="H257" s="891"/>
      <c r="I257" s="891"/>
      <c r="J257" s="891"/>
      <c r="K257" s="891"/>
      <c r="L257" s="891" t="s">
        <v>333</v>
      </c>
      <c r="M257" s="891" t="s">
        <v>1026</v>
      </c>
      <c r="N257" s="891" t="s">
        <v>645</v>
      </c>
      <c r="O257" s="891"/>
      <c r="P257" s="891"/>
    </row>
    <row r="258" spans="1:16">
      <c r="A258" s="891"/>
      <c r="B258" s="891"/>
      <c r="C258" s="891"/>
      <c r="D258" s="891"/>
      <c r="E258" s="891"/>
      <c r="F258" s="891"/>
      <c r="G258" s="891"/>
      <c r="H258" s="891"/>
      <c r="I258" s="891"/>
      <c r="J258" s="891"/>
      <c r="K258" s="891"/>
      <c r="L258" s="891" t="s">
        <v>215</v>
      </c>
      <c r="M258" s="891" t="s">
        <v>1027</v>
      </c>
      <c r="N258" s="891" t="s">
        <v>554</v>
      </c>
      <c r="O258" s="891"/>
      <c r="P258" s="891"/>
    </row>
    <row r="259" spans="1:16">
      <c r="A259" s="891"/>
      <c r="B259" s="891"/>
      <c r="C259" s="891"/>
      <c r="D259" s="891"/>
      <c r="E259" s="891"/>
      <c r="F259" s="891"/>
      <c r="G259" s="891"/>
      <c r="H259" s="891"/>
      <c r="I259" s="891"/>
      <c r="J259" s="891"/>
      <c r="K259" s="891"/>
      <c r="L259" s="891" t="s">
        <v>342</v>
      </c>
      <c r="M259" s="891" t="s">
        <v>1028</v>
      </c>
      <c r="N259" s="891" t="s">
        <v>638</v>
      </c>
      <c r="O259" s="891"/>
      <c r="P259" s="891"/>
    </row>
    <row r="260" spans="1:16">
      <c r="A260" s="891"/>
      <c r="B260" s="891"/>
      <c r="C260" s="891"/>
      <c r="D260" s="891"/>
      <c r="E260" s="891"/>
      <c r="F260" s="891"/>
      <c r="G260" s="891"/>
      <c r="H260" s="891"/>
      <c r="I260" s="891"/>
      <c r="J260" s="891"/>
      <c r="K260" s="891"/>
      <c r="L260" s="891" t="s">
        <v>172</v>
      </c>
      <c r="M260" s="891" t="s">
        <v>1029</v>
      </c>
      <c r="N260" s="891" t="s">
        <v>554</v>
      </c>
      <c r="O260" s="891"/>
      <c r="P260" s="891"/>
    </row>
    <row r="261" spans="1:16">
      <c r="A261" s="891"/>
      <c r="B261" s="891"/>
      <c r="C261" s="891"/>
      <c r="D261" s="891"/>
      <c r="E261" s="891"/>
      <c r="F261" s="891"/>
      <c r="G261" s="891"/>
      <c r="H261" s="891"/>
      <c r="I261" s="891"/>
      <c r="J261" s="891"/>
      <c r="K261" s="891"/>
      <c r="L261" s="891" t="s">
        <v>40</v>
      </c>
      <c r="M261" s="891" t="s">
        <v>1030</v>
      </c>
      <c r="N261" s="891" t="s">
        <v>557</v>
      </c>
      <c r="O261" s="891"/>
      <c r="P261" s="891"/>
    </row>
    <row r="262" spans="1:16">
      <c r="A262" s="891"/>
      <c r="B262" s="891"/>
      <c r="C262" s="891"/>
      <c r="D262" s="891"/>
      <c r="E262" s="891"/>
      <c r="F262" s="891"/>
      <c r="G262" s="891"/>
      <c r="H262" s="891"/>
      <c r="I262" s="891"/>
      <c r="J262" s="891"/>
      <c r="K262" s="891"/>
      <c r="L262" s="891" t="s">
        <v>234</v>
      </c>
      <c r="M262" s="891" t="s">
        <v>1031</v>
      </c>
      <c r="N262" s="891" t="s">
        <v>607</v>
      </c>
      <c r="O262" s="891"/>
      <c r="P262" s="891"/>
    </row>
    <row r="263" spans="1:16">
      <c r="A263" s="891"/>
      <c r="B263" s="891"/>
      <c r="C263" s="891"/>
      <c r="D263" s="891"/>
      <c r="E263" s="891"/>
      <c r="F263" s="891"/>
      <c r="G263" s="891"/>
      <c r="H263" s="891"/>
      <c r="I263" s="891"/>
      <c r="J263" s="891"/>
      <c r="K263" s="891"/>
      <c r="L263" s="891" t="s">
        <v>7</v>
      </c>
      <c r="M263" s="891" t="s">
        <v>1032</v>
      </c>
      <c r="N263" s="891" t="s">
        <v>577</v>
      </c>
      <c r="O263" s="891"/>
      <c r="P263" s="891"/>
    </row>
    <row r="264" spans="1:16">
      <c r="A264" s="891"/>
      <c r="B264" s="891"/>
      <c r="C264" s="891"/>
      <c r="D264" s="891"/>
      <c r="E264" s="891"/>
      <c r="F264" s="891"/>
      <c r="G264" s="891"/>
      <c r="H264" s="891"/>
      <c r="I264" s="891"/>
      <c r="J264" s="891"/>
      <c r="K264" s="891"/>
      <c r="L264" s="891" t="s">
        <v>283</v>
      </c>
      <c r="M264" s="891" t="s">
        <v>1033</v>
      </c>
      <c r="N264" s="891" t="s">
        <v>619</v>
      </c>
      <c r="O264" s="891"/>
      <c r="P264" s="891"/>
    </row>
    <row r="265" spans="1:16">
      <c r="A265" s="891"/>
      <c r="B265" s="891"/>
      <c r="C265" s="891"/>
      <c r="D265" s="891"/>
      <c r="E265" s="891"/>
      <c r="F265" s="891"/>
      <c r="G265" s="891"/>
      <c r="H265" s="891"/>
      <c r="I265" s="891"/>
      <c r="J265" s="891"/>
      <c r="K265" s="891"/>
      <c r="L265" s="891" t="s">
        <v>104</v>
      </c>
      <c r="M265" s="891" t="s">
        <v>1034</v>
      </c>
      <c r="N265" s="891" t="s">
        <v>559</v>
      </c>
      <c r="O265" s="891"/>
      <c r="P265" s="891"/>
    </row>
    <row r="266" spans="1:16">
      <c r="A266" s="891"/>
      <c r="B266" s="891"/>
      <c r="C266" s="891"/>
      <c r="D266" s="891"/>
      <c r="E266" s="891"/>
      <c r="F266" s="891"/>
      <c r="G266" s="891"/>
      <c r="H266" s="891"/>
      <c r="I266" s="891"/>
      <c r="J266" s="891"/>
      <c r="K266" s="891"/>
      <c r="L266" s="891" t="s">
        <v>48</v>
      </c>
      <c r="M266" s="891" t="s">
        <v>1035</v>
      </c>
      <c r="N266" s="891" t="s">
        <v>591</v>
      </c>
      <c r="O266" s="891"/>
      <c r="P266" s="891"/>
    </row>
    <row r="267" spans="1:16">
      <c r="A267" s="891"/>
      <c r="B267" s="891"/>
      <c r="C267" s="891"/>
      <c r="D267" s="891"/>
      <c r="E267" s="891"/>
      <c r="F267" s="891"/>
      <c r="G267" s="891"/>
      <c r="H267" s="891"/>
      <c r="I267" s="891"/>
      <c r="J267" s="891"/>
      <c r="K267" s="891"/>
      <c r="L267" s="891" t="s">
        <v>76</v>
      </c>
      <c r="M267" s="891" t="s">
        <v>1036</v>
      </c>
      <c r="N267" s="891" t="s">
        <v>563</v>
      </c>
      <c r="O267" s="891"/>
      <c r="P267" s="891"/>
    </row>
    <row r="268" spans="1:16">
      <c r="A268" s="891"/>
      <c r="B268" s="891"/>
      <c r="C268" s="891"/>
      <c r="D268" s="891"/>
      <c r="E268" s="891"/>
      <c r="F268" s="891"/>
      <c r="G268" s="891"/>
      <c r="H268" s="891"/>
      <c r="I268" s="891"/>
      <c r="J268" s="891"/>
      <c r="K268" s="891"/>
      <c r="L268" s="891" t="s">
        <v>179</v>
      </c>
      <c r="M268" s="891" t="s">
        <v>1037</v>
      </c>
      <c r="N268" s="891" t="s">
        <v>596</v>
      </c>
      <c r="O268" s="891"/>
      <c r="P268" s="891"/>
    </row>
    <row r="269" spans="1:16">
      <c r="A269" s="891"/>
      <c r="B269" s="891"/>
      <c r="C269" s="891"/>
      <c r="D269" s="891"/>
      <c r="E269" s="891"/>
      <c r="F269" s="891"/>
      <c r="G269" s="891"/>
      <c r="H269" s="891"/>
      <c r="I269" s="891"/>
      <c r="J269" s="891"/>
      <c r="K269" s="891"/>
      <c r="L269" s="891" t="s">
        <v>290</v>
      </c>
      <c r="M269" s="891" t="s">
        <v>1038</v>
      </c>
      <c r="N269" s="891" t="s">
        <v>636</v>
      </c>
      <c r="O269" s="891"/>
      <c r="P269" s="891"/>
    </row>
    <row r="270" spans="1:16">
      <c r="A270" s="891"/>
      <c r="B270" s="891"/>
      <c r="C270" s="891"/>
      <c r="D270" s="891"/>
      <c r="E270" s="891"/>
      <c r="F270" s="891"/>
      <c r="G270" s="891"/>
      <c r="H270" s="891"/>
      <c r="I270" s="891"/>
      <c r="J270" s="891"/>
      <c r="K270" s="891"/>
      <c r="L270" s="891" t="s">
        <v>13</v>
      </c>
      <c r="M270" s="891" t="s">
        <v>1039</v>
      </c>
      <c r="N270" s="891" t="s">
        <v>569</v>
      </c>
      <c r="O270" s="891"/>
      <c r="P270" s="891"/>
    </row>
    <row r="271" spans="1:16">
      <c r="A271" s="891"/>
      <c r="B271" s="891"/>
      <c r="C271" s="891"/>
      <c r="D271" s="891"/>
      <c r="E271" s="891"/>
      <c r="F271" s="891"/>
      <c r="G271" s="891"/>
      <c r="H271" s="891"/>
      <c r="I271" s="891"/>
      <c r="J271" s="891"/>
      <c r="K271" s="891"/>
      <c r="L271" s="891" t="s">
        <v>151</v>
      </c>
      <c r="M271" s="891" t="s">
        <v>1040</v>
      </c>
      <c r="N271" s="891" t="s">
        <v>564</v>
      </c>
      <c r="O271" s="891"/>
      <c r="P271" s="891"/>
    </row>
    <row r="272" spans="1:16">
      <c r="A272" s="891"/>
      <c r="B272" s="891"/>
      <c r="C272" s="891"/>
      <c r="D272" s="891"/>
      <c r="E272" s="891"/>
      <c r="F272" s="891"/>
      <c r="G272" s="891"/>
      <c r="H272" s="891"/>
      <c r="I272" s="891"/>
      <c r="J272" s="891"/>
      <c r="K272" s="891"/>
      <c r="L272" s="891" t="s">
        <v>358</v>
      </c>
      <c r="M272" s="891" t="s">
        <v>1041</v>
      </c>
      <c r="N272" s="891" t="s">
        <v>639</v>
      </c>
      <c r="O272" s="891"/>
      <c r="P272" s="891"/>
    </row>
    <row r="273" spans="1:16">
      <c r="A273" s="891"/>
      <c r="B273" s="891"/>
      <c r="C273" s="891"/>
      <c r="D273" s="891"/>
      <c r="E273" s="891"/>
      <c r="F273" s="891"/>
      <c r="G273" s="891"/>
      <c r="H273" s="891"/>
      <c r="I273" s="891"/>
      <c r="J273" s="891"/>
      <c r="K273" s="891"/>
      <c r="L273" s="891" t="s">
        <v>338</v>
      </c>
      <c r="M273" s="891" t="s">
        <v>1042</v>
      </c>
      <c r="N273" s="891" t="s">
        <v>576</v>
      </c>
      <c r="O273" s="891"/>
      <c r="P273" s="891"/>
    </row>
    <row r="274" spans="1:16">
      <c r="A274" s="891"/>
      <c r="B274" s="891"/>
      <c r="C274" s="891"/>
      <c r="D274" s="891"/>
      <c r="E274" s="891"/>
      <c r="F274" s="891"/>
      <c r="G274" s="891"/>
      <c r="H274" s="891"/>
      <c r="I274" s="891"/>
      <c r="J274" s="891"/>
      <c r="K274" s="891"/>
      <c r="L274" s="891" t="s">
        <v>258</v>
      </c>
      <c r="M274" s="891" t="s">
        <v>1043</v>
      </c>
      <c r="N274" s="891" t="s">
        <v>556</v>
      </c>
      <c r="O274" s="891"/>
      <c r="P274" s="891"/>
    </row>
    <row r="275" spans="1:16">
      <c r="A275" s="891"/>
      <c r="B275" s="891"/>
      <c r="C275" s="891"/>
      <c r="D275" s="891"/>
      <c r="E275" s="891"/>
      <c r="F275" s="891"/>
      <c r="G275" s="891"/>
      <c r="H275" s="891"/>
      <c r="I275" s="891"/>
      <c r="J275" s="891"/>
      <c r="K275" s="891"/>
      <c r="L275" s="891" t="s">
        <v>10</v>
      </c>
      <c r="M275" s="891" t="s">
        <v>1044</v>
      </c>
      <c r="N275" s="891" t="s">
        <v>579</v>
      </c>
      <c r="O275" s="891"/>
      <c r="P275" s="891"/>
    </row>
    <row r="276" spans="1:16">
      <c r="A276" s="891"/>
      <c r="B276" s="891"/>
      <c r="C276" s="891"/>
      <c r="D276" s="891"/>
      <c r="E276" s="891"/>
      <c r="F276" s="891"/>
      <c r="G276" s="891"/>
      <c r="H276" s="891"/>
      <c r="I276" s="891"/>
      <c r="J276" s="891"/>
      <c r="K276" s="891"/>
      <c r="L276" s="891" t="s">
        <v>275</v>
      </c>
      <c r="M276" s="891" t="s">
        <v>1045</v>
      </c>
      <c r="N276" s="891" t="s">
        <v>576</v>
      </c>
      <c r="O276" s="891"/>
      <c r="P276" s="891"/>
    </row>
    <row r="277" spans="1:16">
      <c r="A277" s="891"/>
      <c r="B277" s="891"/>
      <c r="C277" s="891"/>
      <c r="D277" s="891"/>
      <c r="E277" s="891"/>
      <c r="F277" s="891"/>
      <c r="G277" s="891"/>
      <c r="H277" s="891"/>
      <c r="I277" s="891"/>
      <c r="J277" s="891"/>
      <c r="K277" s="891"/>
      <c r="L277" s="891" t="s">
        <v>141</v>
      </c>
      <c r="M277" s="891" t="s">
        <v>1046</v>
      </c>
      <c r="N277" s="891" t="s">
        <v>554</v>
      </c>
      <c r="O277" s="891"/>
      <c r="P277" s="891"/>
    </row>
    <row r="278" spans="1:16">
      <c r="A278" s="891"/>
      <c r="B278" s="891"/>
      <c r="C278" s="891"/>
      <c r="D278" s="891"/>
      <c r="E278" s="891"/>
      <c r="F278" s="891"/>
      <c r="G278" s="891"/>
      <c r="H278" s="891"/>
      <c r="I278" s="891"/>
      <c r="J278" s="891"/>
      <c r="K278" s="891"/>
      <c r="L278" s="891" t="s">
        <v>281</v>
      </c>
      <c r="M278" s="891" t="s">
        <v>1047</v>
      </c>
      <c r="N278" s="891" t="s">
        <v>628</v>
      </c>
      <c r="O278" s="891"/>
      <c r="P278" s="891"/>
    </row>
    <row r="279" spans="1:16">
      <c r="A279" s="891"/>
      <c r="B279" s="891"/>
      <c r="C279" s="891"/>
      <c r="D279" s="891"/>
      <c r="E279" s="891"/>
      <c r="F279" s="891"/>
      <c r="G279" s="891"/>
      <c r="H279" s="891"/>
      <c r="I279" s="891"/>
      <c r="J279" s="891"/>
      <c r="K279" s="891"/>
      <c r="L279" s="891" t="s">
        <v>206</v>
      </c>
      <c r="M279" s="891" t="s">
        <v>1048</v>
      </c>
      <c r="N279" s="891" t="s">
        <v>554</v>
      </c>
      <c r="O279" s="891"/>
      <c r="P279" s="891"/>
    </row>
    <row r="280" spans="1:16">
      <c r="A280" s="891"/>
      <c r="B280" s="891"/>
      <c r="C280" s="891"/>
      <c r="D280" s="891"/>
      <c r="E280" s="891"/>
      <c r="F280" s="891"/>
      <c r="G280" s="891"/>
      <c r="H280" s="891"/>
      <c r="I280" s="891"/>
      <c r="J280" s="891"/>
      <c r="K280" s="891"/>
      <c r="L280" s="891" t="s">
        <v>175</v>
      </c>
      <c r="M280" s="891" t="s">
        <v>1049</v>
      </c>
      <c r="N280" s="891" t="s">
        <v>554</v>
      </c>
      <c r="O280" s="891"/>
      <c r="P280" s="891"/>
    </row>
    <row r="281" spans="1:16">
      <c r="A281" s="891"/>
      <c r="B281" s="891"/>
      <c r="C281" s="891"/>
      <c r="D281" s="891"/>
      <c r="E281" s="891"/>
      <c r="F281" s="891"/>
      <c r="G281" s="891"/>
      <c r="H281" s="891"/>
      <c r="I281" s="891"/>
      <c r="J281" s="891"/>
      <c r="K281" s="891"/>
      <c r="L281" s="891" t="s">
        <v>343</v>
      </c>
      <c r="M281" s="891" t="s">
        <v>1050</v>
      </c>
      <c r="N281" s="891" t="s">
        <v>637</v>
      </c>
      <c r="O281" s="891"/>
      <c r="P281" s="891"/>
    </row>
    <row r="282" spans="1:16">
      <c r="A282" s="891"/>
      <c r="B282" s="891"/>
      <c r="C282" s="891"/>
      <c r="D282" s="891"/>
      <c r="E282" s="891"/>
      <c r="F282" s="891"/>
      <c r="G282" s="891"/>
      <c r="H282" s="891"/>
      <c r="I282" s="891"/>
      <c r="J282" s="891"/>
      <c r="K282" s="891"/>
      <c r="L282" s="891" t="s">
        <v>243</v>
      </c>
      <c r="M282" s="891" t="s">
        <v>1051</v>
      </c>
      <c r="N282" s="891" t="s">
        <v>621</v>
      </c>
      <c r="O282" s="891"/>
      <c r="P282" s="891"/>
    </row>
    <row r="283" spans="1:16">
      <c r="A283" s="891"/>
      <c r="B283" s="891"/>
      <c r="C283" s="891"/>
      <c r="D283" s="891"/>
      <c r="E283" s="891"/>
      <c r="F283" s="891"/>
      <c r="G283" s="891"/>
      <c r="H283" s="891"/>
      <c r="I283" s="891"/>
      <c r="J283" s="891"/>
      <c r="K283" s="891"/>
      <c r="L283" s="891" t="s">
        <v>371</v>
      </c>
      <c r="M283" s="891" t="s">
        <v>1052</v>
      </c>
      <c r="N283" s="891" t="s">
        <v>560</v>
      </c>
      <c r="O283" s="891"/>
      <c r="P283" s="891"/>
    </row>
    <row r="284" spans="1:16">
      <c r="A284" s="891"/>
      <c r="B284" s="891"/>
      <c r="C284" s="891"/>
      <c r="D284" s="891"/>
      <c r="E284" s="891"/>
      <c r="F284" s="891"/>
      <c r="G284" s="891"/>
      <c r="H284" s="891"/>
      <c r="I284" s="891"/>
      <c r="J284" s="891"/>
      <c r="K284" s="891"/>
      <c r="L284" s="891" t="s">
        <v>194</v>
      </c>
      <c r="M284" s="891" t="s">
        <v>1053</v>
      </c>
      <c r="N284" s="891" t="s">
        <v>554</v>
      </c>
      <c r="O284" s="891"/>
      <c r="P284" s="891"/>
    </row>
    <row r="285" spans="1:16">
      <c r="A285" s="891"/>
      <c r="B285" s="891"/>
      <c r="C285" s="891"/>
      <c r="D285" s="891"/>
      <c r="E285" s="891"/>
      <c r="F285" s="891"/>
      <c r="G285" s="891"/>
      <c r="H285" s="891"/>
      <c r="I285" s="891"/>
      <c r="J285" s="891"/>
      <c r="K285" s="891"/>
      <c r="L285" s="891" t="s">
        <v>235</v>
      </c>
      <c r="M285" s="891" t="s">
        <v>1054</v>
      </c>
      <c r="N285" s="891" t="s">
        <v>611</v>
      </c>
      <c r="O285" s="891"/>
      <c r="P285" s="891"/>
    </row>
    <row r="286" spans="1:16">
      <c r="A286" s="891"/>
      <c r="B286" s="891"/>
      <c r="C286" s="891"/>
      <c r="D286" s="891"/>
      <c r="E286" s="891"/>
      <c r="F286" s="891"/>
      <c r="G286" s="891"/>
      <c r="H286" s="891"/>
      <c r="I286" s="891"/>
      <c r="J286" s="891"/>
      <c r="K286" s="891"/>
      <c r="L286" s="891" t="s">
        <v>226</v>
      </c>
      <c r="M286" s="891" t="s">
        <v>1055</v>
      </c>
      <c r="N286" s="891" t="s">
        <v>606</v>
      </c>
      <c r="O286" s="891"/>
      <c r="P286" s="891"/>
    </row>
    <row r="287" spans="1:16">
      <c r="A287" s="891"/>
      <c r="B287" s="891"/>
      <c r="C287" s="891"/>
      <c r="D287" s="891"/>
      <c r="E287" s="891"/>
      <c r="F287" s="891"/>
      <c r="G287" s="891"/>
      <c r="H287" s="891"/>
      <c r="I287" s="891"/>
      <c r="J287" s="891"/>
      <c r="K287" s="891"/>
      <c r="L287" s="891" t="s">
        <v>293</v>
      </c>
      <c r="M287" s="891" t="s">
        <v>1056</v>
      </c>
      <c r="N287" s="891" t="s">
        <v>629</v>
      </c>
      <c r="O287" s="891"/>
      <c r="P287" s="891"/>
    </row>
    <row r="288" spans="1:16">
      <c r="A288" s="891"/>
      <c r="B288" s="891"/>
      <c r="C288" s="891"/>
      <c r="D288" s="891"/>
      <c r="E288" s="891"/>
      <c r="F288" s="891"/>
      <c r="G288" s="891"/>
      <c r="H288" s="891"/>
      <c r="I288" s="891"/>
      <c r="J288" s="891"/>
      <c r="K288" s="891"/>
      <c r="L288" s="891" t="s">
        <v>248</v>
      </c>
      <c r="M288" s="891" t="s">
        <v>1057</v>
      </c>
      <c r="N288" s="891" t="s">
        <v>619</v>
      </c>
      <c r="O288" s="891"/>
      <c r="P288" s="891"/>
    </row>
    <row r="289" spans="1:16">
      <c r="A289" s="891"/>
      <c r="B289" s="891"/>
      <c r="C289" s="891"/>
      <c r="D289" s="891"/>
      <c r="E289" s="891"/>
      <c r="F289" s="891"/>
      <c r="G289" s="891"/>
      <c r="H289" s="891"/>
      <c r="I289" s="891"/>
      <c r="J289" s="891"/>
      <c r="K289" s="891"/>
      <c r="L289" s="891" t="s">
        <v>299</v>
      </c>
      <c r="M289" s="891" t="s">
        <v>1058</v>
      </c>
      <c r="N289" s="891" t="s">
        <v>623</v>
      </c>
      <c r="O289" s="891"/>
      <c r="P289" s="891"/>
    </row>
    <row r="290" spans="1:16">
      <c r="A290" s="891"/>
      <c r="B290" s="891"/>
      <c r="C290" s="891"/>
      <c r="D290" s="891"/>
      <c r="E290" s="891"/>
      <c r="F290" s="891"/>
      <c r="G290" s="891"/>
      <c r="H290" s="891"/>
      <c r="I290" s="891"/>
      <c r="J290" s="891"/>
      <c r="K290" s="891"/>
      <c r="L290" s="891" t="s">
        <v>355</v>
      </c>
      <c r="M290" s="891" t="s">
        <v>1059</v>
      </c>
      <c r="N290" s="891" t="s">
        <v>558</v>
      </c>
      <c r="O290" s="891"/>
      <c r="P290" s="891"/>
    </row>
    <row r="291" spans="1:16">
      <c r="A291" s="891"/>
      <c r="B291" s="891"/>
      <c r="C291" s="891"/>
      <c r="D291" s="891"/>
      <c r="E291" s="891"/>
      <c r="F291" s="891"/>
      <c r="G291" s="891"/>
      <c r="H291" s="891"/>
      <c r="I291" s="891"/>
      <c r="J291" s="891"/>
      <c r="K291" s="891"/>
      <c r="L291" s="891" t="s">
        <v>382</v>
      </c>
      <c r="M291" s="891" t="s">
        <v>1060</v>
      </c>
      <c r="N291" s="891" t="s">
        <v>560</v>
      </c>
      <c r="O291" s="891"/>
      <c r="P291" s="891"/>
    </row>
    <row r="292" spans="1:16">
      <c r="A292" s="891"/>
      <c r="B292" s="891"/>
      <c r="C292" s="891"/>
      <c r="D292" s="891"/>
      <c r="E292" s="891"/>
      <c r="F292" s="891"/>
      <c r="G292" s="891"/>
      <c r="H292" s="891"/>
      <c r="I292" s="891"/>
      <c r="J292" s="891"/>
      <c r="K292" s="891"/>
      <c r="L292" s="891" t="s">
        <v>62</v>
      </c>
      <c r="M292" s="891" t="s">
        <v>1061</v>
      </c>
      <c r="N292" s="891" t="s">
        <v>600</v>
      </c>
      <c r="O292" s="891"/>
      <c r="P292" s="891"/>
    </row>
    <row r="293" spans="1:16">
      <c r="A293" s="891"/>
      <c r="B293" s="891"/>
      <c r="C293" s="891"/>
      <c r="D293" s="891"/>
      <c r="E293" s="891"/>
      <c r="F293" s="891"/>
      <c r="G293" s="891"/>
      <c r="H293" s="891"/>
      <c r="I293" s="891"/>
      <c r="J293" s="891"/>
      <c r="K293" s="891"/>
      <c r="L293" s="891" t="s">
        <v>99</v>
      </c>
      <c r="M293" s="891" t="s">
        <v>1062</v>
      </c>
      <c r="N293" s="891" t="s">
        <v>559</v>
      </c>
      <c r="O293" s="891"/>
      <c r="P293" s="891"/>
    </row>
    <row r="294" spans="1:16">
      <c r="A294" s="891"/>
      <c r="B294" s="891"/>
      <c r="C294" s="891"/>
      <c r="D294" s="891"/>
      <c r="E294" s="891"/>
      <c r="F294" s="891"/>
      <c r="G294" s="891"/>
      <c r="H294" s="891"/>
      <c r="I294" s="891"/>
      <c r="J294" s="891"/>
      <c r="K294" s="891"/>
      <c r="L294" s="891" t="s">
        <v>325</v>
      </c>
      <c r="M294" s="891" t="s">
        <v>1063</v>
      </c>
      <c r="N294" s="891" t="s">
        <v>646</v>
      </c>
      <c r="O294" s="891"/>
      <c r="P294" s="891"/>
    </row>
    <row r="295" spans="1:16">
      <c r="A295" s="891"/>
      <c r="B295" s="891"/>
      <c r="C295" s="891"/>
      <c r="D295" s="891"/>
      <c r="E295" s="891"/>
      <c r="F295" s="891"/>
      <c r="G295" s="891"/>
      <c r="H295" s="891"/>
      <c r="I295" s="891"/>
      <c r="J295" s="891"/>
      <c r="K295" s="891"/>
      <c r="L295" s="891" t="s">
        <v>345</v>
      </c>
      <c r="M295" s="891" t="s">
        <v>1064</v>
      </c>
      <c r="N295" s="891" t="s">
        <v>649</v>
      </c>
      <c r="O295" s="891"/>
      <c r="P295" s="891"/>
    </row>
    <row r="296" spans="1:16">
      <c r="A296" s="891"/>
      <c r="B296" s="891"/>
      <c r="C296" s="891"/>
      <c r="D296" s="891"/>
      <c r="E296" s="891"/>
      <c r="F296" s="891"/>
      <c r="G296" s="891"/>
      <c r="H296" s="891"/>
      <c r="I296" s="891"/>
      <c r="J296" s="891"/>
      <c r="K296" s="891"/>
      <c r="L296" s="891" t="s">
        <v>181</v>
      </c>
      <c r="M296" s="891" t="s">
        <v>1065</v>
      </c>
      <c r="N296" s="891" t="s">
        <v>554</v>
      </c>
      <c r="O296" s="891"/>
      <c r="P296" s="891"/>
    </row>
    <row r="297" spans="1:16">
      <c r="A297" s="891"/>
      <c r="B297" s="891"/>
      <c r="C297" s="891"/>
      <c r="D297" s="891"/>
      <c r="E297" s="891"/>
      <c r="F297" s="891"/>
      <c r="G297" s="891"/>
      <c r="H297" s="891"/>
      <c r="I297" s="891"/>
      <c r="J297" s="891"/>
      <c r="K297" s="891"/>
      <c r="L297" s="891" t="s">
        <v>260</v>
      </c>
      <c r="M297" s="891" t="s">
        <v>1066</v>
      </c>
      <c r="N297" s="891" t="s">
        <v>611</v>
      </c>
      <c r="O297" s="891"/>
      <c r="P297" s="891"/>
    </row>
    <row r="298" spans="1:16">
      <c r="A298" s="891"/>
      <c r="B298" s="891"/>
      <c r="C298" s="891"/>
      <c r="D298" s="891"/>
      <c r="E298" s="891"/>
      <c r="F298" s="891"/>
      <c r="G298" s="891"/>
      <c r="H298" s="891"/>
      <c r="I298" s="891"/>
      <c r="J298" s="891"/>
      <c r="K298" s="891"/>
      <c r="L298" s="891" t="s">
        <v>81</v>
      </c>
      <c r="M298" s="891" t="s">
        <v>1067</v>
      </c>
      <c r="N298" s="891" t="s">
        <v>559</v>
      </c>
      <c r="O298" s="891"/>
      <c r="P298" s="891"/>
    </row>
    <row r="299" spans="1:16">
      <c r="A299" s="891"/>
      <c r="B299" s="891"/>
      <c r="C299" s="891"/>
      <c r="D299" s="891"/>
      <c r="E299" s="891"/>
      <c r="F299" s="891"/>
      <c r="G299" s="891"/>
      <c r="H299" s="891"/>
      <c r="I299" s="891"/>
      <c r="J299" s="891"/>
      <c r="K299" s="891"/>
      <c r="L299" s="891" t="s">
        <v>171</v>
      </c>
      <c r="M299" s="891" t="s">
        <v>1068</v>
      </c>
      <c r="N299" s="891" t="s">
        <v>554</v>
      </c>
      <c r="O299" s="891"/>
      <c r="P299" s="891"/>
    </row>
    <row r="300" spans="1:16">
      <c r="A300" s="891"/>
      <c r="B300" s="891"/>
      <c r="C300" s="891"/>
      <c r="D300" s="891"/>
      <c r="E300" s="891"/>
      <c r="F300" s="891"/>
      <c r="G300" s="891"/>
      <c r="H300" s="891"/>
      <c r="I300" s="891"/>
      <c r="J300" s="891"/>
      <c r="K300" s="891"/>
      <c r="L300" s="891" t="s">
        <v>37</v>
      </c>
      <c r="M300" s="891" t="s">
        <v>1069</v>
      </c>
      <c r="N300" s="891" t="s">
        <v>585</v>
      </c>
      <c r="O300" s="891"/>
      <c r="P300" s="891"/>
    </row>
    <row r="301" spans="1:16">
      <c r="A301" s="891"/>
      <c r="B301" s="891"/>
      <c r="C301" s="891"/>
      <c r="D301" s="891"/>
      <c r="E301" s="891"/>
      <c r="F301" s="891"/>
      <c r="G301" s="891"/>
      <c r="H301" s="891"/>
      <c r="I301" s="891"/>
      <c r="J301" s="891"/>
      <c r="K301" s="891"/>
      <c r="L301" s="891" t="s">
        <v>117</v>
      </c>
      <c r="M301" s="891" t="s">
        <v>1070</v>
      </c>
      <c r="N301" s="891" t="s">
        <v>554</v>
      </c>
      <c r="O301" s="891"/>
      <c r="P301" s="891"/>
    </row>
    <row r="302" spans="1:16">
      <c r="A302" s="891"/>
      <c r="B302" s="891"/>
      <c r="C302" s="891"/>
      <c r="D302" s="891"/>
      <c r="E302" s="891"/>
      <c r="F302" s="891"/>
      <c r="G302" s="891"/>
      <c r="H302" s="891"/>
      <c r="I302" s="891"/>
      <c r="J302" s="891"/>
      <c r="K302" s="891"/>
      <c r="L302" s="891" t="s">
        <v>230</v>
      </c>
      <c r="M302" s="891" t="s">
        <v>1071</v>
      </c>
      <c r="N302" s="891" t="s">
        <v>567</v>
      </c>
      <c r="O302" s="891"/>
      <c r="P302" s="891"/>
    </row>
    <row r="303" spans="1:16">
      <c r="A303" s="891"/>
      <c r="B303" s="891"/>
      <c r="C303" s="891"/>
      <c r="D303" s="891"/>
      <c r="E303" s="891"/>
      <c r="F303" s="891"/>
      <c r="G303" s="891"/>
      <c r="H303" s="891"/>
      <c r="I303" s="891"/>
      <c r="J303" s="891"/>
      <c r="K303" s="891"/>
      <c r="L303" s="891" t="s">
        <v>239</v>
      </c>
      <c r="M303" s="891" t="s">
        <v>1072</v>
      </c>
      <c r="N303" s="891" t="s">
        <v>607</v>
      </c>
      <c r="O303" s="891"/>
      <c r="P303" s="891"/>
    </row>
    <row r="304" spans="1:16">
      <c r="A304" s="891"/>
      <c r="B304" s="891"/>
      <c r="C304" s="891"/>
      <c r="D304" s="891"/>
      <c r="E304" s="891"/>
      <c r="F304" s="891"/>
      <c r="G304" s="891"/>
      <c r="H304" s="891"/>
      <c r="I304" s="891"/>
      <c r="J304" s="891"/>
      <c r="K304" s="891"/>
      <c r="L304" s="891" t="s">
        <v>191</v>
      </c>
      <c r="M304" s="891" t="s">
        <v>1073</v>
      </c>
      <c r="N304" s="891" t="s">
        <v>611</v>
      </c>
      <c r="O304" s="891"/>
      <c r="P304" s="891"/>
    </row>
    <row r="305" spans="1:16">
      <c r="A305" s="891"/>
      <c r="B305" s="891"/>
      <c r="C305" s="891"/>
      <c r="D305" s="891"/>
      <c r="E305" s="891"/>
      <c r="F305" s="891"/>
      <c r="G305" s="891"/>
      <c r="H305" s="891"/>
      <c r="I305" s="891"/>
      <c r="J305" s="891"/>
      <c r="K305" s="891"/>
      <c r="L305" s="891" t="s">
        <v>208</v>
      </c>
      <c r="M305" s="891" t="s">
        <v>1074</v>
      </c>
      <c r="N305" s="891" t="s">
        <v>608</v>
      </c>
      <c r="O305" s="891"/>
      <c r="P305" s="891"/>
    </row>
    <row r="306" spans="1:16">
      <c r="A306" s="891"/>
      <c r="B306" s="891"/>
      <c r="C306" s="891"/>
      <c r="D306" s="891"/>
      <c r="E306" s="891"/>
      <c r="F306" s="891"/>
      <c r="G306" s="891"/>
      <c r="H306" s="891"/>
      <c r="I306" s="891"/>
      <c r="J306" s="891"/>
      <c r="K306" s="891"/>
      <c r="L306" s="891" t="s">
        <v>199</v>
      </c>
      <c r="M306" s="891" t="s">
        <v>1075</v>
      </c>
      <c r="N306" s="891" t="s">
        <v>554</v>
      </c>
      <c r="O306" s="891"/>
      <c r="P306" s="891"/>
    </row>
    <row r="307" spans="1:16">
      <c r="A307" s="891"/>
      <c r="B307" s="891"/>
      <c r="C307" s="891"/>
      <c r="D307" s="891"/>
      <c r="E307" s="891"/>
      <c r="F307" s="891"/>
      <c r="G307" s="891"/>
      <c r="H307" s="891"/>
      <c r="I307" s="891"/>
      <c r="J307" s="891"/>
      <c r="K307" s="891"/>
      <c r="L307" s="891" t="s">
        <v>101</v>
      </c>
      <c r="M307" s="891" t="s">
        <v>1076</v>
      </c>
      <c r="N307" s="891" t="s">
        <v>563</v>
      </c>
      <c r="O307" s="891"/>
      <c r="P307" s="891"/>
    </row>
    <row r="308" spans="1:16">
      <c r="A308" s="891"/>
      <c r="B308" s="891"/>
      <c r="C308" s="891"/>
      <c r="D308" s="891"/>
      <c r="E308" s="891"/>
      <c r="F308" s="891"/>
      <c r="G308" s="891"/>
      <c r="H308" s="891"/>
      <c r="I308" s="891"/>
      <c r="J308" s="891"/>
      <c r="K308" s="891"/>
      <c r="L308" s="891" t="s">
        <v>280</v>
      </c>
      <c r="M308" s="891" t="s">
        <v>1077</v>
      </c>
      <c r="N308" s="891" t="s">
        <v>556</v>
      </c>
      <c r="O308" s="891"/>
      <c r="P308" s="891"/>
    </row>
    <row r="309" spans="1:16">
      <c r="A309" s="891"/>
      <c r="B309" s="891"/>
      <c r="C309" s="891"/>
      <c r="D309" s="891"/>
      <c r="E309" s="891"/>
      <c r="F309" s="891"/>
      <c r="G309" s="891"/>
      <c r="H309" s="891"/>
      <c r="I309" s="891"/>
      <c r="J309" s="891"/>
      <c r="K309" s="891"/>
      <c r="L309" s="891" t="s">
        <v>89</v>
      </c>
      <c r="M309" s="891" t="s">
        <v>1078</v>
      </c>
      <c r="N309" s="891" t="s">
        <v>590</v>
      </c>
      <c r="O309" s="891"/>
      <c r="P309" s="891"/>
    </row>
    <row r="310" spans="1:16">
      <c r="A310" s="891"/>
      <c r="B310" s="891"/>
      <c r="C310" s="891"/>
      <c r="D310" s="891"/>
      <c r="E310" s="891"/>
      <c r="F310" s="891"/>
      <c r="G310" s="891"/>
      <c r="H310" s="891"/>
      <c r="I310" s="891"/>
      <c r="J310" s="891"/>
      <c r="K310" s="891"/>
      <c r="L310" s="891" t="s">
        <v>347</v>
      </c>
      <c r="M310" s="891" t="s">
        <v>1079</v>
      </c>
      <c r="N310" s="891" t="s">
        <v>629</v>
      </c>
      <c r="O310" s="891"/>
      <c r="P310" s="891"/>
    </row>
    <row r="311" spans="1:16">
      <c r="A311" s="891"/>
      <c r="B311" s="891"/>
      <c r="C311" s="891"/>
      <c r="D311" s="891"/>
      <c r="E311" s="891"/>
      <c r="F311" s="891"/>
      <c r="G311" s="891"/>
      <c r="H311" s="891"/>
      <c r="I311" s="891"/>
      <c r="J311" s="891"/>
      <c r="K311" s="891"/>
      <c r="L311" s="891" t="s">
        <v>120</v>
      </c>
      <c r="M311" s="891" t="s">
        <v>1080</v>
      </c>
      <c r="N311" s="891" t="s">
        <v>554</v>
      </c>
      <c r="O311" s="891"/>
      <c r="P311" s="891"/>
    </row>
    <row r="312" spans="1:16">
      <c r="A312" s="891"/>
      <c r="B312" s="891"/>
      <c r="C312" s="891"/>
      <c r="D312" s="891"/>
      <c r="E312" s="891"/>
      <c r="F312" s="891"/>
      <c r="G312" s="891"/>
      <c r="H312" s="891"/>
      <c r="I312" s="891"/>
      <c r="J312" s="891"/>
      <c r="K312" s="891"/>
      <c r="L312" s="891" t="s">
        <v>213</v>
      </c>
      <c r="M312" s="891" t="s">
        <v>1081</v>
      </c>
      <c r="N312" s="891" t="s">
        <v>554</v>
      </c>
      <c r="O312" s="891"/>
      <c r="P312" s="891"/>
    </row>
    <row r="313" spans="1:16">
      <c r="A313" s="891"/>
      <c r="B313" s="891"/>
      <c r="C313" s="891"/>
      <c r="D313" s="891"/>
      <c r="E313" s="891"/>
      <c r="F313" s="891"/>
      <c r="G313" s="891"/>
      <c r="H313" s="891"/>
      <c r="I313" s="891"/>
      <c r="J313" s="891"/>
      <c r="K313" s="891"/>
      <c r="L313" s="891" t="s">
        <v>137</v>
      </c>
      <c r="M313" s="891" t="s">
        <v>1082</v>
      </c>
      <c r="N313" s="891" t="s">
        <v>554</v>
      </c>
      <c r="O313" s="891"/>
      <c r="P313" s="891"/>
    </row>
    <row r="314" spans="1:16">
      <c r="A314" s="891"/>
      <c r="B314" s="891"/>
      <c r="C314" s="891"/>
      <c r="D314" s="891"/>
      <c r="E314" s="891"/>
      <c r="F314" s="891"/>
      <c r="G314" s="891"/>
      <c r="H314" s="891"/>
      <c r="I314" s="891"/>
      <c r="J314" s="891"/>
      <c r="K314" s="891"/>
      <c r="L314" s="891" t="s">
        <v>244</v>
      </c>
      <c r="M314" s="891" t="s">
        <v>1082</v>
      </c>
      <c r="N314" s="891" t="s">
        <v>556</v>
      </c>
      <c r="O314" s="891"/>
      <c r="P314" s="891"/>
    </row>
    <row r="315" spans="1:16">
      <c r="A315" s="891"/>
      <c r="B315" s="891"/>
      <c r="C315" s="891"/>
      <c r="D315" s="891"/>
      <c r="E315" s="891"/>
      <c r="F315" s="891"/>
      <c r="G315" s="891"/>
      <c r="H315" s="891"/>
      <c r="I315" s="891"/>
      <c r="J315" s="891"/>
      <c r="K315" s="891"/>
      <c r="L315" s="891" t="s">
        <v>198</v>
      </c>
      <c r="M315" s="891" t="s">
        <v>1083</v>
      </c>
      <c r="N315" s="891" t="s">
        <v>554</v>
      </c>
      <c r="O315" s="891"/>
      <c r="P315" s="891"/>
    </row>
    <row r="316" spans="1:16">
      <c r="A316" s="891"/>
      <c r="B316" s="891"/>
      <c r="C316" s="891"/>
      <c r="D316" s="891"/>
      <c r="E316" s="891"/>
      <c r="F316" s="891"/>
      <c r="G316" s="891"/>
      <c r="H316" s="891"/>
      <c r="I316" s="891"/>
      <c r="J316" s="891"/>
      <c r="K316" s="891"/>
      <c r="L316" s="891" t="s">
        <v>284</v>
      </c>
      <c r="M316" s="891" t="s">
        <v>1084</v>
      </c>
      <c r="N316" s="891" t="s">
        <v>611</v>
      </c>
      <c r="O316" s="891"/>
      <c r="P316" s="891"/>
    </row>
    <row r="317" spans="1:16">
      <c r="A317" s="891"/>
      <c r="B317" s="891"/>
      <c r="C317" s="891"/>
      <c r="D317" s="891"/>
      <c r="E317" s="891"/>
      <c r="F317" s="891"/>
      <c r="G317" s="891"/>
      <c r="H317" s="891"/>
      <c r="I317" s="891"/>
      <c r="J317" s="891"/>
      <c r="K317" s="891"/>
      <c r="L317" s="891" t="s">
        <v>222</v>
      </c>
      <c r="M317" s="891" t="s">
        <v>1085</v>
      </c>
      <c r="N317" s="891" t="s">
        <v>554</v>
      </c>
      <c r="O317" s="891"/>
      <c r="P317" s="891"/>
    </row>
    <row r="318" spans="1:16">
      <c r="A318" s="891"/>
      <c r="B318" s="891"/>
      <c r="C318" s="891"/>
      <c r="D318" s="891"/>
      <c r="E318" s="891"/>
      <c r="F318" s="891"/>
      <c r="G318" s="891"/>
      <c r="H318" s="891"/>
      <c r="I318" s="891"/>
      <c r="J318" s="891"/>
      <c r="K318" s="891"/>
      <c r="L318" s="891" t="s">
        <v>170</v>
      </c>
      <c r="M318" s="891" t="s">
        <v>1086</v>
      </c>
      <c r="N318" s="891" t="s">
        <v>554</v>
      </c>
      <c r="O318" s="891"/>
      <c r="P318" s="891"/>
    </row>
    <row r="319" spans="1:16">
      <c r="A319" s="891"/>
      <c r="B319" s="891"/>
      <c r="C319" s="891"/>
      <c r="D319" s="891"/>
      <c r="E319" s="891"/>
      <c r="F319" s="891"/>
      <c r="G319" s="891"/>
      <c r="H319" s="891"/>
      <c r="I319" s="891"/>
      <c r="J319" s="891"/>
      <c r="K319" s="891"/>
      <c r="L319" s="891" t="s">
        <v>111</v>
      </c>
      <c r="M319" s="891" t="s">
        <v>1087</v>
      </c>
      <c r="N319" s="891" t="s">
        <v>554</v>
      </c>
      <c r="O319" s="891"/>
      <c r="P319" s="891"/>
    </row>
    <row r="320" spans="1:16">
      <c r="A320" s="891"/>
      <c r="B320" s="891"/>
      <c r="C320" s="891"/>
      <c r="D320" s="891"/>
      <c r="E320" s="891"/>
      <c r="F320" s="891"/>
      <c r="G320" s="891"/>
      <c r="H320" s="891"/>
      <c r="I320" s="891"/>
      <c r="J320" s="891"/>
      <c r="K320" s="891"/>
      <c r="L320" s="891" t="s">
        <v>132</v>
      </c>
      <c r="M320" s="891" t="s">
        <v>1088</v>
      </c>
      <c r="N320" s="891" t="s">
        <v>554</v>
      </c>
      <c r="O320" s="891"/>
      <c r="P320" s="891"/>
    </row>
    <row r="321" spans="1:16">
      <c r="A321" s="891"/>
      <c r="B321" s="891"/>
      <c r="C321" s="891"/>
      <c r="D321" s="891"/>
      <c r="E321" s="891"/>
      <c r="F321" s="891"/>
      <c r="G321" s="891"/>
      <c r="H321" s="891"/>
      <c r="I321" s="891"/>
      <c r="J321" s="891"/>
      <c r="K321" s="891"/>
      <c r="L321" s="891" t="s">
        <v>224</v>
      </c>
      <c r="M321" s="891" t="s">
        <v>1088</v>
      </c>
      <c r="N321" s="891" t="s">
        <v>614</v>
      </c>
      <c r="O321" s="891"/>
      <c r="P321" s="891"/>
    </row>
    <row r="322" spans="1:16">
      <c r="A322" s="891"/>
      <c r="B322" s="891"/>
      <c r="C322" s="891"/>
      <c r="D322" s="891"/>
      <c r="E322" s="891"/>
      <c r="F322" s="891"/>
      <c r="G322" s="891"/>
      <c r="H322" s="891"/>
      <c r="I322" s="891"/>
      <c r="J322" s="891"/>
      <c r="K322" s="891"/>
      <c r="L322" s="891" t="s">
        <v>162</v>
      </c>
      <c r="M322" s="891" t="s">
        <v>1089</v>
      </c>
      <c r="N322" s="891" t="s">
        <v>597</v>
      </c>
      <c r="O322" s="891"/>
      <c r="P322" s="891"/>
    </row>
    <row r="323" spans="1:16">
      <c r="A323" s="891"/>
      <c r="B323" s="891"/>
      <c r="C323" s="891"/>
      <c r="D323" s="891"/>
      <c r="E323" s="891"/>
      <c r="F323" s="891"/>
      <c r="G323" s="891"/>
      <c r="H323" s="891"/>
      <c r="I323" s="891"/>
      <c r="J323" s="891"/>
      <c r="K323" s="891"/>
      <c r="L323" s="891" t="s">
        <v>279</v>
      </c>
      <c r="M323" s="891" t="s">
        <v>1090</v>
      </c>
      <c r="N323" s="891" t="s">
        <v>764</v>
      </c>
      <c r="O323" s="891"/>
      <c r="P323" s="891"/>
    </row>
    <row r="324" spans="1:16">
      <c r="A324" s="891"/>
      <c r="B324" s="891"/>
      <c r="C324" s="891"/>
      <c r="D324" s="891"/>
      <c r="E324" s="891"/>
      <c r="F324" s="891"/>
      <c r="G324" s="891"/>
      <c r="H324" s="891"/>
      <c r="I324" s="891"/>
      <c r="J324" s="891"/>
      <c r="K324" s="891"/>
      <c r="L324" s="891" t="s">
        <v>147</v>
      </c>
      <c r="M324" s="891" t="s">
        <v>1091</v>
      </c>
      <c r="N324" s="891" t="s">
        <v>554</v>
      </c>
      <c r="O324" s="891"/>
      <c r="P324" s="891"/>
    </row>
    <row r="325" spans="1:16">
      <c r="A325" s="891"/>
      <c r="B325" s="891"/>
      <c r="C325" s="891"/>
      <c r="D325" s="891"/>
      <c r="E325" s="891"/>
      <c r="F325" s="891"/>
      <c r="G325" s="891"/>
      <c r="H325" s="891"/>
      <c r="I325" s="891"/>
      <c r="J325" s="891"/>
      <c r="K325" s="891"/>
      <c r="L325" s="891" t="s">
        <v>250</v>
      </c>
      <c r="M325" s="891" t="s">
        <v>1092</v>
      </c>
      <c r="N325" s="891" t="s">
        <v>612</v>
      </c>
      <c r="O325" s="891"/>
      <c r="P325" s="891"/>
    </row>
    <row r="326" spans="1:16">
      <c r="A326" s="891"/>
      <c r="B326" s="891"/>
      <c r="C326" s="891"/>
      <c r="D326" s="891"/>
      <c r="E326" s="891"/>
      <c r="F326" s="891"/>
      <c r="G326" s="891"/>
      <c r="H326" s="891"/>
      <c r="I326" s="891"/>
      <c r="J326" s="891"/>
      <c r="K326" s="891"/>
      <c r="L326" s="891" t="s">
        <v>741</v>
      </c>
      <c r="M326" s="891" t="s">
        <v>1093</v>
      </c>
      <c r="N326" s="891" t="s">
        <v>765</v>
      </c>
      <c r="O326" s="891"/>
      <c r="P326" s="891"/>
    </row>
    <row r="327" spans="1:16">
      <c r="A327" s="891"/>
      <c r="B327" s="891"/>
      <c r="C327" s="891"/>
      <c r="D327" s="891"/>
      <c r="E327" s="891"/>
      <c r="F327" s="891"/>
      <c r="G327" s="891"/>
      <c r="H327" s="891"/>
      <c r="I327" s="891"/>
      <c r="J327" s="891"/>
      <c r="K327" s="891"/>
      <c r="L327" s="891" t="s">
        <v>197</v>
      </c>
      <c r="M327" s="891" t="s">
        <v>1094</v>
      </c>
      <c r="N327" s="891" t="s">
        <v>611</v>
      </c>
      <c r="O327" s="891"/>
      <c r="P327" s="891"/>
    </row>
    <row r="328" spans="1:16">
      <c r="A328" s="891"/>
      <c r="B328" s="891"/>
      <c r="C328" s="891"/>
      <c r="D328" s="891"/>
      <c r="E328" s="891"/>
      <c r="F328" s="891"/>
      <c r="G328" s="891"/>
      <c r="H328" s="891"/>
      <c r="I328" s="891"/>
      <c r="J328" s="891"/>
      <c r="K328" s="891"/>
      <c r="L328" s="891" t="s">
        <v>766</v>
      </c>
      <c r="M328" s="891" t="s">
        <v>1095</v>
      </c>
      <c r="N328" s="891" t="s">
        <v>763</v>
      </c>
      <c r="O328" s="891"/>
      <c r="P328" s="891"/>
    </row>
    <row r="329" spans="1:16">
      <c r="A329" s="891"/>
      <c r="B329" s="891"/>
      <c r="C329" s="891"/>
      <c r="D329" s="891"/>
      <c r="E329" s="891"/>
      <c r="F329" s="891"/>
      <c r="G329" s="891"/>
      <c r="H329" s="891"/>
      <c r="I329" s="891"/>
      <c r="J329" s="891"/>
      <c r="K329" s="891"/>
      <c r="L329" s="891" t="s">
        <v>90</v>
      </c>
      <c r="M329" s="891" t="s">
        <v>1096</v>
      </c>
      <c r="N329" s="891" t="s">
        <v>559</v>
      </c>
      <c r="O329" s="891"/>
      <c r="P329" s="891"/>
    </row>
    <row r="330" spans="1:16">
      <c r="A330" s="891"/>
      <c r="B330" s="891"/>
      <c r="C330" s="891"/>
      <c r="D330" s="891"/>
      <c r="E330" s="891"/>
      <c r="F330" s="891"/>
      <c r="G330" s="891"/>
      <c r="H330" s="891"/>
      <c r="I330" s="891"/>
      <c r="J330" s="891"/>
      <c r="K330" s="891"/>
      <c r="L330" s="891" t="s">
        <v>133</v>
      </c>
      <c r="M330" s="891" t="s">
        <v>1097</v>
      </c>
      <c r="N330" s="891" t="s">
        <v>554</v>
      </c>
      <c r="O330" s="891"/>
      <c r="P330" s="891"/>
    </row>
    <row r="331" spans="1:16">
      <c r="A331" s="891"/>
      <c r="B331" s="891"/>
      <c r="C331" s="891"/>
      <c r="D331" s="891"/>
      <c r="E331" s="891"/>
      <c r="F331" s="891"/>
      <c r="G331" s="891"/>
      <c r="H331" s="891"/>
      <c r="I331" s="891"/>
      <c r="J331" s="891"/>
      <c r="K331" s="891"/>
      <c r="L331" s="891" t="s">
        <v>149</v>
      </c>
      <c r="M331" s="891" t="s">
        <v>1098</v>
      </c>
      <c r="N331" s="891" t="s">
        <v>602</v>
      </c>
      <c r="O331" s="891"/>
      <c r="P331" s="891"/>
    </row>
    <row r="332" spans="1:16">
      <c r="A332" s="891"/>
      <c r="B332" s="891"/>
      <c r="C332" s="891"/>
      <c r="D332" s="891"/>
      <c r="E332" s="891"/>
      <c r="F332" s="891"/>
      <c r="G332" s="891"/>
      <c r="H332" s="891"/>
      <c r="I332" s="891"/>
      <c r="J332" s="891"/>
      <c r="K332" s="891"/>
      <c r="L332" s="891" t="s">
        <v>193</v>
      </c>
      <c r="M332" s="891" t="s">
        <v>1099</v>
      </c>
      <c r="N332" s="891" t="s">
        <v>596</v>
      </c>
      <c r="O332" s="891"/>
      <c r="P332" s="891"/>
    </row>
    <row r="333" spans="1:16">
      <c r="A333" s="891"/>
      <c r="B333" s="891"/>
      <c r="C333" s="891"/>
      <c r="D333" s="891"/>
      <c r="E333" s="891"/>
      <c r="F333" s="891"/>
      <c r="G333" s="891"/>
      <c r="H333" s="891"/>
      <c r="I333" s="891"/>
      <c r="J333" s="891"/>
      <c r="K333" s="891"/>
      <c r="L333" s="891" t="s">
        <v>251</v>
      </c>
      <c r="M333" s="891" t="s">
        <v>1100</v>
      </c>
      <c r="N333" s="891" t="s">
        <v>552</v>
      </c>
      <c r="O333" s="891"/>
      <c r="P333" s="891"/>
    </row>
    <row r="334" spans="1:16">
      <c r="A334" s="891"/>
      <c r="B334" s="891"/>
      <c r="C334" s="891"/>
      <c r="D334" s="891"/>
      <c r="E334" s="891"/>
      <c r="F334" s="891"/>
      <c r="G334" s="891"/>
      <c r="H334" s="891"/>
      <c r="I334" s="891"/>
      <c r="J334" s="891"/>
      <c r="K334" s="891"/>
      <c r="L334" s="891" t="s">
        <v>184</v>
      </c>
      <c r="M334" s="891" t="s">
        <v>1101</v>
      </c>
      <c r="N334" s="891" t="s">
        <v>552</v>
      </c>
      <c r="O334" s="891"/>
      <c r="P334" s="891"/>
    </row>
    <row r="335" spans="1:16">
      <c r="A335" s="891"/>
      <c r="B335" s="891"/>
      <c r="C335" s="891"/>
      <c r="D335" s="891"/>
      <c r="E335" s="891"/>
      <c r="F335" s="891"/>
      <c r="G335" s="891"/>
      <c r="H335" s="891"/>
      <c r="I335" s="891"/>
      <c r="J335" s="891"/>
      <c r="K335" s="891"/>
      <c r="L335" s="891" t="s">
        <v>1192</v>
      </c>
      <c r="M335" s="891" t="s">
        <v>1191</v>
      </c>
      <c r="N335" s="891" t="s">
        <v>589</v>
      </c>
      <c r="O335" s="891"/>
      <c r="P335" s="891"/>
    </row>
    <row r="336" spans="1:16">
      <c r="A336" s="891"/>
      <c r="B336" s="891"/>
      <c r="C336" s="891"/>
      <c r="D336" s="891"/>
      <c r="E336" s="891"/>
      <c r="F336" s="891"/>
      <c r="G336" s="891"/>
      <c r="H336" s="891"/>
      <c r="I336" s="891"/>
      <c r="J336" s="891"/>
      <c r="K336" s="891"/>
      <c r="L336" s="891" t="s">
        <v>324</v>
      </c>
      <c r="M336" s="891" t="s">
        <v>1102</v>
      </c>
      <c r="N336" s="891" t="s">
        <v>650</v>
      </c>
      <c r="O336" s="891"/>
      <c r="P336" s="891"/>
    </row>
    <row r="337" spans="1:16">
      <c r="A337" s="891"/>
      <c r="B337" s="891"/>
      <c r="C337" s="891"/>
      <c r="D337" s="891"/>
      <c r="E337" s="891"/>
      <c r="F337" s="891"/>
      <c r="G337" s="891"/>
      <c r="H337" s="891"/>
      <c r="I337" s="891"/>
      <c r="J337" s="891"/>
      <c r="K337" s="891"/>
      <c r="L337" s="891" t="s">
        <v>144</v>
      </c>
      <c r="M337" s="891" t="s">
        <v>1103</v>
      </c>
      <c r="N337" s="891" t="s">
        <v>595</v>
      </c>
      <c r="O337" s="891"/>
      <c r="P337" s="891"/>
    </row>
    <row r="338" spans="1:16">
      <c r="A338" s="891"/>
      <c r="B338" s="891"/>
      <c r="C338" s="891"/>
      <c r="D338" s="891"/>
      <c r="E338" s="891"/>
      <c r="F338" s="891"/>
      <c r="G338" s="891"/>
      <c r="H338" s="891"/>
      <c r="I338" s="891"/>
      <c r="J338" s="891"/>
      <c r="K338" s="891"/>
      <c r="L338" s="891" t="s">
        <v>320</v>
      </c>
      <c r="M338" s="891" t="s">
        <v>1104</v>
      </c>
      <c r="N338" s="891" t="s">
        <v>637</v>
      </c>
      <c r="O338" s="891"/>
      <c r="P338" s="891"/>
    </row>
    <row r="339" spans="1:16">
      <c r="A339" s="891"/>
      <c r="B339" s="891"/>
      <c r="C339" s="891"/>
      <c r="D339" s="891"/>
      <c r="E339" s="891"/>
      <c r="F339" s="891"/>
      <c r="G339" s="891"/>
      <c r="H339" s="891"/>
      <c r="I339" s="891"/>
      <c r="J339" s="891"/>
      <c r="K339" s="891"/>
      <c r="L339" s="891" t="s">
        <v>207</v>
      </c>
      <c r="M339" s="891" t="s">
        <v>1105</v>
      </c>
      <c r="N339" s="891" t="s">
        <v>607</v>
      </c>
      <c r="O339" s="891"/>
      <c r="P339" s="891"/>
    </row>
    <row r="340" spans="1:16">
      <c r="A340" s="891"/>
      <c r="B340" s="891"/>
      <c r="C340" s="891"/>
      <c r="D340" s="891"/>
      <c r="E340" s="891"/>
      <c r="F340" s="891"/>
      <c r="G340" s="891"/>
      <c r="H340" s="891"/>
      <c r="I340" s="891"/>
      <c r="J340" s="891"/>
      <c r="K340" s="891"/>
      <c r="L340" s="891" t="s">
        <v>4</v>
      </c>
      <c r="M340" s="891" t="s">
        <v>1106</v>
      </c>
      <c r="N340" s="891" t="s">
        <v>577</v>
      </c>
      <c r="O340" s="891"/>
      <c r="P340" s="891"/>
    </row>
    <row r="341" spans="1:16">
      <c r="A341" s="891"/>
      <c r="B341" s="891"/>
      <c r="C341" s="891"/>
      <c r="D341" s="891"/>
      <c r="E341" s="891"/>
      <c r="F341" s="891"/>
      <c r="G341" s="891"/>
      <c r="H341" s="891"/>
      <c r="I341" s="891"/>
      <c r="J341" s="891"/>
      <c r="K341" s="891"/>
      <c r="L341" s="891" t="s">
        <v>18</v>
      </c>
      <c r="M341" s="891" t="s">
        <v>1107</v>
      </c>
      <c r="N341" s="891" t="s">
        <v>582</v>
      </c>
      <c r="O341" s="891"/>
      <c r="P341" s="891"/>
    </row>
    <row r="342" spans="1:16">
      <c r="A342" s="891"/>
      <c r="B342" s="891"/>
      <c r="C342" s="891"/>
      <c r="D342" s="891"/>
      <c r="E342" s="891"/>
      <c r="F342" s="891"/>
      <c r="G342" s="891"/>
      <c r="H342" s="891"/>
      <c r="I342" s="891"/>
      <c r="J342" s="891"/>
      <c r="K342" s="891"/>
      <c r="L342" s="891" t="s">
        <v>67</v>
      </c>
      <c r="M342" s="891" t="s">
        <v>1108</v>
      </c>
      <c r="N342" s="891" t="s">
        <v>569</v>
      </c>
      <c r="O342" s="891"/>
      <c r="P342" s="891"/>
    </row>
    <row r="343" spans="1:16">
      <c r="A343" s="891"/>
      <c r="B343" s="891"/>
      <c r="C343" s="891"/>
      <c r="D343" s="891"/>
      <c r="E343" s="891"/>
      <c r="F343" s="891"/>
      <c r="G343" s="891"/>
      <c r="H343" s="891"/>
      <c r="I343" s="891"/>
      <c r="J343" s="891"/>
      <c r="K343" s="891"/>
      <c r="L343" s="891" t="s">
        <v>82</v>
      </c>
      <c r="M343" s="891" t="s">
        <v>1109</v>
      </c>
      <c r="N343" s="891" t="s">
        <v>566</v>
      </c>
      <c r="O343" s="891"/>
      <c r="P343" s="891"/>
    </row>
    <row r="344" spans="1:16">
      <c r="A344" s="891"/>
      <c r="B344" s="891"/>
      <c r="C344" s="891"/>
      <c r="D344" s="891"/>
      <c r="E344" s="891"/>
      <c r="F344" s="891"/>
      <c r="G344" s="891"/>
      <c r="H344" s="891"/>
      <c r="I344" s="891"/>
      <c r="J344" s="891"/>
      <c r="K344" s="891"/>
      <c r="L344" s="891" t="s">
        <v>384</v>
      </c>
      <c r="M344" s="891" t="s">
        <v>1110</v>
      </c>
      <c r="N344" s="891" t="s">
        <v>560</v>
      </c>
      <c r="O344" s="891"/>
      <c r="P344" s="891"/>
    </row>
    <row r="345" spans="1:16">
      <c r="A345" s="891"/>
      <c r="B345" s="891"/>
      <c r="C345" s="891"/>
      <c r="D345" s="891"/>
      <c r="E345" s="891"/>
      <c r="F345" s="891"/>
      <c r="G345" s="891"/>
      <c r="H345" s="891"/>
      <c r="I345" s="891"/>
      <c r="J345" s="891"/>
      <c r="K345" s="891"/>
      <c r="L345" s="891" t="s">
        <v>109</v>
      </c>
      <c r="M345" s="891" t="s">
        <v>1111</v>
      </c>
      <c r="N345" s="891" t="s">
        <v>559</v>
      </c>
      <c r="O345" s="891"/>
      <c r="P345" s="891"/>
    </row>
    <row r="346" spans="1:16">
      <c r="A346" s="891"/>
      <c r="B346" s="891"/>
      <c r="C346" s="891"/>
      <c r="D346" s="891"/>
      <c r="E346" s="891"/>
      <c r="F346" s="891"/>
      <c r="G346" s="891"/>
      <c r="H346" s="891"/>
      <c r="I346" s="891"/>
      <c r="J346" s="891"/>
      <c r="K346" s="891"/>
      <c r="L346" s="891" t="s">
        <v>15</v>
      </c>
      <c r="M346" s="891" t="s">
        <v>1112</v>
      </c>
      <c r="N346" s="891" t="s">
        <v>579</v>
      </c>
      <c r="O346" s="891"/>
      <c r="P346" s="891"/>
    </row>
    <row r="347" spans="1:16">
      <c r="A347" s="891"/>
      <c r="B347" s="891"/>
      <c r="C347" s="891"/>
      <c r="D347" s="891"/>
      <c r="E347" s="891"/>
      <c r="F347" s="891"/>
      <c r="G347" s="891"/>
      <c r="H347" s="891"/>
      <c r="I347" s="891"/>
      <c r="J347" s="891"/>
      <c r="K347" s="891"/>
      <c r="L347" s="891" t="s">
        <v>331</v>
      </c>
      <c r="M347" s="891" t="s">
        <v>1113</v>
      </c>
      <c r="N347" s="891" t="s">
        <v>629</v>
      </c>
      <c r="O347" s="891"/>
      <c r="P347" s="891"/>
    </row>
    <row r="348" spans="1:16">
      <c r="A348" s="891"/>
      <c r="B348" s="891"/>
      <c r="C348" s="891"/>
      <c r="D348" s="891"/>
      <c r="E348" s="891"/>
      <c r="F348" s="891"/>
      <c r="G348" s="891"/>
      <c r="H348" s="891"/>
      <c r="I348" s="891"/>
      <c r="J348" s="891"/>
      <c r="K348" s="891"/>
      <c r="L348" s="891" t="s">
        <v>225</v>
      </c>
      <c r="M348" s="891" t="s">
        <v>1114</v>
      </c>
      <c r="N348" s="891" t="s">
        <v>613</v>
      </c>
      <c r="O348" s="891"/>
      <c r="P348" s="891"/>
    </row>
    <row r="349" spans="1:16">
      <c r="A349" s="891"/>
      <c r="B349" s="891"/>
      <c r="C349" s="891"/>
      <c r="D349" s="891"/>
      <c r="E349" s="891"/>
      <c r="F349" s="891"/>
      <c r="G349" s="891"/>
      <c r="H349" s="891"/>
      <c r="I349" s="891"/>
      <c r="J349" s="891"/>
      <c r="K349" s="891"/>
      <c r="L349" s="891" t="s">
        <v>255</v>
      </c>
      <c r="M349" s="891" t="s">
        <v>1115</v>
      </c>
      <c r="N349" s="891" t="s">
        <v>613</v>
      </c>
      <c r="O349" s="891"/>
      <c r="P349" s="891"/>
    </row>
    <row r="350" spans="1:16">
      <c r="A350" s="891"/>
      <c r="B350" s="891"/>
      <c r="C350" s="891"/>
      <c r="D350" s="891"/>
      <c r="E350" s="891"/>
      <c r="F350" s="891"/>
      <c r="G350" s="891"/>
      <c r="H350" s="891"/>
      <c r="I350" s="891"/>
      <c r="J350" s="891"/>
      <c r="K350" s="891"/>
      <c r="L350" s="891" t="s">
        <v>218</v>
      </c>
      <c r="M350" s="891" t="s">
        <v>1116</v>
      </c>
      <c r="N350" s="891" t="s">
        <v>609</v>
      </c>
      <c r="O350" s="891"/>
      <c r="P350" s="891"/>
    </row>
    <row r="351" spans="1:16">
      <c r="A351" s="891"/>
      <c r="B351" s="891"/>
      <c r="C351" s="891"/>
      <c r="D351" s="891"/>
      <c r="E351" s="891"/>
      <c r="F351" s="891"/>
      <c r="G351" s="891"/>
      <c r="H351" s="891"/>
      <c r="I351" s="891"/>
      <c r="J351" s="891"/>
      <c r="K351" s="891"/>
      <c r="L351" s="891" t="s">
        <v>178</v>
      </c>
      <c r="M351" s="891" t="s">
        <v>1117</v>
      </c>
      <c r="N351" s="891" t="s">
        <v>554</v>
      </c>
      <c r="O351" s="891"/>
      <c r="P351" s="891"/>
    </row>
    <row r="352" spans="1:16">
      <c r="A352" s="891"/>
      <c r="B352" s="891"/>
      <c r="C352" s="891"/>
      <c r="D352" s="891"/>
      <c r="E352" s="891"/>
      <c r="F352" s="891"/>
      <c r="G352" s="891"/>
      <c r="H352" s="891"/>
      <c r="I352" s="891"/>
      <c r="J352" s="891"/>
      <c r="K352" s="891"/>
      <c r="L352" s="891" t="s">
        <v>61</v>
      </c>
      <c r="M352" s="891" t="s">
        <v>1118</v>
      </c>
      <c r="N352" s="891" t="s">
        <v>588</v>
      </c>
      <c r="O352" s="891"/>
      <c r="P352" s="891"/>
    </row>
    <row r="353" spans="1:16">
      <c r="A353" s="891"/>
      <c r="B353" s="891"/>
      <c r="C353" s="891"/>
      <c r="D353" s="891"/>
      <c r="E353" s="891"/>
      <c r="F353" s="891"/>
      <c r="G353" s="891"/>
      <c r="H353" s="891"/>
      <c r="I353" s="891"/>
      <c r="J353" s="891"/>
      <c r="K353" s="891"/>
      <c r="L353" s="891" t="s">
        <v>238</v>
      </c>
      <c r="M353" s="891" t="s">
        <v>1119</v>
      </c>
      <c r="N353" s="891" t="s">
        <v>609</v>
      </c>
      <c r="O353" s="891"/>
      <c r="P353" s="891"/>
    </row>
    <row r="354" spans="1:16">
      <c r="A354" s="891"/>
      <c r="B354" s="891"/>
      <c r="C354" s="891"/>
      <c r="D354" s="891"/>
      <c r="E354" s="891"/>
      <c r="F354" s="891"/>
      <c r="G354" s="891"/>
      <c r="H354" s="891"/>
      <c r="I354" s="891"/>
      <c r="J354" s="891"/>
      <c r="K354" s="891"/>
      <c r="L354" s="891" t="s">
        <v>288</v>
      </c>
      <c r="M354" s="891" t="s">
        <v>1120</v>
      </c>
      <c r="N354" s="891" t="s">
        <v>758</v>
      </c>
      <c r="O354" s="891"/>
      <c r="P354" s="891"/>
    </row>
    <row r="355" spans="1:16">
      <c r="A355" s="891"/>
      <c r="B355" s="891"/>
      <c r="C355" s="891"/>
      <c r="D355" s="891"/>
      <c r="E355" s="891"/>
      <c r="F355" s="891"/>
      <c r="G355" s="891"/>
      <c r="H355" s="891"/>
      <c r="I355" s="891"/>
      <c r="J355" s="891"/>
      <c r="K355" s="891"/>
      <c r="L355" s="891" t="s">
        <v>328</v>
      </c>
      <c r="M355" s="891" t="s">
        <v>1121</v>
      </c>
      <c r="N355" s="891" t="s">
        <v>568</v>
      </c>
      <c r="O355" s="891"/>
      <c r="P355" s="891"/>
    </row>
    <row r="356" spans="1:16">
      <c r="A356" s="891"/>
      <c r="B356" s="891"/>
      <c r="C356" s="891"/>
      <c r="D356" s="891"/>
      <c r="E356" s="891"/>
      <c r="F356" s="891"/>
      <c r="G356" s="891"/>
      <c r="H356" s="891"/>
      <c r="I356" s="891"/>
      <c r="J356" s="891"/>
      <c r="K356" s="891"/>
      <c r="L356" s="891" t="s">
        <v>295</v>
      </c>
      <c r="M356" s="891" t="s">
        <v>1122</v>
      </c>
      <c r="N356" s="891" t="s">
        <v>626</v>
      </c>
      <c r="O356" s="891"/>
      <c r="P356" s="891"/>
    </row>
    <row r="357" spans="1:16">
      <c r="A357" s="891"/>
      <c r="B357" s="891"/>
      <c r="C357" s="891"/>
      <c r="D357" s="891"/>
      <c r="E357" s="891"/>
      <c r="F357" s="891"/>
      <c r="G357" s="891"/>
      <c r="H357" s="891"/>
      <c r="I357" s="891"/>
      <c r="J357" s="891"/>
      <c r="K357" s="891"/>
      <c r="L357" s="891" t="s">
        <v>84</v>
      </c>
      <c r="M357" s="891" t="s">
        <v>1123</v>
      </c>
      <c r="N357" s="891" t="s">
        <v>570</v>
      </c>
      <c r="O357" s="891"/>
      <c r="P357" s="891"/>
    </row>
    <row r="358" spans="1:16">
      <c r="A358" s="891"/>
      <c r="B358" s="891"/>
      <c r="C358" s="891"/>
      <c r="D358" s="891"/>
      <c r="E358" s="891"/>
      <c r="F358" s="891"/>
      <c r="G358" s="891"/>
      <c r="H358" s="891"/>
      <c r="I358" s="891"/>
      <c r="J358" s="891"/>
      <c r="K358" s="891"/>
      <c r="L358" s="891" t="s">
        <v>32</v>
      </c>
      <c r="M358" s="891" t="s">
        <v>1124</v>
      </c>
      <c r="N358" s="891" t="s">
        <v>590</v>
      </c>
      <c r="O358" s="891"/>
      <c r="P358" s="891"/>
    </row>
    <row r="359" spans="1:16">
      <c r="A359" s="891"/>
      <c r="B359" s="891"/>
      <c r="C359" s="891"/>
      <c r="D359" s="891"/>
      <c r="E359" s="891"/>
      <c r="F359" s="891"/>
      <c r="G359" s="891"/>
      <c r="H359" s="891"/>
      <c r="I359" s="891"/>
      <c r="J359" s="891"/>
      <c r="K359" s="891"/>
      <c r="L359" s="891" t="s">
        <v>148</v>
      </c>
      <c r="M359" s="891" t="s">
        <v>1125</v>
      </c>
      <c r="N359" s="891" t="s">
        <v>564</v>
      </c>
      <c r="O359" s="891"/>
      <c r="P359" s="891"/>
    </row>
    <row r="360" spans="1:16">
      <c r="A360" s="891"/>
      <c r="B360" s="891"/>
      <c r="C360" s="891"/>
      <c r="D360" s="891"/>
      <c r="E360" s="891"/>
      <c r="F360" s="891"/>
      <c r="G360" s="891"/>
      <c r="H360" s="891"/>
      <c r="I360" s="891"/>
      <c r="J360" s="891"/>
      <c r="K360" s="891"/>
      <c r="L360" s="891" t="s">
        <v>399</v>
      </c>
      <c r="M360" s="891" t="s">
        <v>1126</v>
      </c>
      <c r="N360" s="891" t="s">
        <v>560</v>
      </c>
      <c r="O360" s="891"/>
      <c r="P360" s="891"/>
    </row>
    <row r="361" spans="1:16">
      <c r="A361" s="891"/>
      <c r="B361" s="891"/>
      <c r="C361" s="891"/>
      <c r="D361" s="891"/>
      <c r="E361" s="891"/>
      <c r="F361" s="891"/>
      <c r="G361" s="891"/>
      <c r="H361" s="891"/>
      <c r="I361" s="891"/>
      <c r="J361" s="891"/>
      <c r="K361" s="891"/>
      <c r="L361" s="891" t="s">
        <v>334</v>
      </c>
      <c r="M361" s="891" t="s">
        <v>1127</v>
      </c>
      <c r="N361" s="891" t="s">
        <v>638</v>
      </c>
      <c r="O361" s="891"/>
      <c r="P361" s="891"/>
    </row>
    <row r="362" spans="1:16">
      <c r="A362" s="891"/>
      <c r="B362" s="891"/>
      <c r="C362" s="891"/>
      <c r="D362" s="891"/>
      <c r="E362" s="891"/>
      <c r="F362" s="891"/>
      <c r="G362" s="891"/>
      <c r="H362" s="891"/>
      <c r="I362" s="891"/>
      <c r="J362" s="891"/>
      <c r="K362" s="891"/>
      <c r="L362" s="891" t="s">
        <v>326</v>
      </c>
      <c r="M362" s="891" t="s">
        <v>1128</v>
      </c>
      <c r="N362" s="891" t="s">
        <v>644</v>
      </c>
      <c r="O362" s="891"/>
      <c r="P362" s="891"/>
    </row>
    <row r="363" spans="1:16">
      <c r="A363" s="891"/>
      <c r="B363" s="891"/>
      <c r="C363" s="891"/>
      <c r="D363" s="891"/>
      <c r="E363" s="891"/>
      <c r="F363" s="891"/>
      <c r="G363" s="891"/>
      <c r="H363" s="891"/>
      <c r="I363" s="891"/>
      <c r="J363" s="891"/>
      <c r="K363" s="891"/>
      <c r="L363" s="891" t="s">
        <v>28</v>
      </c>
      <c r="M363" s="891" t="s">
        <v>1129</v>
      </c>
      <c r="N363" s="891" t="s">
        <v>557</v>
      </c>
      <c r="O363" s="891"/>
      <c r="P363" s="891"/>
    </row>
    <row r="364" spans="1:16">
      <c r="A364" s="891"/>
      <c r="B364" s="891"/>
      <c r="C364" s="891"/>
      <c r="D364" s="891"/>
      <c r="E364" s="891"/>
      <c r="F364" s="891"/>
      <c r="G364" s="891"/>
      <c r="H364" s="891"/>
      <c r="I364" s="891"/>
      <c r="J364" s="891"/>
      <c r="K364" s="891"/>
      <c r="L364" s="891" t="s">
        <v>96</v>
      </c>
      <c r="M364" s="891" t="s">
        <v>1130</v>
      </c>
      <c r="N364" s="891" t="s">
        <v>559</v>
      </c>
      <c r="O364" s="891"/>
      <c r="P364" s="891"/>
    </row>
    <row r="365" spans="1:16">
      <c r="A365" s="891"/>
      <c r="B365" s="891"/>
      <c r="C365" s="891"/>
      <c r="D365" s="891"/>
      <c r="E365" s="891"/>
      <c r="F365" s="891"/>
      <c r="G365" s="891"/>
      <c r="H365" s="891"/>
      <c r="I365" s="891"/>
      <c r="J365" s="891"/>
      <c r="K365" s="891"/>
      <c r="L365" s="891" t="s">
        <v>70</v>
      </c>
      <c r="M365" s="891" t="s">
        <v>1131</v>
      </c>
      <c r="N365" s="891" t="s">
        <v>569</v>
      </c>
      <c r="O365" s="891"/>
      <c r="P365" s="891"/>
    </row>
    <row r="366" spans="1:16">
      <c r="A366" s="891"/>
      <c r="B366" s="891"/>
      <c r="C366" s="891"/>
      <c r="D366" s="891"/>
      <c r="E366" s="891"/>
      <c r="F366" s="891"/>
      <c r="G366" s="891"/>
      <c r="H366" s="891"/>
      <c r="I366" s="891"/>
      <c r="J366" s="891"/>
      <c r="K366" s="891"/>
      <c r="L366" s="891" t="s">
        <v>66</v>
      </c>
      <c r="M366" s="891" t="s">
        <v>1132</v>
      </c>
      <c r="N366" s="891" t="s">
        <v>563</v>
      </c>
      <c r="O366" s="891"/>
      <c r="P366" s="891"/>
    </row>
    <row r="367" spans="1:16">
      <c r="A367" s="891"/>
      <c r="B367" s="891"/>
      <c r="C367" s="891"/>
      <c r="D367" s="891"/>
      <c r="E367" s="891"/>
      <c r="F367" s="891"/>
      <c r="G367" s="891"/>
      <c r="H367" s="891"/>
      <c r="I367" s="891"/>
      <c r="J367" s="891"/>
      <c r="K367" s="891"/>
      <c r="L367" s="891" t="s">
        <v>3</v>
      </c>
      <c r="M367" s="891" t="s">
        <v>1133</v>
      </c>
      <c r="N367" s="891" t="s">
        <v>577</v>
      </c>
      <c r="O367" s="891"/>
      <c r="P367" s="891"/>
    </row>
    <row r="368" spans="1:16">
      <c r="A368" s="891"/>
      <c r="B368" s="891"/>
      <c r="C368" s="891"/>
      <c r="D368" s="891"/>
      <c r="E368" s="891"/>
      <c r="F368" s="891"/>
      <c r="G368" s="891"/>
      <c r="H368" s="891"/>
      <c r="I368" s="891"/>
      <c r="J368" s="891"/>
      <c r="K368" s="891"/>
      <c r="L368" s="891" t="s">
        <v>150</v>
      </c>
      <c r="M368" s="891" t="s">
        <v>1134</v>
      </c>
      <c r="N368" s="891" t="s">
        <v>554</v>
      </c>
      <c r="O368" s="891"/>
      <c r="P368" s="891"/>
    </row>
    <row r="369" spans="1:16">
      <c r="A369" s="891"/>
      <c r="B369" s="891"/>
      <c r="C369" s="891"/>
      <c r="D369" s="891"/>
      <c r="E369" s="891"/>
      <c r="F369" s="891"/>
      <c r="G369" s="891"/>
      <c r="H369" s="891"/>
      <c r="I369" s="891"/>
      <c r="J369" s="891"/>
      <c r="K369" s="891"/>
      <c r="L369" s="891" t="s">
        <v>219</v>
      </c>
      <c r="M369" s="891" t="s">
        <v>1135</v>
      </c>
      <c r="N369" s="891" t="s">
        <v>554</v>
      </c>
      <c r="O369" s="891"/>
      <c r="P369" s="891"/>
    </row>
    <row r="370" spans="1:16">
      <c r="A370" s="891"/>
      <c r="B370" s="891"/>
      <c r="C370" s="891"/>
      <c r="D370" s="891"/>
      <c r="E370" s="891"/>
      <c r="F370" s="891"/>
      <c r="G370" s="891"/>
      <c r="H370" s="891"/>
      <c r="I370" s="891"/>
      <c r="J370" s="891"/>
      <c r="K370" s="891"/>
      <c r="L370" s="891" t="s">
        <v>365</v>
      </c>
      <c r="M370" s="891" t="s">
        <v>1136</v>
      </c>
      <c r="N370" s="891" t="s">
        <v>642</v>
      </c>
      <c r="O370" s="891"/>
      <c r="P370" s="891"/>
    </row>
    <row r="371" spans="1:16">
      <c r="A371" s="891"/>
      <c r="B371" s="891"/>
      <c r="C371" s="891"/>
      <c r="D371" s="891"/>
      <c r="E371" s="891"/>
      <c r="F371" s="891"/>
      <c r="G371" s="891"/>
      <c r="H371" s="891"/>
      <c r="I371" s="891"/>
      <c r="J371" s="891"/>
      <c r="K371" s="891"/>
      <c r="L371" s="891" t="s">
        <v>108</v>
      </c>
      <c r="M371" s="891" t="s">
        <v>1137</v>
      </c>
      <c r="N371" s="891" t="s">
        <v>563</v>
      </c>
      <c r="O371" s="891"/>
      <c r="P371" s="891"/>
    </row>
    <row r="372" spans="1:16">
      <c r="A372" s="891"/>
      <c r="B372" s="891"/>
      <c r="C372" s="891"/>
      <c r="D372" s="891"/>
      <c r="E372" s="891"/>
      <c r="F372" s="891"/>
      <c r="G372" s="891"/>
      <c r="H372" s="891"/>
      <c r="I372" s="891"/>
      <c r="J372" s="891"/>
      <c r="K372" s="891"/>
      <c r="L372" s="891" t="s">
        <v>274</v>
      </c>
      <c r="M372" s="891" t="s">
        <v>1138</v>
      </c>
      <c r="N372" s="891" t="s">
        <v>556</v>
      </c>
      <c r="O372" s="891"/>
      <c r="P372" s="891"/>
    </row>
    <row r="373" spans="1:16">
      <c r="A373" s="891"/>
      <c r="B373" s="891"/>
      <c r="C373" s="891"/>
      <c r="D373" s="891"/>
      <c r="E373" s="891"/>
      <c r="F373" s="891"/>
      <c r="G373" s="891"/>
      <c r="H373" s="891"/>
      <c r="I373" s="891"/>
      <c r="J373" s="891"/>
      <c r="K373" s="891"/>
      <c r="L373" s="891" t="s">
        <v>277</v>
      </c>
      <c r="M373" s="891" t="s">
        <v>1139</v>
      </c>
      <c r="N373" s="891" t="s">
        <v>759</v>
      </c>
      <c r="O373" s="891"/>
      <c r="P373" s="891"/>
    </row>
    <row r="374" spans="1:16">
      <c r="A374" s="891"/>
      <c r="B374" s="891"/>
      <c r="C374" s="891"/>
      <c r="D374" s="891"/>
      <c r="E374" s="891"/>
      <c r="F374" s="891"/>
      <c r="G374" s="891"/>
      <c r="H374" s="891"/>
      <c r="I374" s="891"/>
      <c r="J374" s="891"/>
      <c r="K374" s="891"/>
      <c r="L374" s="891" t="s">
        <v>63</v>
      </c>
      <c r="M374" s="891" t="s">
        <v>1140</v>
      </c>
      <c r="N374" s="891" t="s">
        <v>590</v>
      </c>
      <c r="O374" s="891"/>
      <c r="P374" s="891"/>
    </row>
    <row r="375" spans="1:16">
      <c r="A375" s="891"/>
      <c r="B375" s="891"/>
      <c r="C375" s="891"/>
      <c r="D375" s="891"/>
      <c r="E375" s="891"/>
      <c r="F375" s="891"/>
      <c r="G375" s="891"/>
      <c r="H375" s="891"/>
      <c r="I375" s="891"/>
      <c r="J375" s="891"/>
      <c r="K375" s="891"/>
      <c r="L375" s="891" t="s">
        <v>385</v>
      </c>
      <c r="M375" s="891" t="s">
        <v>1141</v>
      </c>
      <c r="N375" s="891" t="s">
        <v>560</v>
      </c>
      <c r="O375" s="891"/>
      <c r="P375" s="891"/>
    </row>
    <row r="376" spans="1:16">
      <c r="A376" s="891"/>
      <c r="B376" s="891"/>
      <c r="C376" s="891"/>
      <c r="D376" s="891"/>
      <c r="E376" s="891"/>
      <c r="F376" s="891"/>
      <c r="G376" s="891"/>
      <c r="H376" s="891"/>
      <c r="I376" s="891"/>
      <c r="J376" s="891"/>
      <c r="K376" s="891"/>
      <c r="L376" s="891" t="s">
        <v>164</v>
      </c>
      <c r="M376" s="891" t="s">
        <v>1142</v>
      </c>
      <c r="N376" s="891" t="s">
        <v>596</v>
      </c>
      <c r="O376" s="891"/>
      <c r="P376" s="891"/>
    </row>
    <row r="377" spans="1:16">
      <c r="A377" s="891"/>
      <c r="B377" s="891"/>
      <c r="C377" s="891"/>
      <c r="D377" s="891"/>
      <c r="E377" s="891"/>
      <c r="F377" s="891"/>
      <c r="G377" s="891"/>
      <c r="H377" s="891"/>
      <c r="I377" s="891"/>
      <c r="J377" s="891"/>
      <c r="K377" s="891"/>
      <c r="L377" s="891" t="s">
        <v>59</v>
      </c>
      <c r="M377" s="891" t="s">
        <v>1143</v>
      </c>
      <c r="N377" s="891" t="s">
        <v>559</v>
      </c>
      <c r="O377" s="891"/>
      <c r="P377" s="891"/>
    </row>
    <row r="378" spans="1:16">
      <c r="A378" s="891"/>
      <c r="B378" s="891"/>
      <c r="C378" s="891"/>
      <c r="D378" s="891"/>
      <c r="E378" s="891"/>
      <c r="F378" s="891"/>
      <c r="G378" s="891"/>
      <c r="H378" s="891"/>
      <c r="I378" s="891"/>
      <c r="J378" s="891"/>
      <c r="K378" s="891"/>
      <c r="L378" s="891" t="s">
        <v>340</v>
      </c>
      <c r="M378" s="891" t="s">
        <v>1144</v>
      </c>
      <c r="N378" s="891" t="s">
        <v>637</v>
      </c>
      <c r="O378" s="891"/>
      <c r="P378" s="891"/>
    </row>
    <row r="379" spans="1:16">
      <c r="A379" s="891"/>
      <c r="B379" s="891"/>
      <c r="C379" s="891"/>
      <c r="D379" s="891"/>
      <c r="E379" s="891"/>
      <c r="F379" s="891"/>
      <c r="G379" s="891"/>
      <c r="H379" s="891"/>
      <c r="I379" s="891"/>
      <c r="J379" s="891"/>
      <c r="K379" s="891"/>
      <c r="L379" s="891" t="s">
        <v>69</v>
      </c>
      <c r="M379" s="891" t="s">
        <v>1145</v>
      </c>
      <c r="N379" s="891" t="s">
        <v>563</v>
      </c>
      <c r="O379" s="891"/>
      <c r="P379" s="891"/>
    </row>
    <row r="380" spans="1:16">
      <c r="A380" s="891"/>
      <c r="B380" s="891"/>
      <c r="C380" s="891"/>
      <c r="D380" s="891"/>
      <c r="E380" s="891"/>
      <c r="F380" s="891"/>
      <c r="G380" s="891"/>
      <c r="H380" s="891"/>
      <c r="I380" s="891"/>
      <c r="J380" s="891"/>
      <c r="K380" s="891"/>
      <c r="L380" s="891" t="s">
        <v>95</v>
      </c>
      <c r="M380" s="891" t="s">
        <v>1146</v>
      </c>
      <c r="N380" s="891" t="s">
        <v>563</v>
      </c>
      <c r="O380" s="891"/>
      <c r="P380" s="891"/>
    </row>
    <row r="381" spans="1:16">
      <c r="A381" s="891"/>
      <c r="B381" s="891"/>
      <c r="C381" s="891"/>
      <c r="D381" s="891"/>
      <c r="E381" s="891"/>
      <c r="F381" s="891"/>
      <c r="G381" s="891"/>
      <c r="H381" s="891"/>
      <c r="I381" s="891"/>
      <c r="J381" s="891"/>
      <c r="K381" s="891"/>
      <c r="L381" s="891" t="s">
        <v>114</v>
      </c>
      <c r="M381" s="891" t="s">
        <v>1147</v>
      </c>
      <c r="N381" s="891" t="s">
        <v>559</v>
      </c>
      <c r="O381" s="891"/>
      <c r="P381" s="891"/>
    </row>
    <row r="382" spans="1:16">
      <c r="A382" s="891"/>
      <c r="B382" s="891"/>
      <c r="C382" s="891"/>
      <c r="D382" s="891"/>
      <c r="E382" s="891"/>
      <c r="F382" s="891"/>
      <c r="G382" s="891"/>
      <c r="H382" s="891"/>
      <c r="I382" s="891"/>
      <c r="J382" s="891"/>
      <c r="K382" s="891"/>
      <c r="L382" s="891" t="s">
        <v>106</v>
      </c>
      <c r="M382" s="891" t="s">
        <v>1148</v>
      </c>
      <c r="N382" s="891" t="s">
        <v>593</v>
      </c>
      <c r="O382" s="891"/>
      <c r="P382" s="891"/>
    </row>
    <row r="383" spans="1:16">
      <c r="A383" s="891"/>
      <c r="B383" s="891"/>
      <c r="C383" s="891"/>
      <c r="D383" s="891"/>
      <c r="E383" s="891"/>
      <c r="F383" s="891"/>
      <c r="G383" s="891"/>
      <c r="H383" s="891"/>
      <c r="I383" s="891"/>
      <c r="J383" s="891"/>
      <c r="K383" s="891"/>
      <c r="L383" s="891" t="s">
        <v>267</v>
      </c>
      <c r="M383" s="891" t="s">
        <v>1149</v>
      </c>
      <c r="N383" s="891" t="s">
        <v>620</v>
      </c>
      <c r="O383" s="891"/>
      <c r="P383" s="891"/>
    </row>
    <row r="384" spans="1:16">
      <c r="A384" s="891"/>
      <c r="B384" s="891"/>
      <c r="C384" s="891"/>
      <c r="D384" s="891"/>
      <c r="E384" s="891"/>
      <c r="F384" s="891"/>
      <c r="G384" s="891"/>
      <c r="H384" s="891"/>
      <c r="I384" s="891"/>
      <c r="J384" s="891"/>
      <c r="K384" s="891"/>
      <c r="L384" s="891" t="s">
        <v>386</v>
      </c>
      <c r="M384" s="891" t="s">
        <v>1150</v>
      </c>
      <c r="N384" s="891" t="s">
        <v>560</v>
      </c>
      <c r="O384" s="891"/>
      <c r="P384" s="891"/>
    </row>
    <row r="385" spans="1:16">
      <c r="A385" s="891"/>
      <c r="B385" s="891"/>
      <c r="C385" s="891"/>
      <c r="D385" s="891"/>
      <c r="E385" s="891"/>
      <c r="F385" s="891"/>
      <c r="G385" s="891"/>
      <c r="H385" s="891"/>
      <c r="I385" s="891"/>
      <c r="J385" s="891"/>
      <c r="K385" s="891"/>
      <c r="L385" s="891" t="s">
        <v>190</v>
      </c>
      <c r="M385" s="891" t="s">
        <v>1151</v>
      </c>
      <c r="N385" s="891" t="s">
        <v>556</v>
      </c>
      <c r="O385" s="891"/>
      <c r="P385" s="891"/>
    </row>
    <row r="386" spans="1:16">
      <c r="A386" s="891"/>
      <c r="B386" s="891"/>
      <c r="C386" s="891"/>
      <c r="D386" s="891"/>
      <c r="E386" s="891"/>
      <c r="F386" s="891"/>
      <c r="G386" s="891"/>
      <c r="H386" s="891"/>
      <c r="I386" s="891"/>
      <c r="J386" s="891"/>
      <c r="K386" s="891"/>
      <c r="L386" s="891" t="s">
        <v>272</v>
      </c>
      <c r="M386" s="891" t="s">
        <v>1152</v>
      </c>
      <c r="N386" s="891" t="s">
        <v>629</v>
      </c>
      <c r="O386" s="891"/>
      <c r="P386" s="891"/>
    </row>
    <row r="387" spans="1:16">
      <c r="A387" s="891"/>
      <c r="B387" s="891"/>
      <c r="C387" s="891"/>
      <c r="D387" s="891"/>
      <c r="E387" s="891"/>
      <c r="F387" s="891"/>
      <c r="G387" s="891"/>
      <c r="H387" s="891"/>
      <c r="I387" s="891"/>
      <c r="J387" s="891"/>
      <c r="K387" s="891"/>
      <c r="L387" s="891" t="s">
        <v>57</v>
      </c>
      <c r="M387" s="891" t="s">
        <v>1153</v>
      </c>
      <c r="N387" s="891" t="s">
        <v>554</v>
      </c>
      <c r="O387" s="891"/>
      <c r="P387" s="891"/>
    </row>
    <row r="388" spans="1:16">
      <c r="A388" s="891"/>
      <c r="B388" s="891"/>
      <c r="C388" s="891"/>
      <c r="D388" s="891"/>
      <c r="E388" s="891"/>
      <c r="F388" s="891"/>
      <c r="G388" s="891"/>
      <c r="H388" s="891"/>
      <c r="I388" s="891"/>
      <c r="J388" s="891"/>
      <c r="K388" s="891"/>
      <c r="L388" s="891" t="s">
        <v>102</v>
      </c>
      <c r="M388" s="891" t="s">
        <v>1154</v>
      </c>
      <c r="N388" s="891" t="s">
        <v>559</v>
      </c>
      <c r="O388" s="891"/>
      <c r="P388" s="891"/>
    </row>
    <row r="389" spans="1:16">
      <c r="A389" s="891"/>
      <c r="B389" s="891"/>
      <c r="C389" s="891"/>
      <c r="D389" s="891"/>
      <c r="E389" s="891"/>
      <c r="F389" s="891"/>
      <c r="G389" s="891"/>
      <c r="H389" s="891"/>
      <c r="I389" s="891"/>
      <c r="J389" s="891"/>
      <c r="K389" s="891"/>
      <c r="L389" s="891" t="s">
        <v>43</v>
      </c>
      <c r="M389" s="891" t="s">
        <v>1155</v>
      </c>
      <c r="N389" s="891" t="s">
        <v>583</v>
      </c>
      <c r="O389" s="891"/>
      <c r="P389" s="891"/>
    </row>
    <row r="390" spans="1:16">
      <c r="A390" s="891"/>
      <c r="B390" s="891"/>
      <c r="C390" s="891"/>
      <c r="D390" s="891"/>
      <c r="E390" s="891"/>
      <c r="F390" s="891"/>
      <c r="G390" s="891"/>
      <c r="H390" s="891"/>
      <c r="I390" s="891"/>
      <c r="J390" s="891"/>
      <c r="K390" s="891"/>
      <c r="L390" s="891" t="s">
        <v>264</v>
      </c>
      <c r="M390" s="891" t="s">
        <v>1156</v>
      </c>
      <c r="N390" s="891" t="s">
        <v>760</v>
      </c>
      <c r="O390" s="891"/>
      <c r="P390" s="891"/>
    </row>
    <row r="391" spans="1:16">
      <c r="A391" s="891"/>
      <c r="B391" s="891"/>
      <c r="C391" s="891"/>
      <c r="D391" s="891"/>
      <c r="E391" s="891"/>
      <c r="F391" s="891"/>
      <c r="G391" s="891"/>
      <c r="H391" s="891"/>
      <c r="I391" s="891"/>
      <c r="J391" s="891"/>
      <c r="K391" s="891"/>
      <c r="L391" s="891" t="s">
        <v>142</v>
      </c>
      <c r="M391" s="891" t="s">
        <v>1157</v>
      </c>
      <c r="N391" s="891" t="s">
        <v>559</v>
      </c>
      <c r="O391" s="891"/>
      <c r="P391" s="891"/>
    </row>
    <row r="392" spans="1:16">
      <c r="A392" s="891"/>
      <c r="B392" s="891"/>
      <c r="C392" s="891"/>
      <c r="D392" s="891"/>
      <c r="E392" s="891"/>
      <c r="F392" s="891"/>
      <c r="G392" s="891"/>
      <c r="H392" s="891"/>
      <c r="I392" s="891"/>
      <c r="J392" s="891"/>
      <c r="K392" s="891"/>
      <c r="L392" s="891" t="s">
        <v>301</v>
      </c>
      <c r="M392" s="891" t="s">
        <v>1158</v>
      </c>
      <c r="N392" s="891" t="s">
        <v>629</v>
      </c>
      <c r="O392" s="891"/>
      <c r="P392" s="891"/>
    </row>
    <row r="393" spans="1:16">
      <c r="A393" s="891"/>
      <c r="B393" s="891"/>
      <c r="C393" s="891"/>
      <c r="D393" s="891"/>
      <c r="E393" s="891"/>
      <c r="F393" s="891"/>
      <c r="G393" s="891"/>
      <c r="H393" s="891"/>
      <c r="I393" s="891"/>
      <c r="J393" s="891"/>
      <c r="K393" s="891"/>
      <c r="L393" s="891" t="s">
        <v>339</v>
      </c>
      <c r="M393" s="891" t="s">
        <v>1159</v>
      </c>
      <c r="N393" s="891" t="s">
        <v>761</v>
      </c>
      <c r="O393" s="891"/>
      <c r="P393" s="891"/>
    </row>
    <row r="394" spans="1:16">
      <c r="A394" s="891"/>
      <c r="B394" s="891"/>
      <c r="C394" s="891"/>
      <c r="D394" s="891"/>
      <c r="E394" s="891"/>
      <c r="F394" s="891"/>
      <c r="G394" s="891"/>
      <c r="H394" s="891"/>
      <c r="I394" s="891"/>
      <c r="J394" s="891"/>
      <c r="K394" s="891"/>
      <c r="L394" s="891" t="s">
        <v>245</v>
      </c>
      <c r="M394" s="891" t="s">
        <v>1160</v>
      </c>
      <c r="N394" s="891" t="s">
        <v>556</v>
      </c>
      <c r="O394" s="891"/>
      <c r="P394" s="891"/>
    </row>
    <row r="395" spans="1:16">
      <c r="A395" s="891"/>
      <c r="B395" s="891"/>
      <c r="C395" s="891"/>
      <c r="D395" s="891"/>
      <c r="E395" s="891"/>
      <c r="F395" s="891"/>
      <c r="G395" s="891"/>
      <c r="H395" s="891"/>
      <c r="I395" s="891"/>
      <c r="J395" s="891"/>
      <c r="K395" s="891"/>
      <c r="L395" s="891" t="s">
        <v>341</v>
      </c>
      <c r="M395" s="891" t="s">
        <v>1161</v>
      </c>
      <c r="N395" s="891" t="s">
        <v>762</v>
      </c>
      <c r="O395" s="891"/>
      <c r="P395" s="891"/>
    </row>
    <row r="396" spans="1:16">
      <c r="A396" s="891"/>
      <c r="B396" s="891"/>
      <c r="C396" s="891"/>
      <c r="D396" s="891"/>
      <c r="E396" s="891"/>
      <c r="F396" s="891"/>
      <c r="G396" s="891"/>
      <c r="H396" s="891"/>
      <c r="I396" s="891"/>
      <c r="J396" s="891"/>
      <c r="K396" s="891"/>
      <c r="L396" s="891" t="s">
        <v>212</v>
      </c>
      <c r="M396" s="891" t="s">
        <v>1162</v>
      </c>
      <c r="N396" s="891" t="s">
        <v>607</v>
      </c>
      <c r="O396" s="891"/>
      <c r="P396" s="891"/>
    </row>
    <row r="397" spans="1:16">
      <c r="A397" s="891"/>
      <c r="B397" s="891"/>
      <c r="C397" s="891"/>
      <c r="D397" s="891"/>
      <c r="E397" s="891"/>
      <c r="F397" s="891"/>
      <c r="G397" s="891"/>
      <c r="H397" s="891"/>
      <c r="I397" s="891"/>
      <c r="J397" s="891"/>
      <c r="K397" s="891"/>
      <c r="L397" s="891" t="s">
        <v>196</v>
      </c>
      <c r="M397" s="891" t="s">
        <v>1163</v>
      </c>
      <c r="N397" s="891" t="s">
        <v>596</v>
      </c>
      <c r="O397" s="891"/>
      <c r="P397" s="891"/>
    </row>
    <row r="398" spans="1:16">
      <c r="A398" s="891"/>
      <c r="B398" s="891"/>
      <c r="C398" s="891"/>
      <c r="D398" s="891"/>
      <c r="E398" s="891"/>
      <c r="F398" s="891"/>
      <c r="G398" s="891"/>
      <c r="H398" s="891"/>
      <c r="I398" s="891"/>
      <c r="J398" s="891"/>
      <c r="K398" s="891"/>
      <c r="L398" s="891" t="s">
        <v>2</v>
      </c>
      <c r="M398" s="891" t="s">
        <v>1164</v>
      </c>
      <c r="N398" s="891" t="s">
        <v>578</v>
      </c>
      <c r="O398" s="891"/>
      <c r="P398" s="891"/>
    </row>
    <row r="399" spans="1:16">
      <c r="A399" s="891"/>
      <c r="B399" s="891"/>
      <c r="C399" s="891"/>
      <c r="D399" s="891"/>
      <c r="E399" s="891"/>
      <c r="F399" s="891"/>
      <c r="G399" s="891"/>
      <c r="H399" s="891"/>
      <c r="I399" s="891"/>
      <c r="J399" s="891"/>
      <c r="K399" s="891"/>
      <c r="L399" s="891"/>
      <c r="M399" s="891"/>
      <c r="N399" s="891"/>
      <c r="O399" s="891"/>
      <c r="P399" s="891"/>
    </row>
    <row r="400" spans="1:16">
      <c r="A400" s="891"/>
      <c r="B400" s="891"/>
      <c r="C400" s="891"/>
      <c r="D400" s="891"/>
      <c r="E400" s="891"/>
      <c r="F400" s="891"/>
      <c r="G400" s="891"/>
      <c r="H400" s="891"/>
      <c r="I400" s="891"/>
      <c r="J400" s="891"/>
      <c r="K400" s="891"/>
      <c r="L400" s="891"/>
      <c r="M400" s="891"/>
      <c r="N400" s="891"/>
      <c r="O400" s="891"/>
      <c r="P400" s="891"/>
    </row>
    <row r="401" spans="1:16">
      <c r="A401" s="891"/>
      <c r="B401" s="891"/>
      <c r="C401" s="891"/>
      <c r="D401" s="891"/>
      <c r="E401" s="891"/>
      <c r="F401" s="891"/>
      <c r="G401" s="891"/>
      <c r="H401" s="891"/>
      <c r="I401" s="891"/>
      <c r="J401" s="891"/>
      <c r="K401" s="891"/>
      <c r="L401" s="891"/>
      <c r="M401" s="891"/>
      <c r="N401" s="891"/>
      <c r="O401" s="891"/>
      <c r="P401" s="891"/>
    </row>
    <row r="402" spans="1:16">
      <c r="A402" s="891"/>
      <c r="B402" s="891"/>
      <c r="C402" s="891"/>
      <c r="D402" s="891"/>
      <c r="E402" s="891"/>
      <c r="F402" s="891"/>
      <c r="G402" s="891"/>
      <c r="H402" s="891"/>
      <c r="I402" s="891"/>
      <c r="J402" s="891"/>
      <c r="K402" s="891"/>
      <c r="L402" s="891"/>
      <c r="M402" s="891"/>
      <c r="N402" s="891"/>
      <c r="O402" s="891"/>
      <c r="P402" s="891"/>
    </row>
    <row r="403" spans="1:16">
      <c r="A403" s="891"/>
      <c r="B403" s="891"/>
      <c r="C403" s="891"/>
      <c r="D403" s="891"/>
      <c r="E403" s="891"/>
      <c r="F403" s="891"/>
      <c r="G403" s="891"/>
      <c r="H403" s="891"/>
      <c r="I403" s="891"/>
      <c r="J403" s="891"/>
      <c r="K403" s="891"/>
      <c r="L403" s="891"/>
      <c r="M403" s="891"/>
      <c r="N403" s="891"/>
      <c r="O403" s="891"/>
      <c r="P403" s="891"/>
    </row>
    <row r="404" spans="1:16">
      <c r="A404" s="891"/>
      <c r="B404" s="891"/>
      <c r="C404" s="891"/>
      <c r="D404" s="891"/>
      <c r="E404" s="891"/>
      <c r="F404" s="891"/>
      <c r="G404" s="891"/>
      <c r="H404" s="891"/>
      <c r="I404" s="891"/>
      <c r="J404" s="891"/>
      <c r="K404" s="891"/>
      <c r="L404" s="891"/>
      <c r="M404" s="891"/>
      <c r="N404" s="891"/>
      <c r="O404" s="891"/>
      <c r="P404" s="891"/>
    </row>
    <row r="405" spans="1:16">
      <c r="A405" s="891"/>
      <c r="B405" s="891"/>
      <c r="C405" s="891"/>
      <c r="D405" s="891"/>
      <c r="E405" s="891"/>
      <c r="F405" s="891"/>
      <c r="G405" s="891"/>
      <c r="H405" s="891"/>
      <c r="I405" s="891"/>
      <c r="J405" s="891"/>
      <c r="K405" s="891"/>
      <c r="L405" s="891"/>
      <c r="M405" s="891"/>
      <c r="N405" s="891"/>
      <c r="O405" s="891"/>
      <c r="P405" s="891"/>
    </row>
    <row r="406" spans="1:16">
      <c r="A406" s="891"/>
      <c r="B406" s="891"/>
      <c r="C406" s="891"/>
      <c r="D406" s="891"/>
      <c r="E406" s="891"/>
      <c r="F406" s="891"/>
      <c r="G406" s="891"/>
      <c r="H406" s="891"/>
      <c r="I406" s="891"/>
      <c r="J406" s="891"/>
      <c r="K406" s="891"/>
      <c r="L406" s="891"/>
      <c r="M406" s="891"/>
      <c r="N406" s="891"/>
      <c r="O406" s="891"/>
      <c r="P406" s="891"/>
    </row>
    <row r="407" spans="1:16">
      <c r="A407" s="891"/>
      <c r="B407" s="891"/>
      <c r="C407" s="891"/>
      <c r="D407" s="891"/>
      <c r="E407" s="891"/>
      <c r="F407" s="891"/>
      <c r="G407" s="891"/>
      <c r="H407" s="891"/>
      <c r="I407" s="891"/>
      <c r="J407" s="891"/>
      <c r="K407" s="891"/>
      <c r="L407" s="891"/>
      <c r="M407" s="891"/>
      <c r="N407" s="891"/>
      <c r="O407" s="891"/>
      <c r="P407" s="891"/>
    </row>
    <row r="408" spans="1:16">
      <c r="A408" s="891"/>
      <c r="B408" s="891"/>
      <c r="C408" s="891"/>
      <c r="D408" s="891"/>
      <c r="E408" s="891"/>
      <c r="F408" s="891"/>
      <c r="G408" s="891"/>
      <c r="H408" s="891"/>
      <c r="I408" s="891"/>
      <c r="J408" s="891"/>
      <c r="K408" s="891"/>
      <c r="L408" s="891"/>
      <c r="M408" s="891"/>
      <c r="N408" s="891"/>
      <c r="O408" s="891"/>
      <c r="P408" s="891"/>
    </row>
    <row r="409" spans="1:16">
      <c r="A409" s="891"/>
      <c r="B409" s="891"/>
      <c r="C409" s="891"/>
      <c r="D409" s="891"/>
      <c r="E409" s="891"/>
      <c r="F409" s="891"/>
      <c r="G409" s="891"/>
      <c r="H409" s="891"/>
      <c r="I409" s="891"/>
      <c r="J409" s="891"/>
      <c r="K409" s="891"/>
      <c r="L409" s="891"/>
      <c r="M409" s="891"/>
      <c r="N409" s="891"/>
      <c r="O409" s="891"/>
      <c r="P409" s="891"/>
    </row>
    <row r="410" spans="1:16">
      <c r="A410" s="891"/>
      <c r="B410" s="891"/>
      <c r="C410" s="891"/>
      <c r="D410" s="891"/>
      <c r="E410" s="891"/>
      <c r="F410" s="891"/>
      <c r="G410" s="891"/>
      <c r="H410" s="891"/>
      <c r="I410" s="891"/>
      <c r="J410" s="891"/>
      <c r="K410" s="891"/>
      <c r="L410" s="891"/>
      <c r="M410" s="891"/>
      <c r="N410" s="891"/>
      <c r="O410" s="891"/>
      <c r="P410" s="891"/>
    </row>
    <row r="411" spans="1:16">
      <c r="A411" s="891"/>
      <c r="B411" s="891"/>
      <c r="C411" s="891"/>
      <c r="D411" s="891"/>
      <c r="E411" s="891"/>
      <c r="F411" s="891"/>
      <c r="G411" s="891"/>
      <c r="H411" s="891"/>
      <c r="I411" s="891"/>
      <c r="J411" s="891"/>
      <c r="K411" s="891"/>
      <c r="L411" s="891"/>
      <c r="M411" s="891"/>
      <c r="N411" s="891"/>
      <c r="O411" s="891"/>
      <c r="P411" s="891"/>
    </row>
    <row r="412" spans="1:16">
      <c r="A412" s="891"/>
      <c r="B412" s="891"/>
      <c r="C412" s="891"/>
      <c r="D412" s="891"/>
      <c r="E412" s="891"/>
      <c r="F412" s="891"/>
      <c r="G412" s="891"/>
      <c r="H412" s="891"/>
      <c r="I412" s="891"/>
      <c r="J412" s="891"/>
      <c r="K412" s="891"/>
      <c r="L412" s="891"/>
      <c r="M412" s="891"/>
      <c r="N412" s="891"/>
      <c r="O412" s="891"/>
      <c r="P412" s="891"/>
    </row>
    <row r="413" spans="1:16">
      <c r="A413" s="891"/>
      <c r="B413" s="891"/>
      <c r="C413" s="891"/>
      <c r="D413" s="891"/>
      <c r="E413" s="891"/>
      <c r="F413" s="891"/>
      <c r="G413" s="891"/>
      <c r="H413" s="891"/>
      <c r="I413" s="891"/>
      <c r="J413" s="891"/>
      <c r="K413" s="891"/>
      <c r="L413" s="891"/>
      <c r="M413" s="891"/>
      <c r="N413" s="891"/>
      <c r="O413" s="891"/>
      <c r="P413" s="891"/>
    </row>
    <row r="414" spans="1:16">
      <c r="A414" s="891"/>
      <c r="B414" s="891"/>
      <c r="C414" s="891"/>
      <c r="D414" s="891"/>
      <c r="E414" s="891"/>
      <c r="F414" s="891"/>
      <c r="G414" s="891"/>
      <c r="H414" s="891"/>
      <c r="I414" s="891"/>
      <c r="J414" s="891"/>
      <c r="K414" s="891"/>
      <c r="L414" s="891"/>
      <c r="M414" s="891"/>
      <c r="N414" s="891"/>
      <c r="O414" s="891"/>
      <c r="P414" s="891"/>
    </row>
    <row r="415" spans="1:16">
      <c r="A415" s="891"/>
      <c r="B415" s="891"/>
      <c r="C415" s="891"/>
      <c r="D415" s="891"/>
      <c r="E415" s="891"/>
      <c r="F415" s="891"/>
      <c r="G415" s="891"/>
      <c r="H415" s="891"/>
      <c r="I415" s="891"/>
      <c r="J415" s="891"/>
      <c r="K415" s="891"/>
      <c r="L415" s="891"/>
      <c r="M415" s="891"/>
      <c r="N415" s="891"/>
      <c r="O415" s="891"/>
      <c r="P415" s="891"/>
    </row>
    <row r="416" spans="1:16">
      <c r="A416" s="891"/>
      <c r="B416" s="891"/>
      <c r="C416" s="891"/>
      <c r="D416" s="891"/>
      <c r="E416" s="891"/>
      <c r="F416" s="891"/>
      <c r="G416" s="891"/>
      <c r="H416" s="891"/>
      <c r="I416" s="891"/>
      <c r="J416" s="891"/>
      <c r="K416" s="891"/>
      <c r="L416" s="891"/>
      <c r="M416" s="891"/>
      <c r="N416" s="891"/>
      <c r="O416" s="891"/>
      <c r="P416" s="891"/>
    </row>
    <row r="417" spans="1:16">
      <c r="A417" s="891"/>
      <c r="B417" s="891"/>
      <c r="C417" s="891"/>
      <c r="D417" s="891"/>
      <c r="E417" s="891"/>
      <c r="F417" s="891"/>
      <c r="G417" s="891"/>
      <c r="H417" s="891"/>
      <c r="I417" s="891"/>
      <c r="J417" s="891"/>
      <c r="K417" s="891"/>
      <c r="L417" s="891"/>
      <c r="M417" s="891"/>
      <c r="N417" s="891"/>
      <c r="O417" s="891"/>
      <c r="P417" s="891"/>
    </row>
    <row r="418" spans="1:16">
      <c r="A418" s="891"/>
      <c r="B418" s="891"/>
      <c r="C418" s="891"/>
      <c r="D418" s="891"/>
      <c r="E418" s="891"/>
      <c r="F418" s="891"/>
      <c r="G418" s="891"/>
      <c r="H418" s="891"/>
      <c r="I418" s="891"/>
      <c r="J418" s="891"/>
      <c r="K418" s="891"/>
      <c r="L418" s="891"/>
      <c r="M418" s="891"/>
      <c r="N418" s="891"/>
      <c r="O418" s="891"/>
      <c r="P418" s="891"/>
    </row>
    <row r="419" spans="1:16">
      <c r="A419" s="891"/>
      <c r="B419" s="891"/>
      <c r="C419" s="891"/>
      <c r="D419" s="891"/>
      <c r="E419" s="891"/>
      <c r="F419" s="891"/>
      <c r="G419" s="891"/>
      <c r="H419" s="891"/>
      <c r="I419" s="891"/>
      <c r="J419" s="891"/>
      <c r="K419" s="891"/>
      <c r="L419" s="891"/>
      <c r="M419" s="891"/>
      <c r="N419" s="891"/>
      <c r="O419" s="891"/>
      <c r="P419" s="891"/>
    </row>
    <row r="420" spans="1:16">
      <c r="A420" s="891"/>
      <c r="B420" s="891"/>
      <c r="C420" s="891"/>
      <c r="D420" s="891"/>
      <c r="E420" s="891"/>
      <c r="F420" s="891"/>
      <c r="G420" s="891"/>
      <c r="H420" s="891"/>
      <c r="I420" s="891"/>
      <c r="J420" s="891"/>
      <c r="K420" s="891"/>
      <c r="L420" s="891"/>
      <c r="M420" s="891"/>
      <c r="N420" s="891"/>
      <c r="O420" s="891"/>
      <c r="P420" s="891"/>
    </row>
    <row r="421" spans="1:16">
      <c r="A421" s="891"/>
      <c r="B421" s="891"/>
      <c r="C421" s="891"/>
      <c r="D421" s="891"/>
      <c r="E421" s="891"/>
      <c r="F421" s="891"/>
      <c r="G421" s="891"/>
      <c r="H421" s="891"/>
      <c r="I421" s="891"/>
      <c r="J421" s="891"/>
      <c r="K421" s="891"/>
      <c r="L421" s="891"/>
      <c r="M421" s="891"/>
      <c r="N421" s="891"/>
      <c r="O421" s="891"/>
      <c r="P421" s="891"/>
    </row>
    <row r="422" spans="1:16">
      <c r="A422" s="891"/>
      <c r="B422" s="891"/>
      <c r="C422" s="891"/>
      <c r="D422" s="891"/>
      <c r="E422" s="891"/>
      <c r="F422" s="891"/>
      <c r="G422" s="891"/>
      <c r="H422" s="891"/>
      <c r="I422" s="891"/>
      <c r="J422" s="891"/>
      <c r="K422" s="891"/>
      <c r="L422" s="891"/>
      <c r="M422" s="891"/>
      <c r="N422" s="891"/>
      <c r="O422" s="891"/>
      <c r="P422" s="891"/>
    </row>
    <row r="423" spans="1:16">
      <c r="A423" s="891"/>
      <c r="B423" s="891"/>
      <c r="C423" s="891"/>
      <c r="D423" s="891"/>
      <c r="E423" s="891"/>
      <c r="F423" s="891"/>
      <c r="G423" s="891"/>
      <c r="H423" s="891"/>
      <c r="I423" s="891"/>
      <c r="J423" s="891"/>
      <c r="K423" s="891"/>
      <c r="L423" s="891"/>
      <c r="M423" s="891"/>
      <c r="N423" s="891"/>
      <c r="O423" s="891"/>
      <c r="P423" s="891"/>
    </row>
    <row r="424" spans="1:16">
      <c r="A424" s="891"/>
      <c r="B424" s="891"/>
      <c r="C424" s="891"/>
      <c r="D424" s="891"/>
      <c r="E424" s="891"/>
      <c r="F424" s="891"/>
      <c r="G424" s="891"/>
      <c r="H424" s="891"/>
      <c r="I424" s="891"/>
      <c r="J424" s="891"/>
      <c r="K424" s="891"/>
      <c r="L424" s="891"/>
      <c r="M424" s="891"/>
      <c r="N424" s="891"/>
      <c r="O424" s="891"/>
      <c r="P424" s="891"/>
    </row>
    <row r="425" spans="1:16">
      <c r="A425" s="891"/>
      <c r="B425" s="891"/>
      <c r="C425" s="891"/>
      <c r="D425" s="891"/>
      <c r="E425" s="891"/>
      <c r="F425" s="891"/>
      <c r="G425" s="891"/>
      <c r="H425" s="891"/>
      <c r="I425" s="891"/>
      <c r="J425" s="891"/>
      <c r="K425" s="891"/>
      <c r="L425" s="891"/>
      <c r="M425" s="891"/>
      <c r="N425" s="891"/>
      <c r="O425" s="891"/>
      <c r="P425" s="891"/>
    </row>
    <row r="426" spans="1:16">
      <c r="A426" s="891"/>
      <c r="B426" s="891"/>
      <c r="C426" s="891"/>
      <c r="D426" s="891"/>
      <c r="E426" s="891"/>
      <c r="F426" s="891"/>
      <c r="G426" s="891"/>
      <c r="H426" s="891"/>
      <c r="I426" s="891"/>
      <c r="J426" s="891"/>
      <c r="K426" s="891"/>
      <c r="L426" s="891"/>
      <c r="M426" s="891"/>
      <c r="N426" s="891"/>
      <c r="O426" s="891"/>
      <c r="P426" s="891"/>
    </row>
    <row r="633" spans="7:10">
      <c r="H633">
        <v>4.92</v>
      </c>
      <c r="I633">
        <v>6.11</v>
      </c>
      <c r="J633" s="80">
        <v>0.24129999999999999</v>
      </c>
    </row>
    <row r="634" spans="7:10">
      <c r="G634" t="s">
        <v>415</v>
      </c>
      <c r="H634">
        <v>41</v>
      </c>
      <c r="I634">
        <v>37.590000000000003</v>
      </c>
      <c r="J634" s="80">
        <v>-8.3400000000000002E-2</v>
      </c>
    </row>
    <row r="635" spans="7:10">
      <c r="G635" t="s">
        <v>416</v>
      </c>
      <c r="H635">
        <v>4.0999999999999996</v>
      </c>
      <c r="I635">
        <v>5.64</v>
      </c>
      <c r="J635" s="80">
        <v>0.37490000000000001</v>
      </c>
    </row>
    <row r="636" spans="7:10">
      <c r="G636" t="s">
        <v>417</v>
      </c>
      <c r="H636">
        <v>2.46</v>
      </c>
      <c r="I636">
        <v>2.82</v>
      </c>
      <c r="J636" s="80">
        <v>0.14580000000000001</v>
      </c>
    </row>
    <row r="637" spans="7:10">
      <c r="G637" t="s">
        <v>418</v>
      </c>
      <c r="H637">
        <v>5.74</v>
      </c>
      <c r="I637">
        <v>4.7</v>
      </c>
      <c r="J637" s="80">
        <v>-0.18160000000000001</v>
      </c>
    </row>
    <row r="638" spans="7:10">
      <c r="G638" t="s">
        <v>449</v>
      </c>
      <c r="H638">
        <v>4.8</v>
      </c>
      <c r="I638">
        <v>4.2300000000000004</v>
      </c>
      <c r="J638" s="80">
        <v>-0.1191</v>
      </c>
    </row>
    <row r="639" spans="7:10">
      <c r="G639" t="s">
        <v>419</v>
      </c>
      <c r="H639">
        <v>0.49</v>
      </c>
      <c r="I639">
        <v>1.4</v>
      </c>
      <c r="J639" s="80">
        <v>1.8447</v>
      </c>
    </row>
    <row r="640" spans="7:10">
      <c r="G640" t="s">
        <v>420</v>
      </c>
      <c r="H640">
        <v>0.33</v>
      </c>
      <c r="I640">
        <v>0.94</v>
      </c>
      <c r="J640" s="80">
        <v>1.8644000000000001</v>
      </c>
    </row>
    <row r="641" spans="8:10">
      <c r="H641">
        <f>SUM(H633:H640)</f>
        <v>63.84</v>
      </c>
      <c r="I641">
        <f>SUM(I633:I640)</f>
        <v>63.43</v>
      </c>
      <c r="J641" s="59">
        <f>SUM(J633:J640)</f>
        <v>4.0869999999999997</v>
      </c>
    </row>
    <row r="642" spans="8:10">
      <c r="J642">
        <f>J641/8</f>
        <v>0.51087499999999997</v>
      </c>
    </row>
    <row r="644" spans="8:10">
      <c r="H644">
        <f>H641/I641</f>
        <v>1.006463818382469</v>
      </c>
    </row>
  </sheetData>
  <sheetProtection password="C9F9" sheet="1" objects="1" scenarios="1"/>
  <sortState ref="D2:D103">
    <sortCondition ref="D2"/>
  </sortState>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dimension ref="C4:N17"/>
  <sheetViews>
    <sheetView showGridLines="0" topLeftCell="A19" workbookViewId="0">
      <selection activeCell="C12" sqref="C12"/>
    </sheetView>
  </sheetViews>
  <sheetFormatPr defaultRowHeight="15"/>
  <cols>
    <col min="3" max="3" width="6.42578125" customWidth="1"/>
    <col min="4" max="4" width="7.140625" customWidth="1"/>
    <col min="12" max="12" width="15" customWidth="1"/>
    <col min="13" max="13" width="6.7109375" customWidth="1"/>
    <col min="14" max="14" width="6.85546875" customWidth="1"/>
  </cols>
  <sheetData>
    <row r="4" spans="3:14">
      <c r="C4" s="171"/>
      <c r="D4" s="171"/>
      <c r="E4" s="171"/>
      <c r="F4" s="171"/>
      <c r="G4" s="171"/>
      <c r="H4" s="171"/>
      <c r="I4" s="171"/>
      <c r="J4" s="171"/>
      <c r="K4" s="171"/>
      <c r="L4" s="171"/>
      <c r="M4" s="171"/>
      <c r="N4" s="171"/>
    </row>
    <row r="5" spans="3:14">
      <c r="C5" s="171"/>
      <c r="D5" s="171"/>
      <c r="E5" s="171"/>
      <c r="F5" s="171"/>
      <c r="G5" s="171"/>
      <c r="H5" s="171"/>
      <c r="I5" s="171"/>
      <c r="J5" s="171"/>
      <c r="K5" s="171"/>
      <c r="L5" s="171"/>
      <c r="M5" s="171"/>
      <c r="N5" s="171"/>
    </row>
    <row r="6" spans="3:14">
      <c r="C6" s="171"/>
      <c r="D6" s="171"/>
      <c r="E6" s="171"/>
      <c r="F6" s="171"/>
      <c r="G6" s="171"/>
      <c r="H6" s="171"/>
      <c r="I6" s="171"/>
      <c r="J6" s="171"/>
      <c r="K6" s="171"/>
      <c r="L6" s="171"/>
      <c r="M6" s="171"/>
      <c r="N6" s="171"/>
    </row>
    <row r="7" spans="3:14" ht="23.25">
      <c r="C7" s="171"/>
      <c r="D7" s="171"/>
      <c r="E7" s="171"/>
      <c r="F7" s="171"/>
      <c r="G7" s="171"/>
      <c r="H7" s="790" t="s">
        <v>1358</v>
      </c>
      <c r="I7" s="171"/>
      <c r="J7" s="171"/>
      <c r="K7" s="171"/>
      <c r="L7" s="171"/>
      <c r="M7" s="171"/>
      <c r="N7" s="171"/>
    </row>
    <row r="8" spans="3:14" ht="18" customHeight="1">
      <c r="C8" s="171"/>
      <c r="D8" s="171"/>
      <c r="E8" s="171"/>
      <c r="F8" s="171"/>
      <c r="G8" s="171"/>
      <c r="H8" s="171"/>
      <c r="I8" s="171"/>
      <c r="J8" s="171"/>
      <c r="K8" s="171"/>
      <c r="L8" s="171"/>
      <c r="M8" s="171"/>
      <c r="N8" s="171"/>
    </row>
    <row r="9" spans="3:14" ht="69.95" customHeight="1">
      <c r="C9" s="171"/>
      <c r="D9" s="171"/>
      <c r="E9" s="1031" t="s">
        <v>1429</v>
      </c>
      <c r="F9" s="1031"/>
      <c r="G9" s="1031"/>
      <c r="H9" s="1031"/>
      <c r="I9" s="1031"/>
      <c r="J9" s="1031"/>
      <c r="K9" s="1031"/>
      <c r="L9" s="1031"/>
      <c r="M9" s="171"/>
      <c r="N9" s="171"/>
    </row>
    <row r="10" spans="3:14" ht="69.95" customHeight="1">
      <c r="C10" s="171"/>
      <c r="D10" s="171"/>
      <c r="E10" s="1032" t="s">
        <v>1425</v>
      </c>
      <c r="F10" s="1032"/>
      <c r="G10" s="1032"/>
      <c r="H10" s="1032"/>
      <c r="I10" s="1032"/>
      <c r="J10" s="1032"/>
      <c r="K10" s="1032"/>
      <c r="L10" s="1032"/>
      <c r="M10" s="171"/>
      <c r="N10" s="171"/>
    </row>
    <row r="11" spans="3:14" ht="83.25" customHeight="1">
      <c r="C11" s="171"/>
      <c r="D11" s="171"/>
      <c r="E11" s="1032" t="s">
        <v>1435</v>
      </c>
      <c r="F11" s="1032"/>
      <c r="G11" s="1032"/>
      <c r="H11" s="1032"/>
      <c r="I11" s="1032"/>
      <c r="J11" s="1032"/>
      <c r="K11" s="1032"/>
      <c r="L11" s="1032"/>
      <c r="M11" s="171"/>
      <c r="N11" s="171"/>
    </row>
    <row r="12" spans="3:14" ht="69.95" customHeight="1">
      <c r="C12" s="171"/>
      <c r="D12" s="171"/>
      <c r="E12" s="1032" t="s">
        <v>1346</v>
      </c>
      <c r="F12" s="1032"/>
      <c r="G12" s="1032"/>
      <c r="H12" s="1032"/>
      <c r="I12" s="1032"/>
      <c r="J12" s="1032"/>
      <c r="K12" s="1032"/>
      <c r="L12" s="1032"/>
      <c r="M12" s="171"/>
      <c r="N12" s="171"/>
    </row>
    <row r="13" spans="3:14" ht="51" customHeight="1">
      <c r="C13" s="171"/>
      <c r="D13" s="171"/>
      <c r="E13" s="1032" t="s">
        <v>1431</v>
      </c>
      <c r="F13" s="1032"/>
      <c r="G13" s="1032"/>
      <c r="H13" s="1032"/>
      <c r="I13" s="1032"/>
      <c r="J13" s="1032"/>
      <c r="K13" s="1032"/>
      <c r="L13" s="1032"/>
      <c r="M13" s="171"/>
      <c r="N13" s="171"/>
    </row>
    <row r="14" spans="3:14" ht="18.75">
      <c r="C14" s="171"/>
      <c r="D14" s="171"/>
      <c r="E14" s="789"/>
      <c r="F14" s="1029"/>
      <c r="G14" s="1029"/>
      <c r="H14" s="1029"/>
      <c r="I14" s="1029"/>
      <c r="J14" s="1029"/>
      <c r="K14" s="171"/>
      <c r="L14" s="171"/>
      <c r="M14" s="171"/>
      <c r="N14" s="171"/>
    </row>
    <row r="15" spans="3:14" ht="18.75">
      <c r="C15" s="171"/>
      <c r="D15" s="171"/>
      <c r="E15" s="789"/>
      <c r="F15" s="1029"/>
      <c r="G15" s="1029"/>
      <c r="H15" s="1029"/>
      <c r="I15" s="1029"/>
      <c r="J15" s="1029"/>
      <c r="K15" s="171"/>
      <c r="L15" s="171"/>
      <c r="M15" s="171"/>
      <c r="N15" s="171"/>
    </row>
    <row r="16" spans="3:14">
      <c r="C16" s="171"/>
      <c r="D16" s="171"/>
      <c r="E16" s="171"/>
      <c r="F16" s="171"/>
      <c r="G16" s="171"/>
      <c r="H16" s="171"/>
      <c r="I16" s="171"/>
      <c r="J16" s="171"/>
      <c r="K16" s="171"/>
      <c r="L16" s="171"/>
      <c r="M16" s="171"/>
      <c r="N16" s="171"/>
    </row>
    <row r="17" spans="3:14">
      <c r="C17" s="171"/>
      <c r="D17" s="171"/>
      <c r="E17" s="1030"/>
      <c r="F17" s="1030"/>
      <c r="G17" s="1030"/>
      <c r="H17" s="1030"/>
      <c r="I17" s="1030"/>
      <c r="J17" s="1030"/>
      <c r="K17" s="171"/>
      <c r="L17" s="171"/>
      <c r="M17" s="171"/>
      <c r="N17" s="171"/>
    </row>
  </sheetData>
  <mergeCells count="8">
    <mergeCell ref="F15:J15"/>
    <mergeCell ref="E17:J17"/>
    <mergeCell ref="E9:L9"/>
    <mergeCell ref="E11:L11"/>
    <mergeCell ref="F14:J14"/>
    <mergeCell ref="E10:L10"/>
    <mergeCell ref="E12:L12"/>
    <mergeCell ref="E13:L13"/>
  </mergeCells>
  <pageMargins left="0.7" right="0.7" top="0.75" bottom="0.75" header="0.3" footer="0.3"/>
  <pageSetup orientation="portrait" verticalDpi="0" r:id="rId1"/>
  <picture r:id="rId2"/>
</worksheet>
</file>

<file path=xl/worksheets/sheet2.xml><?xml version="1.0" encoding="utf-8"?>
<worksheet xmlns="http://schemas.openxmlformats.org/spreadsheetml/2006/main" xmlns:r="http://schemas.openxmlformats.org/officeDocument/2006/relationships">
  <dimension ref="B2:Q21"/>
  <sheetViews>
    <sheetView showGridLines="0" showRowColHeaders="0" workbookViewId="0">
      <selection activeCell="F8" sqref="F8:G8"/>
    </sheetView>
  </sheetViews>
  <sheetFormatPr defaultRowHeight="15"/>
  <cols>
    <col min="1" max="1" width="6.5703125" customWidth="1"/>
    <col min="2" max="2" width="8.28515625" customWidth="1"/>
    <col min="3" max="3" width="5.42578125" customWidth="1"/>
    <col min="4" max="4" width="37.42578125" customWidth="1"/>
    <col min="5" max="5" width="6" customWidth="1"/>
    <col min="6" max="6" width="10.5703125" customWidth="1"/>
    <col min="7" max="7" width="14" customWidth="1"/>
    <col min="8" max="8" width="4" customWidth="1"/>
    <col min="9" max="9" width="11.85546875" customWidth="1"/>
    <col min="10" max="10" width="4.28515625" customWidth="1"/>
    <col min="11" max="11" width="6.140625" customWidth="1"/>
    <col min="12" max="12" width="6.5703125" customWidth="1"/>
    <col min="13" max="13" width="4" style="10" customWidth="1"/>
    <col min="14" max="14" width="9.140625" style="10"/>
  </cols>
  <sheetData>
    <row r="2" spans="3:17" ht="19.5" customHeight="1">
      <c r="D2" s="784" t="s">
        <v>1433</v>
      </c>
    </row>
    <row r="3" spans="3:17">
      <c r="C3" s="130"/>
      <c r="D3" s="130"/>
      <c r="E3" s="130"/>
      <c r="F3" s="130"/>
      <c r="G3" s="130"/>
      <c r="H3" s="130"/>
      <c r="I3" s="130"/>
      <c r="J3" s="130"/>
      <c r="K3" s="54"/>
      <c r="L3" s="54"/>
      <c r="M3" s="54"/>
      <c r="O3" s="10"/>
      <c r="P3" s="10"/>
      <c r="Q3" s="10"/>
    </row>
    <row r="4" spans="3:17">
      <c r="C4" s="130"/>
      <c r="D4" s="130"/>
      <c r="E4" s="130"/>
      <c r="F4" s="130"/>
      <c r="G4" s="130"/>
      <c r="H4" s="130"/>
      <c r="I4" s="130"/>
      <c r="J4" s="130"/>
      <c r="K4" s="54"/>
      <c r="L4" s="54"/>
      <c r="M4" s="54"/>
      <c r="O4" s="10"/>
      <c r="P4" s="10"/>
      <c r="Q4" s="10"/>
    </row>
    <row r="5" spans="3:17" ht="33.75">
      <c r="C5" s="130"/>
      <c r="D5" s="917" t="s">
        <v>1353</v>
      </c>
      <c r="E5" s="130"/>
      <c r="F5" s="130"/>
      <c r="G5" s="130"/>
      <c r="H5" s="130"/>
      <c r="I5" s="130"/>
      <c r="J5" s="130"/>
      <c r="K5" s="54"/>
      <c r="L5" s="54"/>
      <c r="M5" s="54"/>
      <c r="O5" s="10"/>
      <c r="P5" s="10"/>
      <c r="Q5" s="10"/>
    </row>
    <row r="6" spans="3:17">
      <c r="C6" s="130"/>
      <c r="D6" s="130"/>
      <c r="E6" s="130"/>
      <c r="F6" s="130"/>
      <c r="G6" s="130"/>
      <c r="H6" s="130"/>
      <c r="I6" s="130"/>
      <c r="J6" s="130"/>
      <c r="K6" s="54"/>
      <c r="L6" s="54"/>
      <c r="M6" s="54"/>
      <c r="O6" s="10"/>
      <c r="P6" s="10"/>
      <c r="Q6" s="10"/>
    </row>
    <row r="7" spans="3:17" ht="18.75" customHeight="1">
      <c r="C7" s="54"/>
      <c r="D7" s="54"/>
      <c r="E7" s="54"/>
      <c r="F7" s="918" t="s">
        <v>1445</v>
      </c>
      <c r="G7" s="54"/>
      <c r="H7" s="54"/>
      <c r="I7" s="54"/>
      <c r="J7" s="54"/>
      <c r="K7" s="54"/>
      <c r="L7" s="54"/>
      <c r="M7" s="54"/>
      <c r="O7" s="10"/>
      <c r="P7" s="30" t="str">
        <f>F10</f>
        <v>Tucson, AZ, United States</v>
      </c>
      <c r="Q7" s="10"/>
    </row>
    <row r="8" spans="3:17" ht="16.5">
      <c r="C8" s="816">
        <v>1</v>
      </c>
      <c r="D8" s="814" t="s">
        <v>1351</v>
      </c>
      <c r="E8" s="766"/>
      <c r="F8" s="934" t="s">
        <v>540</v>
      </c>
      <c r="G8" s="935"/>
      <c r="H8" s="767"/>
      <c r="I8" s="890" t="s">
        <v>1376</v>
      </c>
      <c r="J8" s="782" t="str">
        <f>VLOOKUP(F8,Currency!E3:H200,2,FALSE)</f>
        <v>USD</v>
      </c>
      <c r="K8" s="859">
        <f>VLOOKUP(F8,Currency!E3:H200,4,FALSE)</f>
        <v>1</v>
      </c>
      <c r="L8" s="783" t="s">
        <v>1352</v>
      </c>
      <c r="M8" s="167"/>
      <c r="O8" s="10"/>
      <c r="P8" s="30" t="str">
        <f>F14</f>
        <v>Dubai, United Arab Emirates</v>
      </c>
      <c r="Q8" s="10"/>
    </row>
    <row r="9" spans="3:17" ht="16.5">
      <c r="C9" s="817"/>
      <c r="D9" s="815"/>
      <c r="E9" s="54"/>
      <c r="F9" s="903"/>
      <c r="G9" s="903"/>
      <c r="H9" s="54"/>
      <c r="I9" s="54"/>
      <c r="J9" s="54"/>
      <c r="K9" s="54"/>
      <c r="L9" s="54"/>
      <c r="M9" s="54"/>
      <c r="O9" s="10"/>
      <c r="P9" s="10"/>
      <c r="Q9" s="10"/>
    </row>
    <row r="10" spans="3:17" ht="16.5">
      <c r="C10" s="816">
        <v>2</v>
      </c>
      <c r="D10" s="814" t="s">
        <v>1297</v>
      </c>
      <c r="E10" s="104"/>
      <c r="F10" s="934" t="s">
        <v>150</v>
      </c>
      <c r="G10" s="935"/>
      <c r="H10" s="54"/>
      <c r="I10" s="54"/>
      <c r="J10" s="54"/>
      <c r="K10" s="54"/>
      <c r="L10" s="54"/>
      <c r="M10" s="54"/>
      <c r="O10" s="10"/>
      <c r="P10" s="10"/>
      <c r="Q10" s="10"/>
    </row>
    <row r="11" spans="3:17" ht="16.5">
      <c r="C11" s="817"/>
      <c r="D11" s="815"/>
      <c r="E11" s="54"/>
      <c r="F11" s="903"/>
      <c r="G11" s="903"/>
      <c r="H11" s="54"/>
      <c r="I11" s="54"/>
      <c r="J11" s="54"/>
      <c r="K11" s="54"/>
      <c r="L11" s="54"/>
      <c r="M11" s="54"/>
      <c r="O11" s="10"/>
      <c r="P11" s="10"/>
      <c r="Q11" s="10"/>
    </row>
    <row r="12" spans="3:17" ht="16.5">
      <c r="C12" s="816">
        <v>3</v>
      </c>
      <c r="D12" s="814" t="s">
        <v>1370</v>
      </c>
      <c r="E12" s="870" t="str">
        <f>$J$8</f>
        <v>USD</v>
      </c>
      <c r="F12" s="936">
        <v>4500</v>
      </c>
      <c r="G12" s="937"/>
      <c r="H12" s="54"/>
      <c r="I12" s="54"/>
      <c r="J12" s="54"/>
      <c r="K12" s="54"/>
      <c r="L12" s="54"/>
      <c r="M12" s="54"/>
      <c r="O12" s="10"/>
      <c r="P12" s="10"/>
      <c r="Q12" s="10"/>
    </row>
    <row r="13" spans="3:17" ht="16.5">
      <c r="C13" s="817"/>
      <c r="D13" s="815"/>
      <c r="E13" s="54"/>
      <c r="F13" s="903"/>
      <c r="G13" s="903"/>
      <c r="H13" s="54"/>
      <c r="I13" s="54"/>
      <c r="J13" s="54"/>
      <c r="K13" s="54"/>
      <c r="L13" s="54"/>
      <c r="M13" s="54"/>
      <c r="O13" s="10"/>
      <c r="P13" s="10"/>
      <c r="Q13" s="10"/>
    </row>
    <row r="14" spans="3:17" ht="16.5">
      <c r="C14" s="816">
        <v>4</v>
      </c>
      <c r="D14" s="814" t="s">
        <v>1296</v>
      </c>
      <c r="E14" s="104"/>
      <c r="F14" s="934" t="s">
        <v>217</v>
      </c>
      <c r="G14" s="935"/>
      <c r="H14" s="54"/>
      <c r="I14" s="54"/>
      <c r="J14" s="54"/>
      <c r="K14" s="54"/>
      <c r="L14" s="54"/>
      <c r="M14" s="54"/>
      <c r="O14" s="10"/>
      <c r="P14" s="10"/>
      <c r="Q14" s="10"/>
    </row>
    <row r="15" spans="3:17" ht="16.5">
      <c r="C15" s="817"/>
      <c r="D15" s="815"/>
      <c r="E15" s="54"/>
      <c r="F15" s="903"/>
      <c r="G15" s="903"/>
      <c r="H15" s="54"/>
      <c r="I15" s="54"/>
      <c r="J15" s="54"/>
      <c r="K15" s="54"/>
      <c r="L15" s="54"/>
      <c r="M15" s="54"/>
      <c r="O15" s="10"/>
      <c r="P15" s="10"/>
      <c r="Q15" s="10"/>
    </row>
    <row r="16" spans="3:17" ht="16.5">
      <c r="C16" s="816">
        <v>5</v>
      </c>
      <c r="D16" s="814" t="s">
        <v>1371</v>
      </c>
      <c r="E16" s="870" t="str">
        <f>$J$8</f>
        <v>USD</v>
      </c>
      <c r="F16" s="936">
        <v>2500</v>
      </c>
      <c r="G16" s="937"/>
      <c r="H16" s="54"/>
      <c r="I16" s="54"/>
      <c r="J16" s="54"/>
      <c r="K16" s="54"/>
      <c r="L16" s="54"/>
      <c r="M16" s="54"/>
      <c r="O16" s="10"/>
      <c r="P16" s="10"/>
      <c r="Q16" s="10"/>
    </row>
    <row r="17" spans="2:17">
      <c r="C17" s="54"/>
      <c r="D17" s="54"/>
      <c r="E17" s="54"/>
      <c r="F17" s="54"/>
      <c r="G17" s="54"/>
      <c r="H17" s="54"/>
      <c r="I17" s="54"/>
      <c r="J17" s="54"/>
      <c r="K17" s="54"/>
      <c r="L17" s="54"/>
      <c r="M17" s="54"/>
      <c r="O17" s="10"/>
      <c r="P17" s="10"/>
      <c r="Q17" s="10"/>
    </row>
    <row r="18" spans="2:17" ht="48.75" customHeight="1">
      <c r="C18" s="54"/>
      <c r="D18" s="933" t="s">
        <v>1369</v>
      </c>
      <c r="E18" s="933"/>
      <c r="F18" s="933"/>
      <c r="G18" s="933"/>
      <c r="H18" s="933"/>
      <c r="I18" s="933"/>
      <c r="J18" s="933"/>
      <c r="K18" s="933"/>
      <c r="L18" s="933"/>
      <c r="M18" s="54"/>
      <c r="O18" s="10"/>
      <c r="P18" s="10"/>
      <c r="Q18" s="10"/>
    </row>
    <row r="19" spans="2:17" ht="16.5" customHeight="1">
      <c r="C19" s="54"/>
      <c r="D19" s="933" t="s">
        <v>1377</v>
      </c>
      <c r="E19" s="933"/>
      <c r="F19" s="933"/>
      <c r="G19" s="933"/>
      <c r="H19" s="933"/>
      <c r="I19" s="933"/>
      <c r="J19" s="933"/>
      <c r="K19" s="933"/>
      <c r="L19" s="933"/>
      <c r="M19" s="54"/>
      <c r="O19" s="10"/>
      <c r="P19" s="10"/>
      <c r="Q19" s="10"/>
    </row>
    <row r="20" spans="2:17" ht="21">
      <c r="B20" s="9"/>
      <c r="C20" s="100"/>
      <c r="D20" s="100"/>
      <c r="E20" s="100"/>
      <c r="F20" s="100"/>
      <c r="G20" s="100"/>
      <c r="H20" s="100"/>
      <c r="I20" s="100"/>
      <c r="J20" s="100"/>
      <c r="K20" s="100"/>
      <c r="L20" s="54"/>
      <c r="M20" s="54"/>
      <c r="O20" s="10"/>
      <c r="P20" s="10"/>
      <c r="Q20" s="10"/>
    </row>
    <row r="21" spans="2:17" ht="21">
      <c r="B21" s="9"/>
      <c r="C21" s="100"/>
      <c r="D21" s="100"/>
      <c r="E21" s="100"/>
      <c r="F21" s="54"/>
      <c r="G21" s="100"/>
      <c r="H21" s="100"/>
      <c r="I21" s="100"/>
      <c r="J21" s="100"/>
      <c r="K21" s="100"/>
      <c r="L21" s="54"/>
      <c r="M21" s="54"/>
      <c r="O21" s="10"/>
      <c r="P21" s="10"/>
      <c r="Q21" s="10"/>
    </row>
  </sheetData>
  <sheetProtection password="C9F9" sheet="1" objects="1" scenarios="1"/>
  <mergeCells count="7">
    <mergeCell ref="D19:L19"/>
    <mergeCell ref="D18:L18"/>
    <mergeCell ref="F8:G8"/>
    <mergeCell ref="F10:G10"/>
    <mergeCell ref="F14:G14"/>
    <mergeCell ref="F12:G12"/>
    <mergeCell ref="F16:G16"/>
  </mergeCells>
  <dataValidations count="3">
    <dataValidation type="list" allowBlank="1" showInputMessage="1" showErrorMessage="1" sqref="F8:G8">
      <formula1>Currency!$E$4:$E$48</formula1>
    </dataValidation>
    <dataValidation type="list" allowBlank="1" showInputMessage="1" showErrorMessage="1" sqref="F10:G10">
      <formula1>Database!$C$3:$C$360</formula1>
    </dataValidation>
    <dataValidation type="list" allowBlank="1" showInputMessage="1" showErrorMessage="1" sqref="F14:G14">
      <formula1>Database!$C$3:$C$360</formula1>
    </dataValidation>
  </dataValidations>
  <pageMargins left="0.7" right="0.7" top="0.75" bottom="0.75" header="0.3" footer="0.3"/>
  <pageSetup orientation="portrait" r:id="rId1"/>
  <drawing r:id="rId2"/>
  <legacyDrawing r:id="rId3"/>
  <picture r:id="rId4"/>
</worksheet>
</file>

<file path=xl/worksheets/sheet3.xml><?xml version="1.0" encoding="utf-8"?>
<worksheet xmlns="http://schemas.openxmlformats.org/spreadsheetml/2006/main" xmlns:r="http://schemas.openxmlformats.org/officeDocument/2006/relationships">
  <dimension ref="A1:M18"/>
  <sheetViews>
    <sheetView showGridLines="0" showRowColHeaders="0" topLeftCell="A4" workbookViewId="0"/>
  </sheetViews>
  <sheetFormatPr defaultRowHeight="21"/>
  <cols>
    <col min="1" max="1" width="7.140625" style="9" customWidth="1"/>
    <col min="2" max="2" width="6.5703125" style="9" customWidth="1"/>
    <col min="6" max="6" width="10.140625" customWidth="1"/>
    <col min="7" max="9" width="14.7109375" customWidth="1"/>
    <col min="10" max="10" width="19.140625" hidden="1" customWidth="1"/>
    <col min="11" max="12" width="14.85546875" customWidth="1"/>
  </cols>
  <sheetData>
    <row r="1" spans="3:13">
      <c r="D1" s="784" t="s">
        <v>1433</v>
      </c>
    </row>
    <row r="2" spans="3:13" ht="33.75" customHeight="1">
      <c r="C2" s="130"/>
      <c r="D2" s="130"/>
      <c r="E2" s="130"/>
      <c r="F2" s="130"/>
      <c r="G2" s="160" t="str">
        <f>'Full Report'!C10</f>
        <v>Eating Out</v>
      </c>
      <c r="H2" s="130"/>
      <c r="I2" s="130"/>
      <c r="J2" s="130"/>
      <c r="K2" s="130"/>
      <c r="L2" s="130"/>
    </row>
    <row r="3" spans="3:13">
      <c r="C3" s="130"/>
      <c r="D3" s="130"/>
      <c r="E3" s="130"/>
      <c r="F3" s="130"/>
      <c r="G3" s="131"/>
      <c r="H3" s="130"/>
      <c r="I3" s="130"/>
      <c r="J3" s="130"/>
      <c r="K3" s="130"/>
      <c r="L3" s="130"/>
    </row>
    <row r="4" spans="3:13">
      <c r="C4" s="130"/>
      <c r="D4" s="130"/>
      <c r="E4" s="130"/>
      <c r="F4" s="130"/>
      <c r="G4" s="159"/>
      <c r="H4" s="159"/>
      <c r="I4" s="130"/>
      <c r="J4" s="130"/>
      <c r="K4" s="159"/>
      <c r="L4" s="154"/>
    </row>
    <row r="5" spans="3:13" ht="38.25">
      <c r="C5" s="159"/>
      <c r="D5" s="159" t="s">
        <v>1379</v>
      </c>
      <c r="E5" s="159"/>
      <c r="F5" s="159"/>
      <c r="G5" s="159" t="str">
        <f>Report!P411</f>
        <v>Tucson (USD)</v>
      </c>
      <c r="H5" s="159" t="str">
        <f>Report!Q411</f>
        <v>Dubai (USD)</v>
      </c>
      <c r="I5" s="165" t="s">
        <v>1381</v>
      </c>
      <c r="J5" s="165" t="s">
        <v>767</v>
      </c>
      <c r="K5" s="159" t="str">
        <f>"Total ("&amp;Report!Q132&amp;")"</f>
        <v>Total (USD)</v>
      </c>
      <c r="L5" s="154" t="str">
        <f>"Total ("&amp;Report!Q132&amp;")"</f>
        <v>Total (USD)</v>
      </c>
    </row>
    <row r="6" spans="3:13">
      <c r="C6" s="839" t="str">
        <f>'Full Report'!C11</f>
        <v>Meal, in a Budget Restaurant</v>
      </c>
      <c r="D6" s="876"/>
      <c r="E6" s="876"/>
      <c r="F6" s="876"/>
      <c r="G6" s="862">
        <f>'Full Report'!F11</f>
        <v>9</v>
      </c>
      <c r="H6" s="862">
        <f>'Full Report'!H11</f>
        <v>8.17</v>
      </c>
      <c r="I6" s="869">
        <v>5</v>
      </c>
      <c r="J6" s="786">
        <f>I6+0</f>
        <v>5</v>
      </c>
      <c r="K6" s="862">
        <f>G6*J6</f>
        <v>45</v>
      </c>
      <c r="L6" s="862">
        <f>J6*H6</f>
        <v>40.85</v>
      </c>
      <c r="M6" s="59"/>
    </row>
    <row r="7" spans="3:13">
      <c r="C7" s="841" t="str">
        <f>'Full Report'!C12</f>
        <v>Meal for 2, Established Restaurant, 3-course</v>
      </c>
      <c r="D7" s="877"/>
      <c r="E7" s="877"/>
      <c r="F7" s="877"/>
      <c r="G7" s="863">
        <f>'Full Report'!F12</f>
        <v>60</v>
      </c>
      <c r="H7" s="863">
        <f>'Full Report'!H12</f>
        <v>40.840000000000003</v>
      </c>
      <c r="I7" s="869">
        <v>10</v>
      </c>
      <c r="J7" s="786">
        <f t="shared" ref="J7:J12" si="0">I7+0</f>
        <v>10</v>
      </c>
      <c r="K7" s="863">
        <f t="shared" ref="K7:K13" si="1">G7*J7</f>
        <v>600</v>
      </c>
      <c r="L7" s="863">
        <f t="shared" ref="L7:L13" si="2">J7*H7</f>
        <v>408.40000000000003</v>
      </c>
      <c r="M7" s="59"/>
    </row>
    <row r="8" spans="3:13">
      <c r="C8" s="839" t="str">
        <f>'Full Report'!C13</f>
        <v>Combo Meal at McDonalds etc.</v>
      </c>
      <c r="D8" s="876"/>
      <c r="E8" s="876"/>
      <c r="F8" s="876"/>
      <c r="G8" s="862">
        <f>'Full Report'!F13</f>
        <v>6</v>
      </c>
      <c r="H8" s="862">
        <f>'Full Report'!H13</f>
        <v>5.45</v>
      </c>
      <c r="I8" s="869">
        <v>5</v>
      </c>
      <c r="J8" s="786">
        <f t="shared" si="0"/>
        <v>5</v>
      </c>
      <c r="K8" s="862">
        <f t="shared" si="1"/>
        <v>30</v>
      </c>
      <c r="L8" s="862">
        <f t="shared" si="2"/>
        <v>27.25</v>
      </c>
      <c r="M8" s="59"/>
    </row>
    <row r="9" spans="3:13">
      <c r="C9" s="841" t="str">
        <f>'Full Report'!C14</f>
        <v>Domestic Beer (0.5 liter draught)</v>
      </c>
      <c r="D9" s="877"/>
      <c r="E9" s="877"/>
      <c r="F9" s="877"/>
      <c r="G9" s="863">
        <f>'Full Report'!F14</f>
        <v>3</v>
      </c>
      <c r="H9" s="863">
        <f>'Full Report'!H14</f>
        <v>9.5299999999999994</v>
      </c>
      <c r="I9" s="869">
        <v>5</v>
      </c>
      <c r="J9" s="786">
        <f t="shared" si="0"/>
        <v>5</v>
      </c>
      <c r="K9" s="863">
        <f t="shared" si="1"/>
        <v>15</v>
      </c>
      <c r="L9" s="863">
        <f t="shared" si="2"/>
        <v>47.65</v>
      </c>
      <c r="M9" s="59"/>
    </row>
    <row r="10" spans="3:13">
      <c r="C10" s="839" t="str">
        <f>'Full Report'!C15</f>
        <v>Imported Beer (0.33 liter bottle)</v>
      </c>
      <c r="D10" s="876"/>
      <c r="E10" s="876"/>
      <c r="F10" s="876"/>
      <c r="G10" s="862">
        <f>'Full Report'!F15</f>
        <v>4.25</v>
      </c>
      <c r="H10" s="862">
        <f>'Full Report'!H15</f>
        <v>8.17</v>
      </c>
      <c r="I10" s="869">
        <v>10</v>
      </c>
      <c r="J10" s="786">
        <f t="shared" si="0"/>
        <v>10</v>
      </c>
      <c r="K10" s="862">
        <f t="shared" si="1"/>
        <v>42.5</v>
      </c>
      <c r="L10" s="862">
        <f t="shared" si="2"/>
        <v>81.7</v>
      </c>
      <c r="M10" s="59"/>
    </row>
    <row r="11" spans="3:13">
      <c r="C11" s="841" t="str">
        <f>'Full Report'!C16</f>
        <v>Cappuccino (regular)</v>
      </c>
      <c r="D11" s="877"/>
      <c r="E11" s="877"/>
      <c r="F11" s="877"/>
      <c r="G11" s="863">
        <f>'Full Report'!F16</f>
        <v>3.5</v>
      </c>
      <c r="H11" s="863">
        <f>'Full Report'!H16</f>
        <v>4.08</v>
      </c>
      <c r="I11" s="869">
        <v>15</v>
      </c>
      <c r="J11" s="786">
        <f t="shared" si="0"/>
        <v>15</v>
      </c>
      <c r="K11" s="863">
        <f t="shared" si="1"/>
        <v>52.5</v>
      </c>
      <c r="L11" s="863">
        <f t="shared" si="2"/>
        <v>61.2</v>
      </c>
      <c r="M11" s="59"/>
    </row>
    <row r="12" spans="3:13">
      <c r="C12" s="839" t="str">
        <f>'Full Report'!C17</f>
        <v>Coke/Pepsi (0.33 liter bottle)</v>
      </c>
      <c r="D12" s="876"/>
      <c r="E12" s="876"/>
      <c r="F12" s="876"/>
      <c r="G12" s="862">
        <f>'Full Report'!F17</f>
        <v>1.54</v>
      </c>
      <c r="H12" s="862">
        <f>'Full Report'!H17</f>
        <v>0.41</v>
      </c>
      <c r="I12" s="869">
        <v>20</v>
      </c>
      <c r="J12" s="786">
        <f t="shared" si="0"/>
        <v>20</v>
      </c>
      <c r="K12" s="862">
        <f t="shared" si="1"/>
        <v>30.8</v>
      </c>
      <c r="L12" s="862">
        <f t="shared" si="2"/>
        <v>8.1999999999999993</v>
      </c>
      <c r="M12" s="59"/>
    </row>
    <row r="13" spans="3:13">
      <c r="C13" s="841" t="str">
        <f>'Full Report'!C18</f>
        <v>Water (0.33 liter bottle)</v>
      </c>
      <c r="D13" s="877"/>
      <c r="E13" s="877"/>
      <c r="F13" s="877"/>
      <c r="G13" s="863">
        <f>'Full Report'!F18</f>
        <v>1.4</v>
      </c>
      <c r="H13" s="863">
        <f>'Full Report'!H18</f>
        <v>0.3</v>
      </c>
      <c r="I13" s="869">
        <v>30</v>
      </c>
      <c r="J13" s="786">
        <f t="shared" ref="J13" si="3">I13+0.00000001</f>
        <v>30.000000010000001</v>
      </c>
      <c r="K13" s="863">
        <f t="shared" si="1"/>
        <v>42.000000014000001</v>
      </c>
      <c r="L13" s="863">
        <f t="shared" si="2"/>
        <v>9.0000000030000002</v>
      </c>
      <c r="M13" s="59"/>
    </row>
    <row r="14" spans="3:13" ht="21.75" thickBot="1">
      <c r="C14" s="839"/>
      <c r="D14" s="103"/>
      <c r="E14" s="103"/>
      <c r="F14" s="103"/>
      <c r="G14" s="103"/>
      <c r="H14" s="103"/>
      <c r="I14" s="103"/>
      <c r="J14" s="103" t="s">
        <v>0</v>
      </c>
      <c r="K14" s="858">
        <f>SUM(K6:K13)</f>
        <v>857.80000001399992</v>
      </c>
      <c r="L14" s="858">
        <f>SUM(L6:L13)</f>
        <v>684.2500000030002</v>
      </c>
    </row>
    <row r="15" spans="3:13" ht="69" customHeight="1" thickTop="1">
      <c r="C15" s="841"/>
      <c r="D15" s="938" t="s">
        <v>1651</v>
      </c>
      <c r="E15" s="938"/>
      <c r="F15" s="938"/>
      <c r="G15" s="938"/>
      <c r="H15" s="938"/>
      <c r="I15" s="938"/>
      <c r="J15" s="938"/>
      <c r="K15" s="938"/>
      <c r="L15" s="54"/>
    </row>
    <row r="16" spans="3:13">
      <c r="C16" s="100"/>
      <c r="D16" s="100"/>
      <c r="E16" s="100"/>
      <c r="F16" s="100"/>
      <c r="G16" s="100"/>
      <c r="H16" s="100"/>
      <c r="I16" s="100"/>
      <c r="J16" s="100"/>
      <c r="K16" s="100"/>
      <c r="L16" s="100"/>
    </row>
    <row r="17" spans="3:12">
      <c r="C17" s="100"/>
      <c r="D17" s="100"/>
      <c r="E17" s="100"/>
      <c r="F17" s="54"/>
      <c r="G17" s="100"/>
      <c r="H17" s="100"/>
      <c r="I17" s="100"/>
      <c r="J17" s="100"/>
      <c r="K17" s="100"/>
      <c r="L17" s="100"/>
    </row>
    <row r="18" spans="3:12">
      <c r="C18" s="836"/>
    </row>
  </sheetData>
  <sheetProtection password="C9F9" sheet="1" objects="1" scenarios="1"/>
  <mergeCells count="1">
    <mergeCell ref="D15:K15"/>
  </mergeCells>
  <pageMargins left="0.7" right="0.7" top="0.75" bottom="0.75" header="0.3" footer="0.3"/>
  <pageSetup orientation="portrait" verticalDpi="0" r:id="rId1"/>
  <drawing r:id="rId2"/>
  <legacyDrawing r:id="rId3"/>
  <picture r:id="rId4"/>
</worksheet>
</file>

<file path=xl/worksheets/sheet4.xml><?xml version="1.0" encoding="utf-8"?>
<worksheet xmlns="http://schemas.openxmlformats.org/spreadsheetml/2006/main" xmlns:r="http://schemas.openxmlformats.org/officeDocument/2006/relationships">
  <sheetPr codeName="Sheet4"/>
  <dimension ref="A1:DH519"/>
  <sheetViews>
    <sheetView showGridLines="0" zoomScaleNormal="100" workbookViewId="0">
      <selection activeCell="T519" sqref="A1:T519"/>
    </sheetView>
  </sheetViews>
  <sheetFormatPr defaultRowHeight="15"/>
  <cols>
    <col min="1" max="1" width="18" style="891" customWidth="1"/>
    <col min="2" max="2" width="23" style="891" customWidth="1"/>
    <col min="3" max="3" width="37.42578125" style="891" customWidth="1"/>
    <col min="4" max="4" width="22.85546875" style="897" customWidth="1"/>
    <col min="5" max="5" width="23" style="897" customWidth="1"/>
    <col min="6" max="6" width="18.28515625" style="897" customWidth="1"/>
    <col min="7" max="7" width="11.28515625" style="897" customWidth="1"/>
    <col min="8" max="8" width="12" style="921" customWidth="1"/>
    <col min="9" max="9" width="9.140625" style="921"/>
    <col min="10" max="19" width="9.140625" style="920"/>
  </cols>
  <sheetData>
    <row r="1" spans="1:112">
      <c r="A1" s="891" t="s">
        <v>401</v>
      </c>
      <c r="B1" s="891" t="s">
        <v>482</v>
      </c>
      <c r="C1" s="891" t="s">
        <v>1165</v>
      </c>
      <c r="D1" s="891" t="s">
        <v>126</v>
      </c>
      <c r="E1" s="891" t="s">
        <v>127</v>
      </c>
      <c r="F1" s="891" t="s">
        <v>128</v>
      </c>
      <c r="G1" s="891" t="s">
        <v>129</v>
      </c>
      <c r="H1" s="891" t="s">
        <v>130</v>
      </c>
      <c r="I1" s="891" t="s">
        <v>131</v>
      </c>
      <c r="J1" s="891"/>
      <c r="K1" s="891"/>
      <c r="L1" s="891"/>
      <c r="M1" s="891"/>
      <c r="N1" s="891"/>
      <c r="O1" s="891"/>
      <c r="P1" s="891"/>
      <c r="Q1" s="891"/>
      <c r="R1" s="891"/>
      <c r="S1" s="891"/>
      <c r="T1" s="891"/>
      <c r="U1" s="913"/>
      <c r="V1" s="913"/>
      <c r="W1" s="913"/>
      <c r="X1" s="913"/>
      <c r="Y1" s="913"/>
      <c r="Z1" s="913"/>
      <c r="AA1" s="913"/>
      <c r="AB1" s="913"/>
      <c r="AC1" s="913"/>
      <c r="AD1" s="913"/>
      <c r="AE1" s="913"/>
      <c r="AF1" s="913"/>
      <c r="AG1" s="913"/>
      <c r="AH1" s="913"/>
    </row>
    <row r="2" spans="1:112">
      <c r="A2" s="891" t="s">
        <v>776</v>
      </c>
      <c r="B2" s="891" t="s">
        <v>1446</v>
      </c>
      <c r="C2" s="891" t="s">
        <v>33</v>
      </c>
      <c r="D2" s="891" t="s">
        <v>776</v>
      </c>
      <c r="E2" s="891" t="s">
        <v>1446</v>
      </c>
      <c r="F2" s="891" t="s">
        <v>33</v>
      </c>
      <c r="G2" s="897">
        <v>101.29</v>
      </c>
      <c r="H2" s="897">
        <v>106.43</v>
      </c>
      <c r="I2" s="897">
        <v>97.81</v>
      </c>
      <c r="J2" s="891"/>
      <c r="K2" s="891"/>
      <c r="L2" s="891"/>
      <c r="M2" s="891"/>
      <c r="N2" s="891"/>
      <c r="O2" s="891"/>
      <c r="P2" s="891"/>
      <c r="Q2" s="891"/>
      <c r="R2" s="891"/>
      <c r="S2" s="891"/>
      <c r="T2" s="891"/>
      <c r="U2" s="928"/>
      <c r="V2" s="928"/>
      <c r="W2" s="928"/>
      <c r="X2" s="928"/>
      <c r="Y2" s="928"/>
      <c r="Z2" s="928"/>
      <c r="AA2" s="928"/>
      <c r="AB2" s="928"/>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row>
    <row r="3" spans="1:112">
      <c r="A3" s="891" t="s">
        <v>777</v>
      </c>
      <c r="B3" s="891" t="s">
        <v>1447</v>
      </c>
      <c r="C3" s="891" t="s">
        <v>20</v>
      </c>
      <c r="D3" s="891" t="s">
        <v>777</v>
      </c>
      <c r="E3" s="891" t="s">
        <v>1447</v>
      </c>
      <c r="F3" s="891" t="s">
        <v>20</v>
      </c>
      <c r="G3" s="897">
        <v>98.95</v>
      </c>
      <c r="H3" s="897">
        <v>127.15</v>
      </c>
      <c r="I3" s="897">
        <v>87.76</v>
      </c>
      <c r="J3" s="891"/>
      <c r="K3" s="891"/>
      <c r="L3" s="891"/>
      <c r="M3" s="891"/>
      <c r="N3" s="891"/>
      <c r="O3" s="891"/>
      <c r="P3" s="891"/>
      <c r="Q3" s="891"/>
      <c r="R3" s="891"/>
      <c r="S3" s="891"/>
      <c r="T3" s="891"/>
      <c r="U3" s="928"/>
      <c r="V3" s="928"/>
      <c r="W3" s="928"/>
      <c r="X3" s="928"/>
      <c r="Y3" s="928"/>
      <c r="Z3" s="928"/>
      <c r="AA3" s="928"/>
      <c r="AB3" s="928"/>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row>
    <row r="4" spans="1:112">
      <c r="A4" s="891" t="s">
        <v>778</v>
      </c>
      <c r="B4" s="891" t="s">
        <v>1448</v>
      </c>
      <c r="C4" s="891" t="s">
        <v>252</v>
      </c>
      <c r="D4" s="891" t="s">
        <v>778</v>
      </c>
      <c r="E4" s="891" t="s">
        <v>1448</v>
      </c>
      <c r="F4" s="891" t="s">
        <v>252</v>
      </c>
      <c r="G4" s="897">
        <v>53.71</v>
      </c>
      <c r="H4" s="897">
        <v>62.09</v>
      </c>
      <c r="I4" s="897">
        <v>105.12</v>
      </c>
      <c r="J4" s="891"/>
      <c r="K4" s="891"/>
      <c r="L4" s="891"/>
      <c r="M4" s="891"/>
      <c r="N4" s="891"/>
      <c r="O4" s="891"/>
      <c r="P4" s="891"/>
      <c r="Q4" s="891"/>
      <c r="R4" s="891"/>
      <c r="S4" s="891"/>
      <c r="T4" s="891"/>
      <c r="U4" s="928"/>
      <c r="V4" s="928"/>
      <c r="W4" s="928"/>
      <c r="X4" s="928"/>
      <c r="Y4" s="928"/>
      <c r="Z4" s="928"/>
      <c r="AA4" s="928"/>
      <c r="AB4" s="928"/>
      <c r="AC4" s="928"/>
      <c r="AD4" s="928"/>
      <c r="AE4" s="928"/>
      <c r="AF4" s="928"/>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8"/>
      <c r="BM4" s="928"/>
      <c r="BN4" s="928"/>
      <c r="BO4" s="928"/>
      <c r="BP4" s="928"/>
      <c r="BQ4" s="928"/>
      <c r="BR4" s="928"/>
      <c r="BS4" s="928"/>
      <c r="BT4" s="928"/>
      <c r="BU4" s="928"/>
      <c r="BV4" s="928"/>
      <c r="BW4" s="928"/>
      <c r="BX4" s="928"/>
      <c r="BY4" s="928"/>
      <c r="BZ4" s="928"/>
      <c r="CA4" s="928"/>
      <c r="CB4" s="928"/>
      <c r="CC4" s="928"/>
      <c r="CD4" s="928"/>
      <c r="CE4" s="928"/>
      <c r="CF4" s="928"/>
      <c r="CG4" s="928"/>
      <c r="CH4" s="928"/>
      <c r="CI4" s="928"/>
      <c r="CJ4" s="928"/>
      <c r="CK4" s="928"/>
      <c r="CL4" s="928"/>
      <c r="CM4" s="928"/>
      <c r="CN4" s="928"/>
      <c r="CO4" s="928"/>
      <c r="CP4" s="928"/>
      <c r="CQ4" s="928"/>
      <c r="CR4" s="928"/>
      <c r="CS4" s="928"/>
      <c r="CT4" s="928"/>
      <c r="CU4" s="928"/>
      <c r="CV4" s="928"/>
      <c r="CW4" s="928"/>
      <c r="CX4" s="928"/>
      <c r="CY4" s="928"/>
      <c r="CZ4" s="928"/>
      <c r="DA4" s="928"/>
      <c r="DB4" s="928"/>
      <c r="DC4" s="928"/>
      <c r="DD4" s="928"/>
      <c r="DE4" s="928"/>
      <c r="DF4" s="928"/>
      <c r="DG4" s="928"/>
      <c r="DH4" s="928"/>
    </row>
    <row r="5" spans="1:112">
      <c r="A5" s="891" t="s">
        <v>779</v>
      </c>
      <c r="B5" s="891" t="s">
        <v>1449</v>
      </c>
      <c r="C5" s="891" t="s">
        <v>246</v>
      </c>
      <c r="D5" s="891" t="s">
        <v>779</v>
      </c>
      <c r="E5" s="891" t="s">
        <v>1449</v>
      </c>
      <c r="F5" s="891" t="s">
        <v>246</v>
      </c>
      <c r="G5" s="897">
        <v>66.33</v>
      </c>
      <c r="H5" s="897">
        <v>64.239999999999995</v>
      </c>
      <c r="I5" s="897">
        <v>14.39</v>
      </c>
      <c r="J5" s="891"/>
      <c r="K5" s="891"/>
      <c r="L5" s="891"/>
      <c r="M5" s="891"/>
      <c r="N5" s="891"/>
      <c r="O5" s="891"/>
      <c r="P5" s="891"/>
      <c r="Q5" s="891"/>
      <c r="R5" s="891"/>
      <c r="S5" s="891"/>
      <c r="T5" s="891"/>
      <c r="U5" s="928"/>
      <c r="V5" s="928"/>
      <c r="W5" s="928"/>
      <c r="X5" s="928"/>
      <c r="Y5" s="928"/>
      <c r="Z5" s="928"/>
      <c r="AA5" s="928"/>
      <c r="AB5" s="928"/>
      <c r="AC5" s="928"/>
      <c r="AD5" s="928"/>
      <c r="AE5" s="928"/>
      <c r="AF5" s="928"/>
      <c r="AG5" s="928"/>
      <c r="AH5" s="928"/>
      <c r="AI5" s="928"/>
      <c r="AJ5" s="928"/>
      <c r="AK5" s="928"/>
      <c r="AL5" s="928"/>
      <c r="AM5" s="928"/>
      <c r="AN5" s="928"/>
      <c r="AO5" s="928"/>
      <c r="AP5" s="928"/>
      <c r="AQ5" s="928"/>
      <c r="AR5" s="928"/>
      <c r="AS5" s="928"/>
      <c r="AT5" s="928"/>
      <c r="AU5" s="928"/>
      <c r="AV5" s="928"/>
      <c r="AW5" s="928"/>
      <c r="AX5" s="928"/>
      <c r="AY5" s="928"/>
      <c r="AZ5" s="928"/>
      <c r="BA5" s="928"/>
      <c r="BB5" s="928"/>
      <c r="BC5" s="928"/>
      <c r="BD5" s="928"/>
      <c r="BE5" s="928"/>
      <c r="BF5" s="928"/>
      <c r="BG5" s="928"/>
      <c r="BH5" s="928"/>
      <c r="BI5" s="928"/>
      <c r="BJ5" s="928"/>
      <c r="BK5" s="928"/>
      <c r="BL5" s="928"/>
      <c r="BM5" s="928"/>
      <c r="BN5" s="928"/>
      <c r="BO5" s="928"/>
      <c r="BP5" s="928"/>
      <c r="BQ5" s="928"/>
      <c r="BR5" s="928"/>
      <c r="BS5" s="928"/>
      <c r="BT5" s="928"/>
      <c r="BU5" s="928"/>
      <c r="BV5" s="928"/>
      <c r="BW5" s="928"/>
      <c r="BX5" s="928"/>
      <c r="BY5" s="928"/>
      <c r="BZ5" s="928"/>
      <c r="CA5" s="928"/>
      <c r="CB5" s="928"/>
      <c r="CC5" s="928"/>
      <c r="CD5" s="928"/>
      <c r="CE5" s="928"/>
      <c r="CF5" s="928"/>
      <c r="CG5" s="928"/>
      <c r="CH5" s="928"/>
      <c r="CI5" s="928"/>
      <c r="CJ5" s="928"/>
      <c r="CK5" s="928"/>
      <c r="CL5" s="928"/>
      <c r="CM5" s="928"/>
      <c r="CN5" s="928"/>
      <c r="CO5" s="928"/>
      <c r="CP5" s="928"/>
      <c r="CQ5" s="928"/>
      <c r="CR5" s="928"/>
      <c r="CS5" s="928"/>
      <c r="CT5" s="928"/>
      <c r="CU5" s="928"/>
      <c r="CV5" s="928"/>
      <c r="CW5" s="928"/>
      <c r="CX5" s="928"/>
      <c r="CY5" s="928"/>
      <c r="CZ5" s="928"/>
      <c r="DA5" s="928"/>
      <c r="DB5" s="928"/>
      <c r="DC5" s="928"/>
      <c r="DD5" s="928"/>
      <c r="DE5" s="928"/>
      <c r="DF5" s="928"/>
      <c r="DG5" s="928"/>
      <c r="DH5" s="928"/>
    </row>
    <row r="6" spans="1:112">
      <c r="A6" s="891" t="s">
        <v>780</v>
      </c>
      <c r="B6" s="891" t="s">
        <v>1450</v>
      </c>
      <c r="C6" s="891" t="s">
        <v>220</v>
      </c>
      <c r="D6" s="891" t="s">
        <v>780</v>
      </c>
      <c r="E6" s="891" t="s">
        <v>1450</v>
      </c>
      <c r="F6" s="891" t="s">
        <v>220</v>
      </c>
      <c r="G6" s="897">
        <v>82.12</v>
      </c>
      <c r="H6" s="897">
        <v>35.94</v>
      </c>
      <c r="I6" s="897">
        <v>76.290000000000006</v>
      </c>
      <c r="J6" s="891"/>
      <c r="K6" s="891"/>
      <c r="L6" s="891"/>
      <c r="M6" s="891"/>
      <c r="N6" s="891"/>
      <c r="O6" s="891"/>
      <c r="P6" s="891"/>
      <c r="Q6" s="891"/>
      <c r="R6" s="891"/>
      <c r="S6" s="891"/>
      <c r="T6" s="891"/>
      <c r="U6" s="928"/>
      <c r="V6" s="928"/>
      <c r="W6" s="928"/>
      <c r="X6" s="928"/>
      <c r="Y6" s="928"/>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928"/>
      <c r="AZ6" s="928"/>
      <c r="BA6" s="928"/>
      <c r="BB6" s="928"/>
      <c r="BC6" s="928"/>
      <c r="BD6" s="928"/>
      <c r="BE6" s="928"/>
      <c r="BF6" s="928"/>
      <c r="BG6" s="928"/>
      <c r="BH6" s="928"/>
      <c r="BI6" s="928"/>
      <c r="BJ6" s="928"/>
      <c r="BK6" s="928"/>
      <c r="BL6" s="928"/>
      <c r="BM6" s="928"/>
      <c r="BN6" s="928"/>
      <c r="BO6" s="928"/>
      <c r="BP6" s="928"/>
      <c r="BQ6" s="928"/>
      <c r="BR6" s="928"/>
      <c r="BS6" s="928"/>
      <c r="BT6" s="928"/>
      <c r="BU6" s="928"/>
      <c r="BV6" s="928"/>
      <c r="BW6" s="928"/>
      <c r="BX6" s="928"/>
      <c r="BY6" s="928"/>
      <c r="BZ6" s="928"/>
      <c r="CA6" s="928"/>
      <c r="CB6" s="928"/>
      <c r="CC6" s="928"/>
      <c r="CD6" s="928"/>
      <c r="CE6" s="928"/>
      <c r="CF6" s="928"/>
      <c r="CG6" s="928"/>
      <c r="CH6" s="928"/>
      <c r="CI6" s="928"/>
      <c r="CJ6" s="928"/>
      <c r="CK6" s="928"/>
      <c r="CL6" s="928"/>
      <c r="CM6" s="928"/>
      <c r="CN6" s="928"/>
      <c r="CO6" s="928"/>
      <c r="CP6" s="928"/>
      <c r="CQ6" s="928"/>
      <c r="CR6" s="928"/>
      <c r="CS6" s="928"/>
      <c r="CT6" s="928"/>
      <c r="CU6" s="928"/>
      <c r="CV6" s="928"/>
      <c r="CW6" s="928"/>
      <c r="CX6" s="928"/>
      <c r="CY6" s="928"/>
      <c r="CZ6" s="928"/>
      <c r="DA6" s="928"/>
      <c r="DB6" s="928"/>
      <c r="DC6" s="928"/>
      <c r="DD6" s="928"/>
      <c r="DE6" s="928"/>
      <c r="DF6" s="928"/>
      <c r="DG6" s="928"/>
      <c r="DH6" s="928"/>
    </row>
    <row r="7" spans="1:112">
      <c r="A7" s="891" t="s">
        <v>781</v>
      </c>
      <c r="B7" s="891" t="s">
        <v>1451</v>
      </c>
      <c r="C7" s="891" t="s">
        <v>278</v>
      </c>
      <c r="D7" s="891" t="s">
        <v>781</v>
      </c>
      <c r="E7" s="891" t="s">
        <v>1451</v>
      </c>
      <c r="F7" s="891" t="s">
        <v>278</v>
      </c>
      <c r="G7" s="897">
        <v>56.23</v>
      </c>
      <c r="H7" s="897">
        <v>23.37</v>
      </c>
      <c r="I7" s="897">
        <v>12.11</v>
      </c>
      <c r="J7" s="891"/>
      <c r="K7" s="891"/>
      <c r="L7" s="891"/>
      <c r="M7" s="891"/>
      <c r="N7" s="891"/>
      <c r="O7" s="891"/>
      <c r="P7" s="891"/>
      <c r="Q7" s="891"/>
      <c r="R7" s="891"/>
      <c r="S7" s="891"/>
      <c r="T7" s="891"/>
      <c r="U7" s="928"/>
      <c r="V7" s="928"/>
      <c r="W7" s="928"/>
      <c r="X7" s="928"/>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928"/>
      <c r="AZ7" s="928"/>
      <c r="BA7" s="928"/>
      <c r="BB7" s="928"/>
      <c r="BC7" s="928"/>
      <c r="BD7" s="928"/>
      <c r="BE7" s="928"/>
      <c r="BF7" s="928"/>
      <c r="BG7" s="928"/>
      <c r="BH7" s="928"/>
      <c r="BI7" s="928"/>
      <c r="BJ7" s="928"/>
      <c r="BK7" s="928"/>
      <c r="BL7" s="928"/>
      <c r="BM7" s="928"/>
      <c r="BN7" s="928"/>
      <c r="BO7" s="928"/>
      <c r="BP7" s="928"/>
      <c r="BQ7" s="928"/>
      <c r="BR7" s="928"/>
      <c r="BS7" s="928"/>
      <c r="BT7" s="928"/>
      <c r="BU7" s="928"/>
      <c r="BV7" s="928"/>
      <c r="BW7" s="928"/>
      <c r="BX7" s="928"/>
      <c r="BY7" s="928"/>
      <c r="BZ7" s="928"/>
      <c r="CA7" s="928"/>
      <c r="CB7" s="928"/>
      <c r="CC7" s="928"/>
      <c r="CD7" s="928"/>
      <c r="CE7" s="928"/>
      <c r="CF7" s="928"/>
      <c r="CG7" s="928"/>
      <c r="CH7" s="928"/>
      <c r="CI7" s="928"/>
      <c r="CJ7" s="928"/>
      <c r="CK7" s="928"/>
      <c r="CL7" s="928"/>
      <c r="CM7" s="928"/>
      <c r="CN7" s="928"/>
      <c r="CO7" s="928"/>
      <c r="CP7" s="928"/>
      <c r="CQ7" s="928"/>
      <c r="CR7" s="928"/>
      <c r="CS7" s="928"/>
      <c r="CT7" s="928"/>
      <c r="CU7" s="928"/>
      <c r="CV7" s="928"/>
      <c r="CW7" s="928"/>
      <c r="CX7" s="928"/>
      <c r="CY7" s="928"/>
      <c r="CZ7" s="928"/>
      <c r="DA7" s="928"/>
      <c r="DB7" s="928"/>
      <c r="DC7" s="928"/>
      <c r="DD7" s="928"/>
      <c r="DE7" s="928"/>
      <c r="DF7" s="928"/>
      <c r="DG7" s="928"/>
      <c r="DH7" s="928"/>
    </row>
    <row r="8" spans="1:112">
      <c r="A8" s="891" t="s">
        <v>782</v>
      </c>
      <c r="B8" s="891" t="s">
        <v>1452</v>
      </c>
      <c r="C8" s="891" t="s">
        <v>24</v>
      </c>
      <c r="D8" s="891" t="s">
        <v>782</v>
      </c>
      <c r="E8" s="891" t="s">
        <v>1452</v>
      </c>
      <c r="F8" s="891" t="s">
        <v>24</v>
      </c>
      <c r="G8" s="897">
        <v>106.9</v>
      </c>
      <c r="H8" s="897">
        <v>95.67</v>
      </c>
      <c r="I8" s="897">
        <v>117.43</v>
      </c>
      <c r="J8" s="891"/>
      <c r="K8" s="891"/>
      <c r="L8" s="891"/>
      <c r="M8" s="891"/>
      <c r="N8" s="891"/>
      <c r="O8" s="891"/>
      <c r="P8" s="891"/>
      <c r="Q8" s="891"/>
      <c r="R8" s="891"/>
      <c r="S8" s="891"/>
      <c r="T8" s="891"/>
      <c r="U8" s="928"/>
      <c r="V8" s="928"/>
      <c r="W8" s="928"/>
      <c r="X8" s="928"/>
      <c r="Y8" s="928"/>
      <c r="Z8" s="928"/>
      <c r="AA8" s="928"/>
      <c r="AB8" s="928"/>
      <c r="AC8" s="928"/>
      <c r="AD8" s="928"/>
      <c r="AE8" s="928"/>
      <c r="AF8" s="928"/>
      <c r="AG8" s="928"/>
      <c r="AH8" s="928"/>
      <c r="AI8" s="928"/>
      <c r="AJ8" s="928"/>
      <c r="AK8" s="928"/>
      <c r="AL8" s="928"/>
      <c r="AM8" s="928"/>
      <c r="AN8" s="928"/>
      <c r="AO8" s="928"/>
      <c r="AP8" s="928"/>
      <c r="AQ8" s="928"/>
      <c r="AR8" s="928"/>
      <c r="AS8" s="928"/>
      <c r="AT8" s="928"/>
      <c r="AU8" s="928"/>
      <c r="AV8" s="928"/>
      <c r="AW8" s="928"/>
      <c r="AX8" s="928"/>
      <c r="AY8" s="928"/>
      <c r="AZ8" s="928"/>
      <c r="BA8" s="928"/>
      <c r="BB8" s="928"/>
      <c r="BC8" s="928"/>
      <c r="BD8" s="928"/>
      <c r="BE8" s="928"/>
      <c r="BF8" s="928"/>
      <c r="BG8" s="928"/>
      <c r="BH8" s="928"/>
      <c r="BI8" s="928"/>
      <c r="BJ8" s="928"/>
      <c r="BK8" s="928"/>
      <c r="BL8" s="928"/>
      <c r="BM8" s="928"/>
      <c r="BN8" s="928"/>
      <c r="BO8" s="928"/>
      <c r="BP8" s="928"/>
      <c r="BQ8" s="928"/>
      <c r="BR8" s="928"/>
      <c r="BS8" s="928"/>
      <c r="BT8" s="928"/>
      <c r="BU8" s="928"/>
      <c r="BV8" s="928"/>
      <c r="BW8" s="928"/>
      <c r="BX8" s="928"/>
      <c r="BY8" s="928"/>
      <c r="BZ8" s="928"/>
      <c r="CA8" s="928"/>
      <c r="CB8" s="928"/>
      <c r="CC8" s="928"/>
      <c r="CD8" s="928"/>
      <c r="CE8" s="928"/>
      <c r="CF8" s="928"/>
      <c r="CG8" s="928"/>
      <c r="CH8" s="928"/>
      <c r="CI8" s="928"/>
      <c r="CJ8" s="928"/>
      <c r="CK8" s="928"/>
      <c r="CL8" s="928"/>
      <c r="CM8" s="928"/>
      <c r="CN8" s="928"/>
      <c r="CO8" s="928"/>
      <c r="CP8" s="928"/>
      <c r="CQ8" s="928"/>
      <c r="CR8" s="928"/>
      <c r="CS8" s="928"/>
      <c r="CT8" s="928"/>
      <c r="CU8" s="928"/>
      <c r="CV8" s="928"/>
      <c r="CW8" s="928"/>
      <c r="CX8" s="928"/>
      <c r="CY8" s="928"/>
      <c r="CZ8" s="928"/>
      <c r="DA8" s="928"/>
      <c r="DB8" s="928"/>
      <c r="DC8" s="928"/>
      <c r="DD8" s="928"/>
      <c r="DE8" s="928"/>
      <c r="DF8" s="928"/>
      <c r="DG8" s="928"/>
      <c r="DH8" s="928"/>
    </row>
    <row r="9" spans="1:112">
      <c r="A9" s="891" t="s">
        <v>783</v>
      </c>
      <c r="B9" s="891" t="s">
        <v>1453</v>
      </c>
      <c r="C9" s="891" t="s">
        <v>383</v>
      </c>
      <c r="D9" s="891" t="s">
        <v>783</v>
      </c>
      <c r="E9" s="891" t="s">
        <v>1453</v>
      </c>
      <c r="F9" s="891" t="s">
        <v>383</v>
      </c>
      <c r="G9" s="897">
        <v>32.08</v>
      </c>
      <c r="H9" s="897">
        <v>16.239999999999998</v>
      </c>
      <c r="I9" s="897">
        <v>59.63</v>
      </c>
      <c r="J9" s="891"/>
      <c r="K9" s="891"/>
      <c r="L9" s="891"/>
      <c r="M9" s="891"/>
      <c r="N9" s="891"/>
      <c r="O9" s="891"/>
      <c r="P9" s="891"/>
      <c r="Q9" s="891"/>
      <c r="R9" s="891"/>
      <c r="S9" s="891"/>
      <c r="T9" s="891"/>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8"/>
      <c r="BJ9" s="928"/>
      <c r="BK9" s="928"/>
      <c r="BL9" s="928"/>
      <c r="BM9" s="928"/>
      <c r="BN9" s="928"/>
      <c r="BO9" s="928"/>
      <c r="BP9" s="928"/>
      <c r="BQ9" s="928"/>
      <c r="BR9" s="928"/>
      <c r="BS9" s="928"/>
      <c r="BT9" s="928"/>
      <c r="BU9" s="928"/>
      <c r="BV9" s="928"/>
      <c r="BW9" s="928"/>
      <c r="BX9" s="928"/>
      <c r="BY9" s="928"/>
      <c r="BZ9" s="928"/>
      <c r="CA9" s="928"/>
      <c r="CB9" s="928"/>
      <c r="CC9" s="928"/>
      <c r="CD9" s="928"/>
      <c r="CE9" s="928"/>
      <c r="CF9" s="928"/>
      <c r="CG9" s="928"/>
      <c r="CH9" s="928"/>
      <c r="CI9" s="928"/>
      <c r="CJ9" s="928"/>
      <c r="CK9" s="928"/>
      <c r="CL9" s="928"/>
      <c r="CM9" s="928"/>
      <c r="CN9" s="928"/>
      <c r="CO9" s="928"/>
      <c r="CP9" s="928"/>
      <c r="CQ9" s="928"/>
      <c r="CR9" s="928"/>
      <c r="CS9" s="928"/>
      <c r="CT9" s="928"/>
      <c r="CU9" s="928"/>
      <c r="CV9" s="928"/>
      <c r="CW9" s="928"/>
      <c r="CX9" s="928"/>
      <c r="CY9" s="928"/>
      <c r="CZ9" s="928"/>
      <c r="DA9" s="928"/>
      <c r="DB9" s="928"/>
      <c r="DC9" s="928"/>
      <c r="DD9" s="928"/>
      <c r="DE9" s="928"/>
      <c r="DF9" s="928"/>
      <c r="DG9" s="928"/>
      <c r="DH9" s="928"/>
    </row>
    <row r="10" spans="1:112">
      <c r="A10" s="891" t="s">
        <v>784</v>
      </c>
      <c r="B10" s="891" t="s">
        <v>1454</v>
      </c>
      <c r="C10" s="891" t="s">
        <v>203</v>
      </c>
      <c r="D10" s="891" t="s">
        <v>784</v>
      </c>
      <c r="E10" s="891" t="s">
        <v>1454</v>
      </c>
      <c r="F10" s="891" t="s">
        <v>203</v>
      </c>
      <c r="G10" s="897">
        <v>84.92</v>
      </c>
      <c r="H10" s="897">
        <v>57.98</v>
      </c>
      <c r="I10" s="897">
        <v>150.69999999999999</v>
      </c>
      <c r="J10" s="891"/>
      <c r="K10" s="891"/>
      <c r="L10" s="891"/>
      <c r="M10" s="891"/>
      <c r="N10" s="891"/>
      <c r="O10" s="891"/>
      <c r="P10" s="891"/>
      <c r="Q10" s="891"/>
      <c r="R10" s="891"/>
      <c r="S10" s="891"/>
      <c r="T10" s="891"/>
      <c r="U10" s="928"/>
      <c r="V10" s="928"/>
      <c r="W10" s="928"/>
      <c r="X10" s="928"/>
      <c r="Y10" s="928"/>
      <c r="Z10" s="928"/>
      <c r="AA10" s="928"/>
      <c r="AB10" s="928"/>
      <c r="AC10" s="928"/>
      <c r="AD10" s="928"/>
      <c r="AE10" s="928"/>
      <c r="AF10" s="928"/>
      <c r="AG10" s="928"/>
      <c r="AH10" s="928"/>
      <c r="AI10" s="928"/>
      <c r="AJ10" s="928"/>
      <c r="AK10" s="928"/>
      <c r="AL10" s="928"/>
      <c r="AM10" s="928"/>
      <c r="AN10" s="928"/>
      <c r="AO10" s="928"/>
      <c r="AP10" s="928"/>
      <c r="AQ10" s="928"/>
      <c r="AR10" s="928"/>
      <c r="AS10" s="928"/>
      <c r="AT10" s="928"/>
      <c r="AU10" s="928"/>
      <c r="AV10" s="928"/>
      <c r="AW10" s="928"/>
      <c r="AX10" s="928"/>
      <c r="AY10" s="928"/>
      <c r="AZ10" s="928"/>
      <c r="BA10" s="928"/>
      <c r="BB10" s="928"/>
      <c r="BC10" s="928"/>
      <c r="BD10" s="928"/>
      <c r="BE10" s="928"/>
      <c r="BF10" s="928"/>
      <c r="BG10" s="928"/>
      <c r="BH10" s="928"/>
      <c r="BI10" s="928"/>
      <c r="BJ10" s="928"/>
      <c r="BK10" s="928"/>
      <c r="BL10" s="928"/>
      <c r="BM10" s="928"/>
      <c r="BN10" s="928"/>
      <c r="BO10" s="928"/>
      <c r="BP10" s="928"/>
      <c r="BQ10" s="928"/>
      <c r="BR10" s="928"/>
      <c r="BS10" s="928"/>
      <c r="BT10" s="928"/>
      <c r="BU10" s="928"/>
      <c r="BV10" s="928"/>
      <c r="BW10" s="928"/>
      <c r="BX10" s="928"/>
      <c r="BY10" s="928"/>
      <c r="BZ10" s="928"/>
      <c r="CA10" s="928"/>
      <c r="CB10" s="928"/>
      <c r="CC10" s="928"/>
      <c r="CD10" s="928"/>
      <c r="CE10" s="928"/>
      <c r="CF10" s="928"/>
      <c r="CG10" s="928"/>
      <c r="CH10" s="928"/>
      <c r="CI10" s="928"/>
      <c r="CJ10" s="928"/>
      <c r="CK10" s="928"/>
      <c r="CL10" s="928"/>
      <c r="CM10" s="928"/>
      <c r="CN10" s="928"/>
      <c r="CO10" s="928"/>
      <c r="CP10" s="928"/>
      <c r="CQ10" s="928"/>
      <c r="CR10" s="928"/>
      <c r="CS10" s="928"/>
      <c r="CT10" s="928"/>
      <c r="CU10" s="928"/>
      <c r="CV10" s="928"/>
      <c r="CW10" s="928"/>
      <c r="CX10" s="928"/>
      <c r="CY10" s="928"/>
      <c r="CZ10" s="928"/>
      <c r="DA10" s="928"/>
      <c r="DB10" s="928"/>
      <c r="DC10" s="928"/>
      <c r="DD10" s="928"/>
      <c r="DE10" s="928"/>
      <c r="DF10" s="928"/>
      <c r="DG10" s="928"/>
      <c r="DH10" s="928"/>
    </row>
    <row r="11" spans="1:112">
      <c r="A11" s="891" t="s">
        <v>785</v>
      </c>
      <c r="B11" s="891" t="s">
        <v>1455</v>
      </c>
      <c r="C11" s="891" t="s">
        <v>368</v>
      </c>
      <c r="D11" s="891" t="s">
        <v>785</v>
      </c>
      <c r="E11" s="891" t="s">
        <v>1455</v>
      </c>
      <c r="F11" s="891" t="s">
        <v>368</v>
      </c>
      <c r="G11" s="897">
        <v>38.86</v>
      </c>
      <c r="H11" s="897">
        <v>30.55</v>
      </c>
      <c r="I11" s="897">
        <v>17.89</v>
      </c>
      <c r="J11" s="891"/>
      <c r="K11" s="891"/>
      <c r="L11" s="891"/>
      <c r="M11" s="891"/>
      <c r="N11" s="891"/>
      <c r="O11" s="891"/>
      <c r="P11" s="891"/>
      <c r="Q11" s="891"/>
      <c r="R11" s="891"/>
      <c r="S11" s="891"/>
      <c r="T11" s="891"/>
      <c r="U11" s="928"/>
      <c r="V11" s="928"/>
      <c r="W11" s="928"/>
      <c r="X11" s="928"/>
      <c r="Y11" s="928"/>
      <c r="Z11" s="928"/>
      <c r="AA11" s="928"/>
      <c r="AB11" s="928"/>
      <c r="AC11" s="928"/>
      <c r="AD11" s="928"/>
      <c r="AE11" s="928"/>
      <c r="AF11" s="928"/>
      <c r="AG11" s="928"/>
      <c r="AH11" s="928"/>
      <c r="AI11" s="928"/>
      <c r="AJ11" s="928"/>
      <c r="AK11" s="928"/>
      <c r="AL11" s="928"/>
      <c r="AM11" s="928"/>
      <c r="AN11" s="928"/>
      <c r="AO11" s="928"/>
      <c r="AP11" s="928"/>
      <c r="AQ11" s="928"/>
      <c r="AR11" s="928"/>
      <c r="AS11" s="928"/>
      <c r="AT11" s="928"/>
      <c r="AU11" s="928"/>
      <c r="AV11" s="928"/>
      <c r="AW11" s="928"/>
      <c r="AX11" s="928"/>
      <c r="AY11" s="928"/>
      <c r="AZ11" s="928"/>
      <c r="BA11" s="928"/>
      <c r="BB11" s="928"/>
      <c r="BC11" s="928"/>
      <c r="BD11" s="928"/>
      <c r="BE11" s="928"/>
      <c r="BF11" s="928"/>
      <c r="BG11" s="928"/>
      <c r="BH11" s="928"/>
      <c r="BI11" s="928"/>
      <c r="BJ11" s="928"/>
      <c r="BK11" s="928"/>
      <c r="BL11" s="928"/>
      <c r="BM11" s="928"/>
      <c r="BN11" s="928"/>
      <c r="BO11" s="928"/>
      <c r="BP11" s="928"/>
      <c r="BQ11" s="928"/>
      <c r="BR11" s="928"/>
      <c r="BS11" s="928"/>
      <c r="BT11" s="928"/>
      <c r="BU11" s="928"/>
      <c r="BV11" s="928"/>
      <c r="BW11" s="928"/>
      <c r="BX11" s="928"/>
      <c r="BY11" s="928"/>
      <c r="BZ11" s="928"/>
      <c r="CA11" s="928"/>
      <c r="CB11" s="928"/>
      <c r="CC11" s="928"/>
      <c r="CD11" s="928"/>
      <c r="CE11" s="928"/>
      <c r="CF11" s="928"/>
      <c r="CG11" s="928"/>
      <c r="CH11" s="928"/>
      <c r="CI11" s="928"/>
      <c r="CJ11" s="928"/>
      <c r="CK11" s="928"/>
      <c r="CL11" s="928"/>
      <c r="CM11" s="928"/>
      <c r="CN11" s="928"/>
      <c r="CO11" s="928"/>
      <c r="CP11" s="928"/>
      <c r="CQ11" s="928"/>
      <c r="CR11" s="928"/>
      <c r="CS11" s="928"/>
      <c r="CT11" s="928"/>
      <c r="CU11" s="928"/>
      <c r="CV11" s="928"/>
      <c r="CW11" s="928"/>
      <c r="CX11" s="928"/>
      <c r="CY11" s="928"/>
      <c r="CZ11" s="928"/>
      <c r="DA11" s="928"/>
      <c r="DB11" s="928"/>
      <c r="DC11" s="928"/>
      <c r="DD11" s="928"/>
      <c r="DE11" s="928"/>
      <c r="DF11" s="928"/>
      <c r="DG11" s="928"/>
      <c r="DH11" s="928"/>
    </row>
    <row r="12" spans="1:112">
      <c r="A12" s="891" t="s">
        <v>786</v>
      </c>
      <c r="B12" s="891" t="s">
        <v>1456</v>
      </c>
      <c r="C12" s="891" t="s">
        <v>370</v>
      </c>
      <c r="D12" s="891" t="s">
        <v>786</v>
      </c>
      <c r="E12" s="891" t="s">
        <v>1456</v>
      </c>
      <c r="F12" s="891" t="s">
        <v>370</v>
      </c>
      <c r="G12" s="897">
        <v>38.93</v>
      </c>
      <c r="H12" s="897">
        <v>28.11</v>
      </c>
      <c r="I12" s="897">
        <v>28.07</v>
      </c>
      <c r="J12" s="891"/>
      <c r="K12" s="891"/>
      <c r="L12" s="891"/>
      <c r="M12" s="891"/>
      <c r="N12" s="891"/>
      <c r="O12" s="891"/>
      <c r="P12" s="891"/>
      <c r="Q12" s="891"/>
      <c r="R12" s="891"/>
      <c r="S12" s="891"/>
      <c r="T12" s="891"/>
      <c r="U12" s="928"/>
      <c r="V12" s="928"/>
      <c r="W12" s="928"/>
      <c r="X12" s="928"/>
      <c r="Y12" s="928"/>
      <c r="Z12" s="928"/>
      <c r="AA12" s="928"/>
      <c r="AB12" s="928"/>
      <c r="AC12" s="928"/>
      <c r="AD12" s="928"/>
      <c r="AE12" s="928"/>
      <c r="AF12" s="928"/>
      <c r="AG12" s="928"/>
      <c r="AH12" s="928"/>
      <c r="AI12" s="928"/>
      <c r="AJ12" s="928"/>
      <c r="AK12" s="928"/>
      <c r="AL12" s="928"/>
      <c r="AM12" s="928"/>
      <c r="AN12" s="928"/>
      <c r="AO12" s="928"/>
      <c r="AP12" s="928"/>
      <c r="AQ12" s="928"/>
      <c r="AR12" s="928"/>
      <c r="AS12" s="928"/>
      <c r="AT12" s="928"/>
      <c r="AU12" s="928"/>
      <c r="AV12" s="928"/>
      <c r="AW12" s="928"/>
      <c r="AX12" s="928"/>
      <c r="AY12" s="928"/>
      <c r="AZ12" s="928"/>
      <c r="BA12" s="928"/>
      <c r="BB12" s="928"/>
      <c r="BC12" s="928"/>
      <c r="BD12" s="928"/>
      <c r="BE12" s="928"/>
      <c r="BF12" s="928"/>
      <c r="BG12" s="928"/>
      <c r="BH12" s="928"/>
      <c r="BI12" s="928"/>
      <c r="BJ12" s="928"/>
      <c r="BK12" s="928"/>
      <c r="BL12" s="928"/>
      <c r="BM12" s="928"/>
      <c r="BN12" s="928"/>
      <c r="BO12" s="928"/>
      <c r="BP12" s="928"/>
      <c r="BQ12" s="928"/>
      <c r="BR12" s="928"/>
      <c r="BS12" s="928"/>
      <c r="BT12" s="928"/>
      <c r="BU12" s="928"/>
      <c r="BV12" s="928"/>
      <c r="BW12" s="928"/>
      <c r="BX12" s="928"/>
      <c r="BY12" s="928"/>
      <c r="BZ12" s="928"/>
      <c r="CA12" s="928"/>
      <c r="CB12" s="928"/>
      <c r="CC12" s="928"/>
      <c r="CD12" s="928"/>
      <c r="CE12" s="928"/>
      <c r="CF12" s="928"/>
      <c r="CG12" s="928"/>
      <c r="CH12" s="928"/>
      <c r="CI12" s="928"/>
      <c r="CJ12" s="928"/>
      <c r="CK12" s="928"/>
      <c r="CL12" s="928"/>
      <c r="CM12" s="928"/>
      <c r="CN12" s="928"/>
      <c r="CO12" s="928"/>
      <c r="CP12" s="928"/>
      <c r="CQ12" s="928"/>
      <c r="CR12" s="928"/>
      <c r="CS12" s="928"/>
      <c r="CT12" s="928"/>
      <c r="CU12" s="928"/>
      <c r="CV12" s="928"/>
      <c r="CW12" s="928"/>
      <c r="CX12" s="928"/>
      <c r="CY12" s="928"/>
      <c r="CZ12" s="928"/>
      <c r="DA12" s="928"/>
      <c r="DB12" s="928"/>
      <c r="DC12" s="928"/>
      <c r="DD12" s="928"/>
      <c r="DE12" s="928"/>
      <c r="DF12" s="928"/>
      <c r="DG12" s="928"/>
      <c r="DH12" s="928"/>
    </row>
    <row r="13" spans="1:112">
      <c r="A13" s="891" t="s">
        <v>787</v>
      </c>
      <c r="B13" s="891" t="s">
        <v>1457</v>
      </c>
      <c r="C13" s="891" t="s">
        <v>187</v>
      </c>
      <c r="D13" s="891" t="s">
        <v>787</v>
      </c>
      <c r="E13" s="891" t="s">
        <v>1457</v>
      </c>
      <c r="F13" s="891" t="s">
        <v>187</v>
      </c>
      <c r="G13" s="897">
        <v>67.66</v>
      </c>
      <c r="H13" s="897">
        <v>65.06</v>
      </c>
      <c r="I13" s="897">
        <v>61.73</v>
      </c>
      <c r="J13" s="891"/>
      <c r="K13" s="891"/>
      <c r="L13" s="891"/>
      <c r="M13" s="891"/>
      <c r="N13" s="891"/>
      <c r="O13" s="891"/>
      <c r="P13" s="891"/>
      <c r="Q13" s="891"/>
      <c r="R13" s="891"/>
      <c r="S13" s="891"/>
      <c r="T13" s="891"/>
      <c r="U13" s="928"/>
      <c r="V13" s="928"/>
      <c r="W13" s="928"/>
      <c r="X13" s="928"/>
      <c r="Y13" s="928"/>
      <c r="Z13" s="928"/>
      <c r="AA13" s="928"/>
      <c r="AB13" s="928"/>
      <c r="AC13" s="928"/>
      <c r="AD13" s="928"/>
      <c r="AE13" s="928"/>
      <c r="AF13" s="928"/>
      <c r="AG13" s="928"/>
      <c r="AH13" s="928"/>
      <c r="AI13" s="928"/>
      <c r="AJ13" s="928"/>
      <c r="AK13" s="928"/>
      <c r="AL13" s="928"/>
      <c r="AM13" s="928"/>
      <c r="AN13" s="928"/>
      <c r="AO13" s="928"/>
      <c r="AP13" s="928"/>
      <c r="AQ13" s="928"/>
      <c r="AR13" s="928"/>
      <c r="AS13" s="928"/>
      <c r="AT13" s="928"/>
      <c r="AU13" s="928"/>
      <c r="AV13" s="928"/>
      <c r="AW13" s="928"/>
      <c r="AX13" s="928"/>
      <c r="AY13" s="928"/>
      <c r="AZ13" s="928"/>
      <c r="BA13" s="928"/>
      <c r="BB13" s="928"/>
      <c r="BC13" s="928"/>
      <c r="BD13" s="928"/>
      <c r="BE13" s="928"/>
      <c r="BF13" s="928"/>
      <c r="BG13" s="928"/>
      <c r="BH13" s="928"/>
      <c r="BI13" s="928"/>
      <c r="BJ13" s="928"/>
      <c r="BK13" s="928"/>
      <c r="BL13" s="928"/>
      <c r="BM13" s="928"/>
      <c r="BN13" s="928"/>
      <c r="BO13" s="928"/>
      <c r="BP13" s="928"/>
      <c r="BQ13" s="928"/>
      <c r="BR13" s="928"/>
      <c r="BS13" s="928"/>
      <c r="BT13" s="928"/>
      <c r="BU13" s="928"/>
      <c r="BV13" s="928"/>
      <c r="BW13" s="928"/>
      <c r="BX13" s="928"/>
      <c r="BY13" s="928"/>
      <c r="BZ13" s="928"/>
      <c r="CA13" s="928"/>
      <c r="CB13" s="928"/>
      <c r="CC13" s="928"/>
      <c r="CD13" s="928"/>
      <c r="CE13" s="928"/>
      <c r="CF13" s="928"/>
      <c r="CG13" s="928"/>
      <c r="CH13" s="928"/>
      <c r="CI13" s="928"/>
      <c r="CJ13" s="928"/>
      <c r="CK13" s="928"/>
      <c r="CL13" s="928"/>
      <c r="CM13" s="928"/>
      <c r="CN13" s="928"/>
      <c r="CO13" s="928"/>
      <c r="CP13" s="928"/>
      <c r="CQ13" s="928"/>
      <c r="CR13" s="928"/>
      <c r="CS13" s="928"/>
      <c r="CT13" s="928"/>
      <c r="CU13" s="928"/>
      <c r="CV13" s="928"/>
      <c r="CW13" s="928"/>
      <c r="CX13" s="928"/>
      <c r="CY13" s="928"/>
      <c r="CZ13" s="928"/>
      <c r="DA13" s="928"/>
      <c r="DB13" s="928"/>
      <c r="DC13" s="928"/>
      <c r="DD13" s="928"/>
      <c r="DE13" s="928"/>
      <c r="DF13" s="928"/>
      <c r="DG13" s="928"/>
      <c r="DH13" s="928"/>
    </row>
    <row r="14" spans="1:112">
      <c r="A14" s="891" t="s">
        <v>788</v>
      </c>
      <c r="B14" s="891" t="s">
        <v>1458</v>
      </c>
      <c r="C14" s="891" t="s">
        <v>227</v>
      </c>
      <c r="D14" s="891" t="s">
        <v>788</v>
      </c>
      <c r="E14" s="891" t="s">
        <v>1458</v>
      </c>
      <c r="F14" s="891" t="s">
        <v>227</v>
      </c>
      <c r="G14" s="897">
        <v>56.94</v>
      </c>
      <c r="H14" s="897">
        <v>71.17</v>
      </c>
      <c r="I14" s="897">
        <v>41.03</v>
      </c>
      <c r="J14" s="891"/>
      <c r="K14" s="891"/>
      <c r="L14" s="891"/>
      <c r="M14" s="891"/>
      <c r="N14" s="891"/>
      <c r="O14" s="891"/>
      <c r="P14" s="891"/>
      <c r="Q14" s="891"/>
      <c r="R14" s="891"/>
      <c r="S14" s="891"/>
      <c r="T14" s="891"/>
      <c r="U14" s="928"/>
      <c r="V14" s="928"/>
      <c r="W14" s="928"/>
      <c r="X14" s="928"/>
      <c r="Y14" s="928"/>
      <c r="Z14" s="928"/>
      <c r="AA14" s="928"/>
      <c r="AB14" s="928"/>
      <c r="AC14" s="928"/>
      <c r="AD14" s="928"/>
      <c r="AE14" s="928"/>
      <c r="AF14" s="928"/>
      <c r="AG14" s="928"/>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28"/>
      <c r="BD14" s="928"/>
      <c r="BE14" s="928"/>
      <c r="BF14" s="928"/>
      <c r="BG14" s="928"/>
      <c r="BH14" s="928"/>
      <c r="BI14" s="928"/>
      <c r="BJ14" s="928"/>
      <c r="BK14" s="928"/>
      <c r="BL14" s="928"/>
      <c r="BM14" s="928"/>
      <c r="BN14" s="928"/>
      <c r="BO14" s="928"/>
      <c r="BP14" s="928"/>
      <c r="BQ14" s="928"/>
      <c r="BR14" s="928"/>
      <c r="BS14" s="928"/>
      <c r="BT14" s="928"/>
      <c r="BU14" s="928"/>
      <c r="BV14" s="928"/>
      <c r="BW14" s="928"/>
      <c r="BX14" s="928"/>
      <c r="BY14" s="928"/>
      <c r="BZ14" s="928"/>
      <c r="CA14" s="928"/>
      <c r="CB14" s="928"/>
      <c r="CC14" s="928"/>
      <c r="CD14" s="928"/>
      <c r="CE14" s="928"/>
      <c r="CF14" s="928"/>
      <c r="CG14" s="928"/>
      <c r="CH14" s="928"/>
      <c r="CI14" s="928"/>
      <c r="CJ14" s="928"/>
      <c r="CK14" s="928"/>
      <c r="CL14" s="928"/>
      <c r="CM14" s="928"/>
      <c r="CN14" s="928"/>
      <c r="CO14" s="928"/>
      <c r="CP14" s="928"/>
      <c r="CQ14" s="928"/>
      <c r="CR14" s="928"/>
      <c r="CS14" s="928"/>
      <c r="CT14" s="928"/>
      <c r="CU14" s="928"/>
      <c r="CV14" s="928"/>
      <c r="CW14" s="928"/>
      <c r="CX14" s="928"/>
      <c r="CY14" s="928"/>
      <c r="CZ14" s="928"/>
      <c r="DA14" s="928"/>
      <c r="DB14" s="928"/>
      <c r="DC14" s="928"/>
      <c r="DD14" s="928"/>
      <c r="DE14" s="928"/>
      <c r="DF14" s="928"/>
      <c r="DG14" s="928"/>
      <c r="DH14" s="928"/>
    </row>
    <row r="15" spans="1:112">
      <c r="A15" s="891" t="s">
        <v>789</v>
      </c>
      <c r="B15" s="891" t="s">
        <v>1459</v>
      </c>
      <c r="C15" s="891" t="s">
        <v>247</v>
      </c>
      <c r="D15" s="891" t="s">
        <v>789</v>
      </c>
      <c r="E15" s="891" t="s">
        <v>1459</v>
      </c>
      <c r="F15" s="891" t="s">
        <v>247</v>
      </c>
      <c r="G15" s="897">
        <v>55.4</v>
      </c>
      <c r="H15" s="897">
        <v>55.45</v>
      </c>
      <c r="I15" s="897">
        <v>43.57</v>
      </c>
      <c r="J15" s="891"/>
      <c r="K15" s="891"/>
      <c r="L15" s="891"/>
      <c r="M15" s="891"/>
      <c r="N15" s="891"/>
      <c r="O15" s="891"/>
      <c r="P15" s="891"/>
      <c r="Q15" s="891"/>
      <c r="R15" s="891"/>
      <c r="S15" s="891"/>
      <c r="T15" s="891"/>
      <c r="U15" s="928"/>
      <c r="V15" s="928"/>
      <c r="W15" s="928"/>
      <c r="X15" s="928"/>
      <c r="Y15" s="928"/>
      <c r="Z15" s="928"/>
      <c r="AA15" s="928"/>
      <c r="AB15" s="928"/>
      <c r="AC15" s="928"/>
      <c r="AD15" s="928"/>
      <c r="AE15" s="928"/>
      <c r="AF15" s="928"/>
      <c r="AG15" s="928"/>
      <c r="AH15" s="928"/>
      <c r="AI15" s="928"/>
      <c r="AJ15" s="928"/>
      <c r="AK15" s="928"/>
      <c r="AL15" s="928"/>
      <c r="AM15" s="928"/>
      <c r="AN15" s="928"/>
      <c r="AO15" s="928"/>
      <c r="AP15" s="928"/>
      <c r="AQ15" s="928"/>
      <c r="AR15" s="928"/>
      <c r="AS15" s="928"/>
      <c r="AT15" s="928"/>
      <c r="AU15" s="928"/>
      <c r="AV15" s="928"/>
      <c r="AW15" s="928"/>
      <c r="AX15" s="928"/>
      <c r="AY15" s="928"/>
      <c r="AZ15" s="928"/>
      <c r="BA15" s="928"/>
      <c r="BB15" s="928"/>
      <c r="BC15" s="928"/>
      <c r="BD15" s="928"/>
      <c r="BE15" s="928"/>
      <c r="BF15" s="928"/>
      <c r="BG15" s="928"/>
      <c r="BH15" s="928"/>
      <c r="BI15" s="928"/>
      <c r="BJ15" s="928"/>
      <c r="BK15" s="928"/>
      <c r="BL15" s="928"/>
      <c r="BM15" s="928"/>
      <c r="BN15" s="928"/>
      <c r="BO15" s="928"/>
      <c r="BP15" s="928"/>
      <c r="BQ15" s="928"/>
      <c r="BR15" s="928"/>
      <c r="BS15" s="928"/>
      <c r="BT15" s="928"/>
      <c r="BU15" s="928"/>
      <c r="BV15" s="928"/>
      <c r="BW15" s="928"/>
      <c r="BX15" s="928"/>
      <c r="BY15" s="928"/>
      <c r="BZ15" s="928"/>
      <c r="CA15" s="928"/>
      <c r="CB15" s="928"/>
      <c r="CC15" s="928"/>
      <c r="CD15" s="928"/>
      <c r="CE15" s="928"/>
      <c r="CF15" s="928"/>
      <c r="CG15" s="928"/>
      <c r="CH15" s="928"/>
      <c r="CI15" s="928"/>
      <c r="CJ15" s="928"/>
      <c r="CK15" s="928"/>
      <c r="CL15" s="928"/>
      <c r="CM15" s="928"/>
      <c r="CN15" s="928"/>
      <c r="CO15" s="928"/>
      <c r="CP15" s="928"/>
      <c r="CQ15" s="928"/>
      <c r="CR15" s="928"/>
      <c r="CS15" s="928"/>
      <c r="CT15" s="928"/>
      <c r="CU15" s="928"/>
      <c r="CV15" s="928"/>
      <c r="CW15" s="928"/>
      <c r="CX15" s="928"/>
      <c r="CY15" s="928"/>
      <c r="CZ15" s="928"/>
      <c r="DA15" s="928"/>
      <c r="DB15" s="928"/>
      <c r="DC15" s="928"/>
      <c r="DD15" s="928"/>
      <c r="DE15" s="928"/>
      <c r="DF15" s="928"/>
      <c r="DG15" s="928"/>
      <c r="DH15" s="928"/>
    </row>
    <row r="16" spans="1:112">
      <c r="A16" s="891" t="s">
        <v>790</v>
      </c>
      <c r="B16" s="891" t="s">
        <v>1460</v>
      </c>
      <c r="C16" s="891" t="s">
        <v>68</v>
      </c>
      <c r="D16" s="891" t="s">
        <v>790</v>
      </c>
      <c r="E16" s="891" t="s">
        <v>1460</v>
      </c>
      <c r="F16" s="891" t="s">
        <v>68</v>
      </c>
      <c r="G16" s="897">
        <v>82.22</v>
      </c>
      <c r="H16" s="897">
        <v>113.01</v>
      </c>
      <c r="I16" s="897">
        <v>85.95</v>
      </c>
      <c r="J16" s="891"/>
      <c r="K16" s="891"/>
      <c r="L16" s="891"/>
      <c r="M16" s="891"/>
      <c r="N16" s="891"/>
      <c r="O16" s="891"/>
      <c r="P16" s="891"/>
      <c r="Q16" s="891"/>
      <c r="R16" s="891"/>
      <c r="S16" s="891"/>
      <c r="T16" s="891"/>
      <c r="U16" s="928"/>
      <c r="V16" s="928"/>
      <c r="W16" s="928"/>
      <c r="X16" s="928"/>
      <c r="Y16" s="928"/>
      <c r="Z16" s="928"/>
      <c r="AA16" s="928"/>
      <c r="AB16" s="928"/>
      <c r="AC16" s="928"/>
      <c r="AD16" s="928"/>
      <c r="AE16" s="928"/>
      <c r="AF16" s="928"/>
      <c r="AG16" s="928"/>
      <c r="AH16" s="928"/>
      <c r="AI16" s="928"/>
      <c r="AJ16" s="928"/>
      <c r="AK16" s="928"/>
      <c r="AL16" s="928"/>
      <c r="AM16" s="928"/>
      <c r="AN16" s="928"/>
      <c r="AO16" s="928"/>
      <c r="AP16" s="928"/>
      <c r="AQ16" s="928"/>
      <c r="AR16" s="928"/>
      <c r="AS16" s="928"/>
      <c r="AT16" s="928"/>
      <c r="AU16" s="928"/>
      <c r="AV16" s="928"/>
      <c r="AW16" s="928"/>
      <c r="AX16" s="928"/>
      <c r="AY16" s="928"/>
      <c r="AZ16" s="928"/>
      <c r="BA16" s="928"/>
      <c r="BB16" s="928"/>
      <c r="BC16" s="928"/>
      <c r="BD16" s="928"/>
      <c r="BE16" s="928"/>
      <c r="BF16" s="928"/>
      <c r="BG16" s="928"/>
      <c r="BH16" s="928"/>
      <c r="BI16" s="928"/>
      <c r="BJ16" s="928"/>
      <c r="BK16" s="928"/>
      <c r="BL16" s="928"/>
      <c r="BM16" s="928"/>
      <c r="BN16" s="928"/>
      <c r="BO16" s="928"/>
      <c r="BP16" s="928"/>
      <c r="BQ16" s="928"/>
      <c r="BR16" s="928"/>
      <c r="BS16" s="928"/>
      <c r="BT16" s="928"/>
      <c r="BU16" s="928"/>
      <c r="BV16" s="928"/>
      <c r="BW16" s="928"/>
      <c r="BX16" s="928"/>
      <c r="BY16" s="928"/>
      <c r="BZ16" s="928"/>
      <c r="CA16" s="928"/>
      <c r="CB16" s="928"/>
      <c r="CC16" s="928"/>
      <c r="CD16" s="928"/>
      <c r="CE16" s="928"/>
      <c r="CF16" s="928"/>
      <c r="CG16" s="928"/>
      <c r="CH16" s="928"/>
      <c r="CI16" s="928"/>
      <c r="CJ16" s="928"/>
      <c r="CK16" s="928"/>
      <c r="CL16" s="928"/>
      <c r="CM16" s="928"/>
      <c r="CN16" s="928"/>
      <c r="CO16" s="928"/>
      <c r="CP16" s="928"/>
      <c r="CQ16" s="928"/>
      <c r="CR16" s="928"/>
      <c r="CS16" s="928"/>
      <c r="CT16" s="928"/>
      <c r="CU16" s="928"/>
      <c r="CV16" s="928"/>
      <c r="CW16" s="928"/>
      <c r="CX16" s="928"/>
      <c r="CY16" s="928"/>
      <c r="CZ16" s="928"/>
      <c r="DA16" s="928"/>
      <c r="DB16" s="928"/>
      <c r="DC16" s="928"/>
      <c r="DD16" s="928"/>
      <c r="DE16" s="928"/>
      <c r="DF16" s="928"/>
      <c r="DG16" s="928"/>
      <c r="DH16" s="928"/>
    </row>
    <row r="17" spans="1:112">
      <c r="A17" s="891" t="s">
        <v>791</v>
      </c>
      <c r="B17" s="891" t="s">
        <v>1454</v>
      </c>
      <c r="C17" s="891" t="s">
        <v>78</v>
      </c>
      <c r="D17" s="891" t="s">
        <v>791</v>
      </c>
      <c r="E17" s="891" t="s">
        <v>1454</v>
      </c>
      <c r="F17" s="891" t="s">
        <v>78</v>
      </c>
      <c r="G17" s="897">
        <v>106.8</v>
      </c>
      <c r="H17" s="897">
        <v>83.53</v>
      </c>
      <c r="I17" s="897">
        <v>167.41</v>
      </c>
      <c r="J17" s="891"/>
      <c r="K17" s="891"/>
      <c r="L17" s="891"/>
      <c r="M17" s="891"/>
      <c r="N17" s="891"/>
      <c r="O17" s="891"/>
      <c r="P17" s="891"/>
      <c r="Q17" s="891"/>
      <c r="R17" s="891"/>
      <c r="S17" s="891"/>
      <c r="T17" s="891"/>
      <c r="U17" s="928"/>
      <c r="V17" s="928"/>
      <c r="W17" s="928"/>
      <c r="X17" s="928"/>
      <c r="Y17" s="928"/>
      <c r="Z17" s="928"/>
      <c r="AA17" s="928"/>
      <c r="AB17" s="928"/>
      <c r="AC17" s="928"/>
      <c r="AD17" s="928"/>
      <c r="AE17" s="928"/>
      <c r="AF17" s="928"/>
      <c r="AG17" s="928"/>
      <c r="AH17" s="928"/>
      <c r="AI17" s="928"/>
      <c r="AJ17" s="928"/>
      <c r="AK17" s="928"/>
      <c r="AL17" s="928"/>
      <c r="AM17" s="928"/>
      <c r="AN17" s="928"/>
      <c r="AO17" s="928"/>
      <c r="AP17" s="928"/>
      <c r="AQ17" s="928"/>
      <c r="AR17" s="928"/>
      <c r="AS17" s="928"/>
      <c r="AT17" s="928"/>
      <c r="AU17" s="928"/>
      <c r="AV17" s="928"/>
      <c r="AW17" s="928"/>
      <c r="AX17" s="928"/>
      <c r="AY17" s="928"/>
      <c r="AZ17" s="928"/>
      <c r="BA17" s="928"/>
      <c r="BB17" s="928"/>
      <c r="BC17" s="928"/>
      <c r="BD17" s="928"/>
      <c r="BE17" s="928"/>
      <c r="BF17" s="928"/>
      <c r="BG17" s="928"/>
      <c r="BH17" s="928"/>
      <c r="BI17" s="928"/>
      <c r="BJ17" s="928"/>
      <c r="BK17" s="928"/>
      <c r="BL17" s="928"/>
      <c r="BM17" s="928"/>
      <c r="BN17" s="928"/>
      <c r="BO17" s="928"/>
      <c r="BP17" s="928"/>
      <c r="BQ17" s="928"/>
      <c r="BR17" s="928"/>
      <c r="BS17" s="928"/>
      <c r="BT17" s="928"/>
      <c r="BU17" s="928"/>
      <c r="BV17" s="928"/>
      <c r="BW17" s="928"/>
      <c r="BX17" s="928"/>
      <c r="BY17" s="928"/>
      <c r="BZ17" s="928"/>
      <c r="CA17" s="928"/>
      <c r="CB17" s="928"/>
      <c r="CC17" s="928"/>
      <c r="CD17" s="928"/>
      <c r="CE17" s="928"/>
      <c r="CF17" s="928"/>
      <c r="CG17" s="928"/>
      <c r="CH17" s="928"/>
      <c r="CI17" s="928"/>
      <c r="CJ17" s="928"/>
      <c r="CK17" s="928"/>
      <c r="CL17" s="928"/>
      <c r="CM17" s="928"/>
      <c r="CN17" s="928"/>
      <c r="CO17" s="928"/>
      <c r="CP17" s="928"/>
      <c r="CQ17" s="928"/>
      <c r="CR17" s="928"/>
      <c r="CS17" s="928"/>
      <c r="CT17" s="928"/>
      <c r="CU17" s="928"/>
      <c r="CV17" s="928"/>
      <c r="CW17" s="928"/>
      <c r="CX17" s="928"/>
      <c r="CY17" s="928"/>
      <c r="CZ17" s="928"/>
      <c r="DA17" s="928"/>
      <c r="DB17" s="928"/>
      <c r="DC17" s="928"/>
      <c r="DD17" s="928"/>
      <c r="DE17" s="928"/>
      <c r="DF17" s="928"/>
      <c r="DG17" s="928"/>
      <c r="DH17" s="928"/>
    </row>
    <row r="18" spans="1:112">
      <c r="A18" s="891" t="s">
        <v>792</v>
      </c>
      <c r="B18" s="891" t="s">
        <v>1461</v>
      </c>
      <c r="C18" s="891" t="s">
        <v>300</v>
      </c>
      <c r="D18" s="891" t="s">
        <v>792</v>
      </c>
      <c r="E18" s="891" t="s">
        <v>1461</v>
      </c>
      <c r="F18" s="891" t="s">
        <v>300</v>
      </c>
      <c r="G18" s="897">
        <v>44.24</v>
      </c>
      <c r="H18" s="897">
        <v>40.67</v>
      </c>
      <c r="I18" s="897">
        <v>70.45</v>
      </c>
      <c r="J18" s="891"/>
      <c r="K18" s="891"/>
      <c r="L18" s="891"/>
      <c r="M18" s="891"/>
      <c r="N18" s="891"/>
      <c r="O18" s="891"/>
      <c r="P18" s="891"/>
      <c r="Q18" s="891"/>
      <c r="R18" s="891"/>
      <c r="S18" s="891"/>
      <c r="T18" s="891"/>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928"/>
      <c r="AS18" s="928"/>
      <c r="AT18" s="928"/>
      <c r="AU18" s="928"/>
      <c r="AV18" s="928"/>
      <c r="AW18" s="928"/>
      <c r="AX18" s="928"/>
      <c r="AY18" s="928"/>
      <c r="AZ18" s="928"/>
      <c r="BA18" s="928"/>
      <c r="BB18" s="928"/>
      <c r="BC18" s="928"/>
      <c r="BD18" s="928"/>
      <c r="BE18" s="928"/>
      <c r="BF18" s="928"/>
      <c r="BG18" s="928"/>
      <c r="BH18" s="928"/>
      <c r="BI18" s="928"/>
      <c r="BJ18" s="928"/>
      <c r="BK18" s="928"/>
      <c r="BL18" s="928"/>
      <c r="BM18" s="928"/>
      <c r="BN18" s="928"/>
      <c r="BO18" s="928"/>
      <c r="BP18" s="928"/>
      <c r="BQ18" s="928"/>
      <c r="BR18" s="928"/>
      <c r="BS18" s="928"/>
      <c r="BT18" s="928"/>
      <c r="BU18" s="928"/>
      <c r="BV18" s="928"/>
      <c r="BW18" s="928"/>
      <c r="BX18" s="928"/>
      <c r="BY18" s="928"/>
      <c r="BZ18" s="928"/>
      <c r="CA18" s="928"/>
      <c r="CB18" s="928"/>
      <c r="CC18" s="928"/>
      <c r="CD18" s="928"/>
      <c r="CE18" s="928"/>
      <c r="CF18" s="928"/>
      <c r="CG18" s="928"/>
      <c r="CH18" s="928"/>
      <c r="CI18" s="928"/>
      <c r="CJ18" s="928"/>
      <c r="CK18" s="928"/>
      <c r="CL18" s="928"/>
      <c r="CM18" s="928"/>
      <c r="CN18" s="928"/>
      <c r="CO18" s="928"/>
      <c r="CP18" s="928"/>
      <c r="CQ18" s="928"/>
      <c r="CR18" s="928"/>
      <c r="CS18" s="928"/>
      <c r="CT18" s="928"/>
      <c r="CU18" s="928"/>
      <c r="CV18" s="928"/>
      <c r="CW18" s="928"/>
      <c r="CX18" s="928"/>
      <c r="CY18" s="928"/>
      <c r="CZ18" s="928"/>
      <c r="DA18" s="928"/>
      <c r="DB18" s="928"/>
      <c r="DC18" s="928"/>
      <c r="DD18" s="928"/>
      <c r="DE18" s="928"/>
      <c r="DF18" s="928"/>
      <c r="DG18" s="928"/>
      <c r="DH18" s="928"/>
    </row>
    <row r="19" spans="1:112">
      <c r="A19" s="891" t="s">
        <v>794</v>
      </c>
      <c r="B19" s="891" t="s">
        <v>1462</v>
      </c>
      <c r="C19" s="891" t="s">
        <v>91</v>
      </c>
      <c r="D19" s="891" t="s">
        <v>794</v>
      </c>
      <c r="E19" s="891" t="s">
        <v>1462</v>
      </c>
      <c r="F19" s="891" t="s">
        <v>91</v>
      </c>
      <c r="G19" s="897">
        <v>43.73</v>
      </c>
      <c r="H19" s="897">
        <v>42.39</v>
      </c>
      <c r="I19" s="897">
        <v>48.22</v>
      </c>
      <c r="J19" s="891"/>
      <c r="K19" s="891"/>
      <c r="L19" s="891"/>
      <c r="M19" s="891"/>
      <c r="N19" s="891"/>
      <c r="O19" s="891"/>
      <c r="P19" s="891"/>
      <c r="Q19" s="891"/>
      <c r="R19" s="891"/>
      <c r="S19" s="891"/>
      <c r="T19" s="891"/>
      <c r="U19" s="928"/>
      <c r="V19" s="928"/>
      <c r="W19" s="928"/>
      <c r="X19" s="928"/>
      <c r="Y19" s="928"/>
      <c r="Z19" s="928"/>
      <c r="AA19" s="928"/>
      <c r="AB19" s="928"/>
      <c r="AC19" s="928"/>
      <c r="AD19" s="928"/>
      <c r="AE19" s="928"/>
      <c r="AF19" s="928"/>
      <c r="AG19" s="928"/>
      <c r="AH19" s="928"/>
      <c r="AI19" s="928"/>
      <c r="AJ19" s="928"/>
      <c r="AK19" s="928"/>
      <c r="AL19" s="928"/>
      <c r="AM19" s="928"/>
      <c r="AN19" s="928"/>
      <c r="AO19" s="928"/>
      <c r="AP19" s="928"/>
      <c r="AQ19" s="928"/>
      <c r="AR19" s="928"/>
      <c r="AS19" s="928"/>
      <c r="AT19" s="928"/>
      <c r="AU19" s="928"/>
      <c r="AV19" s="928"/>
      <c r="AW19" s="928"/>
      <c r="AX19" s="928"/>
      <c r="AY19" s="928"/>
      <c r="AZ19" s="928"/>
      <c r="BA19" s="928"/>
      <c r="BB19" s="928"/>
      <c r="BC19" s="928"/>
      <c r="BD19" s="928"/>
      <c r="BE19" s="928"/>
      <c r="BF19" s="928"/>
      <c r="BG19" s="928"/>
      <c r="BH19" s="928"/>
      <c r="BI19" s="928"/>
      <c r="BJ19" s="928"/>
      <c r="BK19" s="928"/>
      <c r="BL19" s="928"/>
      <c r="BM19" s="928"/>
      <c r="BN19" s="928"/>
      <c r="BO19" s="928"/>
      <c r="BP19" s="928"/>
      <c r="BQ19" s="928"/>
      <c r="BR19" s="928"/>
      <c r="BS19" s="928"/>
      <c r="BT19" s="928"/>
      <c r="BU19" s="928"/>
      <c r="BV19" s="928"/>
      <c r="BW19" s="928"/>
      <c r="BX19" s="928"/>
      <c r="BY19" s="928"/>
      <c r="BZ19" s="928"/>
      <c r="CA19" s="928"/>
      <c r="CB19" s="928"/>
      <c r="CC19" s="928"/>
      <c r="CD19" s="928"/>
      <c r="CE19" s="928"/>
      <c r="CF19" s="928"/>
      <c r="CG19" s="928"/>
      <c r="CH19" s="928"/>
      <c r="CI19" s="928"/>
      <c r="CJ19" s="928"/>
      <c r="CK19" s="928"/>
      <c r="CL19" s="928"/>
      <c r="CM19" s="928"/>
      <c r="CN19" s="928"/>
      <c r="CO19" s="928"/>
      <c r="CP19" s="928"/>
      <c r="CQ19" s="928"/>
      <c r="CR19" s="928"/>
      <c r="CS19" s="928"/>
      <c r="CT19" s="928"/>
      <c r="CU19" s="928"/>
      <c r="CV19" s="928"/>
      <c r="CW19" s="928"/>
      <c r="CX19" s="928"/>
      <c r="CY19" s="928"/>
      <c r="CZ19" s="928"/>
      <c r="DA19" s="928"/>
      <c r="DB19" s="928"/>
      <c r="DC19" s="928"/>
      <c r="DD19" s="928"/>
      <c r="DE19" s="928"/>
      <c r="DF19" s="928"/>
      <c r="DG19" s="928"/>
      <c r="DH19" s="928"/>
    </row>
    <row r="20" spans="1:112">
      <c r="A20" s="891" t="s">
        <v>795</v>
      </c>
      <c r="B20" s="891" t="s">
        <v>1446</v>
      </c>
      <c r="C20" s="891" t="s">
        <v>14</v>
      </c>
      <c r="D20" s="891" t="s">
        <v>795</v>
      </c>
      <c r="E20" s="891" t="s">
        <v>1446</v>
      </c>
      <c r="F20" s="891" t="s">
        <v>14</v>
      </c>
      <c r="G20" s="897">
        <v>89.13</v>
      </c>
      <c r="H20" s="897">
        <v>108.26</v>
      </c>
      <c r="I20" s="897">
        <v>81.67</v>
      </c>
      <c r="J20" s="891"/>
      <c r="K20" s="891"/>
      <c r="L20" s="891"/>
      <c r="M20" s="891"/>
      <c r="N20" s="891"/>
      <c r="O20" s="891"/>
      <c r="P20" s="891"/>
      <c r="Q20" s="891"/>
      <c r="R20" s="891"/>
      <c r="S20" s="891"/>
      <c r="T20" s="891"/>
      <c r="U20" s="928"/>
      <c r="V20" s="928"/>
      <c r="W20" s="928"/>
      <c r="X20" s="928"/>
      <c r="Y20" s="928"/>
      <c r="Z20" s="928"/>
      <c r="AA20" s="928"/>
      <c r="AB20" s="928"/>
      <c r="AC20" s="928"/>
      <c r="AD20" s="928"/>
      <c r="AE20" s="928"/>
      <c r="AF20" s="928"/>
      <c r="AG20" s="928"/>
      <c r="AH20" s="928"/>
      <c r="AI20" s="928"/>
      <c r="AJ20" s="928"/>
      <c r="AK20" s="928"/>
      <c r="AL20" s="928"/>
      <c r="AM20" s="928"/>
      <c r="AN20" s="928"/>
      <c r="AO20" s="928"/>
      <c r="AP20" s="928"/>
      <c r="AQ20" s="928"/>
      <c r="AR20" s="928"/>
      <c r="AS20" s="928"/>
      <c r="AT20" s="928"/>
      <c r="AU20" s="928"/>
      <c r="AV20" s="928"/>
      <c r="AW20" s="928"/>
      <c r="AX20" s="928"/>
      <c r="AY20" s="928"/>
      <c r="AZ20" s="928"/>
      <c r="BA20" s="928"/>
      <c r="BB20" s="928"/>
      <c r="BC20" s="928"/>
      <c r="BD20" s="928"/>
      <c r="BE20" s="928"/>
      <c r="BF20" s="928"/>
      <c r="BG20" s="928"/>
      <c r="BH20" s="928"/>
      <c r="BI20" s="928"/>
      <c r="BJ20" s="928"/>
      <c r="BK20" s="928"/>
      <c r="BL20" s="928"/>
      <c r="BM20" s="928"/>
      <c r="BN20" s="928"/>
      <c r="BO20" s="928"/>
      <c r="BP20" s="928"/>
      <c r="BQ20" s="928"/>
      <c r="BR20" s="928"/>
      <c r="BS20" s="928"/>
      <c r="BT20" s="928"/>
      <c r="BU20" s="928"/>
      <c r="BV20" s="928"/>
      <c r="BW20" s="928"/>
      <c r="BX20" s="928"/>
      <c r="BY20" s="928"/>
      <c r="BZ20" s="928"/>
      <c r="CA20" s="928"/>
      <c r="CB20" s="928"/>
      <c r="CC20" s="928"/>
      <c r="CD20" s="928"/>
      <c r="CE20" s="928"/>
      <c r="CF20" s="928"/>
      <c r="CG20" s="928"/>
      <c r="CH20" s="928"/>
      <c r="CI20" s="928"/>
      <c r="CJ20" s="928"/>
      <c r="CK20" s="928"/>
      <c r="CL20" s="928"/>
      <c r="CM20" s="928"/>
      <c r="CN20" s="928"/>
      <c r="CO20" s="928"/>
      <c r="CP20" s="928"/>
      <c r="CQ20" s="928"/>
      <c r="CR20" s="928"/>
      <c r="CS20" s="928"/>
      <c r="CT20" s="928"/>
      <c r="CU20" s="928"/>
      <c r="CV20" s="928"/>
      <c r="CW20" s="928"/>
      <c r="CX20" s="928"/>
      <c r="CY20" s="928"/>
      <c r="CZ20" s="928"/>
      <c r="DA20" s="928"/>
      <c r="DB20" s="928"/>
      <c r="DC20" s="928"/>
      <c r="DD20" s="928"/>
      <c r="DE20" s="928"/>
      <c r="DF20" s="928"/>
      <c r="DG20" s="928"/>
      <c r="DH20" s="928"/>
    </row>
    <row r="21" spans="1:112">
      <c r="A21" s="891" t="s">
        <v>796</v>
      </c>
      <c r="B21" s="891" t="s">
        <v>1463</v>
      </c>
      <c r="C21" s="891" t="s">
        <v>125</v>
      </c>
      <c r="D21" s="891" t="s">
        <v>796</v>
      </c>
      <c r="E21" s="891" t="s">
        <v>1463</v>
      </c>
      <c r="F21" s="891" t="s">
        <v>125</v>
      </c>
      <c r="G21" s="897">
        <v>100.27</v>
      </c>
      <c r="H21" s="897">
        <v>129.22999999999999</v>
      </c>
      <c r="I21" s="897">
        <v>110.3</v>
      </c>
      <c r="J21" s="891"/>
      <c r="K21" s="891"/>
      <c r="L21" s="891"/>
      <c r="M21" s="891"/>
      <c r="N21" s="891"/>
      <c r="O21" s="891"/>
      <c r="P21" s="891"/>
      <c r="Q21" s="891"/>
      <c r="R21" s="891"/>
      <c r="S21" s="891"/>
      <c r="T21" s="891"/>
      <c r="U21" s="928"/>
      <c r="V21" s="928"/>
      <c r="W21" s="928"/>
      <c r="X21" s="928"/>
      <c r="Y21" s="928"/>
      <c r="Z21" s="928"/>
      <c r="AA21" s="928"/>
      <c r="AB21" s="928"/>
      <c r="AC21" s="928"/>
      <c r="AD21" s="928"/>
      <c r="AE21" s="928"/>
      <c r="AF21" s="928"/>
      <c r="AG21" s="928"/>
      <c r="AH21" s="928"/>
      <c r="AI21" s="928"/>
      <c r="AJ21" s="928"/>
      <c r="AK21" s="928"/>
      <c r="AL21" s="928"/>
      <c r="AM21" s="928"/>
      <c r="AN21" s="928"/>
      <c r="AO21" s="928"/>
      <c r="AP21" s="928"/>
      <c r="AQ21" s="928"/>
      <c r="AR21" s="928"/>
      <c r="AS21" s="928"/>
      <c r="AT21" s="928"/>
      <c r="AU21" s="928"/>
      <c r="AV21" s="928"/>
      <c r="AW21" s="928"/>
      <c r="AX21" s="928"/>
      <c r="AY21" s="928"/>
      <c r="AZ21" s="928"/>
      <c r="BA21" s="928"/>
      <c r="BB21" s="928"/>
      <c r="BC21" s="928"/>
      <c r="BD21" s="928"/>
      <c r="BE21" s="928"/>
      <c r="BF21" s="928"/>
      <c r="BG21" s="928"/>
      <c r="BH21" s="928"/>
      <c r="BI21" s="928"/>
      <c r="BJ21" s="928"/>
      <c r="BK21" s="928"/>
      <c r="BL21" s="928"/>
      <c r="BM21" s="928"/>
      <c r="BN21" s="928"/>
      <c r="BO21" s="928"/>
      <c r="BP21" s="928"/>
      <c r="BQ21" s="928"/>
      <c r="BR21" s="928"/>
      <c r="BS21" s="928"/>
      <c r="BT21" s="928"/>
      <c r="BU21" s="928"/>
      <c r="BV21" s="928"/>
      <c r="BW21" s="928"/>
      <c r="BX21" s="928"/>
      <c r="BY21" s="928"/>
      <c r="BZ21" s="928"/>
      <c r="CA21" s="928"/>
      <c r="CB21" s="928"/>
      <c r="CC21" s="928"/>
      <c r="CD21" s="928"/>
      <c r="CE21" s="928"/>
      <c r="CF21" s="928"/>
      <c r="CG21" s="928"/>
      <c r="CH21" s="928"/>
      <c r="CI21" s="928"/>
      <c r="CJ21" s="928"/>
      <c r="CK21" s="928"/>
      <c r="CL21" s="928"/>
      <c r="CM21" s="928"/>
      <c r="CN21" s="928"/>
      <c r="CO21" s="928"/>
      <c r="CP21" s="928"/>
      <c r="CQ21" s="928"/>
      <c r="CR21" s="928"/>
      <c r="CS21" s="928"/>
      <c r="CT21" s="928"/>
      <c r="CU21" s="928"/>
      <c r="CV21" s="928"/>
      <c r="CW21" s="928"/>
      <c r="CX21" s="928"/>
      <c r="CY21" s="928"/>
      <c r="CZ21" s="928"/>
      <c r="DA21" s="928"/>
      <c r="DB21" s="928"/>
      <c r="DC21" s="928"/>
      <c r="DD21" s="928"/>
      <c r="DE21" s="928"/>
      <c r="DF21" s="928"/>
      <c r="DG21" s="928"/>
      <c r="DH21" s="928"/>
    </row>
    <row r="22" spans="1:112">
      <c r="A22" s="891" t="s">
        <v>797</v>
      </c>
      <c r="B22" s="891" t="s">
        <v>1454</v>
      </c>
      <c r="C22" s="891" t="s">
        <v>177</v>
      </c>
      <c r="D22" s="891" t="s">
        <v>797</v>
      </c>
      <c r="E22" s="891" t="s">
        <v>1454</v>
      </c>
      <c r="F22" s="891" t="s">
        <v>177</v>
      </c>
      <c r="G22" s="897">
        <v>74.28</v>
      </c>
      <c r="H22" s="897">
        <v>95.22</v>
      </c>
      <c r="I22" s="897">
        <v>45.91</v>
      </c>
      <c r="J22" s="891"/>
      <c r="K22" s="891"/>
      <c r="L22" s="891"/>
      <c r="M22" s="891"/>
      <c r="N22" s="891"/>
      <c r="O22" s="891"/>
      <c r="P22" s="891"/>
      <c r="Q22" s="891"/>
      <c r="R22" s="891"/>
      <c r="S22" s="891"/>
      <c r="T22" s="891"/>
      <c r="U22" s="928"/>
      <c r="V22" s="928"/>
      <c r="W22" s="928"/>
      <c r="X22" s="928"/>
      <c r="Y22" s="928"/>
      <c r="Z22" s="928"/>
      <c r="AA22" s="928"/>
      <c r="AB22" s="928"/>
      <c r="AC22" s="928"/>
      <c r="AD22" s="928"/>
      <c r="AE22" s="928"/>
      <c r="AF22" s="928"/>
      <c r="AG22" s="928"/>
      <c r="AH22" s="928"/>
      <c r="AI22" s="928"/>
      <c r="AJ22" s="928"/>
      <c r="AK22" s="928"/>
      <c r="AL22" s="928"/>
      <c r="AM22" s="928"/>
      <c r="AN22" s="928"/>
      <c r="AO22" s="928"/>
      <c r="AP22" s="928"/>
      <c r="AQ22" s="928"/>
      <c r="AR22" s="928"/>
      <c r="AS22" s="928"/>
      <c r="AT22" s="928"/>
      <c r="AU22" s="928"/>
      <c r="AV22" s="928"/>
      <c r="AW22" s="928"/>
      <c r="AX22" s="928"/>
      <c r="AY22" s="928"/>
      <c r="AZ22" s="928"/>
      <c r="BA22" s="928"/>
      <c r="BB22" s="928"/>
      <c r="BC22" s="928"/>
      <c r="BD22" s="928"/>
      <c r="BE22" s="928"/>
      <c r="BF22" s="928"/>
      <c r="BG22" s="928"/>
      <c r="BH22" s="928"/>
      <c r="BI22" s="928"/>
      <c r="BJ22" s="928"/>
      <c r="BK22" s="928"/>
      <c r="BL22" s="928"/>
      <c r="BM22" s="928"/>
      <c r="BN22" s="928"/>
      <c r="BO22" s="928"/>
      <c r="BP22" s="928"/>
      <c r="BQ22" s="928"/>
      <c r="BR22" s="928"/>
      <c r="BS22" s="928"/>
      <c r="BT22" s="928"/>
      <c r="BU22" s="928"/>
      <c r="BV22" s="928"/>
      <c r="BW22" s="928"/>
      <c r="BX22" s="928"/>
      <c r="BY22" s="928"/>
      <c r="BZ22" s="928"/>
      <c r="CA22" s="928"/>
      <c r="CB22" s="928"/>
      <c r="CC22" s="928"/>
      <c r="CD22" s="928"/>
      <c r="CE22" s="928"/>
      <c r="CF22" s="928"/>
      <c r="CG22" s="928"/>
      <c r="CH22" s="928"/>
      <c r="CI22" s="928"/>
      <c r="CJ22" s="928"/>
      <c r="CK22" s="928"/>
      <c r="CL22" s="928"/>
      <c r="CM22" s="928"/>
      <c r="CN22" s="928"/>
      <c r="CO22" s="928"/>
      <c r="CP22" s="928"/>
      <c r="CQ22" s="928"/>
      <c r="CR22" s="928"/>
      <c r="CS22" s="928"/>
      <c r="CT22" s="928"/>
      <c r="CU22" s="928"/>
      <c r="CV22" s="928"/>
      <c r="CW22" s="928"/>
      <c r="CX22" s="928"/>
      <c r="CY22" s="928"/>
      <c r="CZ22" s="928"/>
      <c r="DA22" s="928"/>
      <c r="DB22" s="928"/>
      <c r="DC22" s="928"/>
      <c r="DD22" s="928"/>
      <c r="DE22" s="928"/>
      <c r="DF22" s="928"/>
      <c r="DG22" s="928"/>
      <c r="DH22" s="928"/>
    </row>
    <row r="23" spans="1:112">
      <c r="A23" s="891" t="s">
        <v>798</v>
      </c>
      <c r="B23" s="891" t="s">
        <v>1464</v>
      </c>
      <c r="C23" s="891" t="s">
        <v>34</v>
      </c>
      <c r="D23" s="891" t="s">
        <v>798</v>
      </c>
      <c r="E23" s="891" t="s">
        <v>1464</v>
      </c>
      <c r="F23" s="891" t="s">
        <v>34</v>
      </c>
      <c r="G23" s="897">
        <v>81.36</v>
      </c>
      <c r="H23" s="897">
        <v>67.510000000000005</v>
      </c>
      <c r="I23" s="897">
        <v>152.51</v>
      </c>
      <c r="J23" s="891"/>
      <c r="K23" s="891"/>
      <c r="L23" s="891"/>
      <c r="M23" s="891"/>
      <c r="N23" s="891"/>
      <c r="O23" s="891"/>
      <c r="P23" s="891"/>
      <c r="Q23" s="891"/>
      <c r="R23" s="891"/>
      <c r="S23" s="891"/>
      <c r="T23" s="891"/>
      <c r="U23" s="928"/>
      <c r="V23" s="928"/>
      <c r="W23" s="928"/>
      <c r="X23" s="928"/>
      <c r="Y23" s="928"/>
      <c r="Z23" s="928"/>
      <c r="AA23" s="928"/>
      <c r="AB23" s="928"/>
      <c r="AC23" s="928"/>
      <c r="AD23" s="928"/>
      <c r="AE23" s="928"/>
      <c r="AF23" s="928"/>
      <c r="AG23" s="928"/>
      <c r="AH23" s="928"/>
      <c r="AI23" s="928"/>
      <c r="AJ23" s="928"/>
      <c r="AK23" s="928"/>
      <c r="AL23" s="928"/>
      <c r="AM23" s="928"/>
      <c r="AN23" s="928"/>
      <c r="AO23" s="928"/>
      <c r="AP23" s="928"/>
      <c r="AQ23" s="928"/>
      <c r="AR23" s="928"/>
      <c r="AS23" s="928"/>
      <c r="AT23" s="928"/>
      <c r="AU23" s="928"/>
      <c r="AV23" s="928"/>
      <c r="AW23" s="928"/>
      <c r="AX23" s="928"/>
      <c r="AY23" s="928"/>
      <c r="AZ23" s="928"/>
      <c r="BA23" s="928"/>
      <c r="BB23" s="928"/>
      <c r="BC23" s="928"/>
      <c r="BD23" s="928"/>
      <c r="BE23" s="928"/>
      <c r="BF23" s="928"/>
      <c r="BG23" s="928"/>
      <c r="BH23" s="928"/>
      <c r="BI23" s="928"/>
      <c r="BJ23" s="928"/>
      <c r="BK23" s="928"/>
      <c r="BL23" s="928"/>
      <c r="BM23" s="928"/>
      <c r="BN23" s="928"/>
      <c r="BO23" s="928"/>
      <c r="BP23" s="928"/>
      <c r="BQ23" s="928"/>
      <c r="BR23" s="928"/>
      <c r="BS23" s="928"/>
      <c r="BT23" s="928"/>
      <c r="BU23" s="928"/>
      <c r="BV23" s="928"/>
      <c r="BW23" s="928"/>
      <c r="BX23" s="928"/>
      <c r="BY23" s="928"/>
      <c r="BZ23" s="928"/>
      <c r="CA23" s="928"/>
      <c r="CB23" s="928"/>
      <c r="CC23" s="928"/>
      <c r="CD23" s="928"/>
      <c r="CE23" s="928"/>
      <c r="CF23" s="928"/>
      <c r="CG23" s="928"/>
      <c r="CH23" s="928"/>
      <c r="CI23" s="928"/>
      <c r="CJ23" s="928"/>
      <c r="CK23" s="928"/>
      <c r="CL23" s="928"/>
      <c r="CM23" s="928"/>
      <c r="CN23" s="928"/>
      <c r="CO23" s="928"/>
      <c r="CP23" s="928"/>
      <c r="CQ23" s="928"/>
      <c r="CR23" s="928"/>
      <c r="CS23" s="928"/>
      <c r="CT23" s="928"/>
      <c r="CU23" s="928"/>
      <c r="CV23" s="928"/>
      <c r="CW23" s="928"/>
      <c r="CX23" s="928"/>
      <c r="CY23" s="928"/>
      <c r="CZ23" s="928"/>
      <c r="DA23" s="928"/>
      <c r="DB23" s="928"/>
      <c r="DC23" s="928"/>
      <c r="DD23" s="928"/>
      <c r="DE23" s="928"/>
      <c r="DF23" s="928"/>
      <c r="DG23" s="928"/>
      <c r="DH23" s="928"/>
    </row>
    <row r="24" spans="1:112">
      <c r="A24" s="891" t="s">
        <v>799</v>
      </c>
      <c r="B24" s="891" t="s">
        <v>1454</v>
      </c>
      <c r="C24" s="891" t="s">
        <v>160</v>
      </c>
      <c r="D24" s="891" t="s">
        <v>799</v>
      </c>
      <c r="E24" s="891" t="s">
        <v>1454</v>
      </c>
      <c r="F24" s="891" t="s">
        <v>160</v>
      </c>
      <c r="G24" s="897">
        <v>101.51</v>
      </c>
      <c r="H24" s="897">
        <v>88.22</v>
      </c>
      <c r="I24" s="897">
        <v>92.06</v>
      </c>
      <c r="J24" s="891"/>
      <c r="K24" s="891"/>
      <c r="L24" s="891"/>
      <c r="M24" s="891"/>
      <c r="N24" s="891"/>
      <c r="O24" s="891"/>
      <c r="P24" s="891"/>
      <c r="Q24" s="891"/>
      <c r="R24" s="891"/>
      <c r="S24" s="891"/>
      <c r="T24" s="891"/>
      <c r="U24" s="928"/>
      <c r="V24" s="928"/>
      <c r="W24" s="928"/>
      <c r="X24" s="928"/>
      <c r="Y24" s="928"/>
      <c r="Z24" s="928"/>
      <c r="AA24" s="928"/>
      <c r="AB24" s="928"/>
      <c r="AC24" s="928"/>
      <c r="AD24" s="928"/>
      <c r="AE24" s="928"/>
      <c r="AF24" s="928"/>
      <c r="AG24" s="928"/>
      <c r="AH24" s="928"/>
      <c r="AI24" s="928"/>
      <c r="AJ24" s="928"/>
      <c r="AK24" s="928"/>
      <c r="AL24" s="928"/>
      <c r="AM24" s="928"/>
      <c r="AN24" s="928"/>
      <c r="AO24" s="928"/>
      <c r="AP24" s="928"/>
      <c r="AQ24" s="928"/>
      <c r="AR24" s="928"/>
      <c r="AS24" s="928"/>
      <c r="AT24" s="928"/>
      <c r="AU24" s="928"/>
      <c r="AV24" s="928"/>
      <c r="AW24" s="928"/>
      <c r="AX24" s="928"/>
      <c r="AY24" s="928"/>
      <c r="AZ24" s="928"/>
      <c r="BA24" s="928"/>
      <c r="BB24" s="928"/>
      <c r="BC24" s="928"/>
      <c r="BD24" s="928"/>
      <c r="BE24" s="928"/>
      <c r="BF24" s="928"/>
      <c r="BG24" s="928"/>
      <c r="BH24" s="928"/>
      <c r="BI24" s="928"/>
      <c r="BJ24" s="928"/>
      <c r="BK24" s="928"/>
      <c r="BL24" s="928"/>
      <c r="BM24" s="928"/>
      <c r="BN24" s="928"/>
      <c r="BO24" s="928"/>
      <c r="BP24" s="928"/>
      <c r="BQ24" s="928"/>
      <c r="BR24" s="928"/>
      <c r="BS24" s="928"/>
      <c r="BT24" s="928"/>
      <c r="BU24" s="928"/>
      <c r="BV24" s="928"/>
      <c r="BW24" s="928"/>
      <c r="BX24" s="928"/>
      <c r="BY24" s="928"/>
      <c r="BZ24" s="928"/>
      <c r="CA24" s="928"/>
      <c r="CB24" s="928"/>
      <c r="CC24" s="928"/>
      <c r="CD24" s="928"/>
      <c r="CE24" s="928"/>
      <c r="CF24" s="928"/>
      <c r="CG24" s="928"/>
      <c r="CH24" s="928"/>
      <c r="CI24" s="928"/>
      <c r="CJ24" s="928"/>
      <c r="CK24" s="928"/>
      <c r="CL24" s="928"/>
      <c r="CM24" s="928"/>
      <c r="CN24" s="928"/>
      <c r="CO24" s="928"/>
      <c r="CP24" s="928"/>
      <c r="CQ24" s="928"/>
      <c r="CR24" s="928"/>
      <c r="CS24" s="928"/>
      <c r="CT24" s="928"/>
      <c r="CU24" s="928"/>
      <c r="CV24" s="928"/>
      <c r="CW24" s="928"/>
      <c r="CX24" s="928"/>
      <c r="CY24" s="928"/>
      <c r="CZ24" s="928"/>
      <c r="DA24" s="928"/>
      <c r="DB24" s="928"/>
      <c r="DC24" s="928"/>
      <c r="DD24" s="928"/>
      <c r="DE24" s="928"/>
      <c r="DF24" s="928"/>
      <c r="DG24" s="928"/>
      <c r="DH24" s="928"/>
    </row>
    <row r="25" spans="1:112">
      <c r="A25" s="891" t="s">
        <v>800</v>
      </c>
      <c r="B25" s="891" t="s">
        <v>574</v>
      </c>
      <c r="C25" s="891" t="s">
        <v>327</v>
      </c>
      <c r="D25" s="891" t="s">
        <v>800</v>
      </c>
      <c r="E25" s="891" t="s">
        <v>574</v>
      </c>
      <c r="F25" s="891" t="s">
        <v>327</v>
      </c>
      <c r="G25" s="897">
        <v>88.65</v>
      </c>
      <c r="H25" s="897">
        <v>66.739999999999995</v>
      </c>
      <c r="I25" s="897">
        <v>123.52</v>
      </c>
      <c r="J25" s="891"/>
      <c r="K25" s="891"/>
      <c r="L25" s="891"/>
      <c r="M25" s="891"/>
      <c r="N25" s="891"/>
      <c r="O25" s="891"/>
      <c r="P25" s="891"/>
      <c r="Q25" s="891"/>
      <c r="R25" s="891"/>
      <c r="S25" s="891"/>
      <c r="T25" s="891"/>
      <c r="U25" s="928"/>
      <c r="V25" s="928"/>
      <c r="W25" s="928"/>
      <c r="X25" s="928"/>
      <c r="Y25" s="928"/>
      <c r="Z25" s="928"/>
      <c r="AA25" s="928"/>
      <c r="AB25" s="928"/>
      <c r="AC25" s="928"/>
      <c r="AD25" s="928"/>
      <c r="AE25" s="928"/>
      <c r="AF25" s="928"/>
      <c r="AG25" s="928"/>
      <c r="AH25" s="928"/>
      <c r="AI25" s="928"/>
      <c r="AJ25" s="928"/>
      <c r="AK25" s="928"/>
      <c r="AL25" s="928"/>
      <c r="AM25" s="928"/>
      <c r="AN25" s="928"/>
      <c r="AO25" s="928"/>
      <c r="AP25" s="928"/>
      <c r="AQ25" s="928"/>
      <c r="AR25" s="928"/>
      <c r="AS25" s="928"/>
      <c r="AT25" s="928"/>
      <c r="AU25" s="928"/>
      <c r="AV25" s="928"/>
      <c r="AW25" s="928"/>
      <c r="AX25" s="928"/>
      <c r="AY25" s="928"/>
      <c r="AZ25" s="928"/>
      <c r="BA25" s="928"/>
      <c r="BB25" s="928"/>
      <c r="BC25" s="928"/>
      <c r="BD25" s="928"/>
      <c r="BE25" s="928"/>
      <c r="BF25" s="928"/>
      <c r="BG25" s="928"/>
      <c r="BH25" s="928"/>
      <c r="BI25" s="928"/>
      <c r="BJ25" s="928"/>
      <c r="BK25" s="928"/>
      <c r="BL25" s="928"/>
      <c r="BM25" s="928"/>
      <c r="BN25" s="928"/>
      <c r="BO25" s="928"/>
      <c r="BP25" s="928"/>
      <c r="BQ25" s="928"/>
      <c r="BR25" s="928"/>
      <c r="BS25" s="928"/>
      <c r="BT25" s="928"/>
      <c r="BU25" s="928"/>
      <c r="BV25" s="928"/>
      <c r="BW25" s="928"/>
      <c r="BX25" s="928"/>
      <c r="BY25" s="928"/>
      <c r="BZ25" s="928"/>
      <c r="CA25" s="928"/>
      <c r="CB25" s="928"/>
      <c r="CC25" s="928"/>
      <c r="CD25" s="928"/>
      <c r="CE25" s="928"/>
      <c r="CF25" s="928"/>
      <c r="CG25" s="928"/>
      <c r="CH25" s="928"/>
      <c r="CI25" s="928"/>
      <c r="CJ25" s="928"/>
      <c r="CK25" s="928"/>
      <c r="CL25" s="928"/>
      <c r="CM25" s="928"/>
      <c r="CN25" s="928"/>
      <c r="CO25" s="928"/>
      <c r="CP25" s="928"/>
      <c r="CQ25" s="928"/>
      <c r="CR25" s="928"/>
      <c r="CS25" s="928"/>
      <c r="CT25" s="928"/>
      <c r="CU25" s="928"/>
      <c r="CV25" s="928"/>
      <c r="CW25" s="928"/>
      <c r="CX25" s="928"/>
      <c r="CY25" s="928"/>
      <c r="CZ25" s="928"/>
      <c r="DA25" s="928"/>
      <c r="DB25" s="928"/>
      <c r="DC25" s="928"/>
      <c r="DD25" s="928"/>
      <c r="DE25" s="928"/>
      <c r="DF25" s="928"/>
      <c r="DG25" s="928"/>
      <c r="DH25" s="928"/>
    </row>
    <row r="26" spans="1:112">
      <c r="A26" s="891" t="s">
        <v>801</v>
      </c>
      <c r="B26" s="891" t="s">
        <v>1465</v>
      </c>
      <c r="C26" s="891" t="s">
        <v>228</v>
      </c>
      <c r="D26" s="891" t="s">
        <v>801</v>
      </c>
      <c r="E26" s="891" t="s">
        <v>1465</v>
      </c>
      <c r="F26" s="891" t="s">
        <v>228</v>
      </c>
      <c r="G26" s="897">
        <v>57.23</v>
      </c>
      <c r="H26" s="897">
        <v>72.42</v>
      </c>
      <c r="I26" s="897">
        <v>25.59</v>
      </c>
      <c r="J26" s="891"/>
      <c r="K26" s="891"/>
      <c r="L26" s="891"/>
      <c r="M26" s="891"/>
      <c r="N26" s="891"/>
      <c r="O26" s="891"/>
      <c r="P26" s="891"/>
      <c r="Q26" s="891"/>
      <c r="R26" s="891"/>
      <c r="S26" s="891"/>
      <c r="T26" s="891"/>
      <c r="U26" s="928"/>
      <c r="V26" s="928"/>
      <c r="W26" s="928"/>
      <c r="X26" s="928"/>
      <c r="Y26" s="928"/>
      <c r="Z26" s="928"/>
      <c r="AA26" s="928"/>
      <c r="AB26" s="928"/>
      <c r="AC26" s="928"/>
      <c r="AD26" s="928"/>
      <c r="AE26" s="928"/>
      <c r="AF26" s="928"/>
      <c r="AG26" s="928"/>
      <c r="AH26" s="928"/>
      <c r="AI26" s="928"/>
      <c r="AJ26" s="928"/>
      <c r="AK26" s="928"/>
      <c r="AL26" s="928"/>
      <c r="AM26" s="928"/>
      <c r="AN26" s="928"/>
      <c r="AO26" s="928"/>
      <c r="AP26" s="928"/>
      <c r="AQ26" s="928"/>
      <c r="AR26" s="928"/>
      <c r="AS26" s="928"/>
      <c r="AT26" s="928"/>
      <c r="AU26" s="928"/>
      <c r="AV26" s="928"/>
      <c r="AW26" s="928"/>
      <c r="AX26" s="928"/>
      <c r="AY26" s="928"/>
      <c r="AZ26" s="928"/>
      <c r="BA26" s="928"/>
      <c r="BB26" s="928"/>
      <c r="BC26" s="928"/>
      <c r="BD26" s="928"/>
      <c r="BE26" s="928"/>
      <c r="BF26" s="928"/>
      <c r="BG26" s="928"/>
      <c r="BH26" s="928"/>
      <c r="BI26" s="928"/>
      <c r="BJ26" s="928"/>
      <c r="BK26" s="928"/>
      <c r="BL26" s="928"/>
      <c r="BM26" s="928"/>
      <c r="BN26" s="928"/>
      <c r="BO26" s="928"/>
      <c r="BP26" s="928"/>
      <c r="BQ26" s="928"/>
      <c r="BR26" s="928"/>
      <c r="BS26" s="928"/>
      <c r="BT26" s="928"/>
      <c r="BU26" s="928"/>
      <c r="BV26" s="928"/>
      <c r="BW26" s="928"/>
      <c r="BX26" s="928"/>
      <c r="BY26" s="928"/>
      <c r="BZ26" s="928"/>
      <c r="CA26" s="928"/>
      <c r="CB26" s="928"/>
      <c r="CC26" s="928"/>
      <c r="CD26" s="928"/>
      <c r="CE26" s="928"/>
      <c r="CF26" s="928"/>
      <c r="CG26" s="928"/>
      <c r="CH26" s="928"/>
      <c r="CI26" s="928"/>
      <c r="CJ26" s="928"/>
      <c r="CK26" s="928"/>
      <c r="CL26" s="928"/>
      <c r="CM26" s="928"/>
      <c r="CN26" s="928"/>
      <c r="CO26" s="928"/>
      <c r="CP26" s="928"/>
      <c r="CQ26" s="928"/>
      <c r="CR26" s="928"/>
      <c r="CS26" s="928"/>
      <c r="CT26" s="928"/>
      <c r="CU26" s="928"/>
      <c r="CV26" s="928"/>
      <c r="CW26" s="928"/>
      <c r="CX26" s="928"/>
      <c r="CY26" s="928"/>
      <c r="CZ26" s="928"/>
      <c r="DA26" s="928"/>
      <c r="DB26" s="928"/>
      <c r="DC26" s="928"/>
      <c r="DD26" s="928"/>
      <c r="DE26" s="928"/>
      <c r="DF26" s="928"/>
      <c r="DG26" s="928"/>
      <c r="DH26" s="928"/>
    </row>
    <row r="27" spans="1:112">
      <c r="A27" s="891" t="s">
        <v>803</v>
      </c>
      <c r="B27" s="891" t="s">
        <v>1466</v>
      </c>
      <c r="C27" s="891" t="s">
        <v>241</v>
      </c>
      <c r="D27" s="891" t="s">
        <v>803</v>
      </c>
      <c r="E27" s="891" t="s">
        <v>1466</v>
      </c>
      <c r="F27" s="891" t="s">
        <v>241</v>
      </c>
      <c r="G27" s="897">
        <v>77.52</v>
      </c>
      <c r="H27" s="897">
        <v>65.819999999999993</v>
      </c>
      <c r="I27" s="897">
        <v>145.82</v>
      </c>
      <c r="J27" s="891"/>
      <c r="K27" s="891"/>
      <c r="L27" s="891"/>
      <c r="M27" s="891"/>
      <c r="N27" s="891"/>
      <c r="O27" s="891"/>
      <c r="P27" s="891"/>
      <c r="Q27" s="891"/>
      <c r="R27" s="891"/>
      <c r="S27" s="891"/>
      <c r="T27" s="891"/>
      <c r="U27" s="928"/>
      <c r="V27" s="928"/>
      <c r="W27" s="928"/>
      <c r="X27" s="928"/>
      <c r="Y27" s="928"/>
      <c r="Z27" s="928"/>
      <c r="AA27" s="928"/>
      <c r="AB27" s="928"/>
      <c r="AC27" s="928"/>
      <c r="AD27" s="928"/>
      <c r="AE27" s="928"/>
      <c r="AF27" s="928"/>
      <c r="AG27" s="928"/>
      <c r="AH27" s="928"/>
      <c r="AI27" s="928"/>
      <c r="AJ27" s="928"/>
      <c r="AK27" s="928"/>
      <c r="AL27" s="928"/>
      <c r="AM27" s="928"/>
      <c r="AN27" s="928"/>
      <c r="AO27" s="928"/>
      <c r="AP27" s="928"/>
      <c r="AQ27" s="928"/>
      <c r="AR27" s="928"/>
      <c r="AS27" s="928"/>
      <c r="AT27" s="928"/>
      <c r="AU27" s="928"/>
      <c r="AV27" s="928"/>
      <c r="AW27" s="928"/>
      <c r="AX27" s="928"/>
      <c r="AY27" s="928"/>
      <c r="AZ27" s="928"/>
      <c r="BA27" s="928"/>
      <c r="BB27" s="928"/>
      <c r="BC27" s="928"/>
      <c r="BD27" s="928"/>
      <c r="BE27" s="928"/>
      <c r="BF27" s="928"/>
      <c r="BG27" s="928"/>
      <c r="BH27" s="928"/>
      <c r="BI27" s="928"/>
      <c r="BJ27" s="928"/>
      <c r="BK27" s="928"/>
      <c r="BL27" s="928"/>
      <c r="BM27" s="928"/>
      <c r="BN27" s="928"/>
      <c r="BO27" s="928"/>
      <c r="BP27" s="928"/>
      <c r="BQ27" s="928"/>
      <c r="BR27" s="928"/>
      <c r="BS27" s="928"/>
      <c r="BT27" s="928"/>
      <c r="BU27" s="928"/>
      <c r="BV27" s="928"/>
      <c r="BW27" s="928"/>
      <c r="BX27" s="928"/>
      <c r="BY27" s="928"/>
      <c r="BZ27" s="928"/>
      <c r="CA27" s="928"/>
      <c r="CB27" s="928"/>
      <c r="CC27" s="928"/>
      <c r="CD27" s="928"/>
      <c r="CE27" s="928"/>
      <c r="CF27" s="928"/>
      <c r="CG27" s="928"/>
      <c r="CH27" s="928"/>
      <c r="CI27" s="928"/>
      <c r="CJ27" s="928"/>
      <c r="CK27" s="928"/>
      <c r="CL27" s="928"/>
      <c r="CM27" s="928"/>
      <c r="CN27" s="928"/>
      <c r="CO27" s="928"/>
      <c r="CP27" s="928"/>
      <c r="CQ27" s="928"/>
      <c r="CR27" s="928"/>
      <c r="CS27" s="928"/>
      <c r="CT27" s="928"/>
      <c r="CU27" s="928"/>
      <c r="CV27" s="928"/>
      <c r="CW27" s="928"/>
      <c r="CX27" s="928"/>
      <c r="CY27" s="928"/>
      <c r="CZ27" s="928"/>
      <c r="DA27" s="928"/>
      <c r="DB27" s="928"/>
      <c r="DC27" s="928"/>
      <c r="DD27" s="928"/>
      <c r="DE27" s="928"/>
      <c r="DF27" s="928"/>
      <c r="DG27" s="928"/>
      <c r="DH27" s="928"/>
    </row>
    <row r="28" spans="1:112">
      <c r="A28" s="891" t="s">
        <v>804</v>
      </c>
      <c r="B28" s="891" t="s">
        <v>1467</v>
      </c>
      <c r="C28" s="891" t="s">
        <v>366</v>
      </c>
      <c r="D28" s="891" t="s">
        <v>804</v>
      </c>
      <c r="E28" s="891" t="s">
        <v>1467</v>
      </c>
      <c r="F28" s="891" t="s">
        <v>366</v>
      </c>
      <c r="G28" s="897">
        <v>70.8</v>
      </c>
      <c r="H28" s="897">
        <v>59.62</v>
      </c>
      <c r="I28" s="897">
        <v>138.68</v>
      </c>
      <c r="J28" s="891"/>
      <c r="K28" s="891"/>
      <c r="L28" s="891"/>
      <c r="M28" s="891"/>
      <c r="N28" s="891"/>
      <c r="O28" s="891"/>
      <c r="P28" s="891"/>
      <c r="Q28" s="891"/>
      <c r="R28" s="891"/>
      <c r="S28" s="891"/>
      <c r="T28" s="891"/>
      <c r="U28" s="928"/>
      <c r="V28" s="928"/>
      <c r="W28" s="928"/>
      <c r="X28" s="928"/>
      <c r="Y28" s="928"/>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8"/>
      <c r="AY28" s="928"/>
      <c r="AZ28" s="928"/>
      <c r="BA28" s="928"/>
      <c r="BB28" s="928"/>
      <c r="BC28" s="928"/>
      <c r="BD28" s="928"/>
      <c r="BE28" s="928"/>
      <c r="BF28" s="928"/>
      <c r="BG28" s="928"/>
      <c r="BH28" s="928"/>
      <c r="BI28" s="928"/>
      <c r="BJ28" s="928"/>
      <c r="BK28" s="928"/>
      <c r="BL28" s="928"/>
      <c r="BM28" s="928"/>
      <c r="BN28" s="928"/>
      <c r="BO28" s="928"/>
      <c r="BP28" s="928"/>
      <c r="BQ28" s="928"/>
      <c r="BR28" s="928"/>
      <c r="BS28" s="928"/>
      <c r="BT28" s="928"/>
      <c r="BU28" s="928"/>
      <c r="BV28" s="928"/>
      <c r="BW28" s="928"/>
      <c r="BX28" s="928"/>
      <c r="BY28" s="928"/>
      <c r="BZ28" s="928"/>
      <c r="CA28" s="928"/>
      <c r="CB28" s="928"/>
      <c r="CC28" s="928"/>
      <c r="CD28" s="928"/>
      <c r="CE28" s="928"/>
      <c r="CF28" s="928"/>
      <c r="CG28" s="928"/>
      <c r="CH28" s="928"/>
      <c r="CI28" s="928"/>
      <c r="CJ28" s="928"/>
      <c r="CK28" s="928"/>
      <c r="CL28" s="928"/>
      <c r="CM28" s="928"/>
      <c r="CN28" s="928"/>
      <c r="CO28" s="928"/>
      <c r="CP28" s="928"/>
      <c r="CQ28" s="928"/>
      <c r="CR28" s="928"/>
      <c r="CS28" s="928"/>
      <c r="CT28" s="928"/>
      <c r="CU28" s="928"/>
      <c r="CV28" s="928"/>
      <c r="CW28" s="928"/>
      <c r="CX28" s="928"/>
      <c r="CY28" s="928"/>
      <c r="CZ28" s="928"/>
      <c r="DA28" s="928"/>
      <c r="DB28" s="928"/>
      <c r="DC28" s="928"/>
      <c r="DD28" s="928"/>
      <c r="DE28" s="928"/>
      <c r="DF28" s="928"/>
      <c r="DG28" s="928"/>
      <c r="DH28" s="928"/>
    </row>
    <row r="29" spans="1:112">
      <c r="A29" s="891" t="s">
        <v>805</v>
      </c>
      <c r="B29" s="891" t="s">
        <v>1453</v>
      </c>
      <c r="C29" s="891" t="s">
        <v>380</v>
      </c>
      <c r="D29" s="891" t="s">
        <v>805</v>
      </c>
      <c r="E29" s="891" t="s">
        <v>1453</v>
      </c>
      <c r="F29" s="891" t="s">
        <v>380</v>
      </c>
      <c r="G29" s="897">
        <v>51.08</v>
      </c>
      <c r="H29" s="897">
        <v>16.38</v>
      </c>
      <c r="I29" s="897">
        <v>23.88</v>
      </c>
      <c r="J29" s="891"/>
      <c r="K29" s="891"/>
      <c r="L29" s="891"/>
      <c r="M29" s="891"/>
      <c r="N29" s="891"/>
      <c r="O29" s="891"/>
      <c r="P29" s="891"/>
      <c r="Q29" s="891"/>
      <c r="R29" s="891"/>
      <c r="S29" s="891"/>
      <c r="T29" s="891"/>
      <c r="U29" s="928"/>
      <c r="V29" s="928"/>
      <c r="W29" s="928"/>
      <c r="X29" s="928"/>
      <c r="Y29" s="928"/>
      <c r="Z29" s="928"/>
      <c r="AA29" s="928"/>
      <c r="AB29" s="928"/>
      <c r="AC29" s="928"/>
      <c r="AD29" s="928"/>
      <c r="AE29" s="928"/>
      <c r="AF29" s="928"/>
      <c r="AG29" s="928"/>
      <c r="AH29" s="928"/>
      <c r="AI29" s="928"/>
      <c r="AJ29" s="928"/>
      <c r="AK29" s="928"/>
      <c r="AL29" s="928"/>
      <c r="AM29" s="928"/>
      <c r="AN29" s="928"/>
      <c r="AO29" s="928"/>
      <c r="AP29" s="928"/>
      <c r="AQ29" s="928"/>
      <c r="AR29" s="928"/>
      <c r="AS29" s="928"/>
      <c r="AT29" s="928"/>
      <c r="AU29" s="928"/>
      <c r="AV29" s="928"/>
      <c r="AW29" s="928"/>
      <c r="AX29" s="928"/>
      <c r="AY29" s="928"/>
      <c r="AZ29" s="928"/>
      <c r="BA29" s="928"/>
      <c r="BB29" s="928"/>
      <c r="BC29" s="928"/>
      <c r="BD29" s="928"/>
      <c r="BE29" s="928"/>
      <c r="BF29" s="928"/>
      <c r="BG29" s="928"/>
      <c r="BH29" s="928"/>
      <c r="BI29" s="928"/>
      <c r="BJ29" s="928"/>
      <c r="BK29" s="928"/>
      <c r="BL29" s="928"/>
      <c r="BM29" s="928"/>
      <c r="BN29" s="928"/>
      <c r="BO29" s="928"/>
      <c r="BP29" s="928"/>
      <c r="BQ29" s="928"/>
      <c r="BR29" s="928"/>
      <c r="BS29" s="928"/>
      <c r="BT29" s="928"/>
      <c r="BU29" s="928"/>
      <c r="BV29" s="928"/>
      <c r="BW29" s="928"/>
      <c r="BX29" s="928"/>
      <c r="BY29" s="928"/>
      <c r="BZ29" s="928"/>
      <c r="CA29" s="928"/>
      <c r="CB29" s="928"/>
      <c r="CC29" s="928"/>
      <c r="CD29" s="928"/>
      <c r="CE29" s="928"/>
      <c r="CF29" s="928"/>
      <c r="CG29" s="928"/>
      <c r="CH29" s="928"/>
      <c r="CI29" s="928"/>
      <c r="CJ29" s="928"/>
      <c r="CK29" s="928"/>
      <c r="CL29" s="928"/>
      <c r="CM29" s="928"/>
      <c r="CN29" s="928"/>
      <c r="CO29" s="928"/>
      <c r="CP29" s="928"/>
      <c r="CQ29" s="928"/>
      <c r="CR29" s="928"/>
      <c r="CS29" s="928"/>
      <c r="CT29" s="928"/>
      <c r="CU29" s="928"/>
      <c r="CV29" s="928"/>
      <c r="CW29" s="928"/>
      <c r="CX29" s="928"/>
      <c r="CY29" s="928"/>
      <c r="CZ29" s="928"/>
      <c r="DA29" s="928"/>
      <c r="DB29" s="928"/>
      <c r="DC29" s="928"/>
      <c r="DD29" s="928"/>
      <c r="DE29" s="928"/>
      <c r="DF29" s="928"/>
      <c r="DG29" s="928"/>
      <c r="DH29" s="928"/>
    </row>
    <row r="30" spans="1:112">
      <c r="A30" s="891" t="s">
        <v>806</v>
      </c>
      <c r="B30" s="891" t="s">
        <v>1468</v>
      </c>
      <c r="C30" s="891" t="s">
        <v>287</v>
      </c>
      <c r="D30" s="891" t="s">
        <v>806</v>
      </c>
      <c r="E30" s="891" t="s">
        <v>1468</v>
      </c>
      <c r="F30" s="891" t="s">
        <v>287</v>
      </c>
      <c r="G30" s="897">
        <v>31.08</v>
      </c>
      <c r="H30" s="897">
        <v>15.32</v>
      </c>
      <c r="I30" s="897">
        <v>74.3</v>
      </c>
      <c r="J30" s="891"/>
      <c r="K30" s="891"/>
      <c r="L30" s="891"/>
      <c r="M30" s="891"/>
      <c r="N30" s="891"/>
      <c r="O30" s="891"/>
      <c r="P30" s="891"/>
      <c r="Q30" s="891"/>
      <c r="R30" s="891"/>
      <c r="S30" s="891"/>
      <c r="T30" s="891"/>
      <c r="U30" s="928"/>
      <c r="V30" s="928"/>
      <c r="W30" s="928"/>
      <c r="X30" s="928"/>
      <c r="Y30" s="928"/>
      <c r="Z30" s="928"/>
      <c r="AA30" s="928"/>
      <c r="AB30" s="928"/>
      <c r="AC30" s="928"/>
      <c r="AD30" s="928"/>
      <c r="AE30" s="928"/>
      <c r="AF30" s="928"/>
      <c r="AG30" s="928"/>
      <c r="AH30" s="928"/>
      <c r="AI30" s="928"/>
      <c r="AJ30" s="928"/>
      <c r="AK30" s="928"/>
      <c r="AL30" s="928"/>
      <c r="AM30" s="928"/>
      <c r="AN30" s="928"/>
      <c r="AO30" s="928"/>
      <c r="AP30" s="928"/>
      <c r="AQ30" s="928"/>
      <c r="AR30" s="928"/>
      <c r="AS30" s="928"/>
      <c r="AT30" s="928"/>
      <c r="AU30" s="928"/>
      <c r="AV30" s="928"/>
      <c r="AW30" s="928"/>
      <c r="AX30" s="928"/>
      <c r="AY30" s="928"/>
      <c r="AZ30" s="928"/>
      <c r="BA30" s="928"/>
      <c r="BB30" s="928"/>
      <c r="BC30" s="928"/>
      <c r="BD30" s="928"/>
      <c r="BE30" s="928"/>
      <c r="BF30" s="928"/>
      <c r="BG30" s="928"/>
      <c r="BH30" s="928"/>
      <c r="BI30" s="928"/>
      <c r="BJ30" s="928"/>
      <c r="BK30" s="928"/>
      <c r="BL30" s="928"/>
      <c r="BM30" s="928"/>
      <c r="BN30" s="928"/>
      <c r="BO30" s="928"/>
      <c r="BP30" s="928"/>
      <c r="BQ30" s="928"/>
      <c r="BR30" s="928"/>
      <c r="BS30" s="928"/>
      <c r="BT30" s="928"/>
      <c r="BU30" s="928"/>
      <c r="BV30" s="928"/>
      <c r="BW30" s="928"/>
      <c r="BX30" s="928"/>
      <c r="BY30" s="928"/>
      <c r="BZ30" s="928"/>
      <c r="CA30" s="928"/>
      <c r="CB30" s="928"/>
      <c r="CC30" s="928"/>
      <c r="CD30" s="928"/>
      <c r="CE30" s="928"/>
      <c r="CF30" s="928"/>
      <c r="CG30" s="928"/>
      <c r="CH30" s="928"/>
      <c r="CI30" s="928"/>
      <c r="CJ30" s="928"/>
      <c r="CK30" s="928"/>
      <c r="CL30" s="928"/>
      <c r="CM30" s="928"/>
      <c r="CN30" s="928"/>
      <c r="CO30" s="928"/>
      <c r="CP30" s="928"/>
      <c r="CQ30" s="928"/>
      <c r="CR30" s="928"/>
      <c r="CS30" s="928"/>
      <c r="CT30" s="928"/>
      <c r="CU30" s="928"/>
      <c r="CV30" s="928"/>
      <c r="CW30" s="928"/>
      <c r="CX30" s="928"/>
      <c r="CY30" s="928"/>
      <c r="CZ30" s="928"/>
      <c r="DA30" s="928"/>
      <c r="DB30" s="928"/>
      <c r="DC30" s="928"/>
      <c r="DD30" s="928"/>
      <c r="DE30" s="928"/>
      <c r="DF30" s="928"/>
      <c r="DG30" s="928"/>
      <c r="DH30" s="928"/>
    </row>
    <row r="31" spans="1:112">
      <c r="A31" s="891" t="s">
        <v>807</v>
      </c>
      <c r="B31" s="891" t="s">
        <v>1469</v>
      </c>
      <c r="C31" s="891" t="s">
        <v>750</v>
      </c>
      <c r="D31" s="891" t="s">
        <v>807</v>
      </c>
      <c r="E31" s="891" t="s">
        <v>1469</v>
      </c>
      <c r="F31" s="891" t="s">
        <v>1470</v>
      </c>
      <c r="G31" s="897">
        <v>63.59</v>
      </c>
      <c r="H31" s="897">
        <v>25.87</v>
      </c>
      <c r="I31" s="897">
        <v>45.99</v>
      </c>
      <c r="J31" s="891"/>
      <c r="K31" s="891"/>
      <c r="L31" s="891"/>
      <c r="M31" s="891"/>
      <c r="N31" s="891"/>
      <c r="O31" s="891"/>
      <c r="P31" s="891"/>
      <c r="Q31" s="891"/>
      <c r="R31" s="891"/>
      <c r="S31" s="891"/>
      <c r="T31" s="891"/>
      <c r="U31" s="928"/>
      <c r="V31" s="928"/>
      <c r="W31" s="928"/>
      <c r="X31" s="928"/>
      <c r="Y31" s="928"/>
      <c r="Z31" s="928"/>
      <c r="AA31" s="928"/>
      <c r="AB31" s="928"/>
      <c r="AC31" s="928"/>
      <c r="AD31" s="928"/>
      <c r="AE31" s="928"/>
      <c r="AF31" s="928"/>
      <c r="AG31" s="928"/>
      <c r="AH31" s="928"/>
      <c r="AI31" s="928"/>
      <c r="AJ31" s="928"/>
      <c r="AK31" s="928"/>
      <c r="AL31" s="928"/>
      <c r="AM31" s="928"/>
      <c r="AN31" s="928"/>
      <c r="AO31" s="928"/>
      <c r="AP31" s="928"/>
      <c r="AQ31" s="928"/>
      <c r="AR31" s="928"/>
      <c r="AS31" s="928"/>
      <c r="AT31" s="928"/>
      <c r="AU31" s="928"/>
      <c r="AV31" s="928"/>
      <c r="AW31" s="928"/>
      <c r="AX31" s="928"/>
      <c r="AY31" s="928"/>
      <c r="AZ31" s="928"/>
      <c r="BA31" s="928"/>
      <c r="BB31" s="928"/>
      <c r="BC31" s="928"/>
      <c r="BD31" s="928"/>
      <c r="BE31" s="928"/>
      <c r="BF31" s="928"/>
      <c r="BG31" s="928"/>
      <c r="BH31" s="928"/>
      <c r="BI31" s="928"/>
      <c r="BJ31" s="928"/>
      <c r="BK31" s="928"/>
      <c r="BL31" s="928"/>
      <c r="BM31" s="928"/>
      <c r="BN31" s="928"/>
      <c r="BO31" s="928"/>
      <c r="BP31" s="928"/>
      <c r="BQ31" s="928"/>
      <c r="BR31" s="928"/>
      <c r="BS31" s="928"/>
      <c r="BT31" s="928"/>
      <c r="BU31" s="928"/>
      <c r="BV31" s="928"/>
      <c r="BW31" s="928"/>
      <c r="BX31" s="928"/>
      <c r="BY31" s="928"/>
      <c r="BZ31" s="928"/>
      <c r="CA31" s="928"/>
      <c r="CB31" s="928"/>
      <c r="CC31" s="928"/>
      <c r="CD31" s="928"/>
      <c r="CE31" s="928"/>
      <c r="CF31" s="928"/>
      <c r="CG31" s="928"/>
      <c r="CH31" s="928"/>
      <c r="CI31" s="928"/>
      <c r="CJ31" s="928"/>
      <c r="CK31" s="928"/>
      <c r="CL31" s="928"/>
      <c r="CM31" s="928"/>
      <c r="CN31" s="928"/>
      <c r="CO31" s="928"/>
      <c r="CP31" s="928"/>
      <c r="CQ31" s="928"/>
      <c r="CR31" s="928"/>
      <c r="CS31" s="928"/>
      <c r="CT31" s="928"/>
      <c r="CU31" s="928"/>
      <c r="CV31" s="928"/>
      <c r="CW31" s="928"/>
      <c r="CX31" s="928"/>
      <c r="CY31" s="928"/>
      <c r="CZ31" s="928"/>
      <c r="DA31" s="928"/>
      <c r="DB31" s="928"/>
      <c r="DC31" s="928"/>
      <c r="DD31" s="928"/>
      <c r="DE31" s="928"/>
      <c r="DF31" s="928"/>
      <c r="DG31" s="928"/>
      <c r="DH31" s="928"/>
    </row>
    <row r="32" spans="1:112">
      <c r="A32" s="891" t="s">
        <v>808</v>
      </c>
      <c r="B32" s="891" t="s">
        <v>1457</v>
      </c>
      <c r="C32" s="891" t="s">
        <v>153</v>
      </c>
      <c r="D32" s="891" t="s">
        <v>808</v>
      </c>
      <c r="E32" s="891" t="s">
        <v>1457</v>
      </c>
      <c r="F32" s="891" t="s">
        <v>153</v>
      </c>
      <c r="G32" s="897">
        <v>46.06</v>
      </c>
      <c r="H32" s="897">
        <v>38.58</v>
      </c>
      <c r="I32" s="897">
        <v>43.47</v>
      </c>
      <c r="J32" s="891"/>
      <c r="K32" s="891"/>
      <c r="L32" s="891"/>
      <c r="M32" s="891"/>
      <c r="N32" s="891"/>
      <c r="O32" s="891"/>
      <c r="P32" s="891"/>
      <c r="Q32" s="891"/>
      <c r="R32" s="891"/>
      <c r="S32" s="891"/>
      <c r="T32" s="891"/>
      <c r="U32" s="928"/>
      <c r="V32" s="928"/>
      <c r="W32" s="928"/>
      <c r="X32" s="928"/>
      <c r="Y32" s="928"/>
      <c r="Z32" s="928"/>
      <c r="AA32" s="928"/>
      <c r="AB32" s="928"/>
      <c r="AC32" s="928"/>
      <c r="AD32" s="928"/>
      <c r="AE32" s="928"/>
      <c r="AF32" s="928"/>
      <c r="AG32" s="928"/>
      <c r="AH32" s="928"/>
      <c r="AI32" s="928"/>
      <c r="AJ32" s="928"/>
      <c r="AK32" s="928"/>
      <c r="AL32" s="928"/>
      <c r="AM32" s="928"/>
      <c r="AN32" s="928"/>
      <c r="AO32" s="928"/>
      <c r="AP32" s="928"/>
      <c r="AQ32" s="928"/>
      <c r="AR32" s="928"/>
      <c r="AS32" s="928"/>
      <c r="AT32" s="928"/>
      <c r="AU32" s="928"/>
      <c r="AV32" s="928"/>
      <c r="AW32" s="928"/>
      <c r="AX32" s="928"/>
      <c r="AY32" s="928"/>
      <c r="AZ32" s="928"/>
      <c r="BA32" s="928"/>
      <c r="BB32" s="928"/>
      <c r="BC32" s="928"/>
      <c r="BD32" s="928"/>
      <c r="BE32" s="928"/>
      <c r="BF32" s="928"/>
      <c r="BG32" s="928"/>
      <c r="BH32" s="928"/>
      <c r="BI32" s="928"/>
      <c r="BJ32" s="928"/>
      <c r="BK32" s="928"/>
      <c r="BL32" s="928"/>
      <c r="BM32" s="928"/>
      <c r="BN32" s="928"/>
      <c r="BO32" s="928"/>
      <c r="BP32" s="928"/>
      <c r="BQ32" s="928"/>
      <c r="BR32" s="928"/>
      <c r="BS32" s="928"/>
      <c r="BT32" s="928"/>
      <c r="BU32" s="928"/>
      <c r="BV32" s="928"/>
      <c r="BW32" s="928"/>
      <c r="BX32" s="928"/>
      <c r="BY32" s="928"/>
      <c r="BZ32" s="928"/>
      <c r="CA32" s="928"/>
      <c r="CB32" s="928"/>
      <c r="CC32" s="928"/>
      <c r="CD32" s="928"/>
      <c r="CE32" s="928"/>
      <c r="CF32" s="928"/>
      <c r="CG32" s="928"/>
      <c r="CH32" s="928"/>
      <c r="CI32" s="928"/>
      <c r="CJ32" s="928"/>
      <c r="CK32" s="928"/>
      <c r="CL32" s="928"/>
      <c r="CM32" s="928"/>
      <c r="CN32" s="928"/>
      <c r="CO32" s="928"/>
      <c r="CP32" s="928"/>
      <c r="CQ32" s="928"/>
      <c r="CR32" s="928"/>
      <c r="CS32" s="928"/>
      <c r="CT32" s="928"/>
      <c r="CU32" s="928"/>
      <c r="CV32" s="928"/>
      <c r="CW32" s="928"/>
      <c r="CX32" s="928"/>
      <c r="CY32" s="928"/>
      <c r="CZ32" s="928"/>
      <c r="DA32" s="928"/>
      <c r="DB32" s="928"/>
      <c r="DC32" s="928"/>
      <c r="DD32" s="928"/>
      <c r="DE32" s="928"/>
      <c r="DF32" s="928"/>
      <c r="DG32" s="928"/>
      <c r="DH32" s="928"/>
    </row>
    <row r="33" spans="1:112">
      <c r="A33" s="891" t="s">
        <v>809</v>
      </c>
      <c r="B33" s="891" t="s">
        <v>1471</v>
      </c>
      <c r="C33" s="891" t="s">
        <v>31</v>
      </c>
      <c r="D33" s="891" t="s">
        <v>809</v>
      </c>
      <c r="E33" s="891" t="s">
        <v>1471</v>
      </c>
      <c r="F33" s="891" t="s">
        <v>31</v>
      </c>
      <c r="G33" s="897">
        <v>69.540000000000006</v>
      </c>
      <c r="H33" s="897">
        <v>78.19</v>
      </c>
      <c r="I33" s="897">
        <v>67.78</v>
      </c>
      <c r="J33" s="891"/>
      <c r="K33" s="891"/>
      <c r="L33" s="891"/>
      <c r="M33" s="891"/>
      <c r="N33" s="891"/>
      <c r="O33" s="891"/>
      <c r="P33" s="891"/>
      <c r="Q33" s="891"/>
      <c r="R33" s="891"/>
      <c r="S33" s="891"/>
      <c r="T33" s="891"/>
      <c r="U33" s="928"/>
      <c r="V33" s="928"/>
      <c r="W33" s="928"/>
      <c r="X33" s="928"/>
      <c r="Y33" s="928"/>
      <c r="Z33" s="928"/>
      <c r="AA33" s="928"/>
      <c r="AB33" s="928"/>
      <c r="AC33" s="928"/>
      <c r="AD33" s="928"/>
      <c r="AE33" s="928"/>
      <c r="AF33" s="928"/>
      <c r="AG33" s="928"/>
      <c r="AH33" s="928"/>
      <c r="AI33" s="928"/>
      <c r="AJ33" s="928"/>
      <c r="AK33" s="928"/>
      <c r="AL33" s="928"/>
      <c r="AM33" s="928"/>
      <c r="AN33" s="928"/>
      <c r="AO33" s="928"/>
      <c r="AP33" s="928"/>
      <c r="AQ33" s="928"/>
      <c r="AR33" s="928"/>
      <c r="AS33" s="928"/>
      <c r="AT33" s="928"/>
      <c r="AU33" s="928"/>
      <c r="AV33" s="928"/>
      <c r="AW33" s="928"/>
      <c r="AX33" s="928"/>
      <c r="AY33" s="928"/>
      <c r="AZ33" s="928"/>
      <c r="BA33" s="928"/>
      <c r="BB33" s="928"/>
      <c r="BC33" s="928"/>
      <c r="BD33" s="928"/>
      <c r="BE33" s="928"/>
      <c r="BF33" s="928"/>
      <c r="BG33" s="928"/>
      <c r="BH33" s="928"/>
      <c r="BI33" s="928"/>
      <c r="BJ33" s="928"/>
      <c r="BK33" s="928"/>
      <c r="BL33" s="928"/>
      <c r="BM33" s="928"/>
      <c r="BN33" s="928"/>
      <c r="BO33" s="928"/>
      <c r="BP33" s="928"/>
      <c r="BQ33" s="928"/>
      <c r="BR33" s="928"/>
      <c r="BS33" s="928"/>
      <c r="BT33" s="928"/>
      <c r="BU33" s="928"/>
      <c r="BV33" s="928"/>
      <c r="BW33" s="928"/>
      <c r="BX33" s="928"/>
      <c r="BY33" s="928"/>
      <c r="BZ33" s="928"/>
      <c r="CA33" s="928"/>
      <c r="CB33" s="928"/>
      <c r="CC33" s="928"/>
      <c r="CD33" s="928"/>
      <c r="CE33" s="928"/>
      <c r="CF33" s="928"/>
      <c r="CG33" s="928"/>
      <c r="CH33" s="928"/>
      <c r="CI33" s="928"/>
      <c r="CJ33" s="928"/>
      <c r="CK33" s="928"/>
      <c r="CL33" s="928"/>
      <c r="CM33" s="928"/>
      <c r="CN33" s="928"/>
      <c r="CO33" s="928"/>
      <c r="CP33" s="928"/>
      <c r="CQ33" s="928"/>
      <c r="CR33" s="928"/>
      <c r="CS33" s="928"/>
      <c r="CT33" s="928"/>
      <c r="CU33" s="928"/>
      <c r="CV33" s="928"/>
      <c r="CW33" s="928"/>
      <c r="CX33" s="928"/>
      <c r="CY33" s="928"/>
      <c r="CZ33" s="928"/>
      <c r="DA33" s="928"/>
      <c r="DB33" s="928"/>
      <c r="DC33" s="928"/>
      <c r="DD33" s="928"/>
      <c r="DE33" s="928"/>
      <c r="DF33" s="928"/>
      <c r="DG33" s="928"/>
      <c r="DH33" s="928"/>
    </row>
    <row r="34" spans="1:112">
      <c r="A34" s="891" t="s">
        <v>810</v>
      </c>
      <c r="B34" s="891" t="s">
        <v>1472</v>
      </c>
      <c r="C34" s="891" t="s">
        <v>285</v>
      </c>
      <c r="D34" s="891" t="s">
        <v>810</v>
      </c>
      <c r="E34" s="891" t="s">
        <v>1472</v>
      </c>
      <c r="F34" s="891" t="s">
        <v>285</v>
      </c>
      <c r="G34" s="897">
        <v>117.16</v>
      </c>
      <c r="H34" s="897">
        <v>84.32</v>
      </c>
      <c r="I34" s="897">
        <v>100.41</v>
      </c>
      <c r="J34" s="891"/>
      <c r="K34" s="891"/>
      <c r="L34" s="891"/>
      <c r="M34" s="891"/>
      <c r="N34" s="891"/>
      <c r="O34" s="891"/>
      <c r="P34" s="891"/>
      <c r="Q34" s="891"/>
      <c r="R34" s="891"/>
      <c r="S34" s="891"/>
      <c r="T34" s="891"/>
      <c r="U34" s="928"/>
      <c r="V34" s="928"/>
      <c r="W34" s="928"/>
      <c r="X34" s="928"/>
      <c r="Y34" s="928"/>
      <c r="Z34" s="928"/>
      <c r="AA34" s="928"/>
      <c r="AB34" s="928"/>
      <c r="AC34" s="928"/>
      <c r="AD34" s="928"/>
      <c r="AE34" s="928"/>
      <c r="AF34" s="928"/>
      <c r="AG34" s="928"/>
      <c r="AH34" s="928"/>
      <c r="AI34" s="928"/>
      <c r="AJ34" s="928"/>
      <c r="AK34" s="928"/>
      <c r="AL34" s="928"/>
      <c r="AM34" s="928"/>
      <c r="AN34" s="928"/>
      <c r="AO34" s="928"/>
      <c r="AP34" s="928"/>
      <c r="AQ34" s="928"/>
      <c r="AR34" s="928"/>
      <c r="AS34" s="928"/>
      <c r="AT34" s="928"/>
      <c r="AU34" s="928"/>
      <c r="AV34" s="928"/>
      <c r="AW34" s="928"/>
      <c r="AX34" s="928"/>
      <c r="AY34" s="928"/>
      <c r="AZ34" s="928"/>
      <c r="BA34" s="928"/>
      <c r="BB34" s="928"/>
      <c r="BC34" s="928"/>
      <c r="BD34" s="928"/>
      <c r="BE34" s="928"/>
      <c r="BF34" s="928"/>
      <c r="BG34" s="928"/>
      <c r="BH34" s="928"/>
      <c r="BI34" s="928"/>
      <c r="BJ34" s="928"/>
      <c r="BK34" s="928"/>
      <c r="BL34" s="928"/>
      <c r="BM34" s="928"/>
      <c r="BN34" s="928"/>
      <c r="BO34" s="928"/>
      <c r="BP34" s="928"/>
      <c r="BQ34" s="928"/>
      <c r="BR34" s="928"/>
      <c r="BS34" s="928"/>
      <c r="BT34" s="928"/>
      <c r="BU34" s="928"/>
      <c r="BV34" s="928"/>
      <c r="BW34" s="928"/>
      <c r="BX34" s="928"/>
      <c r="BY34" s="928"/>
      <c r="BZ34" s="928"/>
      <c r="CA34" s="928"/>
      <c r="CB34" s="928"/>
      <c r="CC34" s="928"/>
      <c r="CD34" s="928"/>
      <c r="CE34" s="928"/>
      <c r="CF34" s="928"/>
      <c r="CG34" s="928"/>
      <c r="CH34" s="928"/>
      <c r="CI34" s="928"/>
      <c r="CJ34" s="928"/>
      <c r="CK34" s="928"/>
      <c r="CL34" s="928"/>
      <c r="CM34" s="928"/>
      <c r="CN34" s="928"/>
      <c r="CO34" s="928"/>
      <c r="CP34" s="928"/>
      <c r="CQ34" s="928"/>
      <c r="CR34" s="928"/>
      <c r="CS34" s="928"/>
      <c r="CT34" s="928"/>
      <c r="CU34" s="928"/>
      <c r="CV34" s="928"/>
      <c r="CW34" s="928"/>
      <c r="CX34" s="928"/>
      <c r="CY34" s="928"/>
      <c r="CZ34" s="928"/>
      <c r="DA34" s="928"/>
      <c r="DB34" s="928"/>
      <c r="DC34" s="928"/>
      <c r="DD34" s="928"/>
      <c r="DE34" s="928"/>
      <c r="DF34" s="928"/>
      <c r="DG34" s="928"/>
      <c r="DH34" s="928"/>
    </row>
    <row r="35" spans="1:112">
      <c r="A35" s="891" t="s">
        <v>811</v>
      </c>
      <c r="B35" s="891" t="s">
        <v>1473</v>
      </c>
      <c r="C35" s="891" t="s">
        <v>189</v>
      </c>
      <c r="D35" s="891" t="s">
        <v>811</v>
      </c>
      <c r="E35" s="891" t="s">
        <v>1473</v>
      </c>
      <c r="F35" s="891" t="s">
        <v>189</v>
      </c>
      <c r="G35" s="897">
        <v>56.55</v>
      </c>
      <c r="H35" s="897">
        <v>39.86</v>
      </c>
      <c r="I35" s="897">
        <v>47.31</v>
      </c>
      <c r="J35" s="891"/>
      <c r="K35" s="891"/>
      <c r="L35" s="891"/>
      <c r="M35" s="891"/>
      <c r="N35" s="891"/>
      <c r="O35" s="891"/>
      <c r="P35" s="891"/>
      <c r="Q35" s="891"/>
      <c r="R35" s="891"/>
      <c r="S35" s="891"/>
      <c r="T35" s="891"/>
      <c r="U35" s="928"/>
      <c r="V35" s="928"/>
      <c r="W35" s="928"/>
      <c r="X35" s="928"/>
      <c r="Y35" s="928"/>
      <c r="Z35" s="928"/>
      <c r="AA35" s="928"/>
      <c r="AB35" s="928"/>
      <c r="AC35" s="928"/>
      <c r="AD35" s="928"/>
      <c r="AE35" s="928"/>
      <c r="AF35" s="928"/>
      <c r="AG35" s="928"/>
      <c r="AH35" s="928"/>
      <c r="AI35" s="928"/>
      <c r="AJ35" s="928"/>
      <c r="AK35" s="928"/>
      <c r="AL35" s="928"/>
      <c r="AM35" s="928"/>
      <c r="AN35" s="928"/>
      <c r="AO35" s="928"/>
      <c r="AP35" s="928"/>
      <c r="AQ35" s="928"/>
      <c r="AR35" s="928"/>
      <c r="AS35" s="928"/>
      <c r="AT35" s="928"/>
      <c r="AU35" s="928"/>
      <c r="AV35" s="928"/>
      <c r="AW35" s="928"/>
      <c r="AX35" s="928"/>
      <c r="AY35" s="928"/>
      <c r="AZ35" s="928"/>
      <c r="BA35" s="928"/>
      <c r="BB35" s="928"/>
      <c r="BC35" s="928"/>
      <c r="BD35" s="928"/>
      <c r="BE35" s="928"/>
      <c r="BF35" s="928"/>
      <c r="BG35" s="928"/>
      <c r="BH35" s="928"/>
      <c r="BI35" s="928"/>
      <c r="BJ35" s="928"/>
      <c r="BK35" s="928"/>
      <c r="BL35" s="928"/>
      <c r="BM35" s="928"/>
      <c r="BN35" s="928"/>
      <c r="BO35" s="928"/>
      <c r="BP35" s="928"/>
      <c r="BQ35" s="928"/>
      <c r="BR35" s="928"/>
      <c r="BS35" s="928"/>
      <c r="BT35" s="928"/>
      <c r="BU35" s="928"/>
      <c r="BV35" s="928"/>
      <c r="BW35" s="928"/>
      <c r="BX35" s="928"/>
      <c r="BY35" s="928"/>
      <c r="BZ35" s="928"/>
      <c r="CA35" s="928"/>
      <c r="CB35" s="928"/>
      <c r="CC35" s="928"/>
      <c r="CD35" s="928"/>
      <c r="CE35" s="928"/>
      <c r="CF35" s="928"/>
      <c r="CG35" s="928"/>
      <c r="CH35" s="928"/>
      <c r="CI35" s="928"/>
      <c r="CJ35" s="928"/>
      <c r="CK35" s="928"/>
      <c r="CL35" s="928"/>
      <c r="CM35" s="928"/>
      <c r="CN35" s="928"/>
      <c r="CO35" s="928"/>
      <c r="CP35" s="928"/>
      <c r="CQ35" s="928"/>
      <c r="CR35" s="928"/>
      <c r="CS35" s="928"/>
      <c r="CT35" s="928"/>
      <c r="CU35" s="928"/>
      <c r="CV35" s="928"/>
      <c r="CW35" s="928"/>
      <c r="CX35" s="928"/>
      <c r="CY35" s="928"/>
      <c r="CZ35" s="928"/>
      <c r="DA35" s="928"/>
      <c r="DB35" s="928"/>
      <c r="DC35" s="928"/>
      <c r="DD35" s="928"/>
      <c r="DE35" s="928"/>
      <c r="DF35" s="928"/>
      <c r="DG35" s="928"/>
      <c r="DH35" s="928"/>
    </row>
    <row r="36" spans="1:112">
      <c r="A36" s="891" t="s">
        <v>812</v>
      </c>
      <c r="B36" s="891" t="s">
        <v>1447</v>
      </c>
      <c r="C36" s="891" t="s">
        <v>146</v>
      </c>
      <c r="D36" s="891" t="s">
        <v>812</v>
      </c>
      <c r="E36" s="891" t="s">
        <v>1447</v>
      </c>
      <c r="F36" s="891" t="s">
        <v>146</v>
      </c>
      <c r="G36" s="897">
        <v>59.91</v>
      </c>
      <c r="H36" s="897">
        <v>75.67</v>
      </c>
      <c r="I36" s="897">
        <v>44.15</v>
      </c>
      <c r="J36" s="891"/>
      <c r="K36" s="891"/>
      <c r="L36" s="891"/>
      <c r="M36" s="891"/>
      <c r="N36" s="891"/>
      <c r="O36" s="891"/>
      <c r="P36" s="891"/>
      <c r="Q36" s="891"/>
      <c r="R36" s="891"/>
      <c r="S36" s="891"/>
      <c r="T36" s="891"/>
      <c r="U36" s="928"/>
      <c r="V36" s="928"/>
      <c r="W36" s="928"/>
      <c r="X36" s="928"/>
      <c r="Y36" s="928"/>
      <c r="Z36" s="928"/>
      <c r="AA36" s="928"/>
      <c r="AB36" s="928"/>
      <c r="AC36" s="928"/>
      <c r="AD36" s="928"/>
      <c r="AE36" s="928"/>
      <c r="AF36" s="928"/>
      <c r="AG36" s="928"/>
      <c r="AH36" s="928"/>
      <c r="AI36" s="928"/>
      <c r="AJ36" s="928"/>
      <c r="AK36" s="928"/>
      <c r="AL36" s="928"/>
      <c r="AM36" s="928"/>
      <c r="AN36" s="928"/>
      <c r="AO36" s="928"/>
      <c r="AP36" s="928"/>
      <c r="AQ36" s="928"/>
      <c r="AR36" s="928"/>
      <c r="AS36" s="928"/>
      <c r="AT36" s="928"/>
      <c r="AU36" s="928"/>
      <c r="AV36" s="928"/>
      <c r="AW36" s="928"/>
      <c r="AX36" s="928"/>
      <c r="AY36" s="928"/>
      <c r="AZ36" s="928"/>
      <c r="BA36" s="928"/>
      <c r="BB36" s="928"/>
      <c r="BC36" s="928"/>
      <c r="BD36" s="928"/>
      <c r="BE36" s="928"/>
      <c r="BF36" s="928"/>
      <c r="BG36" s="928"/>
      <c r="BH36" s="928"/>
      <c r="BI36" s="928"/>
      <c r="BJ36" s="928"/>
      <c r="BK36" s="928"/>
      <c r="BL36" s="928"/>
      <c r="BM36" s="928"/>
      <c r="BN36" s="928"/>
      <c r="BO36" s="928"/>
      <c r="BP36" s="928"/>
      <c r="BQ36" s="928"/>
      <c r="BR36" s="928"/>
      <c r="BS36" s="928"/>
      <c r="BT36" s="928"/>
      <c r="BU36" s="928"/>
      <c r="BV36" s="928"/>
      <c r="BW36" s="928"/>
      <c r="BX36" s="928"/>
      <c r="BY36" s="928"/>
      <c r="BZ36" s="928"/>
      <c r="CA36" s="928"/>
      <c r="CB36" s="928"/>
      <c r="CC36" s="928"/>
      <c r="CD36" s="928"/>
      <c r="CE36" s="928"/>
      <c r="CF36" s="928"/>
      <c r="CG36" s="928"/>
      <c r="CH36" s="928"/>
      <c r="CI36" s="928"/>
      <c r="CJ36" s="928"/>
      <c r="CK36" s="928"/>
      <c r="CL36" s="928"/>
      <c r="CM36" s="928"/>
      <c r="CN36" s="928"/>
      <c r="CO36" s="928"/>
      <c r="CP36" s="928"/>
      <c r="CQ36" s="928"/>
      <c r="CR36" s="928"/>
      <c r="CS36" s="928"/>
      <c r="CT36" s="928"/>
      <c r="CU36" s="928"/>
      <c r="CV36" s="928"/>
      <c r="CW36" s="928"/>
      <c r="CX36" s="928"/>
      <c r="CY36" s="928"/>
      <c r="CZ36" s="928"/>
      <c r="DA36" s="928"/>
      <c r="DB36" s="928"/>
      <c r="DC36" s="928"/>
      <c r="DD36" s="928"/>
      <c r="DE36" s="928"/>
      <c r="DF36" s="928"/>
      <c r="DG36" s="928"/>
      <c r="DH36" s="928"/>
    </row>
    <row r="37" spans="1:112">
      <c r="A37" s="891" t="s">
        <v>813</v>
      </c>
      <c r="B37" s="891" t="s">
        <v>1474</v>
      </c>
      <c r="C37" s="891" t="s">
        <v>298</v>
      </c>
      <c r="D37" s="891" t="s">
        <v>813</v>
      </c>
      <c r="E37" s="891" t="s">
        <v>1474</v>
      </c>
      <c r="F37" s="891" t="s">
        <v>298</v>
      </c>
      <c r="G37" s="897">
        <v>76.98</v>
      </c>
      <c r="H37" s="897">
        <v>88.6</v>
      </c>
      <c r="I37" s="897">
        <v>94.34</v>
      </c>
      <c r="J37" s="891"/>
      <c r="K37" s="891"/>
      <c r="L37" s="891"/>
      <c r="M37" s="891"/>
      <c r="N37" s="891"/>
      <c r="O37" s="891"/>
      <c r="P37" s="891"/>
      <c r="Q37" s="891"/>
      <c r="R37" s="891"/>
      <c r="S37" s="891"/>
      <c r="T37" s="891"/>
      <c r="U37" s="928"/>
      <c r="V37" s="928"/>
      <c r="W37" s="928"/>
      <c r="X37" s="928"/>
      <c r="Y37" s="928"/>
      <c r="Z37" s="928"/>
      <c r="AA37" s="928"/>
      <c r="AB37" s="928"/>
      <c r="AC37" s="928"/>
      <c r="AD37" s="928"/>
      <c r="AE37" s="928"/>
      <c r="AF37" s="928"/>
      <c r="AG37" s="928"/>
      <c r="AH37" s="928"/>
      <c r="AI37" s="928"/>
      <c r="AJ37" s="928"/>
      <c r="AK37" s="928"/>
      <c r="AL37" s="928"/>
      <c r="AM37" s="928"/>
      <c r="AN37" s="928"/>
      <c r="AO37" s="928"/>
      <c r="AP37" s="928"/>
      <c r="AQ37" s="928"/>
      <c r="AR37" s="928"/>
      <c r="AS37" s="928"/>
      <c r="AT37" s="928"/>
      <c r="AU37" s="928"/>
      <c r="AV37" s="928"/>
      <c r="AW37" s="928"/>
      <c r="AX37" s="928"/>
      <c r="AY37" s="928"/>
      <c r="AZ37" s="928"/>
      <c r="BA37" s="928"/>
      <c r="BB37" s="928"/>
      <c r="BC37" s="928"/>
      <c r="BD37" s="928"/>
      <c r="BE37" s="928"/>
      <c r="BF37" s="928"/>
      <c r="BG37" s="928"/>
      <c r="BH37" s="928"/>
      <c r="BI37" s="928"/>
      <c r="BJ37" s="928"/>
      <c r="BK37" s="928"/>
      <c r="BL37" s="928"/>
      <c r="BM37" s="928"/>
      <c r="BN37" s="928"/>
      <c r="BO37" s="928"/>
      <c r="BP37" s="928"/>
      <c r="BQ37" s="928"/>
      <c r="BR37" s="928"/>
      <c r="BS37" s="928"/>
      <c r="BT37" s="928"/>
      <c r="BU37" s="928"/>
      <c r="BV37" s="928"/>
      <c r="BW37" s="928"/>
      <c r="BX37" s="928"/>
      <c r="BY37" s="928"/>
      <c r="BZ37" s="928"/>
      <c r="CA37" s="928"/>
      <c r="CB37" s="928"/>
      <c r="CC37" s="928"/>
      <c r="CD37" s="928"/>
      <c r="CE37" s="928"/>
      <c r="CF37" s="928"/>
      <c r="CG37" s="928"/>
      <c r="CH37" s="928"/>
      <c r="CI37" s="928"/>
      <c r="CJ37" s="928"/>
      <c r="CK37" s="928"/>
      <c r="CL37" s="928"/>
      <c r="CM37" s="928"/>
      <c r="CN37" s="928"/>
      <c r="CO37" s="928"/>
      <c r="CP37" s="928"/>
      <c r="CQ37" s="928"/>
      <c r="CR37" s="928"/>
      <c r="CS37" s="928"/>
      <c r="CT37" s="928"/>
      <c r="CU37" s="928"/>
      <c r="CV37" s="928"/>
      <c r="CW37" s="928"/>
      <c r="CX37" s="928"/>
      <c r="CY37" s="928"/>
      <c r="CZ37" s="928"/>
      <c r="DA37" s="928"/>
      <c r="DB37" s="928"/>
      <c r="DC37" s="928"/>
      <c r="DD37" s="928"/>
      <c r="DE37" s="928"/>
      <c r="DF37" s="928"/>
      <c r="DG37" s="928"/>
      <c r="DH37" s="928"/>
    </row>
    <row r="38" spans="1:112">
      <c r="A38" s="891" t="s">
        <v>814</v>
      </c>
      <c r="B38" s="891" t="s">
        <v>1475</v>
      </c>
      <c r="C38" s="891" t="s">
        <v>257</v>
      </c>
      <c r="D38" s="891" t="s">
        <v>814</v>
      </c>
      <c r="E38" s="891" t="s">
        <v>1475</v>
      </c>
      <c r="F38" s="891" t="s">
        <v>257</v>
      </c>
      <c r="G38" s="897">
        <v>44.94</v>
      </c>
      <c r="H38" s="897">
        <v>43.52</v>
      </c>
      <c r="I38" s="897">
        <v>43.28</v>
      </c>
      <c r="J38" s="891"/>
      <c r="K38" s="891"/>
      <c r="L38" s="891"/>
      <c r="M38" s="891"/>
      <c r="N38" s="891"/>
      <c r="O38" s="891"/>
      <c r="P38" s="891"/>
      <c r="Q38" s="891"/>
      <c r="R38" s="891"/>
      <c r="S38" s="891"/>
      <c r="T38" s="891"/>
      <c r="U38" s="928"/>
      <c r="V38" s="928"/>
      <c r="W38" s="928"/>
      <c r="X38" s="928"/>
      <c r="Y38" s="928"/>
      <c r="Z38" s="928"/>
      <c r="AA38" s="928"/>
      <c r="AB38" s="928"/>
      <c r="AC38" s="928"/>
      <c r="AD38" s="928"/>
      <c r="AE38" s="928"/>
      <c r="AF38" s="928"/>
      <c r="AG38" s="928"/>
      <c r="AH38" s="928"/>
      <c r="AI38" s="928"/>
      <c r="AJ38" s="928"/>
      <c r="AK38" s="928"/>
      <c r="AL38" s="928"/>
      <c r="AM38" s="928"/>
      <c r="AN38" s="928"/>
      <c r="AO38" s="928"/>
      <c r="AP38" s="928"/>
      <c r="AQ38" s="928"/>
      <c r="AR38" s="928"/>
      <c r="AS38" s="928"/>
      <c r="AT38" s="928"/>
      <c r="AU38" s="928"/>
      <c r="AV38" s="928"/>
      <c r="AW38" s="928"/>
      <c r="AX38" s="928"/>
      <c r="AY38" s="928"/>
      <c r="AZ38" s="928"/>
      <c r="BA38" s="928"/>
      <c r="BB38" s="928"/>
      <c r="BC38" s="928"/>
      <c r="BD38" s="928"/>
      <c r="BE38" s="928"/>
      <c r="BF38" s="928"/>
      <c r="BG38" s="928"/>
      <c r="BH38" s="928"/>
      <c r="BI38" s="928"/>
      <c r="BJ38" s="928"/>
      <c r="BK38" s="928"/>
      <c r="BL38" s="928"/>
      <c r="BM38" s="928"/>
      <c r="BN38" s="928"/>
      <c r="BO38" s="928"/>
      <c r="BP38" s="928"/>
      <c r="BQ38" s="928"/>
      <c r="BR38" s="928"/>
      <c r="BS38" s="928"/>
      <c r="BT38" s="928"/>
      <c r="BU38" s="928"/>
      <c r="BV38" s="928"/>
      <c r="BW38" s="928"/>
      <c r="BX38" s="928"/>
      <c r="BY38" s="928"/>
      <c r="BZ38" s="928"/>
      <c r="CA38" s="928"/>
      <c r="CB38" s="928"/>
      <c r="CC38" s="928"/>
      <c r="CD38" s="928"/>
      <c r="CE38" s="928"/>
      <c r="CF38" s="928"/>
      <c r="CG38" s="928"/>
      <c r="CH38" s="928"/>
      <c r="CI38" s="928"/>
      <c r="CJ38" s="928"/>
      <c r="CK38" s="928"/>
      <c r="CL38" s="928"/>
      <c r="CM38" s="928"/>
      <c r="CN38" s="928"/>
      <c r="CO38" s="928"/>
      <c r="CP38" s="928"/>
      <c r="CQ38" s="928"/>
      <c r="CR38" s="928"/>
      <c r="CS38" s="928"/>
      <c r="CT38" s="928"/>
      <c r="CU38" s="928"/>
      <c r="CV38" s="928"/>
      <c r="CW38" s="928"/>
      <c r="CX38" s="928"/>
      <c r="CY38" s="928"/>
      <c r="CZ38" s="928"/>
      <c r="DA38" s="928"/>
      <c r="DB38" s="928"/>
      <c r="DC38" s="928"/>
      <c r="DD38" s="928"/>
      <c r="DE38" s="928"/>
      <c r="DF38" s="928"/>
      <c r="DG38" s="928"/>
      <c r="DH38" s="928"/>
    </row>
    <row r="39" spans="1:112">
      <c r="A39" s="891" t="s">
        <v>815</v>
      </c>
      <c r="B39" s="891" t="s">
        <v>1476</v>
      </c>
      <c r="C39" s="891" t="s">
        <v>39</v>
      </c>
      <c r="D39" s="891" t="s">
        <v>815</v>
      </c>
      <c r="E39" s="891" t="s">
        <v>1476</v>
      </c>
      <c r="F39" s="891" t="s">
        <v>39</v>
      </c>
      <c r="G39" s="897">
        <v>50.99</v>
      </c>
      <c r="H39" s="897">
        <v>48.95</v>
      </c>
      <c r="I39" s="897">
        <v>41.29</v>
      </c>
      <c r="J39" s="891"/>
      <c r="K39" s="891"/>
      <c r="L39" s="891"/>
      <c r="M39" s="891"/>
      <c r="N39" s="891"/>
      <c r="O39" s="891"/>
      <c r="P39" s="891"/>
      <c r="Q39" s="891"/>
      <c r="R39" s="891"/>
      <c r="S39" s="891"/>
      <c r="T39" s="891"/>
      <c r="U39" s="928"/>
      <c r="V39" s="928"/>
      <c r="W39" s="928"/>
      <c r="X39" s="928"/>
      <c r="Y39" s="928"/>
      <c r="Z39" s="928"/>
      <c r="AA39" s="928"/>
      <c r="AB39" s="928"/>
      <c r="AC39" s="928"/>
      <c r="AD39" s="928"/>
      <c r="AE39" s="928"/>
      <c r="AF39" s="928"/>
      <c r="AG39" s="928"/>
      <c r="AH39" s="928"/>
      <c r="AI39" s="928"/>
      <c r="AJ39" s="928"/>
      <c r="AK39" s="928"/>
      <c r="AL39" s="928"/>
      <c r="AM39" s="928"/>
      <c r="AN39" s="928"/>
      <c r="AO39" s="928"/>
      <c r="AP39" s="928"/>
      <c r="AQ39" s="928"/>
      <c r="AR39" s="928"/>
      <c r="AS39" s="928"/>
      <c r="AT39" s="928"/>
      <c r="AU39" s="928"/>
      <c r="AV39" s="928"/>
      <c r="AW39" s="928"/>
      <c r="AX39" s="928"/>
      <c r="AY39" s="928"/>
      <c r="AZ39" s="928"/>
      <c r="BA39" s="928"/>
      <c r="BB39" s="928"/>
      <c r="BC39" s="928"/>
      <c r="BD39" s="928"/>
      <c r="BE39" s="928"/>
      <c r="BF39" s="928"/>
      <c r="BG39" s="928"/>
      <c r="BH39" s="928"/>
      <c r="BI39" s="928"/>
      <c r="BJ39" s="928"/>
      <c r="BK39" s="928"/>
      <c r="BL39" s="928"/>
      <c r="BM39" s="928"/>
      <c r="BN39" s="928"/>
      <c r="BO39" s="928"/>
      <c r="BP39" s="928"/>
      <c r="BQ39" s="928"/>
      <c r="BR39" s="928"/>
      <c r="BS39" s="928"/>
      <c r="BT39" s="928"/>
      <c r="BU39" s="928"/>
      <c r="BV39" s="928"/>
      <c r="BW39" s="928"/>
      <c r="BX39" s="928"/>
      <c r="BY39" s="928"/>
      <c r="BZ39" s="928"/>
      <c r="CA39" s="928"/>
      <c r="CB39" s="928"/>
      <c r="CC39" s="928"/>
      <c r="CD39" s="928"/>
      <c r="CE39" s="928"/>
      <c r="CF39" s="928"/>
      <c r="CG39" s="928"/>
      <c r="CH39" s="928"/>
      <c r="CI39" s="928"/>
      <c r="CJ39" s="928"/>
      <c r="CK39" s="928"/>
      <c r="CL39" s="928"/>
      <c r="CM39" s="928"/>
      <c r="CN39" s="928"/>
      <c r="CO39" s="928"/>
      <c r="CP39" s="928"/>
      <c r="CQ39" s="928"/>
      <c r="CR39" s="928"/>
      <c r="CS39" s="928"/>
      <c r="CT39" s="928"/>
      <c r="CU39" s="928"/>
      <c r="CV39" s="928"/>
      <c r="CW39" s="928"/>
      <c r="CX39" s="928"/>
      <c r="CY39" s="928"/>
      <c r="CZ39" s="928"/>
      <c r="DA39" s="928"/>
      <c r="DB39" s="928"/>
      <c r="DC39" s="928"/>
      <c r="DD39" s="928"/>
      <c r="DE39" s="928"/>
      <c r="DF39" s="928"/>
      <c r="DG39" s="928"/>
      <c r="DH39" s="928"/>
    </row>
    <row r="40" spans="1:112">
      <c r="A40" s="891" t="s">
        <v>816</v>
      </c>
      <c r="B40" s="891" t="s">
        <v>1477</v>
      </c>
      <c r="C40" s="891" t="s">
        <v>6</v>
      </c>
      <c r="D40" s="891" t="s">
        <v>816</v>
      </c>
      <c r="E40" s="891" t="s">
        <v>1477</v>
      </c>
      <c r="F40" s="891" t="s">
        <v>6</v>
      </c>
      <c r="G40" s="897">
        <v>87.99</v>
      </c>
      <c r="H40" s="897">
        <v>88.38</v>
      </c>
      <c r="I40" s="897">
        <v>72.099999999999994</v>
      </c>
      <c r="J40" s="891"/>
      <c r="K40" s="891"/>
      <c r="L40" s="891"/>
      <c r="M40" s="891"/>
      <c r="N40" s="891"/>
      <c r="O40" s="891"/>
      <c r="P40" s="891"/>
      <c r="Q40" s="891"/>
      <c r="R40" s="891"/>
      <c r="S40" s="891"/>
      <c r="T40" s="891"/>
      <c r="U40" s="928"/>
      <c r="V40" s="928"/>
      <c r="W40" s="928"/>
      <c r="X40" s="928"/>
      <c r="Y40" s="928"/>
      <c r="Z40" s="928"/>
      <c r="AA40" s="928"/>
      <c r="AB40" s="928"/>
      <c r="AC40" s="928"/>
      <c r="AD40" s="928"/>
      <c r="AE40" s="928"/>
      <c r="AF40" s="928"/>
      <c r="AG40" s="928"/>
      <c r="AH40" s="928"/>
      <c r="AI40" s="928"/>
      <c r="AJ40" s="928"/>
      <c r="AK40" s="928"/>
      <c r="AL40" s="928"/>
      <c r="AM40" s="928"/>
      <c r="AN40" s="928"/>
      <c r="AO40" s="928"/>
      <c r="AP40" s="928"/>
      <c r="AQ40" s="928"/>
      <c r="AR40" s="928"/>
      <c r="AS40" s="928"/>
      <c r="AT40" s="928"/>
      <c r="AU40" s="928"/>
      <c r="AV40" s="928"/>
      <c r="AW40" s="928"/>
      <c r="AX40" s="928"/>
      <c r="AY40" s="928"/>
      <c r="AZ40" s="928"/>
      <c r="BA40" s="928"/>
      <c r="BB40" s="928"/>
      <c r="BC40" s="928"/>
      <c r="BD40" s="928"/>
      <c r="BE40" s="928"/>
      <c r="BF40" s="928"/>
      <c r="BG40" s="928"/>
      <c r="BH40" s="928"/>
      <c r="BI40" s="928"/>
      <c r="BJ40" s="928"/>
      <c r="BK40" s="928"/>
      <c r="BL40" s="928"/>
      <c r="BM40" s="928"/>
      <c r="BN40" s="928"/>
      <c r="BO40" s="928"/>
      <c r="BP40" s="928"/>
      <c r="BQ40" s="928"/>
      <c r="BR40" s="928"/>
      <c r="BS40" s="928"/>
      <c r="BT40" s="928"/>
      <c r="BU40" s="928"/>
      <c r="BV40" s="928"/>
      <c r="BW40" s="928"/>
      <c r="BX40" s="928"/>
      <c r="BY40" s="928"/>
      <c r="BZ40" s="928"/>
      <c r="CA40" s="928"/>
      <c r="CB40" s="928"/>
      <c r="CC40" s="928"/>
      <c r="CD40" s="928"/>
      <c r="CE40" s="928"/>
      <c r="CF40" s="928"/>
      <c r="CG40" s="928"/>
      <c r="CH40" s="928"/>
      <c r="CI40" s="928"/>
      <c r="CJ40" s="928"/>
      <c r="CK40" s="928"/>
      <c r="CL40" s="928"/>
      <c r="CM40" s="928"/>
      <c r="CN40" s="928"/>
      <c r="CO40" s="928"/>
      <c r="CP40" s="928"/>
      <c r="CQ40" s="928"/>
      <c r="CR40" s="928"/>
      <c r="CS40" s="928"/>
      <c r="CT40" s="928"/>
      <c r="CU40" s="928"/>
      <c r="CV40" s="928"/>
      <c r="CW40" s="928"/>
      <c r="CX40" s="928"/>
      <c r="CY40" s="928"/>
      <c r="CZ40" s="928"/>
      <c r="DA40" s="928"/>
      <c r="DB40" s="928"/>
      <c r="DC40" s="928"/>
      <c r="DD40" s="928"/>
      <c r="DE40" s="928"/>
      <c r="DF40" s="928"/>
      <c r="DG40" s="928"/>
      <c r="DH40" s="928"/>
    </row>
    <row r="41" spans="1:112">
      <c r="A41" s="891" t="s">
        <v>817</v>
      </c>
      <c r="B41" s="891" t="s">
        <v>1478</v>
      </c>
      <c r="C41" s="891" t="s">
        <v>155</v>
      </c>
      <c r="D41" s="891" t="s">
        <v>817</v>
      </c>
      <c r="E41" s="891" t="s">
        <v>1478</v>
      </c>
      <c r="F41" s="891" t="s">
        <v>155</v>
      </c>
      <c r="G41" s="897">
        <v>141.61000000000001</v>
      </c>
      <c r="H41" s="897">
        <v>161.80000000000001</v>
      </c>
      <c r="I41" s="897">
        <v>101.88</v>
      </c>
      <c r="J41" s="891"/>
      <c r="K41" s="891"/>
      <c r="L41" s="891"/>
      <c r="M41" s="891"/>
      <c r="N41" s="891"/>
      <c r="O41" s="891"/>
      <c r="P41" s="891"/>
      <c r="Q41" s="891"/>
      <c r="R41" s="891"/>
      <c r="S41" s="891"/>
      <c r="T41" s="891"/>
      <c r="U41" s="928"/>
      <c r="V41" s="928"/>
      <c r="W41" s="928"/>
      <c r="X41" s="928"/>
      <c r="Y41" s="928"/>
      <c r="Z41" s="928"/>
      <c r="AA41" s="928"/>
      <c r="AB41" s="928"/>
      <c r="AC41" s="928"/>
      <c r="AD41" s="928"/>
      <c r="AE41" s="928"/>
      <c r="AF41" s="928"/>
      <c r="AG41" s="928"/>
      <c r="AH41" s="928"/>
      <c r="AI41" s="928"/>
      <c r="AJ41" s="928"/>
      <c r="AK41" s="928"/>
      <c r="AL41" s="928"/>
      <c r="AM41" s="928"/>
      <c r="AN41" s="928"/>
      <c r="AO41" s="928"/>
      <c r="AP41" s="928"/>
      <c r="AQ41" s="928"/>
      <c r="AR41" s="928"/>
      <c r="AS41" s="928"/>
      <c r="AT41" s="928"/>
      <c r="AU41" s="928"/>
      <c r="AV41" s="928"/>
      <c r="AW41" s="928"/>
      <c r="AX41" s="928"/>
      <c r="AY41" s="928"/>
      <c r="AZ41" s="928"/>
      <c r="BA41" s="928"/>
      <c r="BB41" s="928"/>
      <c r="BC41" s="928"/>
      <c r="BD41" s="928"/>
      <c r="BE41" s="928"/>
      <c r="BF41" s="928"/>
      <c r="BG41" s="928"/>
      <c r="BH41" s="928"/>
      <c r="BI41" s="928"/>
      <c r="BJ41" s="928"/>
      <c r="BK41" s="928"/>
      <c r="BL41" s="928"/>
      <c r="BM41" s="928"/>
      <c r="BN41" s="928"/>
      <c r="BO41" s="928"/>
      <c r="BP41" s="928"/>
      <c r="BQ41" s="928"/>
      <c r="BR41" s="928"/>
      <c r="BS41" s="928"/>
      <c r="BT41" s="928"/>
      <c r="BU41" s="928"/>
      <c r="BV41" s="928"/>
      <c r="BW41" s="928"/>
      <c r="BX41" s="928"/>
      <c r="BY41" s="928"/>
      <c r="BZ41" s="928"/>
      <c r="CA41" s="928"/>
      <c r="CB41" s="928"/>
      <c r="CC41" s="928"/>
      <c r="CD41" s="928"/>
      <c r="CE41" s="928"/>
      <c r="CF41" s="928"/>
      <c r="CG41" s="928"/>
      <c r="CH41" s="928"/>
      <c r="CI41" s="928"/>
      <c r="CJ41" s="928"/>
      <c r="CK41" s="928"/>
      <c r="CL41" s="928"/>
      <c r="CM41" s="928"/>
      <c r="CN41" s="928"/>
      <c r="CO41" s="928"/>
      <c r="CP41" s="928"/>
      <c r="CQ41" s="928"/>
      <c r="CR41" s="928"/>
      <c r="CS41" s="928"/>
      <c r="CT41" s="928"/>
      <c r="CU41" s="928"/>
      <c r="CV41" s="928"/>
      <c r="CW41" s="928"/>
      <c r="CX41" s="928"/>
      <c r="CY41" s="928"/>
      <c r="CZ41" s="928"/>
      <c r="DA41" s="928"/>
      <c r="DB41" s="928"/>
      <c r="DC41" s="928"/>
      <c r="DD41" s="928"/>
      <c r="DE41" s="928"/>
      <c r="DF41" s="928"/>
      <c r="DG41" s="928"/>
      <c r="DH41" s="928"/>
    </row>
    <row r="42" spans="1:112">
      <c r="A42" s="891" t="s">
        <v>818</v>
      </c>
      <c r="B42" s="891" t="s">
        <v>1479</v>
      </c>
      <c r="C42" s="891" t="s">
        <v>9</v>
      </c>
      <c r="D42" s="891" t="s">
        <v>818</v>
      </c>
      <c r="E42" s="891" t="s">
        <v>1479</v>
      </c>
      <c r="F42" s="891" t="s">
        <v>9</v>
      </c>
      <c r="G42" s="897">
        <v>74.72</v>
      </c>
      <c r="H42" s="897">
        <v>67.61</v>
      </c>
      <c r="I42" s="897">
        <v>94.05</v>
      </c>
      <c r="J42" s="891"/>
      <c r="K42" s="891"/>
      <c r="L42" s="891"/>
      <c r="M42" s="891"/>
      <c r="N42" s="891"/>
      <c r="O42" s="891"/>
      <c r="P42" s="891"/>
      <c r="Q42" s="891"/>
      <c r="R42" s="891"/>
      <c r="S42" s="891"/>
      <c r="T42" s="891"/>
      <c r="U42" s="928"/>
      <c r="V42" s="928"/>
      <c r="W42" s="928"/>
      <c r="X42" s="928"/>
      <c r="Y42" s="928"/>
      <c r="Z42" s="928"/>
      <c r="AA42" s="928"/>
      <c r="AB42" s="928"/>
      <c r="AC42" s="928"/>
      <c r="AD42" s="928"/>
      <c r="AE42" s="928"/>
      <c r="AF42" s="928"/>
      <c r="AG42" s="928"/>
      <c r="AH42" s="928"/>
      <c r="AI42" s="928"/>
      <c r="AJ42" s="928"/>
      <c r="AK42" s="928"/>
      <c r="AL42" s="928"/>
      <c r="AM42" s="928"/>
      <c r="AN42" s="928"/>
      <c r="AO42" s="928"/>
      <c r="AP42" s="928"/>
      <c r="AQ42" s="928"/>
      <c r="AR42" s="928"/>
      <c r="AS42" s="928"/>
      <c r="AT42" s="928"/>
      <c r="AU42" s="928"/>
      <c r="AV42" s="928"/>
      <c r="AW42" s="928"/>
      <c r="AX42" s="928"/>
      <c r="AY42" s="928"/>
      <c r="AZ42" s="928"/>
      <c r="BA42" s="928"/>
      <c r="BB42" s="928"/>
      <c r="BC42" s="928"/>
      <c r="BD42" s="928"/>
      <c r="BE42" s="928"/>
      <c r="BF42" s="928"/>
      <c r="BG42" s="928"/>
      <c r="BH42" s="928"/>
      <c r="BI42" s="928"/>
      <c r="BJ42" s="928"/>
      <c r="BK42" s="928"/>
      <c r="BL42" s="928"/>
      <c r="BM42" s="928"/>
      <c r="BN42" s="928"/>
      <c r="BO42" s="928"/>
      <c r="BP42" s="928"/>
      <c r="BQ42" s="928"/>
      <c r="BR42" s="928"/>
      <c r="BS42" s="928"/>
      <c r="BT42" s="928"/>
      <c r="BU42" s="928"/>
      <c r="BV42" s="928"/>
      <c r="BW42" s="928"/>
      <c r="BX42" s="928"/>
      <c r="BY42" s="928"/>
      <c r="BZ42" s="928"/>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8"/>
      <c r="DB42" s="928"/>
      <c r="DC42" s="928"/>
      <c r="DD42" s="928"/>
      <c r="DE42" s="928"/>
      <c r="DF42" s="928"/>
      <c r="DG42" s="928"/>
      <c r="DH42" s="928"/>
    </row>
    <row r="43" spans="1:112">
      <c r="A43" s="891" t="s">
        <v>819</v>
      </c>
      <c r="B43" s="891" t="s">
        <v>1453</v>
      </c>
      <c r="C43" s="891" t="s">
        <v>387</v>
      </c>
      <c r="D43" s="891" t="s">
        <v>819</v>
      </c>
      <c r="E43" s="891" t="s">
        <v>1453</v>
      </c>
      <c r="F43" s="891" t="s">
        <v>387</v>
      </c>
      <c r="G43" s="897">
        <v>135.59</v>
      </c>
      <c r="H43" s="897">
        <v>126.28</v>
      </c>
      <c r="I43" s="897">
        <v>162.51</v>
      </c>
      <c r="J43" s="891"/>
      <c r="K43" s="891"/>
      <c r="L43" s="891"/>
      <c r="M43" s="891"/>
      <c r="N43" s="891"/>
      <c r="O43" s="891"/>
      <c r="P43" s="891"/>
      <c r="Q43" s="891"/>
      <c r="R43" s="891"/>
      <c r="S43" s="891"/>
      <c r="T43" s="891"/>
      <c r="U43" s="928"/>
      <c r="V43" s="928"/>
      <c r="W43" s="928"/>
      <c r="X43" s="928"/>
      <c r="Y43" s="928"/>
      <c r="Z43" s="928"/>
      <c r="AA43" s="928"/>
      <c r="AB43" s="928"/>
      <c r="AC43" s="928"/>
      <c r="AD43" s="928"/>
      <c r="AE43" s="928"/>
      <c r="AF43" s="928"/>
      <c r="AG43" s="928"/>
      <c r="AH43" s="928"/>
      <c r="AI43" s="928"/>
      <c r="AJ43" s="928"/>
      <c r="AK43" s="928"/>
      <c r="AL43" s="928"/>
      <c r="AM43" s="928"/>
      <c r="AN43" s="928"/>
      <c r="AO43" s="928"/>
      <c r="AP43" s="928"/>
      <c r="AQ43" s="928"/>
      <c r="AR43" s="928"/>
      <c r="AS43" s="928"/>
      <c r="AT43" s="928"/>
      <c r="AU43" s="928"/>
      <c r="AV43" s="928"/>
      <c r="AW43" s="928"/>
      <c r="AX43" s="928"/>
      <c r="AY43" s="928"/>
      <c r="AZ43" s="928"/>
      <c r="BA43" s="928"/>
      <c r="BB43" s="928"/>
      <c r="BC43" s="928"/>
      <c r="BD43" s="928"/>
      <c r="BE43" s="928"/>
      <c r="BF43" s="928"/>
      <c r="BG43" s="928"/>
      <c r="BH43" s="928"/>
      <c r="BI43" s="928"/>
      <c r="BJ43" s="928"/>
      <c r="BK43" s="928"/>
      <c r="BL43" s="928"/>
      <c r="BM43" s="928"/>
      <c r="BN43" s="928"/>
      <c r="BO43" s="928"/>
      <c r="BP43" s="928"/>
      <c r="BQ43" s="928"/>
      <c r="BR43" s="928"/>
      <c r="BS43" s="928"/>
      <c r="BT43" s="928"/>
      <c r="BU43" s="928"/>
      <c r="BV43" s="928"/>
      <c r="BW43" s="928"/>
      <c r="BX43" s="928"/>
      <c r="BY43" s="928"/>
      <c r="BZ43" s="928"/>
      <c r="CA43" s="928"/>
      <c r="CB43" s="928"/>
      <c r="CC43" s="928"/>
      <c r="CD43" s="928"/>
      <c r="CE43" s="928"/>
      <c r="CF43" s="928"/>
      <c r="CG43" s="928"/>
      <c r="CH43" s="928"/>
      <c r="CI43" s="928"/>
      <c r="CJ43" s="928"/>
      <c r="CK43" s="928"/>
      <c r="CL43" s="928"/>
      <c r="CM43" s="928"/>
      <c r="CN43" s="928"/>
      <c r="CO43" s="928"/>
      <c r="CP43" s="928"/>
      <c r="CQ43" s="928"/>
      <c r="CR43" s="928"/>
      <c r="CS43" s="928"/>
      <c r="CT43" s="928"/>
      <c r="CU43" s="928"/>
      <c r="CV43" s="928"/>
      <c r="CW43" s="928"/>
      <c r="CX43" s="928"/>
      <c r="CY43" s="928"/>
      <c r="CZ43" s="928"/>
      <c r="DA43" s="928"/>
      <c r="DB43" s="928"/>
      <c r="DC43" s="928"/>
      <c r="DD43" s="928"/>
      <c r="DE43" s="928"/>
      <c r="DF43" s="928"/>
      <c r="DG43" s="928"/>
      <c r="DH43" s="928"/>
    </row>
    <row r="44" spans="1:112">
      <c r="A44" s="891" t="s">
        <v>1480</v>
      </c>
      <c r="B44" s="891" t="s">
        <v>1453</v>
      </c>
      <c r="C44" s="891" t="s">
        <v>1481</v>
      </c>
      <c r="D44" s="891" t="s">
        <v>1480</v>
      </c>
      <c r="E44" s="891" t="s">
        <v>1453</v>
      </c>
      <c r="F44" s="891" t="s">
        <v>1481</v>
      </c>
      <c r="G44" s="897">
        <v>25.58</v>
      </c>
      <c r="H44" s="897">
        <v>15.79</v>
      </c>
      <c r="I44" s="897">
        <v>52.24</v>
      </c>
      <c r="J44" s="891"/>
      <c r="K44" s="891"/>
      <c r="L44" s="891"/>
      <c r="M44" s="891"/>
      <c r="N44" s="891"/>
      <c r="O44" s="891"/>
      <c r="P44" s="891"/>
      <c r="Q44" s="891"/>
      <c r="R44" s="891"/>
      <c r="S44" s="891"/>
      <c r="T44" s="891"/>
      <c r="U44" s="928"/>
      <c r="V44" s="928"/>
      <c r="W44" s="928"/>
      <c r="X44" s="928"/>
      <c r="Y44" s="928"/>
      <c r="Z44" s="928"/>
      <c r="AA44" s="928"/>
      <c r="AB44" s="928"/>
      <c r="AC44" s="928"/>
      <c r="AD44" s="928"/>
      <c r="AE44" s="928"/>
      <c r="AF44" s="928"/>
      <c r="AG44" s="928"/>
      <c r="AH44" s="928"/>
      <c r="AI44" s="928"/>
      <c r="AJ44" s="928"/>
      <c r="AK44" s="928"/>
      <c r="AL44" s="928"/>
      <c r="AM44" s="928"/>
      <c r="AN44" s="928"/>
      <c r="AO44" s="928"/>
      <c r="AP44" s="928"/>
      <c r="AQ44" s="928"/>
      <c r="AR44" s="928"/>
      <c r="AS44" s="928"/>
      <c r="AT44" s="928"/>
      <c r="AU44" s="928"/>
      <c r="AV44" s="928"/>
      <c r="AW44" s="928"/>
      <c r="AX44" s="928"/>
      <c r="AY44" s="928"/>
      <c r="AZ44" s="928"/>
      <c r="BA44" s="928"/>
      <c r="BB44" s="928"/>
      <c r="BC44" s="928"/>
      <c r="BD44" s="928"/>
      <c r="BE44" s="928"/>
      <c r="BF44" s="928"/>
      <c r="BG44" s="928"/>
      <c r="BH44" s="928"/>
      <c r="BI44" s="928"/>
      <c r="BJ44" s="928"/>
      <c r="BK44" s="928"/>
      <c r="BL44" s="928"/>
      <c r="BM44" s="928"/>
      <c r="BN44" s="928"/>
      <c r="BO44" s="928"/>
      <c r="BP44" s="928"/>
      <c r="BQ44" s="928"/>
      <c r="BR44" s="928"/>
      <c r="BS44" s="928"/>
      <c r="BT44" s="928"/>
      <c r="BU44" s="928"/>
      <c r="BV44" s="928"/>
      <c r="BW44" s="928"/>
      <c r="BX44" s="928"/>
      <c r="BY44" s="928"/>
      <c r="BZ44" s="928"/>
      <c r="CA44" s="928"/>
      <c r="CB44" s="928"/>
      <c r="CC44" s="928"/>
      <c r="CD44" s="928"/>
      <c r="CE44" s="928"/>
      <c r="CF44" s="928"/>
      <c r="CG44" s="928"/>
      <c r="CH44" s="928"/>
      <c r="CI44" s="928"/>
      <c r="CJ44" s="928"/>
      <c r="CK44" s="928"/>
      <c r="CL44" s="928"/>
      <c r="CM44" s="928"/>
      <c r="CN44" s="928"/>
      <c r="CO44" s="928"/>
      <c r="CP44" s="928"/>
      <c r="CQ44" s="928"/>
      <c r="CR44" s="928"/>
      <c r="CS44" s="928"/>
      <c r="CT44" s="928"/>
      <c r="CU44" s="928"/>
      <c r="CV44" s="928"/>
      <c r="CW44" s="928"/>
      <c r="CX44" s="928"/>
      <c r="CY44" s="928"/>
      <c r="CZ44" s="928"/>
      <c r="DA44" s="928"/>
      <c r="DB44" s="928"/>
      <c r="DC44" s="928"/>
      <c r="DD44" s="928"/>
      <c r="DE44" s="928"/>
      <c r="DF44" s="928"/>
      <c r="DG44" s="928"/>
      <c r="DH44" s="928"/>
    </row>
    <row r="45" spans="1:112">
      <c r="A45" s="891" t="s">
        <v>823</v>
      </c>
      <c r="B45" s="891" t="s">
        <v>1482</v>
      </c>
      <c r="C45" s="891" t="s">
        <v>286</v>
      </c>
      <c r="D45" s="891" t="s">
        <v>823</v>
      </c>
      <c r="E45" s="891" t="s">
        <v>1482</v>
      </c>
      <c r="F45" s="891" t="s">
        <v>286</v>
      </c>
      <c r="G45" s="897">
        <v>25.3</v>
      </c>
      <c r="H45" s="897">
        <v>15.77</v>
      </c>
      <c r="I45" s="897">
        <v>41.69</v>
      </c>
      <c r="J45" s="891"/>
      <c r="K45" s="891"/>
      <c r="L45" s="891"/>
      <c r="M45" s="891"/>
      <c r="N45" s="891"/>
      <c r="O45" s="891"/>
      <c r="P45" s="891"/>
      <c r="Q45" s="891"/>
      <c r="R45" s="891"/>
      <c r="S45" s="891"/>
      <c r="T45" s="891"/>
      <c r="U45" s="928"/>
      <c r="V45" s="928"/>
      <c r="W45" s="928"/>
      <c r="X45" s="928"/>
      <c r="Y45" s="928"/>
      <c r="Z45" s="928"/>
      <c r="AA45" s="928"/>
      <c r="AB45" s="928"/>
      <c r="AC45" s="928"/>
      <c r="AD45" s="928"/>
      <c r="AE45" s="928"/>
      <c r="AF45" s="928"/>
      <c r="AG45" s="928"/>
      <c r="AH45" s="928"/>
      <c r="AI45" s="928"/>
      <c r="AJ45" s="928"/>
      <c r="AK45" s="928"/>
      <c r="AL45" s="928"/>
      <c r="AM45" s="928"/>
      <c r="AN45" s="928"/>
      <c r="AO45" s="928"/>
      <c r="AP45" s="928"/>
      <c r="AQ45" s="928"/>
      <c r="AR45" s="928"/>
      <c r="AS45" s="928"/>
      <c r="AT45" s="928"/>
      <c r="AU45" s="928"/>
      <c r="AV45" s="928"/>
      <c r="AW45" s="928"/>
      <c r="AX45" s="928"/>
      <c r="AY45" s="928"/>
      <c r="AZ45" s="928"/>
      <c r="BA45" s="928"/>
      <c r="BB45" s="928"/>
      <c r="BC45" s="928"/>
      <c r="BD45" s="928"/>
      <c r="BE45" s="928"/>
      <c r="BF45" s="928"/>
      <c r="BG45" s="928"/>
      <c r="BH45" s="928"/>
      <c r="BI45" s="928"/>
      <c r="BJ45" s="928"/>
      <c r="BK45" s="928"/>
      <c r="BL45" s="928"/>
      <c r="BM45" s="928"/>
      <c r="BN45" s="928"/>
      <c r="BO45" s="928"/>
      <c r="BP45" s="928"/>
      <c r="BQ45" s="928"/>
      <c r="BR45" s="928"/>
      <c r="BS45" s="928"/>
      <c r="BT45" s="928"/>
      <c r="BU45" s="928"/>
      <c r="BV45" s="928"/>
      <c r="BW45" s="928"/>
      <c r="BX45" s="928"/>
      <c r="BY45" s="928"/>
      <c r="BZ45" s="928"/>
      <c r="CA45" s="928"/>
      <c r="CB45" s="928"/>
      <c r="CC45" s="928"/>
      <c r="CD45" s="928"/>
      <c r="CE45" s="928"/>
      <c r="CF45" s="928"/>
      <c r="CG45" s="928"/>
      <c r="CH45" s="928"/>
      <c r="CI45" s="928"/>
      <c r="CJ45" s="928"/>
      <c r="CK45" s="928"/>
      <c r="CL45" s="928"/>
      <c r="CM45" s="928"/>
      <c r="CN45" s="928"/>
      <c r="CO45" s="928"/>
      <c r="CP45" s="928"/>
      <c r="CQ45" s="928"/>
      <c r="CR45" s="928"/>
      <c r="CS45" s="928"/>
      <c r="CT45" s="928"/>
      <c r="CU45" s="928"/>
      <c r="CV45" s="928"/>
      <c r="CW45" s="928"/>
      <c r="CX45" s="928"/>
      <c r="CY45" s="928"/>
      <c r="CZ45" s="928"/>
      <c r="DA45" s="928"/>
      <c r="DB45" s="928"/>
      <c r="DC45" s="928"/>
      <c r="DD45" s="928"/>
      <c r="DE45" s="928"/>
      <c r="DF45" s="928"/>
      <c r="DG45" s="928"/>
      <c r="DH45" s="928"/>
    </row>
    <row r="46" spans="1:112">
      <c r="A46" s="891" t="s">
        <v>824</v>
      </c>
      <c r="B46" s="891" t="s">
        <v>1476</v>
      </c>
      <c r="C46" s="891" t="s">
        <v>98</v>
      </c>
      <c r="D46" s="891" t="s">
        <v>824</v>
      </c>
      <c r="E46" s="891" t="s">
        <v>1476</v>
      </c>
      <c r="F46" s="891" t="s">
        <v>98</v>
      </c>
      <c r="G46" s="897">
        <v>52.91</v>
      </c>
      <c r="H46" s="897">
        <v>39.82</v>
      </c>
      <c r="I46" s="897">
        <v>31.65</v>
      </c>
      <c r="J46" s="891"/>
      <c r="K46" s="891"/>
      <c r="L46" s="891"/>
      <c r="M46" s="891"/>
      <c r="N46" s="891"/>
      <c r="O46" s="891"/>
      <c r="P46" s="891"/>
      <c r="Q46" s="891"/>
      <c r="R46" s="891"/>
      <c r="S46" s="891"/>
      <c r="T46" s="891"/>
      <c r="U46" s="928"/>
      <c r="V46" s="928"/>
      <c r="W46" s="928"/>
      <c r="X46" s="928"/>
      <c r="Y46" s="928"/>
      <c r="Z46" s="928"/>
      <c r="AA46" s="928"/>
      <c r="AB46" s="928"/>
      <c r="AC46" s="928"/>
      <c r="AD46" s="928"/>
      <c r="AE46" s="928"/>
      <c r="AF46" s="928"/>
      <c r="AG46" s="928"/>
      <c r="AH46" s="928"/>
      <c r="AI46" s="928"/>
      <c r="AJ46" s="928"/>
      <c r="AK46" s="928"/>
      <c r="AL46" s="928"/>
      <c r="AM46" s="928"/>
      <c r="AN46" s="928"/>
      <c r="AO46" s="928"/>
      <c r="AP46" s="928"/>
      <c r="AQ46" s="928"/>
      <c r="AR46" s="928"/>
      <c r="AS46" s="928"/>
      <c r="AT46" s="928"/>
      <c r="AU46" s="928"/>
      <c r="AV46" s="928"/>
      <c r="AW46" s="928"/>
      <c r="AX46" s="928"/>
      <c r="AY46" s="928"/>
      <c r="AZ46" s="928"/>
      <c r="BA46" s="928"/>
      <c r="BB46" s="928"/>
      <c r="BC46" s="928"/>
      <c r="BD46" s="928"/>
      <c r="BE46" s="928"/>
      <c r="BF46" s="928"/>
      <c r="BG46" s="928"/>
      <c r="BH46" s="928"/>
      <c r="BI46" s="928"/>
      <c r="BJ46" s="928"/>
      <c r="BK46" s="928"/>
      <c r="BL46" s="928"/>
      <c r="BM46" s="928"/>
      <c r="BN46" s="928"/>
      <c r="BO46" s="928"/>
      <c r="BP46" s="928"/>
      <c r="BQ46" s="928"/>
      <c r="BR46" s="928"/>
      <c r="BS46" s="928"/>
      <c r="BT46" s="928"/>
      <c r="BU46" s="928"/>
      <c r="BV46" s="928"/>
      <c r="BW46" s="928"/>
      <c r="BX46" s="928"/>
      <c r="BY46" s="928"/>
      <c r="BZ46" s="928"/>
      <c r="CA46" s="928"/>
      <c r="CB46" s="928"/>
      <c r="CC46" s="928"/>
      <c r="CD46" s="928"/>
      <c r="CE46" s="928"/>
      <c r="CF46" s="928"/>
      <c r="CG46" s="928"/>
      <c r="CH46" s="928"/>
      <c r="CI46" s="928"/>
      <c r="CJ46" s="928"/>
      <c r="CK46" s="928"/>
      <c r="CL46" s="928"/>
      <c r="CM46" s="928"/>
      <c r="CN46" s="928"/>
      <c r="CO46" s="928"/>
      <c r="CP46" s="928"/>
      <c r="CQ46" s="928"/>
      <c r="CR46" s="928"/>
      <c r="CS46" s="928"/>
      <c r="CT46" s="928"/>
      <c r="CU46" s="928"/>
      <c r="CV46" s="928"/>
      <c r="CW46" s="928"/>
      <c r="CX46" s="928"/>
      <c r="CY46" s="928"/>
      <c r="CZ46" s="928"/>
      <c r="DA46" s="928"/>
      <c r="DB46" s="928"/>
      <c r="DC46" s="928"/>
      <c r="DD46" s="928"/>
      <c r="DE46" s="928"/>
      <c r="DF46" s="928"/>
      <c r="DG46" s="928"/>
      <c r="DH46" s="928"/>
    </row>
    <row r="47" spans="1:112">
      <c r="A47" s="891" t="s">
        <v>826</v>
      </c>
      <c r="B47" s="891" t="s">
        <v>1454</v>
      </c>
      <c r="C47" s="891" t="s">
        <v>110</v>
      </c>
      <c r="D47" s="891" t="s">
        <v>826</v>
      </c>
      <c r="E47" s="891" t="s">
        <v>1454</v>
      </c>
      <c r="F47" s="891" t="s">
        <v>110</v>
      </c>
      <c r="G47" s="897">
        <v>90.53</v>
      </c>
      <c r="H47" s="897">
        <v>92.69</v>
      </c>
      <c r="I47" s="897">
        <v>79.989999999999995</v>
      </c>
      <c r="J47" s="891"/>
      <c r="K47" s="891"/>
      <c r="L47" s="891"/>
      <c r="M47" s="891"/>
      <c r="N47" s="891"/>
      <c r="O47" s="891"/>
      <c r="P47" s="891"/>
      <c r="Q47" s="891"/>
      <c r="R47" s="891"/>
      <c r="S47" s="891"/>
      <c r="T47" s="891"/>
      <c r="U47" s="928"/>
      <c r="V47" s="928"/>
      <c r="W47" s="928"/>
      <c r="X47" s="928"/>
      <c r="Y47" s="928"/>
      <c r="Z47" s="928"/>
      <c r="AA47" s="928"/>
      <c r="AB47" s="928"/>
      <c r="AC47" s="928"/>
      <c r="AD47" s="928"/>
      <c r="AE47" s="928"/>
      <c r="AF47" s="928"/>
      <c r="AG47" s="928"/>
      <c r="AH47" s="928"/>
      <c r="AI47" s="928"/>
      <c r="AJ47" s="928"/>
      <c r="AK47" s="928"/>
      <c r="AL47" s="928"/>
      <c r="AM47" s="928"/>
      <c r="AN47" s="928"/>
      <c r="AO47" s="928"/>
      <c r="AP47" s="928"/>
      <c r="AQ47" s="928"/>
      <c r="AR47" s="928"/>
      <c r="AS47" s="928"/>
      <c r="AT47" s="928"/>
      <c r="AU47" s="928"/>
      <c r="AV47" s="928"/>
      <c r="AW47" s="928"/>
      <c r="AX47" s="928"/>
      <c r="AY47" s="928"/>
      <c r="AZ47" s="928"/>
      <c r="BA47" s="928"/>
      <c r="BB47" s="928"/>
      <c r="BC47" s="928"/>
      <c r="BD47" s="928"/>
      <c r="BE47" s="928"/>
      <c r="BF47" s="928"/>
      <c r="BG47" s="928"/>
      <c r="BH47" s="928"/>
      <c r="BI47" s="928"/>
      <c r="BJ47" s="928"/>
      <c r="BK47" s="928"/>
      <c r="BL47" s="928"/>
      <c r="BM47" s="928"/>
      <c r="BN47" s="928"/>
      <c r="BO47" s="928"/>
      <c r="BP47" s="928"/>
      <c r="BQ47" s="928"/>
      <c r="BR47" s="928"/>
      <c r="BS47" s="928"/>
      <c r="BT47" s="928"/>
      <c r="BU47" s="928"/>
      <c r="BV47" s="928"/>
      <c r="BW47" s="928"/>
      <c r="BX47" s="928"/>
      <c r="BY47" s="928"/>
      <c r="BZ47" s="928"/>
      <c r="CA47" s="928"/>
      <c r="CB47" s="928"/>
      <c r="CC47" s="928"/>
      <c r="CD47" s="928"/>
      <c r="CE47" s="928"/>
      <c r="CF47" s="928"/>
      <c r="CG47" s="928"/>
      <c r="CH47" s="928"/>
      <c r="CI47" s="928"/>
      <c r="CJ47" s="928"/>
      <c r="CK47" s="928"/>
      <c r="CL47" s="928"/>
      <c r="CM47" s="928"/>
      <c r="CN47" s="928"/>
      <c r="CO47" s="928"/>
      <c r="CP47" s="928"/>
      <c r="CQ47" s="928"/>
      <c r="CR47" s="928"/>
      <c r="CS47" s="928"/>
      <c r="CT47" s="928"/>
      <c r="CU47" s="928"/>
      <c r="CV47" s="928"/>
      <c r="CW47" s="928"/>
      <c r="CX47" s="928"/>
      <c r="CY47" s="928"/>
      <c r="CZ47" s="928"/>
      <c r="DA47" s="928"/>
      <c r="DB47" s="928"/>
      <c r="DC47" s="928"/>
      <c r="DD47" s="928"/>
      <c r="DE47" s="928"/>
      <c r="DF47" s="928"/>
      <c r="DG47" s="928"/>
      <c r="DH47" s="928"/>
    </row>
    <row r="48" spans="1:112">
      <c r="A48" s="891" t="s">
        <v>828</v>
      </c>
      <c r="B48" s="891" t="s">
        <v>1475</v>
      </c>
      <c r="C48" s="891" t="s">
        <v>233</v>
      </c>
      <c r="D48" s="891" t="s">
        <v>828</v>
      </c>
      <c r="E48" s="891" t="s">
        <v>1475</v>
      </c>
      <c r="F48" s="891" t="s">
        <v>233</v>
      </c>
      <c r="G48" s="897">
        <v>99.31</v>
      </c>
      <c r="H48" s="897">
        <v>81.23</v>
      </c>
      <c r="I48" s="897">
        <v>114.62</v>
      </c>
      <c r="J48" s="891"/>
      <c r="K48" s="891"/>
      <c r="L48" s="891"/>
      <c r="M48" s="891"/>
      <c r="N48" s="891"/>
      <c r="O48" s="891"/>
      <c r="P48" s="891"/>
      <c r="Q48" s="891"/>
      <c r="R48" s="891"/>
      <c r="S48" s="891"/>
      <c r="T48" s="891"/>
      <c r="U48" s="928"/>
      <c r="V48" s="928"/>
      <c r="W48" s="928"/>
      <c r="X48" s="928"/>
      <c r="Y48" s="928"/>
      <c r="Z48" s="928"/>
      <c r="AA48" s="928"/>
      <c r="AB48" s="928"/>
      <c r="AC48" s="928"/>
      <c r="AD48" s="928"/>
      <c r="AE48" s="928"/>
      <c r="AF48" s="928"/>
      <c r="AG48" s="928"/>
      <c r="AH48" s="928"/>
      <c r="AI48" s="928"/>
      <c r="AJ48" s="928"/>
      <c r="AK48" s="928"/>
      <c r="AL48" s="928"/>
      <c r="AM48" s="928"/>
      <c r="AN48" s="928"/>
      <c r="AO48" s="928"/>
      <c r="AP48" s="928"/>
      <c r="AQ48" s="928"/>
      <c r="AR48" s="928"/>
      <c r="AS48" s="928"/>
      <c r="AT48" s="928"/>
      <c r="AU48" s="928"/>
      <c r="AV48" s="928"/>
      <c r="AW48" s="928"/>
      <c r="AX48" s="928"/>
      <c r="AY48" s="928"/>
      <c r="AZ48" s="928"/>
      <c r="BA48" s="928"/>
      <c r="BB48" s="928"/>
      <c r="BC48" s="928"/>
      <c r="BD48" s="928"/>
      <c r="BE48" s="928"/>
      <c r="BF48" s="928"/>
      <c r="BG48" s="928"/>
      <c r="BH48" s="928"/>
      <c r="BI48" s="928"/>
      <c r="BJ48" s="928"/>
      <c r="BK48" s="928"/>
      <c r="BL48" s="928"/>
      <c r="BM48" s="928"/>
      <c r="BN48" s="928"/>
      <c r="BO48" s="928"/>
      <c r="BP48" s="928"/>
      <c r="BQ48" s="928"/>
      <c r="BR48" s="928"/>
      <c r="BS48" s="928"/>
      <c r="BT48" s="928"/>
      <c r="BU48" s="928"/>
      <c r="BV48" s="928"/>
      <c r="BW48" s="928"/>
      <c r="BX48" s="928"/>
      <c r="BY48" s="928"/>
      <c r="BZ48" s="928"/>
      <c r="CA48" s="928"/>
      <c r="CB48" s="928"/>
      <c r="CC48" s="928"/>
      <c r="CD48" s="928"/>
      <c r="CE48" s="928"/>
      <c r="CF48" s="928"/>
      <c r="CG48" s="928"/>
      <c r="CH48" s="928"/>
      <c r="CI48" s="928"/>
      <c r="CJ48" s="928"/>
      <c r="CK48" s="928"/>
      <c r="CL48" s="928"/>
      <c r="CM48" s="928"/>
      <c r="CN48" s="928"/>
      <c r="CO48" s="928"/>
      <c r="CP48" s="928"/>
      <c r="CQ48" s="928"/>
      <c r="CR48" s="928"/>
      <c r="CS48" s="928"/>
      <c r="CT48" s="928"/>
      <c r="CU48" s="928"/>
      <c r="CV48" s="928"/>
      <c r="CW48" s="928"/>
      <c r="CX48" s="928"/>
      <c r="CY48" s="928"/>
      <c r="CZ48" s="928"/>
      <c r="DA48" s="928"/>
      <c r="DB48" s="928"/>
      <c r="DC48" s="928"/>
      <c r="DD48" s="928"/>
      <c r="DE48" s="928"/>
      <c r="DF48" s="928"/>
      <c r="DG48" s="928"/>
      <c r="DH48" s="928"/>
    </row>
    <row r="49" spans="1:112">
      <c r="A49" s="891" t="s">
        <v>829</v>
      </c>
      <c r="B49" s="891" t="s">
        <v>1483</v>
      </c>
      <c r="C49" s="891" t="s">
        <v>318</v>
      </c>
      <c r="D49" s="891" t="s">
        <v>829</v>
      </c>
      <c r="E49" s="891" t="s">
        <v>1483</v>
      </c>
      <c r="F49" s="891" t="s">
        <v>318</v>
      </c>
      <c r="G49" s="897">
        <v>54.75</v>
      </c>
      <c r="H49" s="897">
        <v>48.1</v>
      </c>
      <c r="I49" s="897">
        <v>56.13</v>
      </c>
      <c r="J49" s="891"/>
      <c r="K49" s="891"/>
      <c r="L49" s="891"/>
      <c r="M49" s="891"/>
      <c r="N49" s="891"/>
      <c r="O49" s="891"/>
      <c r="P49" s="891"/>
      <c r="Q49" s="891"/>
      <c r="R49" s="891"/>
      <c r="S49" s="891"/>
      <c r="T49" s="891"/>
      <c r="U49" s="928"/>
      <c r="V49" s="928"/>
      <c r="W49" s="928"/>
      <c r="X49" s="928"/>
      <c r="Y49" s="928"/>
      <c r="Z49" s="928"/>
      <c r="AA49" s="928"/>
      <c r="AB49" s="928"/>
      <c r="AC49" s="928"/>
      <c r="AD49" s="928"/>
      <c r="AE49" s="928"/>
      <c r="AF49" s="928"/>
      <c r="AG49" s="928"/>
      <c r="AH49" s="928"/>
      <c r="AI49" s="928"/>
      <c r="AJ49" s="928"/>
      <c r="AK49" s="928"/>
      <c r="AL49" s="928"/>
      <c r="AM49" s="928"/>
      <c r="AN49" s="928"/>
      <c r="AO49" s="928"/>
      <c r="AP49" s="928"/>
      <c r="AQ49" s="928"/>
      <c r="AR49" s="928"/>
      <c r="AS49" s="928"/>
      <c r="AT49" s="928"/>
      <c r="AU49" s="928"/>
      <c r="AV49" s="928"/>
      <c r="AW49" s="928"/>
      <c r="AX49" s="928"/>
      <c r="AY49" s="928"/>
      <c r="AZ49" s="928"/>
      <c r="BA49" s="928"/>
      <c r="BB49" s="928"/>
      <c r="BC49" s="928"/>
      <c r="BD49" s="928"/>
      <c r="BE49" s="928"/>
      <c r="BF49" s="928"/>
      <c r="BG49" s="928"/>
      <c r="BH49" s="928"/>
      <c r="BI49" s="928"/>
      <c r="BJ49" s="928"/>
      <c r="BK49" s="928"/>
      <c r="BL49" s="928"/>
      <c r="BM49" s="928"/>
      <c r="BN49" s="928"/>
      <c r="BO49" s="928"/>
      <c r="BP49" s="928"/>
      <c r="BQ49" s="928"/>
      <c r="BR49" s="928"/>
      <c r="BS49" s="928"/>
      <c r="BT49" s="928"/>
      <c r="BU49" s="928"/>
      <c r="BV49" s="928"/>
      <c r="BW49" s="928"/>
      <c r="BX49" s="928"/>
      <c r="BY49" s="928"/>
      <c r="BZ49" s="928"/>
      <c r="CA49" s="928"/>
      <c r="CB49" s="928"/>
      <c r="CC49" s="928"/>
      <c r="CD49" s="928"/>
      <c r="CE49" s="928"/>
      <c r="CF49" s="928"/>
      <c r="CG49" s="928"/>
      <c r="CH49" s="928"/>
      <c r="CI49" s="928"/>
      <c r="CJ49" s="928"/>
      <c r="CK49" s="928"/>
      <c r="CL49" s="928"/>
      <c r="CM49" s="928"/>
      <c r="CN49" s="928"/>
      <c r="CO49" s="928"/>
      <c r="CP49" s="928"/>
      <c r="CQ49" s="928"/>
      <c r="CR49" s="928"/>
      <c r="CS49" s="928"/>
      <c r="CT49" s="928"/>
      <c r="CU49" s="928"/>
      <c r="CV49" s="928"/>
      <c r="CW49" s="928"/>
      <c r="CX49" s="928"/>
      <c r="CY49" s="928"/>
      <c r="CZ49" s="928"/>
      <c r="DA49" s="928"/>
      <c r="DB49" s="928"/>
      <c r="DC49" s="928"/>
      <c r="DD49" s="928"/>
      <c r="DE49" s="928"/>
      <c r="DF49" s="928"/>
      <c r="DG49" s="928"/>
      <c r="DH49" s="928"/>
    </row>
    <row r="50" spans="1:112">
      <c r="A50" s="891" t="s">
        <v>830</v>
      </c>
      <c r="B50" s="891" t="s">
        <v>1484</v>
      </c>
      <c r="C50" s="891" t="s">
        <v>232</v>
      </c>
      <c r="D50" s="891" t="s">
        <v>830</v>
      </c>
      <c r="E50" s="891" t="s">
        <v>1484</v>
      </c>
      <c r="F50" s="891" t="s">
        <v>232</v>
      </c>
      <c r="G50" s="897">
        <v>58.44</v>
      </c>
      <c r="H50" s="897">
        <v>52.46</v>
      </c>
      <c r="I50" s="897">
        <v>73.290000000000006</v>
      </c>
      <c r="J50" s="891"/>
      <c r="K50" s="891"/>
      <c r="L50" s="891"/>
      <c r="M50" s="891"/>
      <c r="N50" s="891"/>
      <c r="O50" s="891"/>
      <c r="P50" s="891"/>
      <c r="Q50" s="891"/>
      <c r="R50" s="891"/>
      <c r="S50" s="891"/>
      <c r="T50" s="891"/>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8"/>
      <c r="AY50" s="928"/>
      <c r="AZ50" s="928"/>
      <c r="BA50" s="928"/>
      <c r="BB50" s="928"/>
      <c r="BC50" s="928"/>
      <c r="BD50" s="928"/>
      <c r="BE50" s="928"/>
      <c r="BF50" s="928"/>
      <c r="BG50" s="928"/>
      <c r="BH50" s="928"/>
      <c r="BI50" s="928"/>
      <c r="BJ50" s="928"/>
      <c r="BK50" s="928"/>
      <c r="BL50" s="928"/>
      <c r="BM50" s="928"/>
      <c r="BN50" s="928"/>
      <c r="BO50" s="928"/>
      <c r="BP50" s="928"/>
      <c r="BQ50" s="928"/>
      <c r="BR50" s="928"/>
      <c r="BS50" s="928"/>
      <c r="BT50" s="928"/>
      <c r="BU50" s="928"/>
      <c r="BV50" s="928"/>
      <c r="BW50" s="928"/>
      <c r="BX50" s="928"/>
      <c r="BY50" s="928"/>
      <c r="BZ50" s="928"/>
      <c r="CA50" s="928"/>
      <c r="CB50" s="928"/>
      <c r="CC50" s="928"/>
      <c r="CD50" s="928"/>
      <c r="CE50" s="928"/>
      <c r="CF50" s="928"/>
      <c r="CG50" s="928"/>
      <c r="CH50" s="928"/>
      <c r="CI50" s="928"/>
      <c r="CJ50" s="928"/>
      <c r="CK50" s="928"/>
      <c r="CL50" s="928"/>
      <c r="CM50" s="928"/>
      <c r="CN50" s="928"/>
      <c r="CO50" s="928"/>
      <c r="CP50" s="928"/>
      <c r="CQ50" s="928"/>
      <c r="CR50" s="928"/>
      <c r="CS50" s="928"/>
      <c r="CT50" s="928"/>
      <c r="CU50" s="928"/>
      <c r="CV50" s="928"/>
      <c r="CW50" s="928"/>
      <c r="CX50" s="928"/>
      <c r="CY50" s="928"/>
      <c r="CZ50" s="928"/>
      <c r="DA50" s="928"/>
      <c r="DB50" s="928"/>
      <c r="DC50" s="928"/>
      <c r="DD50" s="928"/>
      <c r="DE50" s="928"/>
      <c r="DF50" s="928"/>
      <c r="DG50" s="928"/>
      <c r="DH50" s="928"/>
    </row>
    <row r="51" spans="1:112">
      <c r="A51" s="891" t="s">
        <v>831</v>
      </c>
      <c r="B51" s="891" t="s">
        <v>1452</v>
      </c>
      <c r="C51" s="891" t="s">
        <v>22</v>
      </c>
      <c r="D51" s="891" t="s">
        <v>831</v>
      </c>
      <c r="E51" s="891" t="s">
        <v>1452</v>
      </c>
      <c r="F51" s="891" t="s">
        <v>22</v>
      </c>
      <c r="G51" s="897">
        <v>45.95</v>
      </c>
      <c r="H51" s="897">
        <v>36.880000000000003</v>
      </c>
      <c r="I51" s="897">
        <v>34.619999999999997</v>
      </c>
      <c r="J51" s="891"/>
      <c r="K51" s="891"/>
      <c r="L51" s="891"/>
      <c r="M51" s="891"/>
      <c r="N51" s="891"/>
      <c r="O51" s="891"/>
      <c r="P51" s="891"/>
      <c r="Q51" s="891"/>
      <c r="R51" s="891"/>
      <c r="S51" s="891"/>
      <c r="T51" s="891"/>
      <c r="U51" s="928"/>
      <c r="V51" s="928"/>
      <c r="W51" s="928"/>
      <c r="X51" s="928"/>
      <c r="Y51" s="928"/>
      <c r="Z51" s="928"/>
      <c r="AA51" s="928"/>
      <c r="AB51" s="928"/>
      <c r="AC51" s="928"/>
      <c r="AD51" s="928"/>
      <c r="AE51" s="928"/>
      <c r="AF51" s="928"/>
      <c r="AG51" s="928"/>
      <c r="AH51" s="928"/>
      <c r="AI51" s="928"/>
      <c r="AJ51" s="928"/>
      <c r="AK51" s="928"/>
      <c r="AL51" s="928"/>
      <c r="AM51" s="928"/>
      <c r="AN51" s="928"/>
      <c r="AO51" s="928"/>
      <c r="AP51" s="928"/>
      <c r="AQ51" s="928"/>
      <c r="AR51" s="928"/>
      <c r="AS51" s="928"/>
      <c r="AT51" s="928"/>
      <c r="AU51" s="928"/>
      <c r="AV51" s="928"/>
      <c r="AW51" s="928"/>
      <c r="AX51" s="928"/>
      <c r="AY51" s="928"/>
      <c r="AZ51" s="928"/>
      <c r="BA51" s="928"/>
      <c r="BB51" s="928"/>
      <c r="BC51" s="928"/>
      <c r="BD51" s="928"/>
      <c r="BE51" s="928"/>
      <c r="BF51" s="928"/>
      <c r="BG51" s="928"/>
      <c r="BH51" s="928"/>
      <c r="BI51" s="928"/>
      <c r="BJ51" s="928"/>
      <c r="BK51" s="928"/>
      <c r="BL51" s="928"/>
      <c r="BM51" s="928"/>
      <c r="BN51" s="928"/>
      <c r="BO51" s="928"/>
      <c r="BP51" s="928"/>
      <c r="BQ51" s="928"/>
      <c r="BR51" s="928"/>
      <c r="BS51" s="928"/>
      <c r="BT51" s="928"/>
      <c r="BU51" s="928"/>
      <c r="BV51" s="928"/>
      <c r="BW51" s="928"/>
      <c r="BX51" s="928"/>
      <c r="BY51" s="928"/>
      <c r="BZ51" s="928"/>
      <c r="CA51" s="928"/>
      <c r="CB51" s="928"/>
      <c r="CC51" s="928"/>
      <c r="CD51" s="928"/>
      <c r="CE51" s="928"/>
      <c r="CF51" s="928"/>
      <c r="CG51" s="928"/>
      <c r="CH51" s="928"/>
      <c r="CI51" s="928"/>
      <c r="CJ51" s="928"/>
      <c r="CK51" s="928"/>
      <c r="CL51" s="928"/>
      <c r="CM51" s="928"/>
      <c r="CN51" s="928"/>
      <c r="CO51" s="928"/>
      <c r="CP51" s="928"/>
      <c r="CQ51" s="928"/>
      <c r="CR51" s="928"/>
      <c r="CS51" s="928"/>
      <c r="CT51" s="928"/>
      <c r="CU51" s="928"/>
      <c r="CV51" s="928"/>
      <c r="CW51" s="928"/>
      <c r="CX51" s="928"/>
      <c r="CY51" s="928"/>
      <c r="CZ51" s="928"/>
      <c r="DA51" s="928"/>
      <c r="DB51" s="928"/>
      <c r="DC51" s="928"/>
      <c r="DD51" s="928"/>
      <c r="DE51" s="928"/>
      <c r="DF51" s="928"/>
      <c r="DG51" s="928"/>
      <c r="DH51" s="928"/>
    </row>
    <row r="52" spans="1:112">
      <c r="A52" s="891" t="s">
        <v>832</v>
      </c>
      <c r="B52" s="891" t="s">
        <v>1447</v>
      </c>
      <c r="C52" s="891" t="s">
        <v>38</v>
      </c>
      <c r="D52" s="891" t="s">
        <v>832</v>
      </c>
      <c r="E52" s="891" t="s">
        <v>1447</v>
      </c>
      <c r="F52" s="891" t="s">
        <v>38</v>
      </c>
      <c r="G52" s="897">
        <v>59.05</v>
      </c>
      <c r="H52" s="897">
        <v>51.46</v>
      </c>
      <c r="I52" s="897">
        <v>57.1</v>
      </c>
      <c r="J52" s="891"/>
      <c r="K52" s="891"/>
      <c r="L52" s="891"/>
      <c r="M52" s="891"/>
      <c r="N52" s="891"/>
      <c r="O52" s="891"/>
      <c r="P52" s="891"/>
      <c r="Q52" s="891"/>
      <c r="R52" s="891"/>
      <c r="S52" s="891"/>
      <c r="T52" s="891"/>
      <c r="U52" s="928"/>
      <c r="V52" s="928"/>
      <c r="W52" s="928"/>
      <c r="X52" s="928"/>
      <c r="Y52" s="928"/>
      <c r="Z52" s="928"/>
      <c r="AA52" s="928"/>
      <c r="AB52" s="928"/>
      <c r="AC52" s="928"/>
      <c r="AD52" s="928"/>
      <c r="AE52" s="928"/>
      <c r="AF52" s="928"/>
      <c r="AG52" s="928"/>
      <c r="AH52" s="928"/>
      <c r="AI52" s="928"/>
      <c r="AJ52" s="928"/>
      <c r="AK52" s="928"/>
      <c r="AL52" s="928"/>
      <c r="AM52" s="928"/>
      <c r="AN52" s="928"/>
      <c r="AO52" s="928"/>
      <c r="AP52" s="928"/>
      <c r="AQ52" s="928"/>
      <c r="AR52" s="928"/>
      <c r="AS52" s="928"/>
      <c r="AT52" s="928"/>
      <c r="AU52" s="928"/>
      <c r="AV52" s="928"/>
      <c r="AW52" s="928"/>
      <c r="AX52" s="928"/>
      <c r="AY52" s="928"/>
      <c r="AZ52" s="928"/>
      <c r="BA52" s="928"/>
      <c r="BB52" s="928"/>
      <c r="BC52" s="928"/>
      <c r="BD52" s="928"/>
      <c r="BE52" s="928"/>
      <c r="BF52" s="928"/>
      <c r="BG52" s="928"/>
      <c r="BH52" s="928"/>
      <c r="BI52" s="928"/>
      <c r="BJ52" s="928"/>
      <c r="BK52" s="928"/>
      <c r="BL52" s="928"/>
      <c r="BM52" s="928"/>
      <c r="BN52" s="928"/>
      <c r="BO52" s="928"/>
      <c r="BP52" s="928"/>
      <c r="BQ52" s="928"/>
      <c r="BR52" s="928"/>
      <c r="BS52" s="928"/>
      <c r="BT52" s="928"/>
      <c r="BU52" s="928"/>
      <c r="BV52" s="928"/>
      <c r="BW52" s="928"/>
      <c r="BX52" s="928"/>
      <c r="BY52" s="928"/>
      <c r="BZ52" s="928"/>
      <c r="CA52" s="928"/>
      <c r="CB52" s="928"/>
      <c r="CC52" s="928"/>
      <c r="CD52" s="928"/>
      <c r="CE52" s="928"/>
      <c r="CF52" s="928"/>
      <c r="CG52" s="928"/>
      <c r="CH52" s="928"/>
      <c r="CI52" s="928"/>
      <c r="CJ52" s="928"/>
      <c r="CK52" s="928"/>
      <c r="CL52" s="928"/>
      <c r="CM52" s="928"/>
      <c r="CN52" s="928"/>
      <c r="CO52" s="928"/>
      <c r="CP52" s="928"/>
      <c r="CQ52" s="928"/>
      <c r="CR52" s="928"/>
      <c r="CS52" s="928"/>
      <c r="CT52" s="928"/>
      <c r="CU52" s="928"/>
      <c r="CV52" s="928"/>
      <c r="CW52" s="928"/>
      <c r="CX52" s="928"/>
      <c r="CY52" s="928"/>
      <c r="CZ52" s="928"/>
      <c r="DA52" s="928"/>
      <c r="DB52" s="928"/>
      <c r="DC52" s="928"/>
      <c r="DD52" s="928"/>
      <c r="DE52" s="928"/>
      <c r="DF52" s="928"/>
      <c r="DG52" s="928"/>
      <c r="DH52" s="928"/>
    </row>
    <row r="53" spans="1:112">
      <c r="A53" s="891" t="s">
        <v>833</v>
      </c>
      <c r="B53" s="891" t="s">
        <v>1485</v>
      </c>
      <c r="C53" s="891" t="s">
        <v>254</v>
      </c>
      <c r="D53" s="891" t="s">
        <v>833</v>
      </c>
      <c r="E53" s="891" t="s">
        <v>1485</v>
      </c>
      <c r="F53" s="891" t="s">
        <v>254</v>
      </c>
      <c r="G53" s="897">
        <v>107.71</v>
      </c>
      <c r="H53" s="897">
        <v>98.37</v>
      </c>
      <c r="I53" s="897">
        <v>106.06</v>
      </c>
      <c r="J53" s="891"/>
      <c r="K53" s="891"/>
      <c r="L53" s="891"/>
      <c r="M53" s="891"/>
      <c r="N53" s="891"/>
      <c r="O53" s="891"/>
      <c r="P53" s="891"/>
      <c r="Q53" s="891"/>
      <c r="R53" s="891"/>
      <c r="S53" s="891"/>
      <c r="T53" s="891"/>
      <c r="U53" s="928"/>
      <c r="V53" s="928"/>
      <c r="W53" s="928"/>
      <c r="X53" s="928"/>
      <c r="Y53" s="928"/>
      <c r="Z53" s="928"/>
      <c r="AA53" s="928"/>
      <c r="AB53" s="928"/>
      <c r="AC53" s="928"/>
      <c r="AD53" s="928"/>
      <c r="AE53" s="928"/>
      <c r="AF53" s="928"/>
      <c r="AG53" s="928"/>
      <c r="AH53" s="928"/>
      <c r="AI53" s="928"/>
      <c r="AJ53" s="928"/>
      <c r="AK53" s="928"/>
      <c r="AL53" s="928"/>
      <c r="AM53" s="928"/>
      <c r="AN53" s="928"/>
      <c r="AO53" s="928"/>
      <c r="AP53" s="928"/>
      <c r="AQ53" s="928"/>
      <c r="AR53" s="928"/>
      <c r="AS53" s="928"/>
      <c r="AT53" s="928"/>
      <c r="AU53" s="928"/>
      <c r="AV53" s="928"/>
      <c r="AW53" s="928"/>
      <c r="AX53" s="928"/>
      <c r="AY53" s="928"/>
      <c r="AZ53" s="928"/>
      <c r="BA53" s="928"/>
      <c r="BB53" s="928"/>
      <c r="BC53" s="928"/>
      <c r="BD53" s="928"/>
      <c r="BE53" s="928"/>
      <c r="BF53" s="928"/>
      <c r="BG53" s="928"/>
      <c r="BH53" s="928"/>
      <c r="BI53" s="928"/>
      <c r="BJ53" s="928"/>
      <c r="BK53" s="928"/>
      <c r="BL53" s="928"/>
      <c r="BM53" s="928"/>
      <c r="BN53" s="928"/>
      <c r="BO53" s="928"/>
      <c r="BP53" s="928"/>
      <c r="BQ53" s="928"/>
      <c r="BR53" s="928"/>
      <c r="BS53" s="928"/>
      <c r="BT53" s="928"/>
      <c r="BU53" s="928"/>
      <c r="BV53" s="928"/>
      <c r="BW53" s="928"/>
      <c r="BX53" s="928"/>
      <c r="BY53" s="928"/>
      <c r="BZ53" s="928"/>
      <c r="CA53" s="928"/>
      <c r="CB53" s="928"/>
      <c r="CC53" s="928"/>
      <c r="CD53" s="928"/>
      <c r="CE53" s="928"/>
      <c r="CF53" s="928"/>
      <c r="CG53" s="928"/>
      <c r="CH53" s="928"/>
      <c r="CI53" s="928"/>
      <c r="CJ53" s="928"/>
      <c r="CK53" s="928"/>
      <c r="CL53" s="928"/>
      <c r="CM53" s="928"/>
      <c r="CN53" s="928"/>
      <c r="CO53" s="928"/>
      <c r="CP53" s="928"/>
      <c r="CQ53" s="928"/>
      <c r="CR53" s="928"/>
      <c r="CS53" s="928"/>
      <c r="CT53" s="928"/>
      <c r="CU53" s="928"/>
      <c r="CV53" s="928"/>
      <c r="CW53" s="928"/>
      <c r="CX53" s="928"/>
      <c r="CY53" s="928"/>
      <c r="CZ53" s="928"/>
      <c r="DA53" s="928"/>
      <c r="DB53" s="928"/>
      <c r="DC53" s="928"/>
      <c r="DD53" s="928"/>
      <c r="DE53" s="928"/>
      <c r="DF53" s="928"/>
      <c r="DG53" s="928"/>
      <c r="DH53" s="928"/>
    </row>
    <row r="54" spans="1:112">
      <c r="A54" s="891" t="s">
        <v>834</v>
      </c>
      <c r="B54" s="891" t="s">
        <v>1462</v>
      </c>
      <c r="C54" s="891" t="s">
        <v>54</v>
      </c>
      <c r="D54" s="891" t="s">
        <v>834</v>
      </c>
      <c r="E54" s="891" t="s">
        <v>1462</v>
      </c>
      <c r="F54" s="891" t="s">
        <v>54</v>
      </c>
      <c r="G54" s="897">
        <v>109.63</v>
      </c>
      <c r="H54" s="897">
        <v>104.88</v>
      </c>
      <c r="I54" s="897">
        <v>81.19</v>
      </c>
      <c r="J54" s="891"/>
      <c r="K54" s="891"/>
      <c r="L54" s="891"/>
      <c r="M54" s="891"/>
      <c r="N54" s="891"/>
      <c r="O54" s="891"/>
      <c r="P54" s="891"/>
      <c r="Q54" s="891"/>
      <c r="R54" s="891"/>
      <c r="S54" s="891"/>
      <c r="T54" s="891"/>
      <c r="U54" s="928"/>
      <c r="V54" s="928"/>
      <c r="W54" s="928"/>
      <c r="X54" s="928"/>
      <c r="Y54" s="928"/>
      <c r="Z54" s="928"/>
      <c r="AA54" s="928"/>
      <c r="AB54" s="928"/>
      <c r="AC54" s="928"/>
      <c r="AD54" s="928"/>
      <c r="AE54" s="928"/>
      <c r="AF54" s="928"/>
      <c r="AG54" s="928"/>
      <c r="AH54" s="928"/>
      <c r="AI54" s="928"/>
      <c r="AJ54" s="928"/>
      <c r="AK54" s="928"/>
      <c r="AL54" s="928"/>
      <c r="AM54" s="928"/>
      <c r="AN54" s="928"/>
      <c r="AO54" s="928"/>
      <c r="AP54" s="928"/>
      <c r="AQ54" s="928"/>
      <c r="AR54" s="928"/>
      <c r="AS54" s="928"/>
      <c r="AT54" s="928"/>
      <c r="AU54" s="928"/>
      <c r="AV54" s="928"/>
      <c r="AW54" s="928"/>
      <c r="AX54" s="928"/>
      <c r="AY54" s="928"/>
      <c r="AZ54" s="928"/>
      <c r="BA54" s="928"/>
      <c r="BB54" s="928"/>
      <c r="BC54" s="928"/>
      <c r="BD54" s="928"/>
      <c r="BE54" s="928"/>
      <c r="BF54" s="928"/>
      <c r="BG54" s="928"/>
      <c r="BH54" s="928"/>
      <c r="BI54" s="928"/>
      <c r="BJ54" s="928"/>
      <c r="BK54" s="928"/>
      <c r="BL54" s="928"/>
      <c r="BM54" s="928"/>
      <c r="BN54" s="928"/>
      <c r="BO54" s="928"/>
      <c r="BP54" s="928"/>
      <c r="BQ54" s="928"/>
      <c r="BR54" s="928"/>
      <c r="BS54" s="928"/>
      <c r="BT54" s="928"/>
      <c r="BU54" s="928"/>
      <c r="BV54" s="928"/>
      <c r="BW54" s="928"/>
      <c r="BX54" s="928"/>
      <c r="BY54" s="928"/>
      <c r="BZ54" s="928"/>
      <c r="CA54" s="928"/>
      <c r="CB54" s="928"/>
      <c r="CC54" s="928"/>
      <c r="CD54" s="928"/>
      <c r="CE54" s="928"/>
      <c r="CF54" s="928"/>
      <c r="CG54" s="928"/>
      <c r="CH54" s="928"/>
      <c r="CI54" s="928"/>
      <c r="CJ54" s="928"/>
      <c r="CK54" s="928"/>
      <c r="CL54" s="928"/>
      <c r="CM54" s="928"/>
      <c r="CN54" s="928"/>
      <c r="CO54" s="928"/>
      <c r="CP54" s="928"/>
      <c r="CQ54" s="928"/>
      <c r="CR54" s="928"/>
      <c r="CS54" s="928"/>
      <c r="CT54" s="928"/>
      <c r="CU54" s="928"/>
      <c r="CV54" s="928"/>
      <c r="CW54" s="928"/>
      <c r="CX54" s="928"/>
      <c r="CY54" s="928"/>
      <c r="CZ54" s="928"/>
      <c r="DA54" s="928"/>
      <c r="DB54" s="928"/>
      <c r="DC54" s="928"/>
      <c r="DD54" s="928"/>
      <c r="DE54" s="928"/>
      <c r="DF54" s="928"/>
      <c r="DG54" s="928"/>
      <c r="DH54" s="928"/>
    </row>
    <row r="55" spans="1:112">
      <c r="A55" s="891" t="s">
        <v>835</v>
      </c>
      <c r="B55" s="891" t="s">
        <v>1483</v>
      </c>
      <c r="C55" s="891" t="s">
        <v>302</v>
      </c>
      <c r="D55" s="891" t="s">
        <v>835</v>
      </c>
      <c r="E55" s="891" t="s">
        <v>1483</v>
      </c>
      <c r="F55" s="891" t="s">
        <v>302</v>
      </c>
      <c r="G55" s="897">
        <v>56.17</v>
      </c>
      <c r="H55" s="897">
        <v>39</v>
      </c>
      <c r="I55" s="897">
        <v>64.42</v>
      </c>
      <c r="J55" s="891"/>
      <c r="K55" s="891"/>
      <c r="L55" s="891"/>
      <c r="M55" s="891"/>
      <c r="N55" s="891"/>
      <c r="O55" s="891"/>
      <c r="P55" s="891"/>
      <c r="Q55" s="891"/>
      <c r="R55" s="891"/>
      <c r="S55" s="891"/>
      <c r="T55" s="891"/>
      <c r="U55" s="928"/>
      <c r="V55" s="928"/>
      <c r="W55" s="928"/>
      <c r="X55" s="928"/>
      <c r="Y55" s="928"/>
      <c r="Z55" s="928"/>
      <c r="AA55" s="928"/>
      <c r="AB55" s="928"/>
      <c r="AC55" s="928"/>
      <c r="AD55" s="928"/>
      <c r="AE55" s="928"/>
      <c r="AF55" s="928"/>
      <c r="AG55" s="928"/>
      <c r="AH55" s="928"/>
      <c r="AI55" s="928"/>
      <c r="AJ55" s="928"/>
      <c r="AK55" s="928"/>
      <c r="AL55" s="928"/>
      <c r="AM55" s="928"/>
      <c r="AN55" s="928"/>
      <c r="AO55" s="928"/>
      <c r="AP55" s="928"/>
      <c r="AQ55" s="928"/>
      <c r="AR55" s="928"/>
      <c r="AS55" s="928"/>
      <c r="AT55" s="928"/>
      <c r="AU55" s="928"/>
      <c r="AV55" s="928"/>
      <c r="AW55" s="928"/>
      <c r="AX55" s="928"/>
      <c r="AY55" s="928"/>
      <c r="AZ55" s="928"/>
      <c r="BA55" s="928"/>
      <c r="BB55" s="928"/>
      <c r="BC55" s="928"/>
      <c r="BD55" s="928"/>
      <c r="BE55" s="928"/>
      <c r="BF55" s="928"/>
      <c r="BG55" s="928"/>
      <c r="BH55" s="928"/>
      <c r="BI55" s="928"/>
      <c r="BJ55" s="928"/>
      <c r="BK55" s="928"/>
      <c r="BL55" s="928"/>
      <c r="BM55" s="928"/>
      <c r="BN55" s="928"/>
      <c r="BO55" s="928"/>
      <c r="BP55" s="928"/>
      <c r="BQ55" s="928"/>
      <c r="BR55" s="928"/>
      <c r="BS55" s="928"/>
      <c r="BT55" s="928"/>
      <c r="BU55" s="928"/>
      <c r="BV55" s="928"/>
      <c r="BW55" s="928"/>
      <c r="BX55" s="928"/>
      <c r="BY55" s="928"/>
      <c r="BZ55" s="928"/>
      <c r="CA55" s="928"/>
      <c r="CB55" s="928"/>
      <c r="CC55" s="928"/>
      <c r="CD55" s="928"/>
      <c r="CE55" s="928"/>
      <c r="CF55" s="928"/>
      <c r="CG55" s="928"/>
      <c r="CH55" s="928"/>
      <c r="CI55" s="928"/>
      <c r="CJ55" s="928"/>
      <c r="CK55" s="928"/>
      <c r="CL55" s="928"/>
      <c r="CM55" s="928"/>
      <c r="CN55" s="928"/>
      <c r="CO55" s="928"/>
      <c r="CP55" s="928"/>
      <c r="CQ55" s="928"/>
      <c r="CR55" s="928"/>
      <c r="CS55" s="928"/>
      <c r="CT55" s="928"/>
      <c r="CU55" s="928"/>
      <c r="CV55" s="928"/>
      <c r="CW55" s="928"/>
      <c r="CX55" s="928"/>
      <c r="CY55" s="928"/>
      <c r="CZ55" s="928"/>
      <c r="DA55" s="928"/>
      <c r="DB55" s="928"/>
      <c r="DC55" s="928"/>
      <c r="DD55" s="928"/>
      <c r="DE55" s="928"/>
      <c r="DF55" s="928"/>
      <c r="DG55" s="928"/>
      <c r="DH55" s="928"/>
    </row>
    <row r="56" spans="1:112">
      <c r="A56" s="891" t="s">
        <v>836</v>
      </c>
      <c r="B56" s="891" t="s">
        <v>1486</v>
      </c>
      <c r="C56" s="891" t="s">
        <v>261</v>
      </c>
      <c r="D56" s="891" t="s">
        <v>836</v>
      </c>
      <c r="E56" s="891" t="s">
        <v>1486</v>
      </c>
      <c r="F56" s="891" t="s">
        <v>261</v>
      </c>
      <c r="G56" s="897">
        <v>96.04</v>
      </c>
      <c r="H56" s="897">
        <v>107.15</v>
      </c>
      <c r="I56" s="897">
        <v>90.19</v>
      </c>
      <c r="J56" s="891"/>
      <c r="K56" s="891"/>
      <c r="L56" s="891"/>
      <c r="M56" s="891"/>
      <c r="N56" s="891"/>
      <c r="O56" s="891"/>
      <c r="P56" s="891"/>
      <c r="Q56" s="891"/>
      <c r="R56" s="891"/>
      <c r="S56" s="891"/>
      <c r="T56" s="891"/>
      <c r="U56" s="928"/>
      <c r="V56" s="928"/>
      <c r="W56" s="928"/>
      <c r="X56" s="928"/>
      <c r="Y56" s="928"/>
      <c r="Z56" s="928"/>
      <c r="AA56" s="928"/>
      <c r="AB56" s="928"/>
      <c r="AC56" s="928"/>
      <c r="AD56" s="928"/>
      <c r="AE56" s="928"/>
      <c r="AF56" s="928"/>
      <c r="AG56" s="928"/>
      <c r="AH56" s="928"/>
      <c r="AI56" s="928"/>
      <c r="AJ56" s="928"/>
      <c r="AK56" s="928"/>
      <c r="AL56" s="928"/>
      <c r="AM56" s="928"/>
      <c r="AN56" s="928"/>
      <c r="AO56" s="928"/>
      <c r="AP56" s="928"/>
      <c r="AQ56" s="928"/>
      <c r="AR56" s="928"/>
      <c r="AS56" s="928"/>
      <c r="AT56" s="928"/>
      <c r="AU56" s="928"/>
      <c r="AV56" s="928"/>
      <c r="AW56" s="928"/>
      <c r="AX56" s="928"/>
      <c r="AY56" s="928"/>
      <c r="AZ56" s="928"/>
      <c r="BA56" s="928"/>
      <c r="BB56" s="928"/>
      <c r="BC56" s="928"/>
      <c r="BD56" s="928"/>
      <c r="BE56" s="928"/>
      <c r="BF56" s="928"/>
      <c r="BG56" s="928"/>
      <c r="BH56" s="928"/>
      <c r="BI56" s="928"/>
      <c r="BJ56" s="928"/>
      <c r="BK56" s="928"/>
      <c r="BL56" s="928"/>
      <c r="BM56" s="928"/>
      <c r="BN56" s="928"/>
      <c r="BO56" s="928"/>
      <c r="BP56" s="928"/>
      <c r="BQ56" s="928"/>
      <c r="BR56" s="928"/>
      <c r="BS56" s="928"/>
      <c r="BT56" s="928"/>
      <c r="BU56" s="928"/>
      <c r="BV56" s="928"/>
      <c r="BW56" s="928"/>
      <c r="BX56" s="928"/>
      <c r="BY56" s="928"/>
      <c r="BZ56" s="928"/>
      <c r="CA56" s="928"/>
      <c r="CB56" s="928"/>
      <c r="CC56" s="928"/>
      <c r="CD56" s="928"/>
      <c r="CE56" s="928"/>
      <c r="CF56" s="928"/>
      <c r="CG56" s="928"/>
      <c r="CH56" s="928"/>
      <c r="CI56" s="928"/>
      <c r="CJ56" s="928"/>
      <c r="CK56" s="928"/>
      <c r="CL56" s="928"/>
      <c r="CM56" s="928"/>
      <c r="CN56" s="928"/>
      <c r="CO56" s="928"/>
      <c r="CP56" s="928"/>
      <c r="CQ56" s="928"/>
      <c r="CR56" s="928"/>
      <c r="CS56" s="928"/>
      <c r="CT56" s="928"/>
      <c r="CU56" s="928"/>
      <c r="CV56" s="928"/>
      <c r="CW56" s="928"/>
      <c r="CX56" s="928"/>
      <c r="CY56" s="928"/>
      <c r="CZ56" s="928"/>
      <c r="DA56" s="928"/>
      <c r="DB56" s="928"/>
      <c r="DC56" s="928"/>
      <c r="DD56" s="928"/>
      <c r="DE56" s="928"/>
      <c r="DF56" s="928"/>
      <c r="DG56" s="928"/>
      <c r="DH56" s="928"/>
    </row>
    <row r="57" spans="1:112">
      <c r="A57" s="891" t="s">
        <v>837</v>
      </c>
      <c r="B57" s="891" t="s">
        <v>1487</v>
      </c>
      <c r="C57" s="891" t="s">
        <v>214</v>
      </c>
      <c r="D57" s="891" t="s">
        <v>837</v>
      </c>
      <c r="E57" s="891" t="s">
        <v>1487</v>
      </c>
      <c r="F57" s="891" t="s">
        <v>214</v>
      </c>
      <c r="G57" s="897">
        <v>47.47</v>
      </c>
      <c r="H57" s="897">
        <v>42.62</v>
      </c>
      <c r="I57" s="897">
        <v>42.04</v>
      </c>
      <c r="J57" s="891"/>
      <c r="K57" s="891"/>
      <c r="L57" s="891"/>
      <c r="M57" s="891"/>
      <c r="N57" s="891"/>
      <c r="O57" s="891"/>
      <c r="P57" s="891"/>
      <c r="Q57" s="891"/>
      <c r="R57" s="891"/>
      <c r="S57" s="891"/>
      <c r="T57" s="891"/>
      <c r="U57" s="928"/>
      <c r="V57" s="928"/>
      <c r="W57" s="928"/>
      <c r="X57" s="928"/>
      <c r="Y57" s="928"/>
      <c r="Z57" s="928"/>
      <c r="AA57" s="928"/>
      <c r="AB57" s="928"/>
      <c r="AC57" s="928"/>
      <c r="AD57" s="928"/>
      <c r="AE57" s="928"/>
      <c r="AF57" s="928"/>
      <c r="AG57" s="928"/>
      <c r="AH57" s="928"/>
      <c r="AI57" s="928"/>
      <c r="AJ57" s="928"/>
      <c r="AK57" s="928"/>
      <c r="AL57" s="928"/>
      <c r="AM57" s="928"/>
      <c r="AN57" s="928"/>
      <c r="AO57" s="928"/>
      <c r="AP57" s="928"/>
      <c r="AQ57" s="928"/>
      <c r="AR57" s="928"/>
      <c r="AS57" s="928"/>
      <c r="AT57" s="928"/>
      <c r="AU57" s="928"/>
      <c r="AV57" s="928"/>
      <c r="AW57" s="928"/>
      <c r="AX57" s="928"/>
      <c r="AY57" s="928"/>
      <c r="AZ57" s="928"/>
      <c r="BA57" s="928"/>
      <c r="BB57" s="928"/>
      <c r="BC57" s="928"/>
      <c r="BD57" s="928"/>
      <c r="BE57" s="928"/>
      <c r="BF57" s="928"/>
      <c r="BG57" s="928"/>
      <c r="BH57" s="928"/>
      <c r="BI57" s="928"/>
      <c r="BJ57" s="928"/>
      <c r="BK57" s="928"/>
      <c r="BL57" s="928"/>
      <c r="BM57" s="928"/>
      <c r="BN57" s="928"/>
      <c r="BO57" s="928"/>
      <c r="BP57" s="928"/>
      <c r="BQ57" s="928"/>
      <c r="BR57" s="928"/>
      <c r="BS57" s="928"/>
      <c r="BT57" s="928"/>
      <c r="BU57" s="928"/>
      <c r="BV57" s="928"/>
      <c r="BW57" s="928"/>
      <c r="BX57" s="928"/>
      <c r="BY57" s="928"/>
      <c r="BZ57" s="928"/>
      <c r="CA57" s="928"/>
      <c r="CB57" s="928"/>
      <c r="CC57" s="928"/>
      <c r="CD57" s="928"/>
      <c r="CE57" s="928"/>
      <c r="CF57" s="928"/>
      <c r="CG57" s="928"/>
      <c r="CH57" s="928"/>
      <c r="CI57" s="928"/>
      <c r="CJ57" s="928"/>
      <c r="CK57" s="928"/>
      <c r="CL57" s="928"/>
      <c r="CM57" s="928"/>
      <c r="CN57" s="928"/>
      <c r="CO57" s="928"/>
      <c r="CP57" s="928"/>
      <c r="CQ57" s="928"/>
      <c r="CR57" s="928"/>
      <c r="CS57" s="928"/>
      <c r="CT57" s="928"/>
      <c r="CU57" s="928"/>
      <c r="CV57" s="928"/>
      <c r="CW57" s="928"/>
      <c r="CX57" s="928"/>
      <c r="CY57" s="928"/>
      <c r="CZ57" s="928"/>
      <c r="DA57" s="928"/>
      <c r="DB57" s="928"/>
      <c r="DC57" s="928"/>
      <c r="DD57" s="928"/>
      <c r="DE57" s="928"/>
      <c r="DF57" s="928"/>
      <c r="DG57" s="928"/>
      <c r="DH57" s="928"/>
    </row>
    <row r="58" spans="1:112">
      <c r="A58" s="891" t="s">
        <v>838</v>
      </c>
      <c r="B58" s="891" t="s">
        <v>1454</v>
      </c>
      <c r="C58" s="891" t="s">
        <v>167</v>
      </c>
      <c r="D58" s="891" t="s">
        <v>838</v>
      </c>
      <c r="E58" s="891" t="s">
        <v>1454</v>
      </c>
      <c r="F58" s="891" t="s">
        <v>167</v>
      </c>
      <c r="G58" s="897">
        <v>49.33</v>
      </c>
      <c r="H58" s="897">
        <v>45.69</v>
      </c>
      <c r="I58" s="897">
        <v>45.81</v>
      </c>
      <c r="J58" s="891"/>
      <c r="K58" s="891"/>
      <c r="L58" s="891"/>
      <c r="M58" s="891"/>
      <c r="N58" s="891"/>
      <c r="O58" s="891"/>
      <c r="P58" s="891"/>
      <c r="Q58" s="891"/>
      <c r="R58" s="891"/>
      <c r="S58" s="891"/>
      <c r="T58" s="891"/>
      <c r="U58" s="928"/>
      <c r="V58" s="928"/>
      <c r="W58" s="928"/>
      <c r="X58" s="928"/>
      <c r="Y58" s="928"/>
      <c r="Z58" s="928"/>
      <c r="AA58" s="928"/>
      <c r="AB58" s="928"/>
      <c r="AC58" s="928"/>
      <c r="AD58" s="928"/>
      <c r="AE58" s="928"/>
      <c r="AF58" s="928"/>
      <c r="AG58" s="928"/>
      <c r="AH58" s="928"/>
      <c r="AI58" s="928"/>
      <c r="AJ58" s="928"/>
      <c r="AK58" s="928"/>
      <c r="AL58" s="928"/>
      <c r="AM58" s="928"/>
      <c r="AN58" s="928"/>
      <c r="AO58" s="928"/>
      <c r="AP58" s="928"/>
      <c r="AQ58" s="928"/>
      <c r="AR58" s="928"/>
      <c r="AS58" s="928"/>
      <c r="AT58" s="928"/>
      <c r="AU58" s="928"/>
      <c r="AV58" s="928"/>
      <c r="AW58" s="928"/>
      <c r="AX58" s="928"/>
      <c r="AY58" s="928"/>
      <c r="AZ58" s="928"/>
      <c r="BA58" s="928"/>
      <c r="BB58" s="928"/>
      <c r="BC58" s="928"/>
      <c r="BD58" s="928"/>
      <c r="BE58" s="928"/>
      <c r="BF58" s="928"/>
      <c r="BG58" s="928"/>
      <c r="BH58" s="928"/>
      <c r="BI58" s="928"/>
      <c r="BJ58" s="928"/>
      <c r="BK58" s="928"/>
      <c r="BL58" s="928"/>
      <c r="BM58" s="928"/>
      <c r="BN58" s="928"/>
      <c r="BO58" s="928"/>
      <c r="BP58" s="928"/>
      <c r="BQ58" s="928"/>
      <c r="BR58" s="928"/>
      <c r="BS58" s="928"/>
      <c r="BT58" s="928"/>
      <c r="BU58" s="928"/>
      <c r="BV58" s="928"/>
      <c r="BW58" s="928"/>
      <c r="BX58" s="928"/>
      <c r="BY58" s="928"/>
      <c r="BZ58" s="928"/>
      <c r="CA58" s="928"/>
      <c r="CB58" s="928"/>
      <c r="CC58" s="928"/>
      <c r="CD58" s="928"/>
      <c r="CE58" s="928"/>
      <c r="CF58" s="928"/>
      <c r="CG58" s="928"/>
      <c r="CH58" s="928"/>
      <c r="CI58" s="928"/>
      <c r="CJ58" s="928"/>
      <c r="CK58" s="928"/>
      <c r="CL58" s="928"/>
      <c r="CM58" s="928"/>
      <c r="CN58" s="928"/>
      <c r="CO58" s="928"/>
      <c r="CP58" s="928"/>
      <c r="CQ58" s="928"/>
      <c r="CR58" s="928"/>
      <c r="CS58" s="928"/>
      <c r="CT58" s="928"/>
      <c r="CU58" s="928"/>
      <c r="CV58" s="928"/>
      <c r="CW58" s="928"/>
      <c r="CX58" s="928"/>
      <c r="CY58" s="928"/>
      <c r="CZ58" s="928"/>
      <c r="DA58" s="928"/>
      <c r="DB58" s="928"/>
      <c r="DC58" s="928"/>
      <c r="DD58" s="928"/>
      <c r="DE58" s="928"/>
      <c r="DF58" s="928"/>
      <c r="DG58" s="928"/>
      <c r="DH58" s="928"/>
    </row>
    <row r="59" spans="1:112">
      <c r="A59" s="891" t="s">
        <v>839</v>
      </c>
      <c r="B59" s="891" t="s">
        <v>1488</v>
      </c>
      <c r="C59" s="891" t="s">
        <v>119</v>
      </c>
      <c r="D59" s="891" t="s">
        <v>839</v>
      </c>
      <c r="E59" s="891" t="s">
        <v>1488</v>
      </c>
      <c r="F59" s="891" t="s">
        <v>119</v>
      </c>
      <c r="G59" s="897">
        <v>66.349999999999994</v>
      </c>
      <c r="H59" s="897">
        <v>64.62</v>
      </c>
      <c r="I59" s="897">
        <v>56.58</v>
      </c>
      <c r="J59" s="891"/>
      <c r="K59" s="891"/>
      <c r="L59" s="891"/>
      <c r="M59" s="891"/>
      <c r="N59" s="891"/>
      <c r="O59" s="891"/>
      <c r="P59" s="891"/>
      <c r="Q59" s="891"/>
      <c r="R59" s="891"/>
      <c r="S59" s="891"/>
      <c r="T59" s="891"/>
      <c r="U59" s="928"/>
      <c r="V59" s="928"/>
      <c r="W59" s="928"/>
      <c r="X59" s="928"/>
      <c r="Y59" s="928"/>
      <c r="Z59" s="928"/>
      <c r="AA59" s="928"/>
      <c r="AB59" s="928"/>
      <c r="AC59" s="928"/>
      <c r="AD59" s="928"/>
      <c r="AE59" s="928"/>
      <c r="AF59" s="928"/>
      <c r="AG59" s="928"/>
      <c r="AH59" s="928"/>
      <c r="AI59" s="928"/>
      <c r="AJ59" s="928"/>
      <c r="AK59" s="928"/>
      <c r="AL59" s="928"/>
      <c r="AM59" s="928"/>
      <c r="AN59" s="928"/>
      <c r="AO59" s="928"/>
      <c r="AP59" s="928"/>
      <c r="AQ59" s="928"/>
      <c r="AR59" s="928"/>
      <c r="AS59" s="928"/>
      <c r="AT59" s="928"/>
      <c r="AU59" s="928"/>
      <c r="AV59" s="928"/>
      <c r="AW59" s="928"/>
      <c r="AX59" s="928"/>
      <c r="AY59" s="928"/>
      <c r="AZ59" s="928"/>
      <c r="BA59" s="928"/>
      <c r="BB59" s="928"/>
      <c r="BC59" s="928"/>
      <c r="BD59" s="928"/>
      <c r="BE59" s="928"/>
      <c r="BF59" s="928"/>
      <c r="BG59" s="928"/>
      <c r="BH59" s="928"/>
      <c r="BI59" s="928"/>
      <c r="BJ59" s="928"/>
      <c r="BK59" s="928"/>
      <c r="BL59" s="928"/>
      <c r="BM59" s="928"/>
      <c r="BN59" s="928"/>
      <c r="BO59" s="928"/>
      <c r="BP59" s="928"/>
      <c r="BQ59" s="928"/>
      <c r="BR59" s="928"/>
      <c r="BS59" s="928"/>
      <c r="BT59" s="928"/>
      <c r="BU59" s="928"/>
      <c r="BV59" s="928"/>
      <c r="BW59" s="928"/>
      <c r="BX59" s="928"/>
      <c r="BY59" s="928"/>
      <c r="BZ59" s="928"/>
      <c r="CA59" s="928"/>
      <c r="CB59" s="928"/>
      <c r="CC59" s="928"/>
      <c r="CD59" s="928"/>
      <c r="CE59" s="928"/>
      <c r="CF59" s="928"/>
      <c r="CG59" s="928"/>
      <c r="CH59" s="928"/>
      <c r="CI59" s="928"/>
      <c r="CJ59" s="928"/>
      <c r="CK59" s="928"/>
      <c r="CL59" s="928"/>
      <c r="CM59" s="928"/>
      <c r="CN59" s="928"/>
      <c r="CO59" s="928"/>
      <c r="CP59" s="928"/>
      <c r="CQ59" s="928"/>
      <c r="CR59" s="928"/>
      <c r="CS59" s="928"/>
      <c r="CT59" s="928"/>
      <c r="CU59" s="928"/>
      <c r="CV59" s="928"/>
      <c r="CW59" s="928"/>
      <c r="CX59" s="928"/>
      <c r="CY59" s="928"/>
      <c r="CZ59" s="928"/>
      <c r="DA59" s="928"/>
      <c r="DB59" s="928"/>
      <c r="DC59" s="928"/>
      <c r="DD59" s="928"/>
      <c r="DE59" s="928"/>
      <c r="DF59" s="928"/>
      <c r="DG59" s="928"/>
      <c r="DH59" s="928"/>
    </row>
    <row r="60" spans="1:112">
      <c r="A60" s="891" t="s">
        <v>841</v>
      </c>
      <c r="B60" s="891" t="s">
        <v>1452</v>
      </c>
      <c r="C60" s="891" t="s">
        <v>50</v>
      </c>
      <c r="D60" s="891" t="s">
        <v>841</v>
      </c>
      <c r="E60" s="891" t="s">
        <v>1452</v>
      </c>
      <c r="F60" s="891" t="s">
        <v>50</v>
      </c>
      <c r="G60" s="897">
        <v>91.86</v>
      </c>
      <c r="H60" s="897">
        <v>64.97</v>
      </c>
      <c r="I60" s="897">
        <v>141.28</v>
      </c>
      <c r="J60" s="891"/>
      <c r="K60" s="891"/>
      <c r="L60" s="891"/>
      <c r="M60" s="891"/>
      <c r="N60" s="891"/>
      <c r="O60" s="891"/>
      <c r="P60" s="891"/>
      <c r="Q60" s="891"/>
      <c r="R60" s="891"/>
      <c r="S60" s="891"/>
      <c r="T60" s="891"/>
      <c r="U60" s="928"/>
      <c r="V60" s="928"/>
      <c r="W60" s="928"/>
      <c r="X60" s="928"/>
      <c r="Y60" s="928"/>
      <c r="Z60" s="928"/>
      <c r="AA60" s="928"/>
      <c r="AB60" s="928"/>
      <c r="AC60" s="928"/>
      <c r="AD60" s="928"/>
      <c r="AE60" s="928"/>
      <c r="AF60" s="928"/>
      <c r="AG60" s="928"/>
      <c r="AH60" s="928"/>
      <c r="AI60" s="928"/>
      <c r="AJ60" s="928"/>
      <c r="AK60" s="928"/>
      <c r="AL60" s="928"/>
      <c r="AM60" s="928"/>
      <c r="AN60" s="928"/>
      <c r="AO60" s="928"/>
      <c r="AP60" s="928"/>
      <c r="AQ60" s="928"/>
      <c r="AR60" s="928"/>
      <c r="AS60" s="928"/>
      <c r="AT60" s="928"/>
      <c r="AU60" s="928"/>
      <c r="AV60" s="928"/>
      <c r="AW60" s="928"/>
      <c r="AX60" s="928"/>
      <c r="AY60" s="928"/>
      <c r="AZ60" s="928"/>
      <c r="BA60" s="928"/>
      <c r="BB60" s="928"/>
      <c r="BC60" s="928"/>
      <c r="BD60" s="928"/>
      <c r="BE60" s="928"/>
      <c r="BF60" s="928"/>
      <c r="BG60" s="928"/>
      <c r="BH60" s="928"/>
      <c r="BI60" s="928"/>
      <c r="BJ60" s="928"/>
      <c r="BK60" s="928"/>
      <c r="BL60" s="928"/>
      <c r="BM60" s="928"/>
      <c r="BN60" s="928"/>
      <c r="BO60" s="928"/>
      <c r="BP60" s="928"/>
      <c r="BQ60" s="928"/>
      <c r="BR60" s="928"/>
      <c r="BS60" s="928"/>
      <c r="BT60" s="928"/>
      <c r="BU60" s="928"/>
      <c r="BV60" s="928"/>
      <c r="BW60" s="928"/>
      <c r="BX60" s="928"/>
      <c r="BY60" s="928"/>
      <c r="BZ60" s="928"/>
      <c r="CA60" s="928"/>
      <c r="CB60" s="928"/>
      <c r="CC60" s="928"/>
      <c r="CD60" s="928"/>
      <c r="CE60" s="928"/>
      <c r="CF60" s="928"/>
      <c r="CG60" s="928"/>
      <c r="CH60" s="928"/>
      <c r="CI60" s="928"/>
      <c r="CJ60" s="928"/>
      <c r="CK60" s="928"/>
      <c r="CL60" s="928"/>
      <c r="CM60" s="928"/>
      <c r="CN60" s="928"/>
      <c r="CO60" s="928"/>
      <c r="CP60" s="928"/>
      <c r="CQ60" s="928"/>
      <c r="CR60" s="928"/>
      <c r="CS60" s="928"/>
      <c r="CT60" s="928"/>
      <c r="CU60" s="928"/>
      <c r="CV60" s="928"/>
      <c r="CW60" s="928"/>
      <c r="CX60" s="928"/>
      <c r="CY60" s="928"/>
      <c r="CZ60" s="928"/>
      <c r="DA60" s="928"/>
      <c r="DB60" s="928"/>
      <c r="DC60" s="928"/>
      <c r="DD60" s="928"/>
      <c r="DE60" s="928"/>
      <c r="DF60" s="928"/>
      <c r="DG60" s="928"/>
      <c r="DH60" s="928"/>
    </row>
    <row r="61" spans="1:112">
      <c r="A61" s="891" t="s">
        <v>842</v>
      </c>
      <c r="B61" s="891" t="s">
        <v>1455</v>
      </c>
      <c r="C61" s="891" t="s">
        <v>367</v>
      </c>
      <c r="D61" s="891" t="s">
        <v>842</v>
      </c>
      <c r="E61" s="891" t="s">
        <v>1455</v>
      </c>
      <c r="F61" s="891" t="s">
        <v>367</v>
      </c>
      <c r="G61" s="897">
        <v>112.33</v>
      </c>
      <c r="H61" s="897">
        <v>41.37</v>
      </c>
      <c r="I61" s="897">
        <v>67.349999999999994</v>
      </c>
      <c r="J61" s="891"/>
      <c r="K61" s="891"/>
      <c r="L61" s="891"/>
      <c r="M61" s="891"/>
      <c r="N61" s="891"/>
      <c r="O61" s="891"/>
      <c r="P61" s="891"/>
      <c r="Q61" s="891"/>
      <c r="R61" s="891"/>
      <c r="S61" s="891"/>
      <c r="T61" s="891"/>
      <c r="U61" s="928"/>
      <c r="V61" s="928"/>
      <c r="W61" s="928"/>
      <c r="X61" s="928"/>
      <c r="Y61" s="928"/>
      <c r="Z61" s="928"/>
      <c r="AA61" s="928"/>
      <c r="AB61" s="928"/>
      <c r="AC61" s="928"/>
      <c r="AD61" s="928"/>
      <c r="AE61" s="928"/>
      <c r="AF61" s="928"/>
      <c r="AG61" s="928"/>
      <c r="AH61" s="928"/>
      <c r="AI61" s="928"/>
      <c r="AJ61" s="928"/>
      <c r="AK61" s="928"/>
      <c r="AL61" s="928"/>
      <c r="AM61" s="928"/>
      <c r="AN61" s="928"/>
      <c r="AO61" s="928"/>
      <c r="AP61" s="928"/>
      <c r="AQ61" s="928"/>
      <c r="AR61" s="928"/>
      <c r="AS61" s="928"/>
      <c r="AT61" s="928"/>
      <c r="AU61" s="928"/>
      <c r="AV61" s="928"/>
      <c r="AW61" s="928"/>
      <c r="AX61" s="928"/>
      <c r="AY61" s="928"/>
      <c r="AZ61" s="928"/>
      <c r="BA61" s="928"/>
      <c r="BB61" s="928"/>
      <c r="BC61" s="928"/>
      <c r="BD61" s="928"/>
      <c r="BE61" s="928"/>
      <c r="BF61" s="928"/>
      <c r="BG61" s="928"/>
      <c r="BH61" s="928"/>
      <c r="BI61" s="928"/>
      <c r="BJ61" s="928"/>
      <c r="BK61" s="928"/>
      <c r="BL61" s="928"/>
      <c r="BM61" s="928"/>
      <c r="BN61" s="928"/>
      <c r="BO61" s="928"/>
      <c r="BP61" s="928"/>
      <c r="BQ61" s="928"/>
      <c r="BR61" s="928"/>
      <c r="BS61" s="928"/>
      <c r="BT61" s="928"/>
      <c r="BU61" s="928"/>
      <c r="BV61" s="928"/>
      <c r="BW61" s="928"/>
      <c r="BX61" s="928"/>
      <c r="BY61" s="928"/>
      <c r="BZ61" s="928"/>
      <c r="CA61" s="928"/>
      <c r="CB61" s="928"/>
      <c r="CC61" s="928"/>
      <c r="CD61" s="928"/>
      <c r="CE61" s="928"/>
      <c r="CF61" s="928"/>
      <c r="CG61" s="928"/>
      <c r="CH61" s="928"/>
      <c r="CI61" s="928"/>
      <c r="CJ61" s="928"/>
      <c r="CK61" s="928"/>
      <c r="CL61" s="928"/>
      <c r="CM61" s="928"/>
      <c r="CN61" s="928"/>
      <c r="CO61" s="928"/>
      <c r="CP61" s="928"/>
      <c r="CQ61" s="928"/>
      <c r="CR61" s="928"/>
      <c r="CS61" s="928"/>
      <c r="CT61" s="928"/>
      <c r="CU61" s="928"/>
      <c r="CV61" s="928"/>
      <c r="CW61" s="928"/>
      <c r="CX61" s="928"/>
      <c r="CY61" s="928"/>
      <c r="CZ61" s="928"/>
      <c r="DA61" s="928"/>
      <c r="DB61" s="928"/>
      <c r="DC61" s="928"/>
      <c r="DD61" s="928"/>
      <c r="DE61" s="928"/>
      <c r="DF61" s="928"/>
      <c r="DG61" s="928"/>
      <c r="DH61" s="928"/>
    </row>
    <row r="62" spans="1:112">
      <c r="A62" s="891" t="s">
        <v>843</v>
      </c>
      <c r="B62" s="891" t="s">
        <v>1471</v>
      </c>
      <c r="C62" s="891" t="s">
        <v>58</v>
      </c>
      <c r="D62" s="891" t="s">
        <v>843</v>
      </c>
      <c r="E62" s="891" t="s">
        <v>1471</v>
      </c>
      <c r="F62" s="891" t="s">
        <v>58</v>
      </c>
      <c r="G62" s="897">
        <v>45.45</v>
      </c>
      <c r="H62" s="897">
        <v>41.66</v>
      </c>
      <c r="I62" s="897">
        <v>67.19</v>
      </c>
      <c r="J62" s="891"/>
      <c r="K62" s="891"/>
      <c r="L62" s="891"/>
      <c r="M62" s="891"/>
      <c r="N62" s="891"/>
      <c r="O62" s="891"/>
      <c r="P62" s="891"/>
      <c r="Q62" s="891"/>
      <c r="R62" s="891"/>
      <c r="S62" s="891"/>
      <c r="T62" s="891"/>
      <c r="U62" s="928"/>
      <c r="V62" s="928"/>
      <c r="W62" s="928"/>
      <c r="X62" s="928"/>
      <c r="Y62" s="928"/>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928"/>
      <c r="AZ62" s="928"/>
      <c r="BA62" s="928"/>
      <c r="BB62" s="928"/>
      <c r="BC62" s="928"/>
      <c r="BD62" s="928"/>
      <c r="BE62" s="928"/>
      <c r="BF62" s="928"/>
      <c r="BG62" s="928"/>
      <c r="BH62" s="928"/>
      <c r="BI62" s="928"/>
      <c r="BJ62" s="928"/>
      <c r="BK62" s="928"/>
      <c r="BL62" s="928"/>
      <c r="BM62" s="928"/>
      <c r="BN62" s="928"/>
      <c r="BO62" s="928"/>
      <c r="BP62" s="928"/>
      <c r="BQ62" s="928"/>
      <c r="BR62" s="928"/>
      <c r="BS62" s="928"/>
      <c r="BT62" s="928"/>
      <c r="BU62" s="928"/>
      <c r="BV62" s="928"/>
      <c r="BW62" s="928"/>
      <c r="BX62" s="928"/>
      <c r="BY62" s="928"/>
      <c r="BZ62" s="928"/>
      <c r="CA62" s="928"/>
      <c r="CB62" s="928"/>
      <c r="CC62" s="928"/>
      <c r="CD62" s="928"/>
      <c r="CE62" s="928"/>
      <c r="CF62" s="928"/>
      <c r="CG62" s="928"/>
      <c r="CH62" s="928"/>
      <c r="CI62" s="928"/>
      <c r="CJ62" s="928"/>
      <c r="CK62" s="928"/>
      <c r="CL62" s="928"/>
      <c r="CM62" s="928"/>
      <c r="CN62" s="928"/>
      <c r="CO62" s="928"/>
      <c r="CP62" s="928"/>
      <c r="CQ62" s="928"/>
      <c r="CR62" s="928"/>
      <c r="CS62" s="928"/>
      <c r="CT62" s="928"/>
      <c r="CU62" s="928"/>
      <c r="CV62" s="928"/>
      <c r="CW62" s="928"/>
      <c r="CX62" s="928"/>
      <c r="CY62" s="928"/>
      <c r="CZ62" s="928"/>
      <c r="DA62" s="928"/>
      <c r="DB62" s="928"/>
      <c r="DC62" s="928"/>
      <c r="DD62" s="928"/>
      <c r="DE62" s="928"/>
      <c r="DF62" s="928"/>
      <c r="DG62" s="928"/>
      <c r="DH62" s="928"/>
    </row>
    <row r="63" spans="1:112">
      <c r="A63" s="891" t="s">
        <v>844</v>
      </c>
      <c r="B63" s="891" t="s">
        <v>1447</v>
      </c>
      <c r="C63" s="891" t="s">
        <v>45</v>
      </c>
      <c r="D63" s="891" t="s">
        <v>844</v>
      </c>
      <c r="E63" s="891" t="s">
        <v>1447</v>
      </c>
      <c r="F63" s="891" t="s">
        <v>45</v>
      </c>
      <c r="G63" s="897">
        <v>100.31</v>
      </c>
      <c r="H63" s="897">
        <v>107.44</v>
      </c>
      <c r="I63" s="897">
        <v>94.14</v>
      </c>
      <c r="J63" s="891"/>
      <c r="K63" s="891"/>
      <c r="L63" s="891"/>
      <c r="M63" s="891"/>
      <c r="N63" s="891"/>
      <c r="O63" s="891"/>
      <c r="P63" s="891"/>
      <c r="Q63" s="891"/>
      <c r="R63" s="891"/>
      <c r="S63" s="891"/>
      <c r="T63" s="891"/>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8"/>
      <c r="AT63" s="928"/>
      <c r="AU63" s="928"/>
      <c r="AV63" s="928"/>
      <c r="AW63" s="928"/>
      <c r="AX63" s="928"/>
      <c r="AY63" s="928"/>
      <c r="AZ63" s="928"/>
      <c r="BA63" s="928"/>
      <c r="BB63" s="928"/>
      <c r="BC63" s="928"/>
      <c r="BD63" s="928"/>
      <c r="BE63" s="928"/>
      <c r="BF63" s="928"/>
      <c r="BG63" s="928"/>
      <c r="BH63" s="928"/>
      <c r="BI63" s="928"/>
      <c r="BJ63" s="928"/>
      <c r="BK63" s="928"/>
      <c r="BL63" s="928"/>
      <c r="BM63" s="928"/>
      <c r="BN63" s="928"/>
      <c r="BO63" s="928"/>
      <c r="BP63" s="928"/>
      <c r="BQ63" s="928"/>
      <c r="BR63" s="928"/>
      <c r="BS63" s="928"/>
      <c r="BT63" s="928"/>
      <c r="BU63" s="928"/>
      <c r="BV63" s="928"/>
      <c r="BW63" s="928"/>
      <c r="BX63" s="928"/>
      <c r="BY63" s="928"/>
      <c r="BZ63" s="928"/>
      <c r="CA63" s="928"/>
      <c r="CB63" s="928"/>
      <c r="CC63" s="928"/>
      <c r="CD63" s="928"/>
      <c r="CE63" s="928"/>
      <c r="CF63" s="928"/>
      <c r="CG63" s="928"/>
      <c r="CH63" s="928"/>
      <c r="CI63" s="928"/>
      <c r="CJ63" s="928"/>
      <c r="CK63" s="928"/>
      <c r="CL63" s="928"/>
      <c r="CM63" s="928"/>
      <c r="CN63" s="928"/>
      <c r="CO63" s="928"/>
      <c r="CP63" s="928"/>
      <c r="CQ63" s="928"/>
      <c r="CR63" s="928"/>
      <c r="CS63" s="928"/>
      <c r="CT63" s="928"/>
      <c r="CU63" s="928"/>
      <c r="CV63" s="928"/>
      <c r="CW63" s="928"/>
      <c r="CX63" s="928"/>
      <c r="CY63" s="928"/>
      <c r="CZ63" s="928"/>
      <c r="DA63" s="928"/>
      <c r="DB63" s="928"/>
      <c r="DC63" s="928"/>
      <c r="DD63" s="928"/>
      <c r="DE63" s="928"/>
      <c r="DF63" s="928"/>
      <c r="DG63" s="928"/>
      <c r="DH63" s="928"/>
    </row>
    <row r="64" spans="1:112">
      <c r="A64" s="891" t="s">
        <v>845</v>
      </c>
      <c r="B64" s="891" t="s">
        <v>1475</v>
      </c>
      <c r="C64" s="891" t="s">
        <v>240</v>
      </c>
      <c r="D64" s="891" t="s">
        <v>845</v>
      </c>
      <c r="E64" s="891" t="s">
        <v>1475</v>
      </c>
      <c r="F64" s="891" t="s">
        <v>240</v>
      </c>
      <c r="G64" s="897">
        <v>38.700000000000003</v>
      </c>
      <c r="H64" s="897">
        <v>33.71</v>
      </c>
      <c r="I64" s="897">
        <v>27.45</v>
      </c>
      <c r="J64" s="891"/>
      <c r="K64" s="891"/>
      <c r="L64" s="891"/>
      <c r="M64" s="891"/>
      <c r="N64" s="891"/>
      <c r="O64" s="891"/>
      <c r="P64" s="891"/>
      <c r="Q64" s="891"/>
      <c r="R64" s="891"/>
      <c r="S64" s="891"/>
      <c r="T64" s="891"/>
      <c r="U64" s="928"/>
      <c r="V64" s="928"/>
      <c r="W64" s="928"/>
      <c r="X64" s="928"/>
      <c r="Y64" s="928"/>
      <c r="Z64" s="928"/>
      <c r="AA64" s="928"/>
      <c r="AB64" s="928"/>
      <c r="AC64" s="928"/>
      <c r="AD64" s="928"/>
      <c r="AE64" s="928"/>
      <c r="AF64" s="928"/>
      <c r="AG64" s="928"/>
      <c r="AH64" s="928"/>
      <c r="AI64" s="928"/>
      <c r="AJ64" s="928"/>
      <c r="AK64" s="928"/>
      <c r="AL64" s="928"/>
      <c r="AM64" s="928"/>
      <c r="AN64" s="928"/>
      <c r="AO64" s="928"/>
      <c r="AP64" s="928"/>
      <c r="AQ64" s="928"/>
      <c r="AR64" s="928"/>
      <c r="AS64" s="928"/>
      <c r="AT64" s="928"/>
      <c r="AU64" s="928"/>
      <c r="AV64" s="928"/>
      <c r="AW64" s="928"/>
      <c r="AX64" s="928"/>
      <c r="AY64" s="928"/>
      <c r="AZ64" s="928"/>
      <c r="BA64" s="928"/>
      <c r="BB64" s="928"/>
      <c r="BC64" s="928"/>
      <c r="BD64" s="928"/>
      <c r="BE64" s="928"/>
      <c r="BF64" s="928"/>
      <c r="BG64" s="928"/>
      <c r="BH64" s="928"/>
      <c r="BI64" s="928"/>
      <c r="BJ64" s="928"/>
      <c r="BK64" s="928"/>
      <c r="BL64" s="928"/>
      <c r="BM64" s="928"/>
      <c r="BN64" s="928"/>
      <c r="BO64" s="928"/>
      <c r="BP64" s="928"/>
      <c r="BQ64" s="928"/>
      <c r="BR64" s="928"/>
      <c r="BS64" s="928"/>
      <c r="BT64" s="928"/>
      <c r="BU64" s="928"/>
      <c r="BV64" s="928"/>
      <c r="BW64" s="928"/>
      <c r="BX64" s="928"/>
      <c r="BY64" s="928"/>
      <c r="BZ64" s="928"/>
      <c r="CA64" s="928"/>
      <c r="CB64" s="928"/>
      <c r="CC64" s="928"/>
      <c r="CD64" s="928"/>
      <c r="CE64" s="928"/>
      <c r="CF64" s="928"/>
      <c r="CG64" s="928"/>
      <c r="CH64" s="928"/>
      <c r="CI64" s="928"/>
      <c r="CJ64" s="928"/>
      <c r="CK64" s="928"/>
      <c r="CL64" s="928"/>
      <c r="CM64" s="928"/>
      <c r="CN64" s="928"/>
      <c r="CO64" s="928"/>
      <c r="CP64" s="928"/>
      <c r="CQ64" s="928"/>
      <c r="CR64" s="928"/>
      <c r="CS64" s="928"/>
      <c r="CT64" s="928"/>
      <c r="CU64" s="928"/>
      <c r="CV64" s="928"/>
      <c r="CW64" s="928"/>
      <c r="CX64" s="928"/>
      <c r="CY64" s="928"/>
      <c r="CZ64" s="928"/>
      <c r="DA64" s="928"/>
      <c r="DB64" s="928"/>
      <c r="DC64" s="928"/>
      <c r="DD64" s="928"/>
      <c r="DE64" s="928"/>
      <c r="DF64" s="928"/>
      <c r="DG64" s="928"/>
      <c r="DH64" s="928"/>
    </row>
    <row r="65" spans="1:112">
      <c r="A65" s="891" t="s">
        <v>846</v>
      </c>
      <c r="B65" s="891" t="s">
        <v>1452</v>
      </c>
      <c r="C65" s="891" t="s">
        <v>29</v>
      </c>
      <c r="D65" s="891" t="s">
        <v>846</v>
      </c>
      <c r="E65" s="891" t="s">
        <v>1452</v>
      </c>
      <c r="F65" s="891" t="s">
        <v>29</v>
      </c>
      <c r="G65" s="897">
        <v>109.41</v>
      </c>
      <c r="H65" s="897">
        <v>93.09</v>
      </c>
      <c r="I65" s="897">
        <v>112.52</v>
      </c>
      <c r="J65" s="891"/>
      <c r="K65" s="891"/>
      <c r="L65" s="891"/>
      <c r="M65" s="891"/>
      <c r="N65" s="891"/>
      <c r="O65" s="891"/>
      <c r="P65" s="891"/>
      <c r="Q65" s="891"/>
      <c r="R65" s="891"/>
      <c r="S65" s="891"/>
      <c r="T65" s="891"/>
      <c r="U65" s="928"/>
      <c r="V65" s="928"/>
      <c r="W65" s="928"/>
      <c r="X65" s="928"/>
      <c r="Y65" s="928"/>
      <c r="Z65" s="928"/>
      <c r="AA65" s="928"/>
      <c r="AB65" s="928"/>
      <c r="AC65" s="928"/>
      <c r="AD65" s="928"/>
      <c r="AE65" s="928"/>
      <c r="AF65" s="928"/>
      <c r="AG65" s="928"/>
      <c r="AH65" s="928"/>
      <c r="AI65" s="928"/>
      <c r="AJ65" s="928"/>
      <c r="AK65" s="928"/>
      <c r="AL65" s="928"/>
      <c r="AM65" s="928"/>
      <c r="AN65" s="928"/>
      <c r="AO65" s="928"/>
      <c r="AP65" s="928"/>
      <c r="AQ65" s="928"/>
      <c r="AR65" s="928"/>
      <c r="AS65" s="928"/>
      <c r="AT65" s="928"/>
      <c r="AU65" s="928"/>
      <c r="AV65" s="928"/>
      <c r="AW65" s="928"/>
      <c r="AX65" s="928"/>
      <c r="AY65" s="928"/>
      <c r="AZ65" s="928"/>
      <c r="BA65" s="928"/>
      <c r="BB65" s="928"/>
      <c r="BC65" s="928"/>
      <c r="BD65" s="928"/>
      <c r="BE65" s="928"/>
      <c r="BF65" s="928"/>
      <c r="BG65" s="928"/>
      <c r="BH65" s="928"/>
      <c r="BI65" s="928"/>
      <c r="BJ65" s="928"/>
      <c r="BK65" s="928"/>
      <c r="BL65" s="928"/>
      <c r="BM65" s="928"/>
      <c r="BN65" s="928"/>
      <c r="BO65" s="928"/>
      <c r="BP65" s="928"/>
      <c r="BQ65" s="928"/>
      <c r="BR65" s="928"/>
      <c r="BS65" s="928"/>
      <c r="BT65" s="928"/>
      <c r="BU65" s="928"/>
      <c r="BV65" s="928"/>
      <c r="BW65" s="928"/>
      <c r="BX65" s="928"/>
      <c r="BY65" s="928"/>
      <c r="BZ65" s="928"/>
      <c r="CA65" s="928"/>
      <c r="CB65" s="928"/>
      <c r="CC65" s="928"/>
      <c r="CD65" s="928"/>
      <c r="CE65" s="928"/>
      <c r="CF65" s="928"/>
      <c r="CG65" s="928"/>
      <c r="CH65" s="928"/>
      <c r="CI65" s="928"/>
      <c r="CJ65" s="928"/>
      <c r="CK65" s="928"/>
      <c r="CL65" s="928"/>
      <c r="CM65" s="928"/>
      <c r="CN65" s="928"/>
      <c r="CO65" s="928"/>
      <c r="CP65" s="928"/>
      <c r="CQ65" s="928"/>
      <c r="CR65" s="928"/>
      <c r="CS65" s="928"/>
      <c r="CT65" s="928"/>
      <c r="CU65" s="928"/>
      <c r="CV65" s="928"/>
      <c r="CW65" s="928"/>
      <c r="CX65" s="928"/>
      <c r="CY65" s="928"/>
      <c r="CZ65" s="928"/>
      <c r="DA65" s="928"/>
      <c r="DB65" s="928"/>
      <c r="DC65" s="928"/>
      <c r="DD65" s="928"/>
      <c r="DE65" s="928"/>
      <c r="DF65" s="928"/>
      <c r="DG65" s="928"/>
      <c r="DH65" s="928"/>
    </row>
    <row r="66" spans="1:112">
      <c r="A66" s="891" t="s">
        <v>847</v>
      </c>
      <c r="B66" s="891" t="s">
        <v>1489</v>
      </c>
      <c r="C66" s="891" t="s">
        <v>321</v>
      </c>
      <c r="D66" s="891" t="s">
        <v>847</v>
      </c>
      <c r="E66" s="891" t="s">
        <v>1489</v>
      </c>
      <c r="F66" s="891" t="s">
        <v>321</v>
      </c>
      <c r="G66" s="897">
        <v>105.22</v>
      </c>
      <c r="H66" s="897">
        <v>110.44</v>
      </c>
      <c r="I66" s="897">
        <v>118.13</v>
      </c>
      <c r="J66" s="891"/>
      <c r="K66" s="891"/>
      <c r="L66" s="891"/>
      <c r="M66" s="891"/>
      <c r="N66" s="891"/>
      <c r="O66" s="891"/>
      <c r="P66" s="891"/>
      <c r="Q66" s="891"/>
      <c r="R66" s="891"/>
      <c r="S66" s="891"/>
      <c r="T66" s="891"/>
      <c r="U66" s="928"/>
      <c r="V66" s="928"/>
      <c r="W66" s="928"/>
      <c r="X66" s="928"/>
      <c r="Y66" s="928"/>
      <c r="Z66" s="928"/>
      <c r="AA66" s="928"/>
      <c r="AB66" s="928"/>
      <c r="AC66" s="928"/>
      <c r="AD66" s="928"/>
      <c r="AE66" s="928"/>
      <c r="AF66" s="928"/>
      <c r="AG66" s="928"/>
      <c r="AH66" s="928"/>
      <c r="AI66" s="928"/>
      <c r="AJ66" s="928"/>
      <c r="AK66" s="928"/>
      <c r="AL66" s="928"/>
      <c r="AM66" s="928"/>
      <c r="AN66" s="928"/>
      <c r="AO66" s="928"/>
      <c r="AP66" s="928"/>
      <c r="AQ66" s="928"/>
      <c r="AR66" s="928"/>
      <c r="AS66" s="928"/>
      <c r="AT66" s="928"/>
      <c r="AU66" s="928"/>
      <c r="AV66" s="928"/>
      <c r="AW66" s="928"/>
      <c r="AX66" s="928"/>
      <c r="AY66" s="928"/>
      <c r="AZ66" s="928"/>
      <c r="BA66" s="928"/>
      <c r="BB66" s="928"/>
      <c r="BC66" s="928"/>
      <c r="BD66" s="928"/>
      <c r="BE66" s="928"/>
      <c r="BF66" s="928"/>
      <c r="BG66" s="928"/>
      <c r="BH66" s="928"/>
      <c r="BI66" s="928"/>
      <c r="BJ66" s="928"/>
      <c r="BK66" s="928"/>
      <c r="BL66" s="928"/>
      <c r="BM66" s="928"/>
      <c r="BN66" s="928"/>
      <c r="BO66" s="928"/>
      <c r="BP66" s="928"/>
      <c r="BQ66" s="928"/>
      <c r="BR66" s="928"/>
      <c r="BS66" s="928"/>
      <c r="BT66" s="928"/>
      <c r="BU66" s="928"/>
      <c r="BV66" s="928"/>
      <c r="BW66" s="928"/>
      <c r="BX66" s="928"/>
      <c r="BY66" s="928"/>
      <c r="BZ66" s="928"/>
      <c r="CA66" s="928"/>
      <c r="CB66" s="928"/>
      <c r="CC66" s="928"/>
      <c r="CD66" s="928"/>
      <c r="CE66" s="928"/>
      <c r="CF66" s="928"/>
      <c r="CG66" s="928"/>
      <c r="CH66" s="928"/>
      <c r="CI66" s="928"/>
      <c r="CJ66" s="928"/>
      <c r="CK66" s="928"/>
      <c r="CL66" s="928"/>
      <c r="CM66" s="928"/>
      <c r="CN66" s="928"/>
      <c r="CO66" s="928"/>
      <c r="CP66" s="928"/>
      <c r="CQ66" s="928"/>
      <c r="CR66" s="928"/>
      <c r="CS66" s="928"/>
      <c r="CT66" s="928"/>
      <c r="CU66" s="928"/>
      <c r="CV66" s="928"/>
      <c r="CW66" s="928"/>
      <c r="CX66" s="928"/>
      <c r="CY66" s="928"/>
      <c r="CZ66" s="928"/>
      <c r="DA66" s="928"/>
      <c r="DB66" s="928"/>
      <c r="DC66" s="928"/>
      <c r="DD66" s="928"/>
      <c r="DE66" s="928"/>
      <c r="DF66" s="928"/>
      <c r="DG66" s="928"/>
      <c r="DH66" s="928"/>
    </row>
    <row r="67" spans="1:112">
      <c r="A67" s="891" t="s">
        <v>850</v>
      </c>
      <c r="B67" s="891" t="s">
        <v>1490</v>
      </c>
      <c r="C67" s="891" t="s">
        <v>350</v>
      </c>
      <c r="D67" s="891" t="s">
        <v>850</v>
      </c>
      <c r="E67" s="891" t="s">
        <v>1490</v>
      </c>
      <c r="F67" s="891" t="s">
        <v>350</v>
      </c>
      <c r="G67" s="897">
        <v>51.17</v>
      </c>
      <c r="H67" s="897">
        <v>53.74</v>
      </c>
      <c r="I67" s="897">
        <v>66.23</v>
      </c>
      <c r="J67" s="891"/>
      <c r="K67" s="891"/>
      <c r="L67" s="891"/>
      <c r="M67" s="891"/>
      <c r="N67" s="891"/>
      <c r="O67" s="891"/>
      <c r="P67" s="891"/>
      <c r="Q67" s="891"/>
      <c r="R67" s="891"/>
      <c r="S67" s="891"/>
      <c r="T67" s="891"/>
      <c r="U67" s="928"/>
      <c r="V67" s="928"/>
      <c r="W67" s="928"/>
      <c r="X67" s="928"/>
      <c r="Y67" s="928"/>
      <c r="Z67" s="928"/>
      <c r="AA67" s="928"/>
      <c r="AB67" s="928"/>
      <c r="AC67" s="928"/>
      <c r="AD67" s="928"/>
      <c r="AE67" s="928"/>
      <c r="AF67" s="928"/>
      <c r="AG67" s="928"/>
      <c r="AH67" s="928"/>
      <c r="AI67" s="928"/>
      <c r="AJ67" s="928"/>
      <c r="AK67" s="928"/>
      <c r="AL67" s="928"/>
      <c r="AM67" s="928"/>
      <c r="AN67" s="928"/>
      <c r="AO67" s="928"/>
      <c r="AP67" s="928"/>
      <c r="AQ67" s="928"/>
      <c r="AR67" s="928"/>
      <c r="AS67" s="928"/>
      <c r="AT67" s="928"/>
      <c r="AU67" s="928"/>
      <c r="AV67" s="928"/>
      <c r="AW67" s="928"/>
      <c r="AX67" s="928"/>
      <c r="AY67" s="928"/>
      <c r="AZ67" s="928"/>
      <c r="BA67" s="928"/>
      <c r="BB67" s="928"/>
      <c r="BC67" s="928"/>
      <c r="BD67" s="928"/>
      <c r="BE67" s="928"/>
      <c r="BF67" s="928"/>
      <c r="BG67" s="928"/>
      <c r="BH67" s="928"/>
      <c r="BI67" s="928"/>
      <c r="BJ67" s="928"/>
      <c r="BK67" s="928"/>
      <c r="BL67" s="928"/>
      <c r="BM67" s="928"/>
      <c r="BN67" s="928"/>
      <c r="BO67" s="928"/>
      <c r="BP67" s="928"/>
      <c r="BQ67" s="928"/>
      <c r="BR67" s="928"/>
      <c r="BS67" s="928"/>
      <c r="BT67" s="928"/>
      <c r="BU67" s="928"/>
      <c r="BV67" s="928"/>
      <c r="BW67" s="928"/>
      <c r="BX67" s="928"/>
      <c r="BY67" s="928"/>
      <c r="BZ67" s="928"/>
      <c r="CA67" s="928"/>
      <c r="CB67" s="928"/>
      <c r="CC67" s="928"/>
      <c r="CD67" s="928"/>
      <c r="CE67" s="928"/>
      <c r="CF67" s="928"/>
      <c r="CG67" s="928"/>
      <c r="CH67" s="928"/>
      <c r="CI67" s="928"/>
      <c r="CJ67" s="928"/>
      <c r="CK67" s="928"/>
      <c r="CL67" s="928"/>
      <c r="CM67" s="928"/>
      <c r="CN67" s="928"/>
      <c r="CO67" s="928"/>
      <c r="CP67" s="928"/>
      <c r="CQ67" s="928"/>
      <c r="CR67" s="928"/>
      <c r="CS67" s="928"/>
      <c r="CT67" s="928"/>
      <c r="CU67" s="928"/>
      <c r="CV67" s="928"/>
      <c r="CW67" s="928"/>
      <c r="CX67" s="928"/>
      <c r="CY67" s="928"/>
      <c r="CZ67" s="928"/>
      <c r="DA67" s="928"/>
      <c r="DB67" s="928"/>
      <c r="DC67" s="928"/>
      <c r="DD67" s="928"/>
      <c r="DE67" s="928"/>
      <c r="DF67" s="928"/>
      <c r="DG67" s="928"/>
      <c r="DH67" s="928"/>
    </row>
    <row r="68" spans="1:112">
      <c r="A68" s="891" t="s">
        <v>851</v>
      </c>
      <c r="B68" s="891" t="s">
        <v>1453</v>
      </c>
      <c r="C68" s="891" t="s">
        <v>389</v>
      </c>
      <c r="D68" s="891" t="s">
        <v>851</v>
      </c>
      <c r="E68" s="891" t="s">
        <v>1453</v>
      </c>
      <c r="F68" s="891" t="s">
        <v>389</v>
      </c>
      <c r="G68" s="897">
        <v>103.65</v>
      </c>
      <c r="H68" s="897">
        <v>100.31</v>
      </c>
      <c r="I68" s="897">
        <v>138.38</v>
      </c>
      <c r="J68" s="891"/>
      <c r="K68" s="891"/>
      <c r="L68" s="891"/>
      <c r="M68" s="891"/>
      <c r="N68" s="891"/>
      <c r="O68" s="891"/>
      <c r="P68" s="891"/>
      <c r="Q68" s="891"/>
      <c r="R68" s="891"/>
      <c r="S68" s="891"/>
      <c r="T68" s="891"/>
      <c r="U68" s="928"/>
      <c r="V68" s="928"/>
      <c r="W68" s="928"/>
      <c r="X68" s="928"/>
      <c r="Y68" s="928"/>
      <c r="Z68" s="928"/>
      <c r="AA68" s="928"/>
      <c r="AB68" s="928"/>
      <c r="AC68" s="928"/>
      <c r="AD68" s="928"/>
      <c r="AE68" s="928"/>
      <c r="AF68" s="928"/>
      <c r="AG68" s="928"/>
      <c r="AH68" s="928"/>
      <c r="AI68" s="928"/>
      <c r="AJ68" s="928"/>
      <c r="AK68" s="928"/>
      <c r="AL68" s="928"/>
      <c r="AM68" s="928"/>
      <c r="AN68" s="928"/>
      <c r="AO68" s="928"/>
      <c r="AP68" s="928"/>
      <c r="AQ68" s="928"/>
      <c r="AR68" s="928"/>
      <c r="AS68" s="928"/>
      <c r="AT68" s="928"/>
      <c r="AU68" s="928"/>
      <c r="AV68" s="928"/>
      <c r="AW68" s="928"/>
      <c r="AX68" s="928"/>
      <c r="AY68" s="928"/>
      <c r="AZ68" s="928"/>
      <c r="BA68" s="928"/>
      <c r="BB68" s="928"/>
      <c r="BC68" s="928"/>
      <c r="BD68" s="928"/>
      <c r="BE68" s="928"/>
      <c r="BF68" s="928"/>
      <c r="BG68" s="928"/>
      <c r="BH68" s="928"/>
      <c r="BI68" s="928"/>
      <c r="BJ68" s="928"/>
      <c r="BK68" s="928"/>
      <c r="BL68" s="928"/>
      <c r="BM68" s="928"/>
      <c r="BN68" s="928"/>
      <c r="BO68" s="928"/>
      <c r="BP68" s="928"/>
      <c r="BQ68" s="928"/>
      <c r="BR68" s="928"/>
      <c r="BS68" s="928"/>
      <c r="BT68" s="928"/>
      <c r="BU68" s="928"/>
      <c r="BV68" s="928"/>
      <c r="BW68" s="928"/>
      <c r="BX68" s="928"/>
      <c r="BY68" s="928"/>
      <c r="BZ68" s="928"/>
      <c r="CA68" s="928"/>
      <c r="CB68" s="928"/>
      <c r="CC68" s="928"/>
      <c r="CD68" s="928"/>
      <c r="CE68" s="928"/>
      <c r="CF68" s="928"/>
      <c r="CG68" s="928"/>
      <c r="CH68" s="928"/>
      <c r="CI68" s="928"/>
      <c r="CJ68" s="928"/>
      <c r="CK68" s="928"/>
      <c r="CL68" s="928"/>
      <c r="CM68" s="928"/>
      <c r="CN68" s="928"/>
      <c r="CO68" s="928"/>
      <c r="CP68" s="928"/>
      <c r="CQ68" s="928"/>
      <c r="CR68" s="928"/>
      <c r="CS68" s="928"/>
      <c r="CT68" s="928"/>
      <c r="CU68" s="928"/>
      <c r="CV68" s="928"/>
      <c r="CW68" s="928"/>
      <c r="CX68" s="928"/>
      <c r="CY68" s="928"/>
      <c r="CZ68" s="928"/>
      <c r="DA68" s="928"/>
      <c r="DB68" s="928"/>
      <c r="DC68" s="928"/>
      <c r="DD68" s="928"/>
      <c r="DE68" s="928"/>
      <c r="DF68" s="928"/>
      <c r="DG68" s="928"/>
      <c r="DH68" s="928"/>
    </row>
    <row r="69" spans="1:112">
      <c r="A69" s="891" t="s">
        <v>1491</v>
      </c>
      <c r="B69" s="891" t="s">
        <v>1463</v>
      </c>
      <c r="C69" s="891" t="s">
        <v>1424</v>
      </c>
      <c r="D69" s="891" t="s">
        <v>1491</v>
      </c>
      <c r="E69" s="891" t="s">
        <v>1463</v>
      </c>
      <c r="F69" s="891" t="s">
        <v>1424</v>
      </c>
      <c r="G69" s="897">
        <v>46.81</v>
      </c>
      <c r="H69" s="897">
        <v>41.73</v>
      </c>
      <c r="I69" s="897">
        <v>98.29</v>
      </c>
      <c r="J69" s="891"/>
      <c r="K69" s="891"/>
      <c r="L69" s="891"/>
      <c r="M69" s="891"/>
      <c r="N69" s="891"/>
      <c r="O69" s="891"/>
      <c r="P69" s="891"/>
      <c r="Q69" s="891"/>
      <c r="R69" s="891"/>
      <c r="S69" s="891"/>
      <c r="T69" s="891"/>
      <c r="U69" s="928"/>
      <c r="V69" s="928"/>
      <c r="W69" s="928"/>
      <c r="X69" s="928"/>
      <c r="Y69" s="928"/>
      <c r="Z69" s="928"/>
      <c r="AA69" s="928"/>
      <c r="AB69" s="928"/>
      <c r="AC69" s="928"/>
      <c r="AD69" s="928"/>
      <c r="AE69" s="928"/>
      <c r="AF69" s="928"/>
      <c r="AG69" s="928"/>
      <c r="AH69" s="928"/>
      <c r="AI69" s="928"/>
      <c r="AJ69" s="928"/>
      <c r="AK69" s="928"/>
      <c r="AL69" s="928"/>
      <c r="AM69" s="928"/>
      <c r="AN69" s="928"/>
      <c r="AO69" s="928"/>
      <c r="AP69" s="928"/>
      <c r="AQ69" s="928"/>
      <c r="AR69" s="928"/>
      <c r="AS69" s="928"/>
      <c r="AT69" s="928"/>
      <c r="AU69" s="928"/>
      <c r="AV69" s="928"/>
      <c r="AW69" s="928"/>
      <c r="AX69" s="928"/>
      <c r="AY69" s="928"/>
      <c r="AZ69" s="928"/>
      <c r="BA69" s="928"/>
      <c r="BB69" s="928"/>
      <c r="BC69" s="928"/>
      <c r="BD69" s="928"/>
      <c r="BE69" s="928"/>
      <c r="BF69" s="928"/>
      <c r="BG69" s="928"/>
      <c r="BH69" s="928"/>
      <c r="BI69" s="928"/>
      <c r="BJ69" s="928"/>
      <c r="BK69" s="928"/>
      <c r="BL69" s="928"/>
      <c r="BM69" s="928"/>
      <c r="BN69" s="928"/>
      <c r="BO69" s="928"/>
      <c r="BP69" s="928"/>
      <c r="BQ69" s="928"/>
      <c r="BR69" s="928"/>
      <c r="BS69" s="928"/>
      <c r="BT69" s="928"/>
      <c r="BU69" s="928"/>
      <c r="BV69" s="928"/>
      <c r="BW69" s="928"/>
      <c r="BX69" s="928"/>
      <c r="BY69" s="928"/>
      <c r="BZ69" s="928"/>
      <c r="CA69" s="928"/>
      <c r="CB69" s="928"/>
      <c r="CC69" s="928"/>
      <c r="CD69" s="928"/>
      <c r="CE69" s="928"/>
      <c r="CF69" s="928"/>
      <c r="CG69" s="928"/>
      <c r="CH69" s="928"/>
      <c r="CI69" s="928"/>
      <c r="CJ69" s="928"/>
      <c r="CK69" s="928"/>
      <c r="CL69" s="928"/>
      <c r="CM69" s="928"/>
      <c r="CN69" s="928"/>
      <c r="CO69" s="928"/>
      <c r="CP69" s="928"/>
      <c r="CQ69" s="928"/>
      <c r="CR69" s="928"/>
      <c r="CS69" s="928"/>
      <c r="CT69" s="928"/>
      <c r="CU69" s="928"/>
      <c r="CV69" s="928"/>
      <c r="CW69" s="928"/>
      <c r="CX69" s="928"/>
      <c r="CY69" s="928"/>
      <c r="CZ69" s="928"/>
      <c r="DA69" s="928"/>
      <c r="DB69" s="928"/>
      <c r="DC69" s="928"/>
      <c r="DD69" s="928"/>
      <c r="DE69" s="928"/>
      <c r="DF69" s="928"/>
      <c r="DG69" s="928"/>
      <c r="DH69" s="928"/>
    </row>
    <row r="70" spans="1:112">
      <c r="A70" s="891" t="s">
        <v>852</v>
      </c>
      <c r="B70" s="891" t="s">
        <v>1453</v>
      </c>
      <c r="C70" s="891" t="s">
        <v>388</v>
      </c>
      <c r="D70" s="891" t="s">
        <v>852</v>
      </c>
      <c r="E70" s="891" t="s">
        <v>1453</v>
      </c>
      <c r="F70" s="891" t="s">
        <v>388</v>
      </c>
      <c r="G70" s="897">
        <v>127.01</v>
      </c>
      <c r="H70" s="897">
        <v>101.61</v>
      </c>
      <c r="I70" s="897">
        <v>23.2</v>
      </c>
      <c r="J70" s="891"/>
      <c r="K70" s="891"/>
      <c r="L70" s="891"/>
      <c r="M70" s="891"/>
      <c r="N70" s="891"/>
      <c r="O70" s="891"/>
      <c r="P70" s="891"/>
      <c r="Q70" s="891"/>
      <c r="R70" s="891"/>
      <c r="S70" s="891"/>
      <c r="T70" s="891"/>
      <c r="U70" s="928"/>
      <c r="V70" s="928"/>
      <c r="W70" s="928"/>
      <c r="X70" s="928"/>
      <c r="Y70" s="928"/>
      <c r="Z70" s="928"/>
      <c r="AA70" s="928"/>
      <c r="AB70" s="928"/>
      <c r="AC70" s="928"/>
      <c r="AD70" s="928"/>
      <c r="AE70" s="928"/>
      <c r="AF70" s="928"/>
      <c r="AG70" s="928"/>
      <c r="AH70" s="928"/>
      <c r="AI70" s="928"/>
      <c r="AJ70" s="928"/>
      <c r="AK70" s="928"/>
      <c r="AL70" s="928"/>
      <c r="AM70" s="928"/>
      <c r="AN70" s="928"/>
      <c r="AO70" s="928"/>
      <c r="AP70" s="928"/>
      <c r="AQ70" s="928"/>
      <c r="AR70" s="928"/>
      <c r="AS70" s="928"/>
      <c r="AT70" s="928"/>
      <c r="AU70" s="928"/>
      <c r="AV70" s="928"/>
      <c r="AW70" s="928"/>
      <c r="AX70" s="928"/>
      <c r="AY70" s="928"/>
      <c r="AZ70" s="928"/>
      <c r="BA70" s="928"/>
      <c r="BB70" s="928"/>
      <c r="BC70" s="928"/>
      <c r="BD70" s="928"/>
      <c r="BE70" s="928"/>
      <c r="BF70" s="928"/>
      <c r="BG70" s="928"/>
      <c r="BH70" s="928"/>
      <c r="BI70" s="928"/>
      <c r="BJ70" s="928"/>
      <c r="BK70" s="928"/>
      <c r="BL70" s="928"/>
      <c r="BM70" s="928"/>
      <c r="BN70" s="928"/>
      <c r="BO70" s="928"/>
      <c r="BP70" s="928"/>
      <c r="BQ70" s="928"/>
      <c r="BR70" s="928"/>
      <c r="BS70" s="928"/>
      <c r="BT70" s="928"/>
      <c r="BU70" s="928"/>
      <c r="BV70" s="928"/>
      <c r="BW70" s="928"/>
      <c r="BX70" s="928"/>
      <c r="BY70" s="928"/>
      <c r="BZ70" s="928"/>
      <c r="CA70" s="928"/>
      <c r="CB70" s="928"/>
      <c r="CC70" s="928"/>
      <c r="CD70" s="928"/>
      <c r="CE70" s="928"/>
      <c r="CF70" s="928"/>
      <c r="CG70" s="928"/>
      <c r="CH70" s="928"/>
      <c r="CI70" s="928"/>
      <c r="CJ70" s="928"/>
      <c r="CK70" s="928"/>
      <c r="CL70" s="928"/>
      <c r="CM70" s="928"/>
      <c r="CN70" s="928"/>
      <c r="CO70" s="928"/>
      <c r="CP70" s="928"/>
      <c r="CQ70" s="928"/>
      <c r="CR70" s="928"/>
      <c r="CS70" s="928"/>
      <c r="CT70" s="928"/>
      <c r="CU70" s="928"/>
      <c r="CV70" s="928"/>
      <c r="CW70" s="928"/>
      <c r="CX70" s="928"/>
      <c r="CY70" s="928"/>
      <c r="CZ70" s="928"/>
      <c r="DA70" s="928"/>
      <c r="DB70" s="928"/>
      <c r="DC70" s="928"/>
      <c r="DD70" s="928"/>
      <c r="DE70" s="928"/>
      <c r="DF70" s="928"/>
      <c r="DG70" s="928"/>
      <c r="DH70" s="928"/>
    </row>
    <row r="71" spans="1:112">
      <c r="A71" s="891" t="s">
        <v>853</v>
      </c>
      <c r="B71" s="891" t="s">
        <v>1468</v>
      </c>
      <c r="C71" s="891" t="s">
        <v>363</v>
      </c>
      <c r="D71" s="891" t="s">
        <v>853</v>
      </c>
      <c r="E71" s="891" t="s">
        <v>1468</v>
      </c>
      <c r="F71" s="891" t="s">
        <v>363</v>
      </c>
      <c r="G71" s="897">
        <v>80.67</v>
      </c>
      <c r="H71" s="897">
        <v>94.39</v>
      </c>
      <c r="I71" s="897">
        <v>102.43</v>
      </c>
      <c r="J71" s="891"/>
      <c r="K71" s="891"/>
      <c r="L71" s="891"/>
      <c r="M71" s="891"/>
      <c r="N71" s="891"/>
      <c r="O71" s="891"/>
      <c r="P71" s="891"/>
      <c r="Q71" s="891"/>
      <c r="R71" s="891"/>
      <c r="S71" s="891"/>
      <c r="T71" s="891"/>
      <c r="U71" s="928"/>
      <c r="V71" s="928"/>
      <c r="W71" s="928"/>
      <c r="X71" s="928"/>
      <c r="Y71" s="928"/>
      <c r="Z71" s="928"/>
      <c r="AA71" s="928"/>
      <c r="AB71" s="928"/>
      <c r="AC71" s="928"/>
      <c r="AD71" s="928"/>
      <c r="AE71" s="928"/>
      <c r="AF71" s="928"/>
      <c r="AG71" s="928"/>
      <c r="AH71" s="928"/>
      <c r="AI71" s="928"/>
      <c r="AJ71" s="928"/>
      <c r="AK71" s="928"/>
      <c r="AL71" s="928"/>
      <c r="AM71" s="928"/>
      <c r="AN71" s="928"/>
      <c r="AO71" s="928"/>
      <c r="AP71" s="928"/>
      <c r="AQ71" s="928"/>
      <c r="AR71" s="928"/>
      <c r="AS71" s="928"/>
      <c r="AT71" s="928"/>
      <c r="AU71" s="928"/>
      <c r="AV71" s="928"/>
      <c r="AW71" s="928"/>
      <c r="AX71" s="928"/>
      <c r="AY71" s="928"/>
      <c r="AZ71" s="928"/>
      <c r="BA71" s="928"/>
      <c r="BB71" s="928"/>
      <c r="BC71" s="928"/>
      <c r="BD71" s="928"/>
      <c r="BE71" s="928"/>
      <c r="BF71" s="928"/>
      <c r="BG71" s="928"/>
      <c r="BH71" s="928"/>
      <c r="BI71" s="928"/>
      <c r="BJ71" s="928"/>
      <c r="BK71" s="928"/>
      <c r="BL71" s="928"/>
      <c r="BM71" s="928"/>
      <c r="BN71" s="928"/>
      <c r="BO71" s="928"/>
      <c r="BP71" s="928"/>
      <c r="BQ71" s="928"/>
      <c r="BR71" s="928"/>
      <c r="BS71" s="928"/>
      <c r="BT71" s="928"/>
      <c r="BU71" s="928"/>
      <c r="BV71" s="928"/>
      <c r="BW71" s="928"/>
      <c r="BX71" s="928"/>
      <c r="BY71" s="928"/>
      <c r="BZ71" s="928"/>
      <c r="CA71" s="928"/>
      <c r="CB71" s="928"/>
      <c r="CC71" s="928"/>
      <c r="CD71" s="928"/>
      <c r="CE71" s="928"/>
      <c r="CF71" s="928"/>
      <c r="CG71" s="928"/>
      <c r="CH71" s="928"/>
      <c r="CI71" s="928"/>
      <c r="CJ71" s="928"/>
      <c r="CK71" s="928"/>
      <c r="CL71" s="928"/>
      <c r="CM71" s="928"/>
      <c r="CN71" s="928"/>
      <c r="CO71" s="928"/>
      <c r="CP71" s="928"/>
      <c r="CQ71" s="928"/>
      <c r="CR71" s="928"/>
      <c r="CS71" s="928"/>
      <c r="CT71" s="928"/>
      <c r="CU71" s="928"/>
      <c r="CV71" s="928"/>
      <c r="CW71" s="928"/>
      <c r="CX71" s="928"/>
      <c r="CY71" s="928"/>
      <c r="CZ71" s="928"/>
      <c r="DA71" s="928"/>
      <c r="DB71" s="928"/>
      <c r="DC71" s="928"/>
      <c r="DD71" s="928"/>
      <c r="DE71" s="928"/>
      <c r="DF71" s="928"/>
      <c r="DG71" s="928"/>
      <c r="DH71" s="928"/>
    </row>
    <row r="72" spans="1:112">
      <c r="A72" s="891" t="s">
        <v>854</v>
      </c>
      <c r="B72" s="891" t="s">
        <v>1454</v>
      </c>
      <c r="C72" s="891" t="s">
        <v>165</v>
      </c>
      <c r="D72" s="891" t="s">
        <v>854</v>
      </c>
      <c r="E72" s="891" t="s">
        <v>1454</v>
      </c>
      <c r="F72" s="891" t="s">
        <v>165</v>
      </c>
      <c r="G72" s="897">
        <v>50.27</v>
      </c>
      <c r="H72" s="897">
        <v>22.68</v>
      </c>
      <c r="I72" s="897">
        <v>24.44</v>
      </c>
      <c r="J72" s="891"/>
      <c r="K72" s="891"/>
      <c r="L72" s="891"/>
      <c r="M72" s="891"/>
      <c r="N72" s="891"/>
      <c r="O72" s="891"/>
      <c r="P72" s="891"/>
      <c r="Q72" s="891"/>
      <c r="R72" s="891"/>
      <c r="S72" s="891"/>
      <c r="T72" s="891"/>
      <c r="U72" s="928"/>
      <c r="V72" s="928"/>
      <c r="W72" s="928"/>
      <c r="X72" s="928"/>
      <c r="Y72" s="928"/>
      <c r="Z72" s="928"/>
      <c r="AA72" s="928"/>
      <c r="AB72" s="928"/>
      <c r="AC72" s="928"/>
      <c r="AD72" s="928"/>
      <c r="AE72" s="928"/>
      <c r="AF72" s="928"/>
      <c r="AG72" s="928"/>
      <c r="AH72" s="928"/>
      <c r="AI72" s="928"/>
      <c r="AJ72" s="928"/>
      <c r="AK72" s="928"/>
      <c r="AL72" s="928"/>
      <c r="AM72" s="928"/>
      <c r="AN72" s="928"/>
      <c r="AO72" s="928"/>
      <c r="AP72" s="928"/>
      <c r="AQ72" s="928"/>
      <c r="AR72" s="928"/>
      <c r="AS72" s="928"/>
      <c r="AT72" s="928"/>
      <c r="AU72" s="928"/>
      <c r="AV72" s="928"/>
      <c r="AW72" s="928"/>
      <c r="AX72" s="928"/>
      <c r="AY72" s="928"/>
      <c r="AZ72" s="928"/>
      <c r="BA72" s="928"/>
      <c r="BB72" s="928"/>
      <c r="BC72" s="928"/>
      <c r="BD72" s="928"/>
      <c r="BE72" s="928"/>
      <c r="BF72" s="928"/>
      <c r="BG72" s="928"/>
      <c r="BH72" s="928"/>
      <c r="BI72" s="928"/>
      <c r="BJ72" s="928"/>
      <c r="BK72" s="928"/>
      <c r="BL72" s="928"/>
      <c r="BM72" s="928"/>
      <c r="BN72" s="928"/>
      <c r="BO72" s="928"/>
      <c r="BP72" s="928"/>
      <c r="BQ72" s="928"/>
      <c r="BR72" s="928"/>
      <c r="BS72" s="928"/>
      <c r="BT72" s="928"/>
      <c r="BU72" s="928"/>
      <c r="BV72" s="928"/>
      <c r="BW72" s="928"/>
      <c r="BX72" s="928"/>
      <c r="BY72" s="928"/>
      <c r="BZ72" s="928"/>
      <c r="CA72" s="928"/>
      <c r="CB72" s="928"/>
      <c r="CC72" s="928"/>
      <c r="CD72" s="928"/>
      <c r="CE72" s="928"/>
      <c r="CF72" s="928"/>
      <c r="CG72" s="928"/>
      <c r="CH72" s="928"/>
      <c r="CI72" s="928"/>
      <c r="CJ72" s="928"/>
      <c r="CK72" s="928"/>
      <c r="CL72" s="928"/>
      <c r="CM72" s="928"/>
      <c r="CN72" s="928"/>
      <c r="CO72" s="928"/>
      <c r="CP72" s="928"/>
      <c r="CQ72" s="928"/>
      <c r="CR72" s="928"/>
      <c r="CS72" s="928"/>
      <c r="CT72" s="928"/>
      <c r="CU72" s="928"/>
      <c r="CV72" s="928"/>
      <c r="CW72" s="928"/>
      <c r="CX72" s="928"/>
      <c r="CY72" s="928"/>
      <c r="CZ72" s="928"/>
      <c r="DA72" s="928"/>
      <c r="DB72" s="928"/>
      <c r="DC72" s="928"/>
      <c r="DD72" s="928"/>
      <c r="DE72" s="928"/>
      <c r="DF72" s="928"/>
      <c r="DG72" s="928"/>
      <c r="DH72" s="928"/>
    </row>
    <row r="73" spans="1:112">
      <c r="A73" s="891" t="s">
        <v>855</v>
      </c>
      <c r="B73" s="891" t="s">
        <v>1492</v>
      </c>
      <c r="C73" s="891" t="s">
        <v>364</v>
      </c>
      <c r="D73" s="891" t="s">
        <v>855</v>
      </c>
      <c r="E73" s="891" t="s">
        <v>1492</v>
      </c>
      <c r="F73" s="891" t="s">
        <v>364</v>
      </c>
      <c r="G73" s="897">
        <v>27.52</v>
      </c>
      <c r="H73" s="897">
        <v>17.18</v>
      </c>
      <c r="I73" s="897">
        <v>46.71</v>
      </c>
      <c r="J73" s="891"/>
      <c r="K73" s="891"/>
      <c r="L73" s="891"/>
      <c r="M73" s="891"/>
      <c r="N73" s="891"/>
      <c r="O73" s="891"/>
      <c r="P73" s="891"/>
      <c r="Q73" s="891"/>
      <c r="R73" s="891"/>
      <c r="S73" s="891"/>
      <c r="T73" s="891"/>
      <c r="U73" s="928"/>
      <c r="V73" s="928"/>
      <c r="W73" s="928"/>
      <c r="X73" s="928"/>
      <c r="Y73" s="928"/>
      <c r="Z73" s="928"/>
      <c r="AA73" s="928"/>
      <c r="AB73" s="928"/>
      <c r="AC73" s="928"/>
      <c r="AD73" s="928"/>
      <c r="AE73" s="928"/>
      <c r="AF73" s="928"/>
      <c r="AG73" s="928"/>
      <c r="AH73" s="928"/>
      <c r="AI73" s="928"/>
      <c r="AJ73" s="928"/>
      <c r="AK73" s="928"/>
      <c r="AL73" s="928"/>
      <c r="AM73" s="928"/>
      <c r="AN73" s="928"/>
      <c r="AO73" s="928"/>
      <c r="AP73" s="928"/>
      <c r="AQ73" s="928"/>
      <c r="AR73" s="928"/>
      <c r="AS73" s="928"/>
      <c r="AT73" s="928"/>
      <c r="AU73" s="928"/>
      <c r="AV73" s="928"/>
      <c r="AW73" s="928"/>
      <c r="AX73" s="928"/>
      <c r="AY73" s="928"/>
      <c r="AZ73" s="928"/>
      <c r="BA73" s="928"/>
      <c r="BB73" s="928"/>
      <c r="BC73" s="928"/>
      <c r="BD73" s="928"/>
      <c r="BE73" s="928"/>
      <c r="BF73" s="928"/>
      <c r="BG73" s="928"/>
      <c r="BH73" s="928"/>
      <c r="BI73" s="928"/>
      <c r="BJ73" s="928"/>
      <c r="BK73" s="928"/>
      <c r="BL73" s="928"/>
      <c r="BM73" s="928"/>
      <c r="BN73" s="928"/>
      <c r="BO73" s="928"/>
      <c r="BP73" s="928"/>
      <c r="BQ73" s="928"/>
      <c r="BR73" s="928"/>
      <c r="BS73" s="928"/>
      <c r="BT73" s="928"/>
      <c r="BU73" s="928"/>
      <c r="BV73" s="928"/>
      <c r="BW73" s="928"/>
      <c r="BX73" s="928"/>
      <c r="BY73" s="928"/>
      <c r="BZ73" s="928"/>
      <c r="CA73" s="928"/>
      <c r="CB73" s="928"/>
      <c r="CC73" s="928"/>
      <c r="CD73" s="928"/>
      <c r="CE73" s="928"/>
      <c r="CF73" s="928"/>
      <c r="CG73" s="928"/>
      <c r="CH73" s="928"/>
      <c r="CI73" s="928"/>
      <c r="CJ73" s="928"/>
      <c r="CK73" s="928"/>
      <c r="CL73" s="928"/>
      <c r="CM73" s="928"/>
      <c r="CN73" s="928"/>
      <c r="CO73" s="928"/>
      <c r="CP73" s="928"/>
      <c r="CQ73" s="928"/>
      <c r="CR73" s="928"/>
      <c r="CS73" s="928"/>
      <c r="CT73" s="928"/>
      <c r="CU73" s="928"/>
      <c r="CV73" s="928"/>
      <c r="CW73" s="928"/>
      <c r="CX73" s="928"/>
      <c r="CY73" s="928"/>
      <c r="CZ73" s="928"/>
      <c r="DA73" s="928"/>
      <c r="DB73" s="928"/>
      <c r="DC73" s="928"/>
      <c r="DD73" s="928"/>
      <c r="DE73" s="928"/>
      <c r="DF73" s="928"/>
      <c r="DG73" s="928"/>
      <c r="DH73" s="928"/>
    </row>
    <row r="74" spans="1:112">
      <c r="A74" s="891" t="s">
        <v>856</v>
      </c>
      <c r="B74" s="891" t="s">
        <v>1464</v>
      </c>
      <c r="C74" s="891" t="s">
        <v>56</v>
      </c>
      <c r="D74" s="891" t="s">
        <v>856</v>
      </c>
      <c r="E74" s="891" t="s">
        <v>1464</v>
      </c>
      <c r="F74" s="891" t="s">
        <v>56</v>
      </c>
      <c r="G74" s="897">
        <v>29.79</v>
      </c>
      <c r="H74" s="897">
        <v>13.12</v>
      </c>
      <c r="I74" s="897">
        <v>63.23</v>
      </c>
      <c r="J74" s="891"/>
      <c r="K74" s="891"/>
      <c r="L74" s="891"/>
      <c r="M74" s="891"/>
      <c r="N74" s="891"/>
      <c r="O74" s="891"/>
      <c r="P74" s="891"/>
      <c r="Q74" s="891"/>
      <c r="R74" s="891"/>
      <c r="S74" s="891"/>
      <c r="T74" s="891"/>
      <c r="U74" s="928"/>
      <c r="V74" s="928"/>
      <c r="W74" s="928"/>
      <c r="X74" s="928"/>
      <c r="Y74" s="928"/>
      <c r="Z74" s="928"/>
      <c r="AA74" s="928"/>
      <c r="AB74" s="928"/>
      <c r="AC74" s="928"/>
      <c r="AD74" s="928"/>
      <c r="AE74" s="928"/>
      <c r="AF74" s="928"/>
      <c r="AG74" s="928"/>
      <c r="AH74" s="928"/>
      <c r="AI74" s="928"/>
      <c r="AJ74" s="928"/>
      <c r="AK74" s="928"/>
      <c r="AL74" s="928"/>
      <c r="AM74" s="928"/>
      <c r="AN74" s="928"/>
      <c r="AO74" s="928"/>
      <c r="AP74" s="928"/>
      <c r="AQ74" s="928"/>
      <c r="AR74" s="928"/>
      <c r="AS74" s="928"/>
      <c r="AT74" s="928"/>
      <c r="AU74" s="928"/>
      <c r="AV74" s="928"/>
      <c r="AW74" s="928"/>
      <c r="AX74" s="928"/>
      <c r="AY74" s="928"/>
      <c r="AZ74" s="928"/>
      <c r="BA74" s="928"/>
      <c r="BB74" s="928"/>
      <c r="BC74" s="928"/>
      <c r="BD74" s="928"/>
      <c r="BE74" s="928"/>
      <c r="BF74" s="928"/>
      <c r="BG74" s="928"/>
      <c r="BH74" s="928"/>
      <c r="BI74" s="928"/>
      <c r="BJ74" s="928"/>
      <c r="BK74" s="928"/>
      <c r="BL74" s="928"/>
      <c r="BM74" s="928"/>
      <c r="BN74" s="928"/>
      <c r="BO74" s="928"/>
      <c r="BP74" s="928"/>
      <c r="BQ74" s="928"/>
      <c r="BR74" s="928"/>
      <c r="BS74" s="928"/>
      <c r="BT74" s="928"/>
      <c r="BU74" s="928"/>
      <c r="BV74" s="928"/>
      <c r="BW74" s="928"/>
      <c r="BX74" s="928"/>
      <c r="BY74" s="928"/>
      <c r="BZ74" s="928"/>
      <c r="CA74" s="928"/>
      <c r="CB74" s="928"/>
      <c r="CC74" s="928"/>
      <c r="CD74" s="928"/>
      <c r="CE74" s="928"/>
      <c r="CF74" s="928"/>
      <c r="CG74" s="928"/>
      <c r="CH74" s="928"/>
      <c r="CI74" s="928"/>
      <c r="CJ74" s="928"/>
      <c r="CK74" s="928"/>
      <c r="CL74" s="928"/>
      <c r="CM74" s="928"/>
      <c r="CN74" s="928"/>
      <c r="CO74" s="928"/>
      <c r="CP74" s="928"/>
      <c r="CQ74" s="928"/>
      <c r="CR74" s="928"/>
      <c r="CS74" s="928"/>
      <c r="CT74" s="928"/>
      <c r="CU74" s="928"/>
      <c r="CV74" s="928"/>
      <c r="CW74" s="928"/>
      <c r="CX74" s="928"/>
      <c r="CY74" s="928"/>
      <c r="CZ74" s="928"/>
      <c r="DA74" s="928"/>
      <c r="DB74" s="928"/>
      <c r="DC74" s="928"/>
      <c r="DD74" s="928"/>
      <c r="DE74" s="928"/>
      <c r="DF74" s="928"/>
      <c r="DG74" s="928"/>
      <c r="DH74" s="928"/>
    </row>
    <row r="75" spans="1:112">
      <c r="A75" s="891" t="s">
        <v>857</v>
      </c>
      <c r="B75" s="891" t="s">
        <v>1454</v>
      </c>
      <c r="C75" s="891" t="s">
        <v>154</v>
      </c>
      <c r="D75" s="891" t="s">
        <v>857</v>
      </c>
      <c r="E75" s="891" t="s">
        <v>1454</v>
      </c>
      <c r="F75" s="891" t="s">
        <v>154</v>
      </c>
      <c r="G75" s="897">
        <v>51.05</v>
      </c>
      <c r="H75" s="897">
        <v>22.68</v>
      </c>
      <c r="I75" s="897">
        <v>28.55</v>
      </c>
      <c r="J75" s="891"/>
      <c r="K75" s="891"/>
      <c r="L75" s="891"/>
      <c r="M75" s="891"/>
      <c r="N75" s="891"/>
      <c r="O75" s="891"/>
      <c r="P75" s="891"/>
      <c r="Q75" s="891"/>
      <c r="R75" s="891"/>
      <c r="S75" s="891"/>
      <c r="T75" s="891"/>
      <c r="U75" s="928"/>
      <c r="V75" s="928"/>
      <c r="W75" s="928"/>
      <c r="X75" s="928"/>
      <c r="Y75" s="928"/>
      <c r="Z75" s="928"/>
      <c r="AA75" s="928"/>
      <c r="AB75" s="928"/>
      <c r="AC75" s="928"/>
      <c r="AD75" s="928"/>
      <c r="AE75" s="928"/>
      <c r="AF75" s="928"/>
      <c r="AG75" s="928"/>
      <c r="AH75" s="928"/>
      <c r="AI75" s="928"/>
      <c r="AJ75" s="928"/>
      <c r="AK75" s="928"/>
      <c r="AL75" s="928"/>
      <c r="AM75" s="928"/>
      <c r="AN75" s="928"/>
      <c r="AO75" s="928"/>
      <c r="AP75" s="928"/>
      <c r="AQ75" s="928"/>
      <c r="AR75" s="928"/>
      <c r="AS75" s="928"/>
      <c r="AT75" s="928"/>
      <c r="AU75" s="928"/>
      <c r="AV75" s="928"/>
      <c r="AW75" s="928"/>
      <c r="AX75" s="928"/>
      <c r="AY75" s="928"/>
      <c r="AZ75" s="928"/>
      <c r="BA75" s="928"/>
      <c r="BB75" s="928"/>
      <c r="BC75" s="928"/>
      <c r="BD75" s="928"/>
      <c r="BE75" s="928"/>
      <c r="BF75" s="928"/>
      <c r="BG75" s="928"/>
      <c r="BH75" s="928"/>
      <c r="BI75" s="928"/>
      <c r="BJ75" s="928"/>
      <c r="BK75" s="928"/>
      <c r="BL75" s="928"/>
      <c r="BM75" s="928"/>
      <c r="BN75" s="928"/>
      <c r="BO75" s="928"/>
      <c r="BP75" s="928"/>
      <c r="BQ75" s="928"/>
      <c r="BR75" s="928"/>
      <c r="BS75" s="928"/>
      <c r="BT75" s="928"/>
      <c r="BU75" s="928"/>
      <c r="BV75" s="928"/>
      <c r="BW75" s="928"/>
      <c r="BX75" s="928"/>
      <c r="BY75" s="928"/>
      <c r="BZ75" s="928"/>
      <c r="CA75" s="928"/>
      <c r="CB75" s="928"/>
      <c r="CC75" s="928"/>
      <c r="CD75" s="928"/>
      <c r="CE75" s="928"/>
      <c r="CF75" s="928"/>
      <c r="CG75" s="928"/>
      <c r="CH75" s="928"/>
      <c r="CI75" s="928"/>
      <c r="CJ75" s="928"/>
      <c r="CK75" s="928"/>
      <c r="CL75" s="928"/>
      <c r="CM75" s="928"/>
      <c r="CN75" s="928"/>
      <c r="CO75" s="928"/>
      <c r="CP75" s="928"/>
      <c r="CQ75" s="928"/>
      <c r="CR75" s="928"/>
      <c r="CS75" s="928"/>
      <c r="CT75" s="928"/>
      <c r="CU75" s="928"/>
      <c r="CV75" s="928"/>
      <c r="CW75" s="928"/>
      <c r="CX75" s="928"/>
      <c r="CY75" s="928"/>
      <c r="CZ75" s="928"/>
      <c r="DA75" s="928"/>
      <c r="DB75" s="928"/>
      <c r="DC75" s="928"/>
      <c r="DD75" s="928"/>
      <c r="DE75" s="928"/>
      <c r="DF75" s="928"/>
      <c r="DG75" s="928"/>
      <c r="DH75" s="928"/>
    </row>
    <row r="76" spans="1:112">
      <c r="A76" s="891" t="s">
        <v>858</v>
      </c>
      <c r="B76" s="891" t="s">
        <v>1483</v>
      </c>
      <c r="C76" s="891" t="s">
        <v>337</v>
      </c>
      <c r="D76" s="891" t="s">
        <v>858</v>
      </c>
      <c r="E76" s="891" t="s">
        <v>1483</v>
      </c>
      <c r="F76" s="891" t="s">
        <v>337</v>
      </c>
      <c r="G76" s="897">
        <v>82.18</v>
      </c>
      <c r="H76" s="897">
        <v>73.290000000000006</v>
      </c>
      <c r="I76" s="897">
        <v>127.77</v>
      </c>
      <c r="J76" s="891"/>
      <c r="K76" s="891"/>
      <c r="L76" s="891"/>
      <c r="M76" s="891"/>
      <c r="N76" s="891"/>
      <c r="O76" s="891"/>
      <c r="P76" s="891"/>
      <c r="Q76" s="891"/>
      <c r="R76" s="891"/>
      <c r="S76" s="891"/>
      <c r="T76" s="891"/>
      <c r="U76" s="928"/>
      <c r="V76" s="928"/>
      <c r="W76" s="928"/>
      <c r="X76" s="928"/>
      <c r="Y76" s="928"/>
      <c r="Z76" s="928"/>
      <c r="AA76" s="928"/>
      <c r="AB76" s="928"/>
      <c r="AC76" s="928"/>
      <c r="AD76" s="928"/>
      <c r="AE76" s="928"/>
      <c r="AF76" s="928"/>
      <c r="AG76" s="928"/>
      <c r="AH76" s="928"/>
      <c r="AI76" s="928"/>
      <c r="AJ76" s="928"/>
      <c r="AK76" s="928"/>
      <c r="AL76" s="928"/>
      <c r="AM76" s="928"/>
      <c r="AN76" s="928"/>
      <c r="AO76" s="928"/>
      <c r="AP76" s="928"/>
      <c r="AQ76" s="928"/>
      <c r="AR76" s="928"/>
      <c r="AS76" s="928"/>
      <c r="AT76" s="928"/>
      <c r="AU76" s="928"/>
      <c r="AV76" s="928"/>
      <c r="AW76" s="928"/>
      <c r="AX76" s="928"/>
      <c r="AY76" s="928"/>
      <c r="AZ76" s="928"/>
      <c r="BA76" s="928"/>
      <c r="BB76" s="928"/>
      <c r="BC76" s="928"/>
      <c r="BD76" s="928"/>
      <c r="BE76" s="928"/>
      <c r="BF76" s="928"/>
      <c r="BG76" s="928"/>
      <c r="BH76" s="928"/>
      <c r="BI76" s="928"/>
      <c r="BJ76" s="928"/>
      <c r="BK76" s="928"/>
      <c r="BL76" s="928"/>
      <c r="BM76" s="928"/>
      <c r="BN76" s="928"/>
      <c r="BO76" s="928"/>
      <c r="BP76" s="928"/>
      <c r="BQ76" s="928"/>
      <c r="BR76" s="928"/>
      <c r="BS76" s="928"/>
      <c r="BT76" s="928"/>
      <c r="BU76" s="928"/>
      <c r="BV76" s="928"/>
      <c r="BW76" s="928"/>
      <c r="BX76" s="928"/>
      <c r="BY76" s="928"/>
      <c r="BZ76" s="928"/>
      <c r="CA76" s="928"/>
      <c r="CB76" s="928"/>
      <c r="CC76" s="928"/>
      <c r="CD76" s="928"/>
      <c r="CE76" s="928"/>
      <c r="CF76" s="928"/>
      <c r="CG76" s="928"/>
      <c r="CH76" s="928"/>
      <c r="CI76" s="928"/>
      <c r="CJ76" s="928"/>
      <c r="CK76" s="928"/>
      <c r="CL76" s="928"/>
      <c r="CM76" s="928"/>
      <c r="CN76" s="928"/>
      <c r="CO76" s="928"/>
      <c r="CP76" s="928"/>
      <c r="CQ76" s="928"/>
      <c r="CR76" s="928"/>
      <c r="CS76" s="928"/>
      <c r="CT76" s="928"/>
      <c r="CU76" s="928"/>
      <c r="CV76" s="928"/>
      <c r="CW76" s="928"/>
      <c r="CX76" s="928"/>
      <c r="CY76" s="928"/>
      <c r="CZ76" s="928"/>
      <c r="DA76" s="928"/>
      <c r="DB76" s="928"/>
      <c r="DC76" s="928"/>
      <c r="DD76" s="928"/>
      <c r="DE76" s="928"/>
      <c r="DF76" s="928"/>
      <c r="DG76" s="928"/>
      <c r="DH76" s="928"/>
    </row>
    <row r="77" spans="1:112">
      <c r="A77" s="891" t="s">
        <v>859</v>
      </c>
      <c r="B77" s="891" t="s">
        <v>1453</v>
      </c>
      <c r="C77" s="891" t="s">
        <v>396</v>
      </c>
      <c r="D77" s="891" t="s">
        <v>859</v>
      </c>
      <c r="E77" s="891" t="s">
        <v>1453</v>
      </c>
      <c r="F77" s="891" t="s">
        <v>396</v>
      </c>
      <c r="G77" s="897">
        <v>37.29</v>
      </c>
      <c r="H77" s="897">
        <v>30.05</v>
      </c>
      <c r="I77" s="897">
        <v>24.76</v>
      </c>
      <c r="J77" s="891"/>
      <c r="K77" s="891"/>
      <c r="L77" s="891"/>
      <c r="M77" s="891"/>
      <c r="N77" s="891"/>
      <c r="O77" s="891"/>
      <c r="P77" s="891"/>
      <c r="Q77" s="891"/>
      <c r="R77" s="891"/>
      <c r="S77" s="891"/>
      <c r="T77" s="891"/>
      <c r="U77" s="928"/>
      <c r="V77" s="928"/>
      <c r="W77" s="928"/>
      <c r="X77" s="928"/>
      <c r="Y77" s="928"/>
      <c r="Z77" s="928"/>
      <c r="AA77" s="928"/>
      <c r="AB77" s="928"/>
      <c r="AC77" s="928"/>
      <c r="AD77" s="928"/>
      <c r="AE77" s="928"/>
      <c r="AF77" s="928"/>
      <c r="AG77" s="928"/>
      <c r="AH77" s="928"/>
      <c r="AI77" s="928"/>
      <c r="AJ77" s="928"/>
      <c r="AK77" s="928"/>
      <c r="AL77" s="928"/>
      <c r="AM77" s="928"/>
      <c r="AN77" s="928"/>
      <c r="AO77" s="928"/>
      <c r="AP77" s="928"/>
      <c r="AQ77" s="928"/>
      <c r="AR77" s="928"/>
      <c r="AS77" s="928"/>
      <c r="AT77" s="928"/>
      <c r="AU77" s="928"/>
      <c r="AV77" s="928"/>
      <c r="AW77" s="928"/>
      <c r="AX77" s="928"/>
      <c r="AY77" s="928"/>
      <c r="AZ77" s="928"/>
      <c r="BA77" s="928"/>
      <c r="BB77" s="928"/>
      <c r="BC77" s="928"/>
      <c r="BD77" s="928"/>
      <c r="BE77" s="928"/>
      <c r="BF77" s="928"/>
      <c r="BG77" s="928"/>
      <c r="BH77" s="928"/>
      <c r="BI77" s="928"/>
      <c r="BJ77" s="928"/>
      <c r="BK77" s="928"/>
      <c r="BL77" s="928"/>
      <c r="BM77" s="928"/>
      <c r="BN77" s="928"/>
      <c r="BO77" s="928"/>
      <c r="BP77" s="928"/>
      <c r="BQ77" s="928"/>
      <c r="BR77" s="928"/>
      <c r="BS77" s="928"/>
      <c r="BT77" s="928"/>
      <c r="BU77" s="928"/>
      <c r="BV77" s="928"/>
      <c r="BW77" s="928"/>
      <c r="BX77" s="928"/>
      <c r="BY77" s="928"/>
      <c r="BZ77" s="928"/>
      <c r="CA77" s="928"/>
      <c r="CB77" s="928"/>
      <c r="CC77" s="928"/>
      <c r="CD77" s="928"/>
      <c r="CE77" s="928"/>
      <c r="CF77" s="928"/>
      <c r="CG77" s="928"/>
      <c r="CH77" s="928"/>
      <c r="CI77" s="928"/>
      <c r="CJ77" s="928"/>
      <c r="CK77" s="928"/>
      <c r="CL77" s="928"/>
      <c r="CM77" s="928"/>
      <c r="CN77" s="928"/>
      <c r="CO77" s="928"/>
      <c r="CP77" s="928"/>
      <c r="CQ77" s="928"/>
      <c r="CR77" s="928"/>
      <c r="CS77" s="928"/>
      <c r="CT77" s="928"/>
      <c r="CU77" s="928"/>
      <c r="CV77" s="928"/>
      <c r="CW77" s="928"/>
      <c r="CX77" s="928"/>
      <c r="CY77" s="928"/>
      <c r="CZ77" s="928"/>
      <c r="DA77" s="928"/>
      <c r="DB77" s="928"/>
      <c r="DC77" s="928"/>
      <c r="DD77" s="928"/>
      <c r="DE77" s="928"/>
      <c r="DF77" s="928"/>
      <c r="DG77" s="928"/>
      <c r="DH77" s="928"/>
    </row>
    <row r="78" spans="1:112">
      <c r="A78" s="891" t="s">
        <v>860</v>
      </c>
      <c r="B78" s="891" t="s">
        <v>1493</v>
      </c>
      <c r="C78" s="891" t="s">
        <v>229</v>
      </c>
      <c r="D78" s="891" t="s">
        <v>860</v>
      </c>
      <c r="E78" s="891" t="s">
        <v>1493</v>
      </c>
      <c r="F78" s="891" t="s">
        <v>229</v>
      </c>
      <c r="G78" s="897">
        <v>102.94</v>
      </c>
      <c r="H78" s="897">
        <v>104.57</v>
      </c>
      <c r="I78" s="897">
        <v>84.93</v>
      </c>
      <c r="J78" s="891"/>
      <c r="K78" s="891"/>
      <c r="L78" s="891"/>
      <c r="M78" s="891"/>
      <c r="N78" s="891"/>
      <c r="O78" s="891"/>
      <c r="P78" s="891"/>
      <c r="Q78" s="891"/>
      <c r="R78" s="891"/>
      <c r="S78" s="891"/>
      <c r="T78" s="891"/>
      <c r="U78" s="928"/>
      <c r="V78" s="928"/>
      <c r="W78" s="928"/>
      <c r="X78" s="928"/>
      <c r="Y78" s="928"/>
      <c r="Z78" s="928"/>
      <c r="AA78" s="928"/>
      <c r="AB78" s="928"/>
      <c r="AC78" s="928"/>
      <c r="AD78" s="928"/>
      <c r="AE78" s="928"/>
      <c r="AF78" s="928"/>
      <c r="AG78" s="928"/>
      <c r="AH78" s="928"/>
      <c r="AI78" s="928"/>
      <c r="AJ78" s="928"/>
      <c r="AK78" s="928"/>
      <c r="AL78" s="928"/>
      <c r="AM78" s="928"/>
      <c r="AN78" s="928"/>
      <c r="AO78" s="928"/>
      <c r="AP78" s="928"/>
      <c r="AQ78" s="928"/>
      <c r="AR78" s="928"/>
      <c r="AS78" s="928"/>
      <c r="AT78" s="928"/>
      <c r="AU78" s="928"/>
      <c r="AV78" s="928"/>
      <c r="AW78" s="928"/>
      <c r="AX78" s="928"/>
      <c r="AY78" s="928"/>
      <c r="AZ78" s="928"/>
      <c r="BA78" s="928"/>
      <c r="BB78" s="928"/>
      <c r="BC78" s="928"/>
      <c r="BD78" s="928"/>
      <c r="BE78" s="928"/>
      <c r="BF78" s="928"/>
      <c r="BG78" s="928"/>
      <c r="BH78" s="928"/>
      <c r="BI78" s="928"/>
      <c r="BJ78" s="928"/>
      <c r="BK78" s="928"/>
      <c r="BL78" s="928"/>
      <c r="BM78" s="928"/>
      <c r="BN78" s="928"/>
      <c r="BO78" s="928"/>
      <c r="BP78" s="928"/>
      <c r="BQ78" s="928"/>
      <c r="BR78" s="928"/>
      <c r="BS78" s="928"/>
      <c r="BT78" s="928"/>
      <c r="BU78" s="928"/>
      <c r="BV78" s="928"/>
      <c r="BW78" s="928"/>
      <c r="BX78" s="928"/>
      <c r="BY78" s="928"/>
      <c r="BZ78" s="928"/>
      <c r="CA78" s="928"/>
      <c r="CB78" s="928"/>
      <c r="CC78" s="928"/>
      <c r="CD78" s="928"/>
      <c r="CE78" s="928"/>
      <c r="CF78" s="928"/>
      <c r="CG78" s="928"/>
      <c r="CH78" s="928"/>
      <c r="CI78" s="928"/>
      <c r="CJ78" s="928"/>
      <c r="CK78" s="928"/>
      <c r="CL78" s="928"/>
      <c r="CM78" s="928"/>
      <c r="CN78" s="928"/>
      <c r="CO78" s="928"/>
      <c r="CP78" s="928"/>
      <c r="CQ78" s="928"/>
      <c r="CR78" s="928"/>
      <c r="CS78" s="928"/>
      <c r="CT78" s="928"/>
      <c r="CU78" s="928"/>
      <c r="CV78" s="928"/>
      <c r="CW78" s="928"/>
      <c r="CX78" s="928"/>
      <c r="CY78" s="928"/>
      <c r="CZ78" s="928"/>
      <c r="DA78" s="928"/>
      <c r="DB78" s="928"/>
      <c r="DC78" s="928"/>
      <c r="DD78" s="928"/>
      <c r="DE78" s="928"/>
      <c r="DF78" s="928"/>
      <c r="DG78" s="928"/>
      <c r="DH78" s="928"/>
    </row>
    <row r="79" spans="1:112">
      <c r="A79" s="891" t="s">
        <v>861</v>
      </c>
      <c r="B79" s="891" t="s">
        <v>1478</v>
      </c>
      <c r="C79" s="891" t="s">
        <v>138</v>
      </c>
      <c r="D79" s="891" t="s">
        <v>861</v>
      </c>
      <c r="E79" s="891" t="s">
        <v>1478</v>
      </c>
      <c r="F79" s="891" t="s">
        <v>138</v>
      </c>
      <c r="G79" s="897">
        <v>84</v>
      </c>
      <c r="H79" s="897">
        <v>65.010000000000005</v>
      </c>
      <c r="I79" s="897">
        <v>130.25</v>
      </c>
      <c r="J79" s="891"/>
      <c r="K79" s="891"/>
      <c r="L79" s="891"/>
      <c r="M79" s="891"/>
      <c r="N79" s="891"/>
      <c r="O79" s="891"/>
      <c r="P79" s="891"/>
      <c r="Q79" s="891"/>
      <c r="R79" s="891"/>
      <c r="S79" s="891"/>
      <c r="T79" s="891"/>
      <c r="U79" s="928"/>
      <c r="V79" s="928"/>
      <c r="W79" s="928"/>
      <c r="X79" s="928"/>
      <c r="Y79" s="928"/>
      <c r="Z79" s="928"/>
      <c r="AA79" s="928"/>
      <c r="AB79" s="928"/>
      <c r="AC79" s="928"/>
      <c r="AD79" s="928"/>
      <c r="AE79" s="928"/>
      <c r="AF79" s="928"/>
      <c r="AG79" s="928"/>
      <c r="AH79" s="928"/>
      <c r="AI79" s="928"/>
      <c r="AJ79" s="928"/>
      <c r="AK79" s="928"/>
      <c r="AL79" s="928"/>
      <c r="AM79" s="928"/>
      <c r="AN79" s="928"/>
      <c r="AO79" s="928"/>
      <c r="AP79" s="928"/>
      <c r="AQ79" s="928"/>
      <c r="AR79" s="928"/>
      <c r="AS79" s="928"/>
      <c r="AT79" s="928"/>
      <c r="AU79" s="928"/>
      <c r="AV79" s="928"/>
      <c r="AW79" s="928"/>
      <c r="AX79" s="928"/>
      <c r="AY79" s="928"/>
      <c r="AZ79" s="928"/>
      <c r="BA79" s="928"/>
      <c r="BB79" s="928"/>
      <c r="BC79" s="928"/>
      <c r="BD79" s="928"/>
      <c r="BE79" s="928"/>
      <c r="BF79" s="928"/>
      <c r="BG79" s="928"/>
      <c r="BH79" s="928"/>
      <c r="BI79" s="928"/>
      <c r="BJ79" s="928"/>
      <c r="BK79" s="928"/>
      <c r="BL79" s="928"/>
      <c r="BM79" s="928"/>
      <c r="BN79" s="928"/>
      <c r="BO79" s="928"/>
      <c r="BP79" s="928"/>
      <c r="BQ79" s="928"/>
      <c r="BR79" s="928"/>
      <c r="BS79" s="928"/>
      <c r="BT79" s="928"/>
      <c r="BU79" s="928"/>
      <c r="BV79" s="928"/>
      <c r="BW79" s="928"/>
      <c r="BX79" s="928"/>
      <c r="BY79" s="928"/>
      <c r="BZ79" s="928"/>
      <c r="CA79" s="928"/>
      <c r="CB79" s="928"/>
      <c r="CC79" s="928"/>
      <c r="CD79" s="928"/>
      <c r="CE79" s="928"/>
      <c r="CF79" s="928"/>
      <c r="CG79" s="928"/>
      <c r="CH79" s="928"/>
      <c r="CI79" s="928"/>
      <c r="CJ79" s="928"/>
      <c r="CK79" s="928"/>
      <c r="CL79" s="928"/>
      <c r="CM79" s="928"/>
      <c r="CN79" s="928"/>
      <c r="CO79" s="928"/>
      <c r="CP79" s="928"/>
      <c r="CQ79" s="928"/>
      <c r="CR79" s="928"/>
      <c r="CS79" s="928"/>
      <c r="CT79" s="928"/>
      <c r="CU79" s="928"/>
      <c r="CV79" s="928"/>
      <c r="CW79" s="928"/>
      <c r="CX79" s="928"/>
      <c r="CY79" s="928"/>
      <c r="CZ79" s="928"/>
      <c r="DA79" s="928"/>
      <c r="DB79" s="928"/>
      <c r="DC79" s="928"/>
      <c r="DD79" s="928"/>
      <c r="DE79" s="928"/>
      <c r="DF79" s="928"/>
      <c r="DG79" s="928"/>
      <c r="DH79" s="928"/>
    </row>
    <row r="80" spans="1:112">
      <c r="A80" s="891" t="s">
        <v>862</v>
      </c>
      <c r="B80" s="891" t="s">
        <v>1494</v>
      </c>
      <c r="C80" s="891" t="s">
        <v>362</v>
      </c>
      <c r="D80" s="891" t="s">
        <v>862</v>
      </c>
      <c r="E80" s="891" t="s">
        <v>1494</v>
      </c>
      <c r="F80" s="891" t="s">
        <v>362</v>
      </c>
      <c r="G80" s="897">
        <v>48.87</v>
      </c>
      <c r="H80" s="897">
        <v>34.61</v>
      </c>
      <c r="I80" s="897">
        <v>39.25</v>
      </c>
      <c r="J80" s="891"/>
      <c r="K80" s="891"/>
      <c r="L80" s="891"/>
      <c r="M80" s="891"/>
      <c r="N80" s="891"/>
      <c r="O80" s="891"/>
      <c r="P80" s="891"/>
      <c r="Q80" s="891"/>
      <c r="R80" s="891"/>
      <c r="S80" s="891"/>
      <c r="T80" s="891"/>
      <c r="U80" s="928"/>
      <c r="V80" s="928"/>
      <c r="W80" s="928"/>
      <c r="X80" s="928"/>
      <c r="Y80" s="928"/>
      <c r="Z80" s="928"/>
      <c r="AA80" s="928"/>
      <c r="AB80" s="928"/>
      <c r="AC80" s="928"/>
      <c r="AD80" s="928"/>
      <c r="AE80" s="928"/>
      <c r="AF80" s="928"/>
      <c r="AG80" s="928"/>
      <c r="AH80" s="928"/>
      <c r="AI80" s="928"/>
      <c r="AJ80" s="928"/>
      <c r="AK80" s="928"/>
      <c r="AL80" s="928"/>
      <c r="AM80" s="928"/>
      <c r="AN80" s="928"/>
      <c r="AO80" s="928"/>
      <c r="AP80" s="928"/>
      <c r="AQ80" s="928"/>
      <c r="AR80" s="928"/>
      <c r="AS80" s="928"/>
      <c r="AT80" s="928"/>
      <c r="AU80" s="928"/>
      <c r="AV80" s="928"/>
      <c r="AW80" s="928"/>
      <c r="AX80" s="928"/>
      <c r="AY80" s="928"/>
      <c r="AZ80" s="928"/>
      <c r="BA80" s="928"/>
      <c r="BB80" s="928"/>
      <c r="BC80" s="928"/>
      <c r="BD80" s="928"/>
      <c r="BE80" s="928"/>
      <c r="BF80" s="928"/>
      <c r="BG80" s="928"/>
      <c r="BH80" s="928"/>
      <c r="BI80" s="928"/>
      <c r="BJ80" s="928"/>
      <c r="BK80" s="928"/>
      <c r="BL80" s="928"/>
      <c r="BM80" s="928"/>
      <c r="BN80" s="928"/>
      <c r="BO80" s="928"/>
      <c r="BP80" s="928"/>
      <c r="BQ80" s="928"/>
      <c r="BR80" s="928"/>
      <c r="BS80" s="928"/>
      <c r="BT80" s="928"/>
      <c r="BU80" s="928"/>
      <c r="BV80" s="928"/>
      <c r="BW80" s="928"/>
      <c r="BX80" s="928"/>
      <c r="BY80" s="928"/>
      <c r="BZ80" s="928"/>
      <c r="CA80" s="928"/>
      <c r="CB80" s="928"/>
      <c r="CC80" s="928"/>
      <c r="CD80" s="928"/>
      <c r="CE80" s="928"/>
      <c r="CF80" s="928"/>
      <c r="CG80" s="928"/>
      <c r="CH80" s="928"/>
      <c r="CI80" s="928"/>
      <c r="CJ80" s="928"/>
      <c r="CK80" s="928"/>
      <c r="CL80" s="928"/>
      <c r="CM80" s="928"/>
      <c r="CN80" s="928"/>
      <c r="CO80" s="928"/>
      <c r="CP80" s="928"/>
      <c r="CQ80" s="928"/>
      <c r="CR80" s="928"/>
      <c r="CS80" s="928"/>
      <c r="CT80" s="928"/>
      <c r="CU80" s="928"/>
      <c r="CV80" s="928"/>
      <c r="CW80" s="928"/>
      <c r="CX80" s="928"/>
      <c r="CY80" s="928"/>
      <c r="CZ80" s="928"/>
      <c r="DA80" s="928"/>
      <c r="DB80" s="928"/>
      <c r="DC80" s="928"/>
      <c r="DD80" s="928"/>
      <c r="DE80" s="928"/>
      <c r="DF80" s="928"/>
      <c r="DG80" s="928"/>
      <c r="DH80" s="928"/>
    </row>
    <row r="81" spans="1:112">
      <c r="A81" s="891" t="s">
        <v>863</v>
      </c>
      <c r="B81" s="891" t="s">
        <v>1454</v>
      </c>
      <c r="C81" s="891" t="s">
        <v>185</v>
      </c>
      <c r="D81" s="891" t="s">
        <v>863</v>
      </c>
      <c r="E81" s="891" t="s">
        <v>1454</v>
      </c>
      <c r="F81" s="891" t="s">
        <v>185</v>
      </c>
      <c r="G81" s="897">
        <v>28.56</v>
      </c>
      <c r="H81" s="897">
        <v>11.37</v>
      </c>
      <c r="I81" s="897">
        <v>52.12</v>
      </c>
      <c r="J81" s="891"/>
      <c r="K81" s="891"/>
      <c r="L81" s="891"/>
      <c r="M81" s="891"/>
      <c r="N81" s="891"/>
      <c r="O81" s="891"/>
      <c r="P81" s="891"/>
      <c r="Q81" s="891"/>
      <c r="R81" s="891"/>
      <c r="S81" s="891"/>
      <c r="T81" s="891"/>
      <c r="U81" s="928"/>
      <c r="V81" s="928"/>
      <c r="W81" s="928"/>
      <c r="X81" s="928"/>
      <c r="Y81" s="928"/>
      <c r="Z81" s="928"/>
      <c r="AA81" s="928"/>
      <c r="AB81" s="928"/>
      <c r="AC81" s="928"/>
      <c r="AD81" s="928"/>
      <c r="AE81" s="928"/>
      <c r="AF81" s="928"/>
      <c r="AG81" s="928"/>
      <c r="AH81" s="928"/>
      <c r="AI81" s="928"/>
      <c r="AJ81" s="928"/>
      <c r="AK81" s="928"/>
      <c r="AL81" s="928"/>
      <c r="AM81" s="928"/>
      <c r="AN81" s="928"/>
      <c r="AO81" s="928"/>
      <c r="AP81" s="928"/>
      <c r="AQ81" s="928"/>
      <c r="AR81" s="928"/>
      <c r="AS81" s="928"/>
      <c r="AT81" s="928"/>
      <c r="AU81" s="928"/>
      <c r="AV81" s="928"/>
      <c r="AW81" s="928"/>
      <c r="AX81" s="928"/>
      <c r="AY81" s="928"/>
      <c r="AZ81" s="928"/>
      <c r="BA81" s="928"/>
      <c r="BB81" s="928"/>
      <c r="BC81" s="928"/>
      <c r="BD81" s="928"/>
      <c r="BE81" s="928"/>
      <c r="BF81" s="928"/>
      <c r="BG81" s="928"/>
      <c r="BH81" s="928"/>
      <c r="BI81" s="928"/>
      <c r="BJ81" s="928"/>
      <c r="BK81" s="928"/>
      <c r="BL81" s="928"/>
      <c r="BM81" s="928"/>
      <c r="BN81" s="928"/>
      <c r="BO81" s="928"/>
      <c r="BP81" s="928"/>
      <c r="BQ81" s="928"/>
      <c r="BR81" s="928"/>
      <c r="BS81" s="928"/>
      <c r="BT81" s="928"/>
      <c r="BU81" s="928"/>
      <c r="BV81" s="928"/>
      <c r="BW81" s="928"/>
      <c r="BX81" s="928"/>
      <c r="BY81" s="928"/>
      <c r="BZ81" s="928"/>
      <c r="CA81" s="928"/>
      <c r="CB81" s="928"/>
      <c r="CC81" s="928"/>
      <c r="CD81" s="928"/>
      <c r="CE81" s="928"/>
      <c r="CF81" s="928"/>
      <c r="CG81" s="928"/>
      <c r="CH81" s="928"/>
      <c r="CI81" s="928"/>
      <c r="CJ81" s="928"/>
      <c r="CK81" s="928"/>
      <c r="CL81" s="928"/>
      <c r="CM81" s="928"/>
      <c r="CN81" s="928"/>
      <c r="CO81" s="928"/>
      <c r="CP81" s="928"/>
      <c r="CQ81" s="928"/>
      <c r="CR81" s="928"/>
      <c r="CS81" s="928"/>
      <c r="CT81" s="928"/>
      <c r="CU81" s="928"/>
      <c r="CV81" s="928"/>
      <c r="CW81" s="928"/>
      <c r="CX81" s="928"/>
      <c r="CY81" s="928"/>
      <c r="CZ81" s="928"/>
      <c r="DA81" s="928"/>
      <c r="DB81" s="928"/>
      <c r="DC81" s="928"/>
      <c r="DD81" s="928"/>
      <c r="DE81" s="928"/>
      <c r="DF81" s="928"/>
      <c r="DG81" s="928"/>
      <c r="DH81" s="928"/>
    </row>
    <row r="82" spans="1:112">
      <c r="A82" s="891" t="s">
        <v>864</v>
      </c>
      <c r="B82" s="891" t="s">
        <v>1446</v>
      </c>
      <c r="C82" s="891" t="s">
        <v>16</v>
      </c>
      <c r="D82" s="891" t="s">
        <v>864</v>
      </c>
      <c r="E82" s="891" t="s">
        <v>1446</v>
      </c>
      <c r="F82" s="891" t="s">
        <v>16</v>
      </c>
      <c r="G82" s="897">
        <v>58.92</v>
      </c>
      <c r="H82" s="897">
        <v>50.41</v>
      </c>
      <c r="I82" s="897">
        <v>58.2</v>
      </c>
      <c r="J82" s="891"/>
      <c r="K82" s="891"/>
      <c r="L82" s="891"/>
      <c r="M82" s="891"/>
      <c r="N82" s="891"/>
      <c r="O82" s="891"/>
      <c r="P82" s="891"/>
      <c r="Q82" s="891"/>
      <c r="R82" s="891"/>
      <c r="S82" s="891"/>
      <c r="T82" s="891"/>
      <c r="U82" s="928"/>
      <c r="V82" s="928"/>
      <c r="W82" s="928"/>
      <c r="X82" s="928"/>
      <c r="Y82" s="928"/>
      <c r="Z82" s="928"/>
      <c r="AA82" s="928"/>
      <c r="AB82" s="928"/>
      <c r="AC82" s="928"/>
      <c r="AD82" s="928"/>
      <c r="AE82" s="928"/>
      <c r="AF82" s="928"/>
      <c r="AG82" s="928"/>
      <c r="AH82" s="928"/>
      <c r="AI82" s="928"/>
      <c r="AJ82" s="928"/>
      <c r="AK82" s="928"/>
      <c r="AL82" s="928"/>
      <c r="AM82" s="928"/>
      <c r="AN82" s="928"/>
      <c r="AO82" s="928"/>
      <c r="AP82" s="928"/>
      <c r="AQ82" s="928"/>
      <c r="AR82" s="928"/>
      <c r="AS82" s="928"/>
      <c r="AT82" s="928"/>
      <c r="AU82" s="928"/>
      <c r="AV82" s="928"/>
      <c r="AW82" s="928"/>
      <c r="AX82" s="928"/>
      <c r="AY82" s="928"/>
      <c r="AZ82" s="928"/>
      <c r="BA82" s="928"/>
      <c r="BB82" s="928"/>
      <c r="BC82" s="928"/>
      <c r="BD82" s="928"/>
      <c r="BE82" s="928"/>
      <c r="BF82" s="928"/>
      <c r="BG82" s="928"/>
      <c r="BH82" s="928"/>
      <c r="BI82" s="928"/>
      <c r="BJ82" s="928"/>
      <c r="BK82" s="928"/>
      <c r="BL82" s="928"/>
      <c r="BM82" s="928"/>
      <c r="BN82" s="928"/>
      <c r="BO82" s="928"/>
      <c r="BP82" s="928"/>
      <c r="BQ82" s="928"/>
      <c r="BR82" s="928"/>
      <c r="BS82" s="928"/>
      <c r="BT82" s="928"/>
      <c r="BU82" s="928"/>
      <c r="BV82" s="928"/>
      <c r="BW82" s="928"/>
      <c r="BX82" s="928"/>
      <c r="BY82" s="928"/>
      <c r="BZ82" s="928"/>
      <c r="CA82" s="928"/>
      <c r="CB82" s="928"/>
      <c r="CC82" s="928"/>
      <c r="CD82" s="928"/>
      <c r="CE82" s="928"/>
      <c r="CF82" s="928"/>
      <c r="CG82" s="928"/>
      <c r="CH82" s="928"/>
      <c r="CI82" s="928"/>
      <c r="CJ82" s="928"/>
      <c r="CK82" s="928"/>
      <c r="CL82" s="928"/>
      <c r="CM82" s="928"/>
      <c r="CN82" s="928"/>
      <c r="CO82" s="928"/>
      <c r="CP82" s="928"/>
      <c r="CQ82" s="928"/>
      <c r="CR82" s="928"/>
      <c r="CS82" s="928"/>
      <c r="CT82" s="928"/>
      <c r="CU82" s="928"/>
      <c r="CV82" s="928"/>
      <c r="CW82" s="928"/>
      <c r="CX82" s="928"/>
      <c r="CY82" s="928"/>
      <c r="CZ82" s="928"/>
      <c r="DA82" s="928"/>
      <c r="DB82" s="928"/>
      <c r="DC82" s="928"/>
      <c r="DD82" s="928"/>
      <c r="DE82" s="928"/>
      <c r="DF82" s="928"/>
      <c r="DG82" s="928"/>
      <c r="DH82" s="928"/>
    </row>
    <row r="83" spans="1:112">
      <c r="A83" s="891" t="s">
        <v>868</v>
      </c>
      <c r="B83" s="891" t="s">
        <v>1475</v>
      </c>
      <c r="C83" s="891" t="s">
        <v>259</v>
      </c>
      <c r="D83" s="891" t="s">
        <v>868</v>
      </c>
      <c r="E83" s="891" t="s">
        <v>1475</v>
      </c>
      <c r="F83" s="891" t="s">
        <v>259</v>
      </c>
      <c r="G83" s="897">
        <v>73.2</v>
      </c>
      <c r="H83" s="897">
        <v>81.349999999999994</v>
      </c>
      <c r="I83" s="897">
        <v>110.94</v>
      </c>
      <c r="J83" s="891"/>
      <c r="K83" s="891"/>
      <c r="L83" s="891"/>
      <c r="M83" s="891"/>
      <c r="N83" s="891"/>
      <c r="O83" s="891"/>
      <c r="P83" s="891"/>
      <c r="Q83" s="891"/>
      <c r="R83" s="891"/>
      <c r="S83" s="891"/>
      <c r="T83" s="891"/>
      <c r="U83" s="928"/>
      <c r="V83" s="928"/>
      <c r="W83" s="928"/>
      <c r="X83" s="928"/>
      <c r="Y83" s="928"/>
      <c r="Z83" s="928"/>
      <c r="AA83" s="928"/>
      <c r="AB83" s="928"/>
      <c r="AC83" s="928"/>
      <c r="AD83" s="928"/>
      <c r="AE83" s="928"/>
      <c r="AF83" s="928"/>
      <c r="AG83" s="928"/>
      <c r="AH83" s="928"/>
      <c r="AI83" s="928"/>
      <c r="AJ83" s="928"/>
      <c r="AK83" s="928"/>
      <c r="AL83" s="928"/>
      <c r="AM83" s="928"/>
      <c r="AN83" s="928"/>
      <c r="AO83" s="928"/>
      <c r="AP83" s="928"/>
      <c r="AQ83" s="928"/>
      <c r="AR83" s="928"/>
      <c r="AS83" s="928"/>
      <c r="AT83" s="928"/>
      <c r="AU83" s="928"/>
      <c r="AV83" s="928"/>
      <c r="AW83" s="928"/>
      <c r="AX83" s="928"/>
      <c r="AY83" s="928"/>
      <c r="AZ83" s="928"/>
      <c r="BA83" s="928"/>
      <c r="BB83" s="928"/>
      <c r="BC83" s="928"/>
      <c r="BD83" s="928"/>
      <c r="BE83" s="928"/>
      <c r="BF83" s="928"/>
      <c r="BG83" s="928"/>
      <c r="BH83" s="928"/>
      <c r="BI83" s="928"/>
      <c r="BJ83" s="928"/>
      <c r="BK83" s="928"/>
      <c r="BL83" s="928"/>
      <c r="BM83" s="928"/>
      <c r="BN83" s="928"/>
      <c r="BO83" s="928"/>
      <c r="BP83" s="928"/>
      <c r="BQ83" s="928"/>
      <c r="BR83" s="928"/>
      <c r="BS83" s="928"/>
      <c r="BT83" s="928"/>
      <c r="BU83" s="928"/>
      <c r="BV83" s="928"/>
      <c r="BW83" s="928"/>
      <c r="BX83" s="928"/>
      <c r="BY83" s="928"/>
      <c r="BZ83" s="928"/>
      <c r="CA83" s="928"/>
      <c r="CB83" s="928"/>
      <c r="CC83" s="928"/>
      <c r="CD83" s="928"/>
      <c r="CE83" s="928"/>
      <c r="CF83" s="928"/>
      <c r="CG83" s="928"/>
      <c r="CH83" s="928"/>
      <c r="CI83" s="928"/>
      <c r="CJ83" s="928"/>
      <c r="CK83" s="928"/>
      <c r="CL83" s="928"/>
      <c r="CM83" s="928"/>
      <c r="CN83" s="928"/>
      <c r="CO83" s="928"/>
      <c r="CP83" s="928"/>
      <c r="CQ83" s="928"/>
      <c r="CR83" s="928"/>
      <c r="CS83" s="928"/>
      <c r="CT83" s="928"/>
      <c r="CU83" s="928"/>
      <c r="CV83" s="928"/>
      <c r="CW83" s="928"/>
      <c r="CX83" s="928"/>
      <c r="CY83" s="928"/>
      <c r="CZ83" s="928"/>
      <c r="DA83" s="928"/>
      <c r="DB83" s="928"/>
      <c r="DC83" s="928"/>
      <c r="DD83" s="928"/>
      <c r="DE83" s="928"/>
      <c r="DF83" s="928"/>
      <c r="DG83" s="928"/>
      <c r="DH83" s="928"/>
    </row>
    <row r="84" spans="1:112">
      <c r="A84" s="891" t="s">
        <v>869</v>
      </c>
      <c r="B84" s="891" t="s">
        <v>1454</v>
      </c>
      <c r="C84" s="891" t="s">
        <v>186</v>
      </c>
      <c r="D84" s="891" t="s">
        <v>869</v>
      </c>
      <c r="E84" s="891" t="s">
        <v>1454</v>
      </c>
      <c r="F84" s="891" t="s">
        <v>186</v>
      </c>
      <c r="G84" s="897">
        <v>52.84</v>
      </c>
      <c r="H84" s="897">
        <v>25.95</v>
      </c>
      <c r="I84" s="897">
        <v>30.01</v>
      </c>
      <c r="J84" s="891"/>
      <c r="K84" s="891"/>
      <c r="L84" s="891"/>
      <c r="M84" s="891"/>
      <c r="N84" s="891"/>
      <c r="O84" s="891"/>
      <c r="P84" s="891"/>
      <c r="Q84" s="891"/>
      <c r="R84" s="891"/>
      <c r="S84" s="891"/>
      <c r="T84" s="891"/>
      <c r="U84" s="928"/>
      <c r="V84" s="928"/>
      <c r="W84" s="928"/>
      <c r="X84" s="928"/>
      <c r="Y84" s="928"/>
      <c r="Z84" s="928"/>
      <c r="AA84" s="928"/>
      <c r="AB84" s="928"/>
      <c r="AC84" s="928"/>
      <c r="AD84" s="928"/>
      <c r="AE84" s="928"/>
      <c r="AF84" s="928"/>
      <c r="AG84" s="928"/>
      <c r="AH84" s="928"/>
      <c r="AI84" s="928"/>
      <c r="AJ84" s="928"/>
      <c r="AK84" s="928"/>
      <c r="AL84" s="928"/>
      <c r="AM84" s="928"/>
      <c r="AN84" s="928"/>
      <c r="AO84" s="928"/>
      <c r="AP84" s="928"/>
      <c r="AQ84" s="928"/>
      <c r="AR84" s="928"/>
      <c r="AS84" s="928"/>
      <c r="AT84" s="928"/>
      <c r="AU84" s="928"/>
      <c r="AV84" s="928"/>
      <c r="AW84" s="928"/>
      <c r="AX84" s="928"/>
      <c r="AY84" s="928"/>
      <c r="AZ84" s="928"/>
      <c r="BA84" s="928"/>
      <c r="BB84" s="928"/>
      <c r="BC84" s="928"/>
      <c r="BD84" s="928"/>
      <c r="BE84" s="928"/>
      <c r="BF84" s="928"/>
      <c r="BG84" s="928"/>
      <c r="BH84" s="928"/>
      <c r="BI84" s="928"/>
      <c r="BJ84" s="928"/>
      <c r="BK84" s="928"/>
      <c r="BL84" s="928"/>
      <c r="BM84" s="928"/>
      <c r="BN84" s="928"/>
      <c r="BO84" s="928"/>
      <c r="BP84" s="928"/>
      <c r="BQ84" s="928"/>
      <c r="BR84" s="928"/>
      <c r="BS84" s="928"/>
      <c r="BT84" s="928"/>
      <c r="BU84" s="928"/>
      <c r="BV84" s="928"/>
      <c r="BW84" s="928"/>
      <c r="BX84" s="928"/>
      <c r="BY84" s="928"/>
      <c r="BZ84" s="928"/>
      <c r="CA84" s="928"/>
      <c r="CB84" s="928"/>
      <c r="CC84" s="928"/>
      <c r="CD84" s="928"/>
      <c r="CE84" s="928"/>
      <c r="CF84" s="928"/>
      <c r="CG84" s="928"/>
      <c r="CH84" s="928"/>
      <c r="CI84" s="928"/>
      <c r="CJ84" s="928"/>
      <c r="CK84" s="928"/>
      <c r="CL84" s="928"/>
      <c r="CM84" s="928"/>
      <c r="CN84" s="928"/>
      <c r="CO84" s="928"/>
      <c r="CP84" s="928"/>
      <c r="CQ84" s="928"/>
      <c r="CR84" s="928"/>
      <c r="CS84" s="928"/>
      <c r="CT84" s="928"/>
      <c r="CU84" s="928"/>
      <c r="CV84" s="928"/>
      <c r="CW84" s="928"/>
      <c r="CX84" s="928"/>
      <c r="CY84" s="928"/>
      <c r="CZ84" s="928"/>
      <c r="DA84" s="928"/>
      <c r="DB84" s="928"/>
      <c r="DC84" s="928"/>
      <c r="DD84" s="928"/>
      <c r="DE84" s="928"/>
      <c r="DF84" s="928"/>
      <c r="DG84" s="928"/>
      <c r="DH84" s="928"/>
    </row>
    <row r="85" spans="1:112">
      <c r="A85" s="891" t="s">
        <v>870</v>
      </c>
      <c r="B85" s="891" t="s">
        <v>1495</v>
      </c>
      <c r="C85" s="891" t="s">
        <v>357</v>
      </c>
      <c r="D85" s="891" t="s">
        <v>870</v>
      </c>
      <c r="E85" s="891" t="s">
        <v>1495</v>
      </c>
      <c r="F85" s="891" t="s">
        <v>357</v>
      </c>
      <c r="G85" s="897">
        <v>83</v>
      </c>
      <c r="H85" s="897">
        <v>66</v>
      </c>
      <c r="I85" s="897">
        <v>130.57</v>
      </c>
      <c r="J85" s="891"/>
      <c r="K85" s="891"/>
      <c r="L85" s="891"/>
      <c r="M85" s="891"/>
      <c r="N85" s="891"/>
      <c r="O85" s="891"/>
      <c r="P85" s="891"/>
      <c r="Q85" s="891"/>
      <c r="R85" s="891"/>
      <c r="S85" s="891"/>
      <c r="T85" s="891"/>
      <c r="U85" s="928"/>
      <c r="V85" s="928"/>
      <c r="W85" s="928"/>
      <c r="X85" s="928"/>
      <c r="Y85" s="928"/>
      <c r="Z85" s="928"/>
      <c r="AA85" s="928"/>
      <c r="AB85" s="928"/>
      <c r="AC85" s="928"/>
      <c r="AD85" s="928"/>
      <c r="AE85" s="928"/>
      <c r="AF85" s="928"/>
      <c r="AG85" s="928"/>
      <c r="AH85" s="928"/>
      <c r="AI85" s="928"/>
      <c r="AJ85" s="928"/>
      <c r="AK85" s="928"/>
      <c r="AL85" s="928"/>
      <c r="AM85" s="928"/>
      <c r="AN85" s="928"/>
      <c r="AO85" s="928"/>
      <c r="AP85" s="928"/>
      <c r="AQ85" s="928"/>
      <c r="AR85" s="928"/>
      <c r="AS85" s="928"/>
      <c r="AT85" s="928"/>
      <c r="AU85" s="928"/>
      <c r="AV85" s="928"/>
      <c r="AW85" s="928"/>
      <c r="AX85" s="928"/>
      <c r="AY85" s="928"/>
      <c r="AZ85" s="928"/>
      <c r="BA85" s="928"/>
      <c r="BB85" s="928"/>
      <c r="BC85" s="928"/>
      <c r="BD85" s="928"/>
      <c r="BE85" s="928"/>
      <c r="BF85" s="928"/>
      <c r="BG85" s="928"/>
      <c r="BH85" s="928"/>
      <c r="BI85" s="928"/>
      <c r="BJ85" s="928"/>
      <c r="BK85" s="928"/>
      <c r="BL85" s="928"/>
      <c r="BM85" s="928"/>
      <c r="BN85" s="928"/>
      <c r="BO85" s="928"/>
      <c r="BP85" s="928"/>
      <c r="BQ85" s="928"/>
      <c r="BR85" s="928"/>
      <c r="BS85" s="928"/>
      <c r="BT85" s="928"/>
      <c r="BU85" s="928"/>
      <c r="BV85" s="928"/>
      <c r="BW85" s="928"/>
      <c r="BX85" s="928"/>
      <c r="BY85" s="928"/>
      <c r="BZ85" s="928"/>
      <c r="CA85" s="928"/>
      <c r="CB85" s="928"/>
      <c r="CC85" s="928"/>
      <c r="CD85" s="928"/>
      <c r="CE85" s="928"/>
      <c r="CF85" s="928"/>
      <c r="CG85" s="928"/>
      <c r="CH85" s="928"/>
      <c r="CI85" s="928"/>
      <c r="CJ85" s="928"/>
      <c r="CK85" s="928"/>
      <c r="CL85" s="928"/>
      <c r="CM85" s="928"/>
      <c r="CN85" s="928"/>
      <c r="CO85" s="928"/>
      <c r="CP85" s="928"/>
      <c r="CQ85" s="928"/>
      <c r="CR85" s="928"/>
      <c r="CS85" s="928"/>
      <c r="CT85" s="928"/>
      <c r="CU85" s="928"/>
      <c r="CV85" s="928"/>
      <c r="CW85" s="928"/>
      <c r="CX85" s="928"/>
      <c r="CY85" s="928"/>
      <c r="CZ85" s="928"/>
      <c r="DA85" s="928"/>
      <c r="DB85" s="928"/>
      <c r="DC85" s="928"/>
      <c r="DD85" s="928"/>
      <c r="DE85" s="928"/>
      <c r="DF85" s="928"/>
      <c r="DG85" s="928"/>
      <c r="DH85" s="928"/>
    </row>
    <row r="86" spans="1:112">
      <c r="A86" s="891" t="s">
        <v>871</v>
      </c>
      <c r="B86" s="891" t="s">
        <v>1496</v>
      </c>
      <c r="C86" s="891" t="s">
        <v>297</v>
      </c>
      <c r="D86" s="891" t="s">
        <v>871</v>
      </c>
      <c r="E86" s="891" t="s">
        <v>1496</v>
      </c>
      <c r="F86" s="891" t="s">
        <v>297</v>
      </c>
      <c r="G86" s="897">
        <v>58.35</v>
      </c>
      <c r="H86" s="897">
        <v>57.18</v>
      </c>
      <c r="I86" s="897">
        <v>52.24</v>
      </c>
      <c r="J86" s="891"/>
      <c r="K86" s="891"/>
      <c r="L86" s="891"/>
      <c r="M86" s="891"/>
      <c r="N86" s="891"/>
      <c r="O86" s="891"/>
      <c r="P86" s="891"/>
      <c r="Q86" s="891"/>
      <c r="R86" s="891"/>
      <c r="S86" s="891"/>
      <c r="T86" s="891"/>
      <c r="U86" s="928"/>
      <c r="V86" s="928"/>
      <c r="W86" s="928"/>
      <c r="X86" s="928"/>
      <c r="Y86" s="928"/>
      <c r="Z86" s="928"/>
      <c r="AA86" s="928"/>
      <c r="AB86" s="928"/>
      <c r="AC86" s="928"/>
      <c r="AD86" s="928"/>
      <c r="AE86" s="928"/>
      <c r="AF86" s="928"/>
      <c r="AG86" s="928"/>
      <c r="AH86" s="928"/>
      <c r="AI86" s="928"/>
      <c r="AJ86" s="928"/>
      <c r="AK86" s="928"/>
      <c r="AL86" s="928"/>
      <c r="AM86" s="928"/>
      <c r="AN86" s="928"/>
      <c r="AO86" s="928"/>
      <c r="AP86" s="928"/>
      <c r="AQ86" s="928"/>
      <c r="AR86" s="928"/>
      <c r="AS86" s="928"/>
      <c r="AT86" s="928"/>
      <c r="AU86" s="928"/>
      <c r="AV86" s="928"/>
      <c r="AW86" s="928"/>
      <c r="AX86" s="928"/>
      <c r="AY86" s="928"/>
      <c r="AZ86" s="928"/>
      <c r="BA86" s="928"/>
      <c r="BB86" s="928"/>
      <c r="BC86" s="928"/>
      <c r="BD86" s="928"/>
      <c r="BE86" s="928"/>
      <c r="BF86" s="928"/>
      <c r="BG86" s="928"/>
      <c r="BH86" s="928"/>
      <c r="BI86" s="928"/>
      <c r="BJ86" s="928"/>
      <c r="BK86" s="928"/>
      <c r="BL86" s="928"/>
      <c r="BM86" s="928"/>
      <c r="BN86" s="928"/>
      <c r="BO86" s="928"/>
      <c r="BP86" s="928"/>
      <c r="BQ86" s="928"/>
      <c r="BR86" s="928"/>
      <c r="BS86" s="928"/>
      <c r="BT86" s="928"/>
      <c r="BU86" s="928"/>
      <c r="BV86" s="928"/>
      <c r="BW86" s="928"/>
      <c r="BX86" s="928"/>
      <c r="BY86" s="928"/>
      <c r="BZ86" s="928"/>
      <c r="CA86" s="928"/>
      <c r="CB86" s="928"/>
      <c r="CC86" s="928"/>
      <c r="CD86" s="928"/>
      <c r="CE86" s="928"/>
      <c r="CF86" s="928"/>
      <c r="CG86" s="928"/>
      <c r="CH86" s="928"/>
      <c r="CI86" s="928"/>
      <c r="CJ86" s="928"/>
      <c r="CK86" s="928"/>
      <c r="CL86" s="928"/>
      <c r="CM86" s="928"/>
      <c r="CN86" s="928"/>
      <c r="CO86" s="928"/>
      <c r="CP86" s="928"/>
      <c r="CQ86" s="928"/>
      <c r="CR86" s="928"/>
      <c r="CS86" s="928"/>
      <c r="CT86" s="928"/>
      <c r="CU86" s="928"/>
      <c r="CV86" s="928"/>
      <c r="CW86" s="928"/>
      <c r="CX86" s="928"/>
      <c r="CY86" s="928"/>
      <c r="CZ86" s="928"/>
      <c r="DA86" s="928"/>
      <c r="DB86" s="928"/>
      <c r="DC86" s="928"/>
      <c r="DD86" s="928"/>
      <c r="DE86" s="928"/>
      <c r="DF86" s="928"/>
      <c r="DG86" s="928"/>
      <c r="DH86" s="928"/>
    </row>
    <row r="87" spans="1:112">
      <c r="A87" s="891" t="s">
        <v>872</v>
      </c>
      <c r="B87" s="891" t="s">
        <v>1452</v>
      </c>
      <c r="C87" s="891" t="s">
        <v>11</v>
      </c>
      <c r="D87" s="891" t="s">
        <v>872</v>
      </c>
      <c r="E87" s="891" t="s">
        <v>1452</v>
      </c>
      <c r="F87" s="891" t="s">
        <v>11</v>
      </c>
      <c r="G87" s="897">
        <v>107.77</v>
      </c>
      <c r="H87" s="897">
        <v>96.33</v>
      </c>
      <c r="I87" s="897">
        <v>89.67</v>
      </c>
      <c r="J87" s="891"/>
      <c r="K87" s="891"/>
      <c r="L87" s="891"/>
      <c r="M87" s="891"/>
      <c r="N87" s="891"/>
      <c r="O87" s="891"/>
      <c r="P87" s="891"/>
      <c r="Q87" s="891"/>
      <c r="R87" s="891"/>
      <c r="S87" s="891"/>
      <c r="T87" s="891"/>
      <c r="U87" s="928"/>
      <c r="V87" s="928"/>
      <c r="W87" s="928"/>
      <c r="X87" s="928"/>
      <c r="Y87" s="928"/>
      <c r="Z87" s="928"/>
      <c r="AA87" s="928"/>
      <c r="AB87" s="928"/>
      <c r="AC87" s="928"/>
      <c r="AD87" s="928"/>
      <c r="AE87" s="928"/>
      <c r="AF87" s="928"/>
      <c r="AG87" s="928"/>
      <c r="AH87" s="928"/>
      <c r="AI87" s="928"/>
      <c r="AJ87" s="928"/>
      <c r="AK87" s="928"/>
      <c r="AL87" s="928"/>
      <c r="AM87" s="928"/>
      <c r="AN87" s="928"/>
      <c r="AO87" s="928"/>
      <c r="AP87" s="928"/>
      <c r="AQ87" s="928"/>
      <c r="AR87" s="928"/>
      <c r="AS87" s="928"/>
      <c r="AT87" s="928"/>
      <c r="AU87" s="928"/>
      <c r="AV87" s="928"/>
      <c r="AW87" s="928"/>
      <c r="AX87" s="928"/>
      <c r="AY87" s="928"/>
      <c r="AZ87" s="928"/>
      <c r="BA87" s="928"/>
      <c r="BB87" s="928"/>
      <c r="BC87" s="928"/>
      <c r="BD87" s="928"/>
      <c r="BE87" s="928"/>
      <c r="BF87" s="928"/>
      <c r="BG87" s="928"/>
      <c r="BH87" s="928"/>
      <c r="BI87" s="928"/>
      <c r="BJ87" s="928"/>
      <c r="BK87" s="928"/>
      <c r="BL87" s="928"/>
      <c r="BM87" s="928"/>
      <c r="BN87" s="928"/>
      <c r="BO87" s="928"/>
      <c r="BP87" s="928"/>
      <c r="BQ87" s="928"/>
      <c r="BR87" s="928"/>
      <c r="BS87" s="928"/>
      <c r="BT87" s="928"/>
      <c r="BU87" s="928"/>
      <c r="BV87" s="928"/>
      <c r="BW87" s="928"/>
      <c r="BX87" s="928"/>
      <c r="BY87" s="928"/>
      <c r="BZ87" s="928"/>
      <c r="CA87" s="928"/>
      <c r="CB87" s="928"/>
      <c r="CC87" s="928"/>
      <c r="CD87" s="928"/>
      <c r="CE87" s="928"/>
      <c r="CF87" s="928"/>
      <c r="CG87" s="928"/>
      <c r="CH87" s="928"/>
      <c r="CI87" s="928"/>
      <c r="CJ87" s="928"/>
      <c r="CK87" s="928"/>
      <c r="CL87" s="928"/>
      <c r="CM87" s="928"/>
      <c r="CN87" s="928"/>
      <c r="CO87" s="928"/>
      <c r="CP87" s="928"/>
      <c r="CQ87" s="928"/>
      <c r="CR87" s="928"/>
      <c r="CS87" s="928"/>
      <c r="CT87" s="928"/>
      <c r="CU87" s="928"/>
      <c r="CV87" s="928"/>
      <c r="CW87" s="928"/>
      <c r="CX87" s="928"/>
      <c r="CY87" s="928"/>
      <c r="CZ87" s="928"/>
      <c r="DA87" s="928"/>
      <c r="DB87" s="928"/>
      <c r="DC87" s="928"/>
      <c r="DD87" s="928"/>
      <c r="DE87" s="928"/>
      <c r="DF87" s="928"/>
      <c r="DG87" s="928"/>
      <c r="DH87" s="928"/>
    </row>
    <row r="88" spans="1:112">
      <c r="A88" s="891" t="s">
        <v>873</v>
      </c>
      <c r="B88" s="891" t="s">
        <v>1490</v>
      </c>
      <c r="C88" s="891" t="s">
        <v>369</v>
      </c>
      <c r="D88" s="891" t="s">
        <v>873</v>
      </c>
      <c r="E88" s="891" t="s">
        <v>1490</v>
      </c>
      <c r="F88" s="891" t="s">
        <v>369</v>
      </c>
      <c r="G88" s="897">
        <v>54.53</v>
      </c>
      <c r="H88" s="897">
        <v>23.8</v>
      </c>
      <c r="I88" s="897">
        <v>25.12</v>
      </c>
      <c r="J88" s="891"/>
      <c r="K88" s="891"/>
      <c r="L88" s="891"/>
      <c r="M88" s="891"/>
      <c r="N88" s="891"/>
      <c r="O88" s="891"/>
      <c r="P88" s="891"/>
      <c r="Q88" s="891"/>
      <c r="R88" s="891"/>
      <c r="S88" s="891"/>
      <c r="T88" s="891"/>
      <c r="U88" s="928"/>
      <c r="V88" s="928"/>
      <c r="W88" s="928"/>
      <c r="X88" s="928"/>
      <c r="Y88" s="928"/>
      <c r="Z88" s="928"/>
      <c r="AA88" s="928"/>
      <c r="AB88" s="928"/>
      <c r="AC88" s="928"/>
      <c r="AD88" s="928"/>
      <c r="AE88" s="928"/>
      <c r="AF88" s="928"/>
      <c r="AG88" s="928"/>
      <c r="AH88" s="928"/>
      <c r="AI88" s="928"/>
      <c r="AJ88" s="928"/>
      <c r="AK88" s="928"/>
      <c r="AL88" s="928"/>
      <c r="AM88" s="928"/>
      <c r="AN88" s="928"/>
      <c r="AO88" s="928"/>
      <c r="AP88" s="928"/>
      <c r="AQ88" s="928"/>
      <c r="AR88" s="928"/>
      <c r="AS88" s="928"/>
      <c r="AT88" s="928"/>
      <c r="AU88" s="928"/>
      <c r="AV88" s="928"/>
      <c r="AW88" s="928"/>
      <c r="AX88" s="928"/>
      <c r="AY88" s="928"/>
      <c r="AZ88" s="928"/>
      <c r="BA88" s="928"/>
      <c r="BB88" s="928"/>
      <c r="BC88" s="928"/>
      <c r="BD88" s="928"/>
      <c r="BE88" s="928"/>
      <c r="BF88" s="928"/>
      <c r="BG88" s="928"/>
      <c r="BH88" s="928"/>
      <c r="BI88" s="928"/>
      <c r="BJ88" s="928"/>
      <c r="BK88" s="928"/>
      <c r="BL88" s="928"/>
      <c r="BM88" s="928"/>
      <c r="BN88" s="928"/>
      <c r="BO88" s="928"/>
      <c r="BP88" s="928"/>
      <c r="BQ88" s="928"/>
      <c r="BR88" s="928"/>
      <c r="BS88" s="928"/>
      <c r="BT88" s="928"/>
      <c r="BU88" s="928"/>
      <c r="BV88" s="928"/>
      <c r="BW88" s="928"/>
      <c r="BX88" s="928"/>
      <c r="BY88" s="928"/>
      <c r="BZ88" s="928"/>
      <c r="CA88" s="928"/>
      <c r="CB88" s="928"/>
      <c r="CC88" s="928"/>
      <c r="CD88" s="928"/>
      <c r="CE88" s="928"/>
      <c r="CF88" s="928"/>
      <c r="CG88" s="928"/>
      <c r="CH88" s="928"/>
      <c r="CI88" s="928"/>
      <c r="CJ88" s="928"/>
      <c r="CK88" s="928"/>
      <c r="CL88" s="928"/>
      <c r="CM88" s="928"/>
      <c r="CN88" s="928"/>
      <c r="CO88" s="928"/>
      <c r="CP88" s="928"/>
      <c r="CQ88" s="928"/>
      <c r="CR88" s="928"/>
      <c r="CS88" s="928"/>
      <c r="CT88" s="928"/>
      <c r="CU88" s="928"/>
      <c r="CV88" s="928"/>
      <c r="CW88" s="928"/>
      <c r="CX88" s="928"/>
      <c r="CY88" s="928"/>
      <c r="CZ88" s="928"/>
      <c r="DA88" s="928"/>
      <c r="DB88" s="928"/>
      <c r="DC88" s="928"/>
      <c r="DD88" s="928"/>
      <c r="DE88" s="928"/>
      <c r="DF88" s="928"/>
      <c r="DG88" s="928"/>
      <c r="DH88" s="928"/>
    </row>
    <row r="89" spans="1:112">
      <c r="A89" s="891" t="s">
        <v>874</v>
      </c>
      <c r="B89" s="891" t="s">
        <v>1453</v>
      </c>
      <c r="C89" s="891" t="s">
        <v>378</v>
      </c>
      <c r="D89" s="891" t="s">
        <v>874</v>
      </c>
      <c r="E89" s="891" t="s">
        <v>1453</v>
      </c>
      <c r="F89" s="891" t="s">
        <v>378</v>
      </c>
      <c r="G89" s="897">
        <v>48.02</v>
      </c>
      <c r="H89" s="897">
        <v>47.52</v>
      </c>
      <c r="I89" s="897">
        <v>42.71</v>
      </c>
      <c r="J89" s="891"/>
      <c r="K89" s="891"/>
      <c r="L89" s="891"/>
      <c r="M89" s="891"/>
      <c r="N89" s="891"/>
      <c r="O89" s="891"/>
      <c r="P89" s="891"/>
      <c r="Q89" s="891"/>
      <c r="R89" s="891"/>
      <c r="S89" s="891"/>
      <c r="T89" s="891"/>
      <c r="U89" s="928"/>
      <c r="V89" s="928"/>
      <c r="W89" s="928"/>
      <c r="X89" s="928"/>
      <c r="Y89" s="928"/>
      <c r="Z89" s="928"/>
      <c r="AA89" s="928"/>
      <c r="AB89" s="928"/>
      <c r="AC89" s="928"/>
      <c r="AD89" s="928"/>
      <c r="AE89" s="928"/>
      <c r="AF89" s="928"/>
      <c r="AG89" s="928"/>
      <c r="AH89" s="928"/>
      <c r="AI89" s="928"/>
      <c r="AJ89" s="928"/>
      <c r="AK89" s="928"/>
      <c r="AL89" s="928"/>
      <c r="AM89" s="928"/>
      <c r="AN89" s="928"/>
      <c r="AO89" s="928"/>
      <c r="AP89" s="928"/>
      <c r="AQ89" s="928"/>
      <c r="AR89" s="928"/>
      <c r="AS89" s="928"/>
      <c r="AT89" s="928"/>
      <c r="AU89" s="928"/>
      <c r="AV89" s="928"/>
      <c r="AW89" s="928"/>
      <c r="AX89" s="928"/>
      <c r="AY89" s="928"/>
      <c r="AZ89" s="928"/>
      <c r="BA89" s="928"/>
      <c r="BB89" s="928"/>
      <c r="BC89" s="928"/>
      <c r="BD89" s="928"/>
      <c r="BE89" s="928"/>
      <c r="BF89" s="928"/>
      <c r="BG89" s="928"/>
      <c r="BH89" s="928"/>
      <c r="BI89" s="928"/>
      <c r="BJ89" s="928"/>
      <c r="BK89" s="928"/>
      <c r="BL89" s="928"/>
      <c r="BM89" s="928"/>
      <c r="BN89" s="928"/>
      <c r="BO89" s="928"/>
      <c r="BP89" s="928"/>
      <c r="BQ89" s="928"/>
      <c r="BR89" s="928"/>
      <c r="BS89" s="928"/>
      <c r="BT89" s="928"/>
      <c r="BU89" s="928"/>
      <c r="BV89" s="928"/>
      <c r="BW89" s="928"/>
      <c r="BX89" s="928"/>
      <c r="BY89" s="928"/>
      <c r="BZ89" s="928"/>
      <c r="CA89" s="928"/>
      <c r="CB89" s="928"/>
      <c r="CC89" s="928"/>
      <c r="CD89" s="928"/>
      <c r="CE89" s="928"/>
      <c r="CF89" s="928"/>
      <c r="CG89" s="928"/>
      <c r="CH89" s="928"/>
      <c r="CI89" s="928"/>
      <c r="CJ89" s="928"/>
      <c r="CK89" s="928"/>
      <c r="CL89" s="928"/>
      <c r="CM89" s="928"/>
      <c r="CN89" s="928"/>
      <c r="CO89" s="928"/>
      <c r="CP89" s="928"/>
      <c r="CQ89" s="928"/>
      <c r="CR89" s="928"/>
      <c r="CS89" s="928"/>
      <c r="CT89" s="928"/>
      <c r="CU89" s="928"/>
      <c r="CV89" s="928"/>
      <c r="CW89" s="928"/>
      <c r="CX89" s="928"/>
      <c r="CY89" s="928"/>
      <c r="CZ89" s="928"/>
      <c r="DA89" s="928"/>
      <c r="DB89" s="928"/>
      <c r="DC89" s="928"/>
      <c r="DD89" s="928"/>
      <c r="DE89" s="928"/>
      <c r="DF89" s="928"/>
      <c r="DG89" s="928"/>
      <c r="DH89" s="928"/>
    </row>
    <row r="90" spans="1:112">
      <c r="A90" s="891" t="s">
        <v>875</v>
      </c>
      <c r="B90" s="891" t="s">
        <v>1454</v>
      </c>
      <c r="C90" s="891" t="s">
        <v>158</v>
      </c>
      <c r="D90" s="891" t="s">
        <v>875</v>
      </c>
      <c r="E90" s="891" t="s">
        <v>1454</v>
      </c>
      <c r="F90" s="891" t="s">
        <v>158</v>
      </c>
      <c r="G90" s="897">
        <v>73.040000000000006</v>
      </c>
      <c r="H90" s="897">
        <v>67.41</v>
      </c>
      <c r="I90" s="897">
        <v>136.84</v>
      </c>
      <c r="J90" s="891"/>
      <c r="K90" s="891"/>
      <c r="L90" s="891"/>
      <c r="M90" s="891"/>
      <c r="N90" s="891"/>
      <c r="O90" s="891"/>
      <c r="P90" s="891"/>
      <c r="Q90" s="891"/>
      <c r="R90" s="891"/>
      <c r="S90" s="891"/>
      <c r="T90" s="891"/>
      <c r="U90" s="928"/>
      <c r="V90" s="928"/>
      <c r="W90" s="928"/>
      <c r="X90" s="928"/>
      <c r="Y90" s="928"/>
      <c r="Z90" s="928"/>
      <c r="AA90" s="928"/>
      <c r="AB90" s="928"/>
      <c r="AC90" s="928"/>
      <c r="AD90" s="928"/>
      <c r="AE90" s="928"/>
      <c r="AF90" s="928"/>
      <c r="AG90" s="928"/>
      <c r="AH90" s="928"/>
      <c r="AI90" s="928"/>
      <c r="AJ90" s="928"/>
      <c r="AK90" s="928"/>
      <c r="AL90" s="928"/>
      <c r="AM90" s="928"/>
      <c r="AN90" s="928"/>
      <c r="AO90" s="928"/>
      <c r="AP90" s="928"/>
      <c r="AQ90" s="928"/>
      <c r="AR90" s="928"/>
      <c r="AS90" s="928"/>
      <c r="AT90" s="928"/>
      <c r="AU90" s="928"/>
      <c r="AV90" s="928"/>
      <c r="AW90" s="928"/>
      <c r="AX90" s="928"/>
      <c r="AY90" s="928"/>
      <c r="AZ90" s="928"/>
      <c r="BA90" s="928"/>
      <c r="BB90" s="928"/>
      <c r="BC90" s="928"/>
      <c r="BD90" s="928"/>
      <c r="BE90" s="928"/>
      <c r="BF90" s="928"/>
      <c r="BG90" s="928"/>
      <c r="BH90" s="928"/>
      <c r="BI90" s="928"/>
      <c r="BJ90" s="928"/>
      <c r="BK90" s="928"/>
      <c r="BL90" s="928"/>
      <c r="BM90" s="928"/>
      <c r="BN90" s="928"/>
      <c r="BO90" s="928"/>
      <c r="BP90" s="928"/>
      <c r="BQ90" s="928"/>
      <c r="BR90" s="928"/>
      <c r="BS90" s="928"/>
      <c r="BT90" s="928"/>
      <c r="BU90" s="928"/>
      <c r="BV90" s="928"/>
      <c r="BW90" s="928"/>
      <c r="BX90" s="928"/>
      <c r="BY90" s="928"/>
      <c r="BZ90" s="928"/>
      <c r="CA90" s="928"/>
      <c r="CB90" s="928"/>
      <c r="CC90" s="928"/>
      <c r="CD90" s="928"/>
      <c r="CE90" s="928"/>
      <c r="CF90" s="928"/>
      <c r="CG90" s="928"/>
      <c r="CH90" s="928"/>
      <c r="CI90" s="928"/>
      <c r="CJ90" s="928"/>
      <c r="CK90" s="928"/>
      <c r="CL90" s="928"/>
      <c r="CM90" s="928"/>
      <c r="CN90" s="928"/>
      <c r="CO90" s="928"/>
      <c r="CP90" s="928"/>
      <c r="CQ90" s="928"/>
      <c r="CR90" s="928"/>
      <c r="CS90" s="928"/>
      <c r="CT90" s="928"/>
      <c r="CU90" s="928"/>
      <c r="CV90" s="928"/>
      <c r="CW90" s="928"/>
      <c r="CX90" s="928"/>
      <c r="CY90" s="928"/>
      <c r="CZ90" s="928"/>
      <c r="DA90" s="928"/>
      <c r="DB90" s="928"/>
      <c r="DC90" s="928"/>
      <c r="DD90" s="928"/>
      <c r="DE90" s="928"/>
      <c r="DF90" s="928"/>
      <c r="DG90" s="928"/>
      <c r="DH90" s="928"/>
    </row>
    <row r="91" spans="1:112">
      <c r="A91" s="891" t="s">
        <v>877</v>
      </c>
      <c r="B91" s="891" t="s">
        <v>1454</v>
      </c>
      <c r="C91" s="891" t="s">
        <v>169</v>
      </c>
      <c r="D91" s="891" t="s">
        <v>877</v>
      </c>
      <c r="E91" s="891" t="s">
        <v>1454</v>
      </c>
      <c r="F91" s="891" t="s">
        <v>169</v>
      </c>
      <c r="G91" s="897">
        <v>39.83</v>
      </c>
      <c r="H91" s="897">
        <v>38.299999999999997</v>
      </c>
      <c r="I91" s="897">
        <v>19.13</v>
      </c>
      <c r="J91" s="891"/>
      <c r="K91" s="891"/>
      <c r="L91" s="891"/>
      <c r="M91" s="891"/>
      <c r="N91" s="891"/>
      <c r="O91" s="891"/>
      <c r="P91" s="891"/>
      <c r="Q91" s="891"/>
      <c r="R91" s="891"/>
      <c r="S91" s="891"/>
      <c r="T91" s="891"/>
      <c r="U91" s="928"/>
      <c r="V91" s="928"/>
      <c r="W91" s="928"/>
      <c r="X91" s="928"/>
      <c r="Y91" s="928"/>
      <c r="Z91" s="928"/>
      <c r="AA91" s="928"/>
      <c r="AB91" s="928"/>
      <c r="AC91" s="928"/>
      <c r="AD91" s="928"/>
      <c r="AE91" s="928"/>
      <c r="AF91" s="928"/>
      <c r="AG91" s="928"/>
      <c r="AH91" s="928"/>
      <c r="AI91" s="928"/>
      <c r="AJ91" s="928"/>
      <c r="AK91" s="928"/>
      <c r="AL91" s="928"/>
      <c r="AM91" s="928"/>
      <c r="AN91" s="928"/>
      <c r="AO91" s="928"/>
      <c r="AP91" s="928"/>
      <c r="AQ91" s="928"/>
      <c r="AR91" s="928"/>
      <c r="AS91" s="928"/>
      <c r="AT91" s="928"/>
      <c r="AU91" s="928"/>
      <c r="AV91" s="928"/>
      <c r="AW91" s="928"/>
      <c r="AX91" s="928"/>
      <c r="AY91" s="928"/>
      <c r="AZ91" s="928"/>
      <c r="BA91" s="928"/>
      <c r="BB91" s="928"/>
      <c r="BC91" s="928"/>
      <c r="BD91" s="928"/>
      <c r="BE91" s="928"/>
      <c r="BF91" s="928"/>
      <c r="BG91" s="928"/>
      <c r="BH91" s="928"/>
      <c r="BI91" s="928"/>
      <c r="BJ91" s="928"/>
      <c r="BK91" s="928"/>
      <c r="BL91" s="928"/>
      <c r="BM91" s="928"/>
      <c r="BN91" s="928"/>
      <c r="BO91" s="928"/>
      <c r="BP91" s="928"/>
      <c r="BQ91" s="928"/>
      <c r="BR91" s="928"/>
      <c r="BS91" s="928"/>
      <c r="BT91" s="928"/>
      <c r="BU91" s="928"/>
      <c r="BV91" s="928"/>
      <c r="BW91" s="928"/>
      <c r="BX91" s="928"/>
      <c r="BY91" s="928"/>
      <c r="BZ91" s="928"/>
      <c r="CA91" s="928"/>
      <c r="CB91" s="928"/>
      <c r="CC91" s="928"/>
      <c r="CD91" s="928"/>
      <c r="CE91" s="928"/>
      <c r="CF91" s="928"/>
      <c r="CG91" s="928"/>
      <c r="CH91" s="928"/>
      <c r="CI91" s="928"/>
      <c r="CJ91" s="928"/>
      <c r="CK91" s="928"/>
      <c r="CL91" s="928"/>
      <c r="CM91" s="928"/>
      <c r="CN91" s="928"/>
      <c r="CO91" s="928"/>
      <c r="CP91" s="928"/>
      <c r="CQ91" s="928"/>
      <c r="CR91" s="928"/>
      <c r="CS91" s="928"/>
      <c r="CT91" s="928"/>
      <c r="CU91" s="928"/>
      <c r="CV91" s="928"/>
      <c r="CW91" s="928"/>
      <c r="CX91" s="928"/>
      <c r="CY91" s="928"/>
      <c r="CZ91" s="928"/>
      <c r="DA91" s="928"/>
      <c r="DB91" s="928"/>
      <c r="DC91" s="928"/>
      <c r="DD91" s="928"/>
      <c r="DE91" s="928"/>
      <c r="DF91" s="928"/>
      <c r="DG91" s="928"/>
      <c r="DH91" s="928"/>
    </row>
    <row r="92" spans="1:112">
      <c r="A92" s="891" t="s">
        <v>878</v>
      </c>
      <c r="B92" s="891" t="s">
        <v>1497</v>
      </c>
      <c r="C92" s="891" t="s">
        <v>361</v>
      </c>
      <c r="D92" s="891" t="s">
        <v>878</v>
      </c>
      <c r="E92" s="891" t="s">
        <v>1497</v>
      </c>
      <c r="F92" s="891" t="s">
        <v>361</v>
      </c>
      <c r="G92" s="897">
        <v>50.76</v>
      </c>
      <c r="H92" s="897">
        <v>27.02</v>
      </c>
      <c r="I92" s="897">
        <v>21.52</v>
      </c>
      <c r="J92" s="891"/>
      <c r="K92" s="891"/>
      <c r="L92" s="891"/>
      <c r="M92" s="891"/>
      <c r="N92" s="891"/>
      <c r="O92" s="891"/>
      <c r="P92" s="891"/>
      <c r="Q92" s="891"/>
      <c r="R92" s="891"/>
      <c r="S92" s="891"/>
      <c r="T92" s="891"/>
      <c r="U92" s="928"/>
      <c r="V92" s="928"/>
      <c r="W92" s="928"/>
      <c r="X92" s="928"/>
      <c r="Y92" s="928"/>
      <c r="Z92" s="928"/>
      <c r="AA92" s="928"/>
      <c r="AB92" s="928"/>
      <c r="AC92" s="928"/>
      <c r="AD92" s="928"/>
      <c r="AE92" s="928"/>
      <c r="AF92" s="928"/>
      <c r="AG92" s="928"/>
      <c r="AH92" s="928"/>
      <c r="AI92" s="928"/>
      <c r="AJ92" s="928"/>
      <c r="AK92" s="928"/>
      <c r="AL92" s="928"/>
      <c r="AM92" s="928"/>
      <c r="AN92" s="928"/>
      <c r="AO92" s="928"/>
      <c r="AP92" s="928"/>
      <c r="AQ92" s="928"/>
      <c r="AR92" s="928"/>
      <c r="AS92" s="928"/>
      <c r="AT92" s="928"/>
      <c r="AU92" s="928"/>
      <c r="AV92" s="928"/>
      <c r="AW92" s="928"/>
      <c r="AX92" s="928"/>
      <c r="AY92" s="928"/>
      <c r="AZ92" s="928"/>
      <c r="BA92" s="928"/>
      <c r="BB92" s="928"/>
      <c r="BC92" s="928"/>
      <c r="BD92" s="928"/>
      <c r="BE92" s="928"/>
      <c r="BF92" s="928"/>
      <c r="BG92" s="928"/>
      <c r="BH92" s="928"/>
      <c r="BI92" s="928"/>
      <c r="BJ92" s="928"/>
      <c r="BK92" s="928"/>
      <c r="BL92" s="928"/>
      <c r="BM92" s="928"/>
      <c r="BN92" s="928"/>
      <c r="BO92" s="928"/>
      <c r="BP92" s="928"/>
      <c r="BQ92" s="928"/>
      <c r="BR92" s="928"/>
      <c r="BS92" s="928"/>
      <c r="BT92" s="928"/>
      <c r="BU92" s="928"/>
      <c r="BV92" s="928"/>
      <c r="BW92" s="928"/>
      <c r="BX92" s="928"/>
      <c r="BY92" s="928"/>
      <c r="BZ92" s="928"/>
      <c r="CA92" s="928"/>
      <c r="CB92" s="928"/>
      <c r="CC92" s="928"/>
      <c r="CD92" s="928"/>
      <c r="CE92" s="928"/>
      <c r="CF92" s="928"/>
      <c r="CG92" s="928"/>
      <c r="CH92" s="928"/>
      <c r="CI92" s="928"/>
      <c r="CJ92" s="928"/>
      <c r="CK92" s="928"/>
      <c r="CL92" s="928"/>
      <c r="CM92" s="928"/>
      <c r="CN92" s="928"/>
      <c r="CO92" s="928"/>
      <c r="CP92" s="928"/>
      <c r="CQ92" s="928"/>
      <c r="CR92" s="928"/>
      <c r="CS92" s="928"/>
      <c r="CT92" s="928"/>
      <c r="CU92" s="928"/>
      <c r="CV92" s="928"/>
      <c r="CW92" s="928"/>
      <c r="CX92" s="928"/>
      <c r="CY92" s="928"/>
      <c r="CZ92" s="928"/>
      <c r="DA92" s="928"/>
      <c r="DB92" s="928"/>
      <c r="DC92" s="928"/>
      <c r="DD92" s="928"/>
      <c r="DE92" s="928"/>
      <c r="DF92" s="928"/>
      <c r="DG92" s="928"/>
      <c r="DH92" s="928"/>
    </row>
    <row r="93" spans="1:112">
      <c r="A93" s="891" t="s">
        <v>879</v>
      </c>
      <c r="B93" s="891" t="s">
        <v>1498</v>
      </c>
      <c r="C93" s="891" t="s">
        <v>348</v>
      </c>
      <c r="D93" s="891" t="s">
        <v>879</v>
      </c>
      <c r="E93" s="891" t="s">
        <v>1498</v>
      </c>
      <c r="F93" s="891" t="s">
        <v>348</v>
      </c>
      <c r="G93" s="897">
        <v>125.18</v>
      </c>
      <c r="H93" s="897">
        <v>132.02000000000001</v>
      </c>
      <c r="I93" s="897">
        <v>91.76</v>
      </c>
      <c r="J93" s="891"/>
      <c r="K93" s="891"/>
      <c r="L93" s="891"/>
      <c r="M93" s="891"/>
      <c r="N93" s="891"/>
      <c r="O93" s="891"/>
      <c r="P93" s="891"/>
      <c r="Q93" s="891"/>
      <c r="R93" s="891"/>
      <c r="S93" s="891"/>
      <c r="T93" s="891"/>
      <c r="U93" s="928"/>
      <c r="V93" s="928"/>
      <c r="W93" s="928"/>
      <c r="X93" s="928"/>
      <c r="Y93" s="928"/>
      <c r="Z93" s="928"/>
      <c r="AA93" s="928"/>
      <c r="AB93" s="928"/>
      <c r="AC93" s="928"/>
      <c r="AD93" s="928"/>
      <c r="AE93" s="928"/>
      <c r="AF93" s="928"/>
      <c r="AG93" s="928"/>
      <c r="AH93" s="928"/>
      <c r="AI93" s="928"/>
      <c r="AJ93" s="928"/>
      <c r="AK93" s="928"/>
      <c r="AL93" s="928"/>
      <c r="AM93" s="928"/>
      <c r="AN93" s="928"/>
      <c r="AO93" s="928"/>
      <c r="AP93" s="928"/>
      <c r="AQ93" s="928"/>
      <c r="AR93" s="928"/>
      <c r="AS93" s="928"/>
      <c r="AT93" s="928"/>
      <c r="AU93" s="928"/>
      <c r="AV93" s="928"/>
      <c r="AW93" s="928"/>
      <c r="AX93" s="928"/>
      <c r="AY93" s="928"/>
      <c r="AZ93" s="928"/>
      <c r="BA93" s="928"/>
      <c r="BB93" s="928"/>
      <c r="BC93" s="928"/>
      <c r="BD93" s="928"/>
      <c r="BE93" s="928"/>
      <c r="BF93" s="928"/>
      <c r="BG93" s="928"/>
      <c r="BH93" s="928"/>
      <c r="BI93" s="928"/>
      <c r="BJ93" s="928"/>
      <c r="BK93" s="928"/>
      <c r="BL93" s="928"/>
      <c r="BM93" s="928"/>
      <c r="BN93" s="928"/>
      <c r="BO93" s="928"/>
      <c r="BP93" s="928"/>
      <c r="BQ93" s="928"/>
      <c r="BR93" s="928"/>
      <c r="BS93" s="928"/>
      <c r="BT93" s="928"/>
      <c r="BU93" s="928"/>
      <c r="BV93" s="928"/>
      <c r="BW93" s="928"/>
      <c r="BX93" s="928"/>
      <c r="BY93" s="928"/>
      <c r="BZ93" s="928"/>
      <c r="CA93" s="928"/>
      <c r="CB93" s="928"/>
      <c r="CC93" s="928"/>
      <c r="CD93" s="928"/>
      <c r="CE93" s="928"/>
      <c r="CF93" s="928"/>
      <c r="CG93" s="928"/>
      <c r="CH93" s="928"/>
      <c r="CI93" s="928"/>
      <c r="CJ93" s="928"/>
      <c r="CK93" s="928"/>
      <c r="CL93" s="928"/>
      <c r="CM93" s="928"/>
      <c r="CN93" s="928"/>
      <c r="CO93" s="928"/>
      <c r="CP93" s="928"/>
      <c r="CQ93" s="928"/>
      <c r="CR93" s="928"/>
      <c r="CS93" s="928"/>
      <c r="CT93" s="928"/>
      <c r="CU93" s="928"/>
      <c r="CV93" s="928"/>
      <c r="CW93" s="928"/>
      <c r="CX93" s="928"/>
      <c r="CY93" s="928"/>
      <c r="CZ93" s="928"/>
      <c r="DA93" s="928"/>
      <c r="DB93" s="928"/>
      <c r="DC93" s="928"/>
      <c r="DD93" s="928"/>
      <c r="DE93" s="928"/>
      <c r="DF93" s="928"/>
      <c r="DG93" s="928"/>
      <c r="DH93" s="928"/>
    </row>
    <row r="94" spans="1:112">
      <c r="A94" s="891" t="s">
        <v>880</v>
      </c>
      <c r="B94" s="891" t="s">
        <v>1499</v>
      </c>
      <c r="C94" s="891" t="s">
        <v>202</v>
      </c>
      <c r="D94" s="891" t="s">
        <v>880</v>
      </c>
      <c r="E94" s="891" t="s">
        <v>1499</v>
      </c>
      <c r="F94" s="891" t="s">
        <v>202</v>
      </c>
      <c r="G94" s="897">
        <v>40.79</v>
      </c>
      <c r="H94" s="897">
        <v>20.3</v>
      </c>
      <c r="I94" s="897">
        <v>24.62</v>
      </c>
      <c r="J94" s="891"/>
      <c r="K94" s="891"/>
      <c r="L94" s="891"/>
      <c r="M94" s="891"/>
      <c r="N94" s="891"/>
      <c r="O94" s="891"/>
      <c r="P94" s="891"/>
      <c r="Q94" s="891"/>
      <c r="R94" s="891"/>
      <c r="S94" s="891"/>
      <c r="T94" s="891"/>
      <c r="U94" s="928"/>
      <c r="V94" s="928"/>
      <c r="W94" s="928"/>
      <c r="X94" s="928"/>
      <c r="Y94" s="928"/>
      <c r="Z94" s="928"/>
      <c r="AA94" s="928"/>
      <c r="AB94" s="928"/>
      <c r="AC94" s="928"/>
      <c r="AD94" s="928"/>
      <c r="AE94" s="928"/>
      <c r="AF94" s="928"/>
      <c r="AG94" s="928"/>
      <c r="AH94" s="928"/>
      <c r="AI94" s="928"/>
      <c r="AJ94" s="928"/>
      <c r="AK94" s="928"/>
      <c r="AL94" s="928"/>
      <c r="AM94" s="928"/>
      <c r="AN94" s="928"/>
      <c r="AO94" s="928"/>
      <c r="AP94" s="928"/>
      <c r="AQ94" s="928"/>
      <c r="AR94" s="928"/>
      <c r="AS94" s="928"/>
      <c r="AT94" s="928"/>
      <c r="AU94" s="928"/>
      <c r="AV94" s="928"/>
      <c r="AW94" s="928"/>
      <c r="AX94" s="928"/>
      <c r="AY94" s="928"/>
      <c r="AZ94" s="928"/>
      <c r="BA94" s="928"/>
      <c r="BB94" s="928"/>
      <c r="BC94" s="928"/>
      <c r="BD94" s="928"/>
      <c r="BE94" s="928"/>
      <c r="BF94" s="928"/>
      <c r="BG94" s="928"/>
      <c r="BH94" s="928"/>
      <c r="BI94" s="928"/>
      <c r="BJ94" s="928"/>
      <c r="BK94" s="928"/>
      <c r="BL94" s="928"/>
      <c r="BM94" s="928"/>
      <c r="BN94" s="928"/>
      <c r="BO94" s="928"/>
      <c r="BP94" s="928"/>
      <c r="BQ94" s="928"/>
      <c r="BR94" s="928"/>
      <c r="BS94" s="928"/>
      <c r="BT94" s="928"/>
      <c r="BU94" s="928"/>
      <c r="BV94" s="928"/>
      <c r="BW94" s="928"/>
      <c r="BX94" s="928"/>
      <c r="BY94" s="928"/>
      <c r="BZ94" s="928"/>
      <c r="CA94" s="928"/>
      <c r="CB94" s="928"/>
      <c r="CC94" s="928"/>
      <c r="CD94" s="928"/>
      <c r="CE94" s="928"/>
      <c r="CF94" s="928"/>
      <c r="CG94" s="928"/>
      <c r="CH94" s="928"/>
      <c r="CI94" s="928"/>
      <c r="CJ94" s="928"/>
      <c r="CK94" s="928"/>
      <c r="CL94" s="928"/>
      <c r="CM94" s="928"/>
      <c r="CN94" s="928"/>
      <c r="CO94" s="928"/>
      <c r="CP94" s="928"/>
      <c r="CQ94" s="928"/>
      <c r="CR94" s="928"/>
      <c r="CS94" s="928"/>
      <c r="CT94" s="928"/>
      <c r="CU94" s="928"/>
      <c r="CV94" s="928"/>
      <c r="CW94" s="928"/>
      <c r="CX94" s="928"/>
      <c r="CY94" s="928"/>
      <c r="CZ94" s="928"/>
      <c r="DA94" s="928"/>
      <c r="DB94" s="928"/>
      <c r="DC94" s="928"/>
      <c r="DD94" s="928"/>
      <c r="DE94" s="928"/>
      <c r="DF94" s="928"/>
      <c r="DG94" s="928"/>
      <c r="DH94" s="928"/>
    </row>
    <row r="95" spans="1:112">
      <c r="A95" s="891" t="s">
        <v>882</v>
      </c>
      <c r="B95" s="891" t="s">
        <v>1478</v>
      </c>
      <c r="C95" s="891" t="s">
        <v>188</v>
      </c>
      <c r="D95" s="891" t="s">
        <v>882</v>
      </c>
      <c r="E95" s="891" t="s">
        <v>1478</v>
      </c>
      <c r="F95" s="891" t="s">
        <v>188</v>
      </c>
      <c r="G95" s="897">
        <v>29.36</v>
      </c>
      <c r="H95" s="897">
        <v>21.71</v>
      </c>
      <c r="I95" s="897">
        <v>61.22</v>
      </c>
      <c r="J95" s="891"/>
      <c r="K95" s="891"/>
      <c r="L95" s="891"/>
      <c r="M95" s="891"/>
      <c r="N95" s="891"/>
      <c r="O95" s="891"/>
      <c r="P95" s="891"/>
      <c r="Q95" s="891"/>
      <c r="R95" s="891"/>
      <c r="S95" s="891"/>
      <c r="T95" s="891"/>
      <c r="U95" s="928"/>
      <c r="V95" s="928"/>
      <c r="W95" s="928"/>
      <c r="X95" s="928"/>
      <c r="Y95" s="928"/>
      <c r="Z95" s="928"/>
      <c r="AA95" s="928"/>
      <c r="AB95" s="928"/>
      <c r="AC95" s="928"/>
      <c r="AD95" s="928"/>
      <c r="AE95" s="928"/>
      <c r="AF95" s="928"/>
      <c r="AG95" s="928"/>
      <c r="AH95" s="928"/>
      <c r="AI95" s="928"/>
      <c r="AJ95" s="928"/>
      <c r="AK95" s="928"/>
      <c r="AL95" s="928"/>
      <c r="AM95" s="928"/>
      <c r="AN95" s="928"/>
      <c r="AO95" s="928"/>
      <c r="AP95" s="928"/>
      <c r="AQ95" s="928"/>
      <c r="AR95" s="928"/>
      <c r="AS95" s="928"/>
      <c r="AT95" s="928"/>
      <c r="AU95" s="928"/>
      <c r="AV95" s="928"/>
      <c r="AW95" s="928"/>
      <c r="AX95" s="928"/>
      <c r="AY95" s="928"/>
      <c r="AZ95" s="928"/>
      <c r="BA95" s="928"/>
      <c r="BB95" s="928"/>
      <c r="BC95" s="928"/>
      <c r="BD95" s="928"/>
      <c r="BE95" s="928"/>
      <c r="BF95" s="928"/>
      <c r="BG95" s="928"/>
      <c r="BH95" s="928"/>
      <c r="BI95" s="928"/>
      <c r="BJ95" s="928"/>
      <c r="BK95" s="928"/>
      <c r="BL95" s="928"/>
      <c r="BM95" s="928"/>
      <c r="BN95" s="928"/>
      <c r="BO95" s="928"/>
      <c r="BP95" s="928"/>
      <c r="BQ95" s="928"/>
      <c r="BR95" s="928"/>
      <c r="BS95" s="928"/>
      <c r="BT95" s="928"/>
      <c r="BU95" s="928"/>
      <c r="BV95" s="928"/>
      <c r="BW95" s="928"/>
      <c r="BX95" s="928"/>
      <c r="BY95" s="928"/>
      <c r="BZ95" s="928"/>
      <c r="CA95" s="928"/>
      <c r="CB95" s="928"/>
      <c r="CC95" s="928"/>
      <c r="CD95" s="928"/>
      <c r="CE95" s="928"/>
      <c r="CF95" s="928"/>
      <c r="CG95" s="928"/>
      <c r="CH95" s="928"/>
      <c r="CI95" s="928"/>
      <c r="CJ95" s="928"/>
      <c r="CK95" s="928"/>
      <c r="CL95" s="928"/>
      <c r="CM95" s="928"/>
      <c r="CN95" s="928"/>
      <c r="CO95" s="928"/>
      <c r="CP95" s="928"/>
      <c r="CQ95" s="928"/>
      <c r="CR95" s="928"/>
      <c r="CS95" s="928"/>
      <c r="CT95" s="928"/>
      <c r="CU95" s="928"/>
      <c r="CV95" s="928"/>
      <c r="CW95" s="928"/>
      <c r="CX95" s="928"/>
      <c r="CY95" s="928"/>
      <c r="CZ95" s="928"/>
      <c r="DA95" s="928"/>
      <c r="DB95" s="928"/>
      <c r="DC95" s="928"/>
      <c r="DD95" s="928"/>
      <c r="DE95" s="928"/>
      <c r="DF95" s="928"/>
      <c r="DG95" s="928"/>
      <c r="DH95" s="928"/>
    </row>
    <row r="96" spans="1:112">
      <c r="A96" s="891" t="s">
        <v>883</v>
      </c>
      <c r="B96" s="891" t="s">
        <v>1448</v>
      </c>
      <c r="C96" s="891" t="s">
        <v>217</v>
      </c>
      <c r="D96" s="891" t="s">
        <v>883</v>
      </c>
      <c r="E96" s="891" t="s">
        <v>1448</v>
      </c>
      <c r="F96" s="891" t="s">
        <v>217</v>
      </c>
      <c r="G96" s="897">
        <v>90.46</v>
      </c>
      <c r="H96" s="897">
        <v>66.92</v>
      </c>
      <c r="I96" s="897">
        <v>138.03</v>
      </c>
      <c r="J96" s="891"/>
      <c r="K96" s="891"/>
      <c r="L96" s="891"/>
      <c r="M96" s="891"/>
      <c r="N96" s="891"/>
      <c r="O96" s="891"/>
      <c r="P96" s="891"/>
      <c r="Q96" s="891"/>
      <c r="R96" s="891"/>
      <c r="S96" s="891"/>
      <c r="T96" s="891"/>
      <c r="U96" s="928"/>
      <c r="V96" s="928"/>
      <c r="W96" s="928"/>
      <c r="X96" s="928"/>
      <c r="Y96" s="928"/>
      <c r="Z96" s="928"/>
      <c r="AA96" s="928"/>
      <c r="AB96" s="928"/>
      <c r="AC96" s="928"/>
      <c r="AD96" s="928"/>
      <c r="AE96" s="928"/>
      <c r="AF96" s="928"/>
      <c r="AG96" s="928"/>
      <c r="AH96" s="928"/>
      <c r="AI96" s="928"/>
      <c r="AJ96" s="928"/>
      <c r="AK96" s="928"/>
      <c r="AL96" s="928"/>
      <c r="AM96" s="928"/>
      <c r="AN96" s="928"/>
      <c r="AO96" s="928"/>
      <c r="AP96" s="928"/>
      <c r="AQ96" s="928"/>
      <c r="AR96" s="928"/>
      <c r="AS96" s="928"/>
      <c r="AT96" s="928"/>
      <c r="AU96" s="928"/>
      <c r="AV96" s="928"/>
      <c r="AW96" s="928"/>
      <c r="AX96" s="928"/>
      <c r="AY96" s="928"/>
      <c r="AZ96" s="928"/>
      <c r="BA96" s="928"/>
      <c r="BB96" s="928"/>
      <c r="BC96" s="928"/>
      <c r="BD96" s="928"/>
      <c r="BE96" s="928"/>
      <c r="BF96" s="928"/>
      <c r="BG96" s="928"/>
      <c r="BH96" s="928"/>
      <c r="BI96" s="928"/>
      <c r="BJ96" s="928"/>
      <c r="BK96" s="928"/>
      <c r="BL96" s="928"/>
      <c r="BM96" s="928"/>
      <c r="BN96" s="928"/>
      <c r="BO96" s="928"/>
      <c r="BP96" s="928"/>
      <c r="BQ96" s="928"/>
      <c r="BR96" s="928"/>
      <c r="BS96" s="928"/>
      <c r="BT96" s="928"/>
      <c r="BU96" s="928"/>
      <c r="BV96" s="928"/>
      <c r="BW96" s="928"/>
      <c r="BX96" s="928"/>
      <c r="BY96" s="928"/>
      <c r="BZ96" s="928"/>
      <c r="CA96" s="928"/>
      <c r="CB96" s="928"/>
      <c r="CC96" s="928"/>
      <c r="CD96" s="928"/>
      <c r="CE96" s="928"/>
      <c r="CF96" s="928"/>
      <c r="CG96" s="928"/>
      <c r="CH96" s="928"/>
      <c r="CI96" s="928"/>
      <c r="CJ96" s="928"/>
      <c r="CK96" s="928"/>
      <c r="CL96" s="928"/>
      <c r="CM96" s="928"/>
      <c r="CN96" s="928"/>
      <c r="CO96" s="928"/>
      <c r="CP96" s="928"/>
      <c r="CQ96" s="928"/>
      <c r="CR96" s="928"/>
      <c r="CS96" s="928"/>
      <c r="CT96" s="928"/>
      <c r="CU96" s="928"/>
      <c r="CV96" s="928"/>
      <c r="CW96" s="928"/>
      <c r="CX96" s="928"/>
      <c r="CY96" s="928"/>
      <c r="CZ96" s="928"/>
      <c r="DA96" s="928"/>
      <c r="DB96" s="928"/>
      <c r="DC96" s="928"/>
      <c r="DD96" s="928"/>
      <c r="DE96" s="928"/>
      <c r="DF96" s="928"/>
      <c r="DG96" s="928"/>
      <c r="DH96" s="928"/>
    </row>
    <row r="97" spans="1:112">
      <c r="A97" s="891" t="s">
        <v>884</v>
      </c>
      <c r="B97" s="891" t="s">
        <v>1500</v>
      </c>
      <c r="C97" s="891" t="s">
        <v>21</v>
      </c>
      <c r="D97" s="891" t="s">
        <v>884</v>
      </c>
      <c r="E97" s="891" t="s">
        <v>1500</v>
      </c>
      <c r="F97" s="891" t="s">
        <v>21</v>
      </c>
      <c r="G97" s="897">
        <v>76.989999999999995</v>
      </c>
      <c r="H97" s="897">
        <v>55.88</v>
      </c>
      <c r="I97" s="897">
        <v>150.82</v>
      </c>
      <c r="J97" s="891"/>
      <c r="K97" s="891"/>
      <c r="L97" s="891"/>
      <c r="M97" s="891"/>
      <c r="N97" s="891"/>
      <c r="O97" s="891"/>
      <c r="P97" s="891"/>
      <c r="Q97" s="891"/>
      <c r="R97" s="891"/>
      <c r="S97" s="891"/>
      <c r="T97" s="891"/>
      <c r="U97" s="928"/>
      <c r="V97" s="928"/>
      <c r="W97" s="928"/>
      <c r="X97" s="928"/>
      <c r="Y97" s="928"/>
      <c r="Z97" s="928"/>
      <c r="AA97" s="928"/>
      <c r="AB97" s="928"/>
      <c r="AC97" s="928"/>
      <c r="AD97" s="928"/>
      <c r="AE97" s="928"/>
      <c r="AF97" s="928"/>
      <c r="AG97" s="928"/>
      <c r="AH97" s="928"/>
      <c r="AI97" s="928"/>
      <c r="AJ97" s="928"/>
      <c r="AK97" s="928"/>
      <c r="AL97" s="928"/>
      <c r="AM97" s="928"/>
      <c r="AN97" s="928"/>
      <c r="AO97" s="928"/>
      <c r="AP97" s="928"/>
      <c r="AQ97" s="928"/>
      <c r="AR97" s="928"/>
      <c r="AS97" s="928"/>
      <c r="AT97" s="928"/>
      <c r="AU97" s="928"/>
      <c r="AV97" s="928"/>
      <c r="AW97" s="928"/>
      <c r="AX97" s="928"/>
      <c r="AY97" s="928"/>
      <c r="AZ97" s="928"/>
      <c r="BA97" s="928"/>
      <c r="BB97" s="928"/>
      <c r="BC97" s="928"/>
      <c r="BD97" s="928"/>
      <c r="BE97" s="928"/>
      <c r="BF97" s="928"/>
      <c r="BG97" s="928"/>
      <c r="BH97" s="928"/>
      <c r="BI97" s="928"/>
      <c r="BJ97" s="928"/>
      <c r="BK97" s="928"/>
      <c r="BL97" s="928"/>
      <c r="BM97" s="928"/>
      <c r="BN97" s="928"/>
      <c r="BO97" s="928"/>
      <c r="BP97" s="928"/>
      <c r="BQ97" s="928"/>
      <c r="BR97" s="928"/>
      <c r="BS97" s="928"/>
      <c r="BT97" s="928"/>
      <c r="BU97" s="928"/>
      <c r="BV97" s="928"/>
      <c r="BW97" s="928"/>
      <c r="BX97" s="928"/>
      <c r="BY97" s="928"/>
      <c r="BZ97" s="928"/>
      <c r="CA97" s="928"/>
      <c r="CB97" s="928"/>
      <c r="CC97" s="928"/>
      <c r="CD97" s="928"/>
      <c r="CE97" s="928"/>
      <c r="CF97" s="928"/>
      <c r="CG97" s="928"/>
      <c r="CH97" s="928"/>
      <c r="CI97" s="928"/>
      <c r="CJ97" s="928"/>
      <c r="CK97" s="928"/>
      <c r="CL97" s="928"/>
      <c r="CM97" s="928"/>
      <c r="CN97" s="928"/>
      <c r="CO97" s="928"/>
      <c r="CP97" s="928"/>
      <c r="CQ97" s="928"/>
      <c r="CR97" s="928"/>
      <c r="CS97" s="928"/>
      <c r="CT97" s="928"/>
      <c r="CU97" s="928"/>
      <c r="CV97" s="928"/>
      <c r="CW97" s="928"/>
      <c r="CX97" s="928"/>
      <c r="CY97" s="928"/>
      <c r="CZ97" s="928"/>
      <c r="DA97" s="928"/>
      <c r="DB97" s="928"/>
      <c r="DC97" s="928"/>
      <c r="DD97" s="928"/>
      <c r="DE97" s="928"/>
      <c r="DF97" s="928"/>
      <c r="DG97" s="928"/>
      <c r="DH97" s="928"/>
    </row>
    <row r="98" spans="1:112">
      <c r="A98" s="891" t="s">
        <v>885</v>
      </c>
      <c r="B98" s="891" t="s">
        <v>1478</v>
      </c>
      <c r="C98" s="891" t="s">
        <v>107</v>
      </c>
      <c r="D98" s="891" t="s">
        <v>885</v>
      </c>
      <c r="E98" s="891" t="s">
        <v>1478</v>
      </c>
      <c r="F98" s="891" t="s">
        <v>107</v>
      </c>
      <c r="G98" s="897">
        <v>82.26</v>
      </c>
      <c r="H98" s="897">
        <v>64.06</v>
      </c>
      <c r="I98" s="897">
        <v>151.15</v>
      </c>
      <c r="J98" s="891"/>
      <c r="K98" s="891"/>
      <c r="L98" s="891"/>
      <c r="M98" s="891"/>
      <c r="N98" s="891"/>
      <c r="O98" s="891"/>
      <c r="P98" s="891"/>
      <c r="Q98" s="891"/>
      <c r="R98" s="891"/>
      <c r="S98" s="891"/>
      <c r="T98" s="891"/>
      <c r="U98" s="928"/>
      <c r="V98" s="928"/>
      <c r="W98" s="928"/>
      <c r="X98" s="928"/>
      <c r="Y98" s="928"/>
      <c r="Z98" s="928"/>
      <c r="AA98" s="928"/>
      <c r="AB98" s="928"/>
      <c r="AC98" s="928"/>
      <c r="AD98" s="928"/>
      <c r="AE98" s="928"/>
      <c r="AF98" s="928"/>
      <c r="AG98" s="928"/>
      <c r="AH98" s="928"/>
      <c r="AI98" s="928"/>
      <c r="AJ98" s="928"/>
      <c r="AK98" s="928"/>
      <c r="AL98" s="928"/>
      <c r="AM98" s="928"/>
      <c r="AN98" s="928"/>
      <c r="AO98" s="928"/>
      <c r="AP98" s="928"/>
      <c r="AQ98" s="928"/>
      <c r="AR98" s="928"/>
      <c r="AS98" s="928"/>
      <c r="AT98" s="928"/>
      <c r="AU98" s="928"/>
      <c r="AV98" s="928"/>
      <c r="AW98" s="928"/>
      <c r="AX98" s="928"/>
      <c r="AY98" s="928"/>
      <c r="AZ98" s="928"/>
      <c r="BA98" s="928"/>
      <c r="BB98" s="928"/>
      <c r="BC98" s="928"/>
      <c r="BD98" s="928"/>
      <c r="BE98" s="928"/>
      <c r="BF98" s="928"/>
      <c r="BG98" s="928"/>
      <c r="BH98" s="928"/>
      <c r="BI98" s="928"/>
      <c r="BJ98" s="928"/>
      <c r="BK98" s="928"/>
      <c r="BL98" s="928"/>
      <c r="BM98" s="928"/>
      <c r="BN98" s="928"/>
      <c r="BO98" s="928"/>
      <c r="BP98" s="928"/>
      <c r="BQ98" s="928"/>
      <c r="BR98" s="928"/>
      <c r="BS98" s="928"/>
      <c r="BT98" s="928"/>
      <c r="BU98" s="928"/>
      <c r="BV98" s="928"/>
      <c r="BW98" s="928"/>
      <c r="BX98" s="928"/>
      <c r="BY98" s="928"/>
      <c r="BZ98" s="928"/>
      <c r="CA98" s="928"/>
      <c r="CB98" s="928"/>
      <c r="CC98" s="928"/>
      <c r="CD98" s="928"/>
      <c r="CE98" s="928"/>
      <c r="CF98" s="928"/>
      <c r="CG98" s="928"/>
      <c r="CH98" s="928"/>
      <c r="CI98" s="928"/>
      <c r="CJ98" s="928"/>
      <c r="CK98" s="928"/>
      <c r="CL98" s="928"/>
      <c r="CM98" s="928"/>
      <c r="CN98" s="928"/>
      <c r="CO98" s="928"/>
      <c r="CP98" s="928"/>
      <c r="CQ98" s="928"/>
      <c r="CR98" s="928"/>
      <c r="CS98" s="928"/>
      <c r="CT98" s="928"/>
      <c r="CU98" s="928"/>
      <c r="CV98" s="928"/>
      <c r="CW98" s="928"/>
      <c r="CX98" s="928"/>
      <c r="CY98" s="928"/>
      <c r="CZ98" s="928"/>
      <c r="DA98" s="928"/>
      <c r="DB98" s="928"/>
      <c r="DC98" s="928"/>
      <c r="DD98" s="928"/>
      <c r="DE98" s="928"/>
      <c r="DF98" s="928"/>
      <c r="DG98" s="928"/>
      <c r="DH98" s="928"/>
    </row>
    <row r="99" spans="1:112">
      <c r="A99" s="891" t="s">
        <v>886</v>
      </c>
      <c r="B99" s="891" t="s">
        <v>1447</v>
      </c>
      <c r="C99" s="891" t="s">
        <v>52</v>
      </c>
      <c r="D99" s="891" t="s">
        <v>886</v>
      </c>
      <c r="E99" s="891" t="s">
        <v>1447</v>
      </c>
      <c r="F99" s="891" t="s">
        <v>52</v>
      </c>
      <c r="G99" s="897">
        <v>45.87</v>
      </c>
      <c r="H99" s="897">
        <v>28.2</v>
      </c>
      <c r="I99" s="897">
        <v>36.299999999999997</v>
      </c>
      <c r="J99" s="891"/>
      <c r="K99" s="891"/>
      <c r="L99" s="891"/>
      <c r="M99" s="891"/>
      <c r="N99" s="891"/>
      <c r="O99" s="891"/>
      <c r="P99" s="891"/>
      <c r="Q99" s="891"/>
      <c r="R99" s="891"/>
      <c r="S99" s="891"/>
      <c r="T99" s="891"/>
      <c r="U99" s="928"/>
      <c r="V99" s="928"/>
      <c r="W99" s="928"/>
      <c r="X99" s="928"/>
      <c r="Y99" s="928"/>
      <c r="Z99" s="928"/>
      <c r="AA99" s="928"/>
      <c r="AB99" s="928"/>
      <c r="AC99" s="928"/>
      <c r="AD99" s="928"/>
      <c r="AE99" s="928"/>
      <c r="AF99" s="928"/>
      <c r="AG99" s="928"/>
      <c r="AH99" s="928"/>
      <c r="AI99" s="928"/>
      <c r="AJ99" s="928"/>
      <c r="AK99" s="928"/>
      <c r="AL99" s="928"/>
      <c r="AM99" s="928"/>
      <c r="AN99" s="928"/>
      <c r="AO99" s="928"/>
      <c r="AP99" s="928"/>
      <c r="AQ99" s="928"/>
      <c r="AR99" s="928"/>
      <c r="AS99" s="928"/>
      <c r="AT99" s="928"/>
      <c r="AU99" s="928"/>
      <c r="AV99" s="928"/>
      <c r="AW99" s="928"/>
      <c r="AX99" s="928"/>
      <c r="AY99" s="928"/>
      <c r="AZ99" s="928"/>
      <c r="BA99" s="928"/>
      <c r="BB99" s="928"/>
      <c r="BC99" s="928"/>
      <c r="BD99" s="928"/>
      <c r="BE99" s="928"/>
      <c r="BF99" s="928"/>
      <c r="BG99" s="928"/>
      <c r="BH99" s="928"/>
      <c r="BI99" s="928"/>
      <c r="BJ99" s="928"/>
      <c r="BK99" s="928"/>
      <c r="BL99" s="928"/>
      <c r="BM99" s="928"/>
      <c r="BN99" s="928"/>
      <c r="BO99" s="928"/>
      <c r="BP99" s="928"/>
      <c r="BQ99" s="928"/>
      <c r="BR99" s="928"/>
      <c r="BS99" s="928"/>
      <c r="BT99" s="928"/>
      <c r="BU99" s="928"/>
      <c r="BV99" s="928"/>
      <c r="BW99" s="928"/>
      <c r="BX99" s="928"/>
      <c r="BY99" s="928"/>
      <c r="BZ99" s="928"/>
      <c r="CA99" s="928"/>
      <c r="CB99" s="928"/>
      <c r="CC99" s="928"/>
      <c r="CD99" s="928"/>
      <c r="CE99" s="928"/>
      <c r="CF99" s="928"/>
      <c r="CG99" s="928"/>
      <c r="CH99" s="928"/>
      <c r="CI99" s="928"/>
      <c r="CJ99" s="928"/>
      <c r="CK99" s="928"/>
      <c r="CL99" s="928"/>
      <c r="CM99" s="928"/>
      <c r="CN99" s="928"/>
      <c r="CO99" s="928"/>
      <c r="CP99" s="928"/>
      <c r="CQ99" s="928"/>
      <c r="CR99" s="928"/>
      <c r="CS99" s="928"/>
      <c r="CT99" s="928"/>
      <c r="CU99" s="928"/>
      <c r="CV99" s="928"/>
      <c r="CW99" s="928"/>
      <c r="CX99" s="928"/>
      <c r="CY99" s="928"/>
      <c r="CZ99" s="928"/>
      <c r="DA99" s="928"/>
      <c r="DB99" s="928"/>
      <c r="DC99" s="928"/>
      <c r="DD99" s="928"/>
      <c r="DE99" s="928"/>
      <c r="DF99" s="928"/>
      <c r="DG99" s="928"/>
      <c r="DH99" s="928"/>
    </row>
    <row r="100" spans="1:112">
      <c r="A100" s="891" t="s">
        <v>887</v>
      </c>
      <c r="B100" s="891" t="s">
        <v>1471</v>
      </c>
      <c r="C100" s="891" t="s">
        <v>100</v>
      </c>
      <c r="D100" s="891" t="s">
        <v>887</v>
      </c>
      <c r="E100" s="891" t="s">
        <v>1471</v>
      </c>
      <c r="F100" s="891" t="s">
        <v>100</v>
      </c>
      <c r="G100" s="897">
        <v>42.15</v>
      </c>
      <c r="H100" s="897">
        <v>39.67</v>
      </c>
      <c r="I100" s="897">
        <v>33.65</v>
      </c>
      <c r="J100" s="891"/>
      <c r="K100" s="891"/>
      <c r="L100" s="891"/>
      <c r="M100" s="891"/>
      <c r="N100" s="891"/>
      <c r="O100" s="891"/>
      <c r="P100" s="891"/>
      <c r="Q100" s="891"/>
      <c r="R100" s="891"/>
      <c r="S100" s="891"/>
      <c r="T100" s="891"/>
      <c r="U100" s="928"/>
      <c r="V100" s="928"/>
      <c r="W100" s="928"/>
      <c r="X100" s="928"/>
      <c r="Y100" s="928"/>
      <c r="Z100" s="928"/>
      <c r="AA100" s="928"/>
      <c r="AB100" s="928"/>
      <c r="AC100" s="928"/>
      <c r="AD100" s="928"/>
      <c r="AE100" s="928"/>
      <c r="AF100" s="928"/>
      <c r="AG100" s="928"/>
      <c r="AH100" s="928"/>
      <c r="AI100" s="928"/>
      <c r="AJ100" s="928"/>
      <c r="AK100" s="928"/>
      <c r="AL100" s="928"/>
      <c r="AM100" s="928"/>
      <c r="AN100" s="928"/>
      <c r="AO100" s="928"/>
      <c r="AP100" s="928"/>
      <c r="AQ100" s="928"/>
      <c r="AR100" s="928"/>
      <c r="AS100" s="928"/>
      <c r="AT100" s="928"/>
      <c r="AU100" s="928"/>
      <c r="AV100" s="928"/>
      <c r="AW100" s="928"/>
      <c r="AX100" s="928"/>
      <c r="AY100" s="928"/>
      <c r="AZ100" s="928"/>
      <c r="BA100" s="928"/>
      <c r="BB100" s="928"/>
      <c r="BC100" s="928"/>
      <c r="BD100" s="928"/>
      <c r="BE100" s="928"/>
      <c r="BF100" s="928"/>
      <c r="BG100" s="928"/>
      <c r="BH100" s="928"/>
      <c r="BI100" s="928"/>
      <c r="BJ100" s="928"/>
      <c r="BK100" s="928"/>
      <c r="BL100" s="928"/>
      <c r="BM100" s="928"/>
      <c r="BN100" s="928"/>
      <c r="BO100" s="928"/>
      <c r="BP100" s="928"/>
      <c r="BQ100" s="928"/>
      <c r="BR100" s="928"/>
      <c r="BS100" s="928"/>
      <c r="BT100" s="928"/>
      <c r="BU100" s="928"/>
      <c r="BV100" s="928"/>
      <c r="BW100" s="928"/>
      <c r="BX100" s="928"/>
      <c r="BY100" s="928"/>
      <c r="BZ100" s="928"/>
      <c r="CA100" s="928"/>
      <c r="CB100" s="928"/>
      <c r="CC100" s="928"/>
      <c r="CD100" s="928"/>
      <c r="CE100" s="928"/>
      <c r="CF100" s="928"/>
      <c r="CG100" s="928"/>
      <c r="CH100" s="928"/>
      <c r="CI100" s="928"/>
      <c r="CJ100" s="928"/>
      <c r="CK100" s="928"/>
      <c r="CL100" s="928"/>
      <c r="CM100" s="928"/>
      <c r="CN100" s="928"/>
      <c r="CO100" s="928"/>
      <c r="CP100" s="928"/>
      <c r="CQ100" s="928"/>
      <c r="CR100" s="928"/>
      <c r="CS100" s="928"/>
      <c r="CT100" s="928"/>
      <c r="CU100" s="928"/>
      <c r="CV100" s="928"/>
      <c r="CW100" s="928"/>
      <c r="CX100" s="928"/>
      <c r="CY100" s="928"/>
      <c r="CZ100" s="928"/>
      <c r="DA100" s="928"/>
      <c r="DB100" s="928"/>
      <c r="DC100" s="928"/>
      <c r="DD100" s="928"/>
      <c r="DE100" s="928"/>
      <c r="DF100" s="928"/>
      <c r="DG100" s="928"/>
      <c r="DH100" s="928"/>
    </row>
    <row r="101" spans="1:112">
      <c r="A101" s="891" t="s">
        <v>888</v>
      </c>
      <c r="B101" s="891" t="s">
        <v>1460</v>
      </c>
      <c r="C101" s="891" t="s">
        <v>88</v>
      </c>
      <c r="D101" s="891" t="s">
        <v>888</v>
      </c>
      <c r="E101" s="891" t="s">
        <v>1460</v>
      </c>
      <c r="F101" s="891" t="s">
        <v>88</v>
      </c>
      <c r="G101" s="897">
        <v>70.900000000000006</v>
      </c>
      <c r="H101" s="897">
        <v>75.489999999999995</v>
      </c>
      <c r="I101" s="897">
        <v>140.27000000000001</v>
      </c>
      <c r="J101" s="891"/>
      <c r="K101" s="891"/>
      <c r="L101" s="891"/>
      <c r="M101" s="891"/>
      <c r="N101" s="891"/>
      <c r="O101" s="891"/>
      <c r="P101" s="891"/>
      <c r="Q101" s="891"/>
      <c r="R101" s="891"/>
      <c r="S101" s="891"/>
      <c r="T101" s="891"/>
      <c r="U101" s="928"/>
      <c r="V101" s="928"/>
      <c r="W101" s="928"/>
      <c r="X101" s="928"/>
      <c r="Y101" s="928"/>
      <c r="Z101" s="928"/>
      <c r="AA101" s="928"/>
      <c r="AB101" s="928"/>
      <c r="AC101" s="928"/>
      <c r="AD101" s="928"/>
      <c r="AE101" s="928"/>
      <c r="AF101" s="928"/>
      <c r="AG101" s="928"/>
      <c r="AH101" s="928"/>
      <c r="AI101" s="928"/>
      <c r="AJ101" s="928"/>
      <c r="AK101" s="928"/>
      <c r="AL101" s="928"/>
      <c r="AM101" s="928"/>
      <c r="AN101" s="928"/>
      <c r="AO101" s="928"/>
      <c r="AP101" s="928"/>
      <c r="AQ101" s="928"/>
      <c r="AR101" s="928"/>
      <c r="AS101" s="928"/>
      <c r="AT101" s="928"/>
      <c r="AU101" s="928"/>
      <c r="AV101" s="928"/>
      <c r="AW101" s="928"/>
      <c r="AX101" s="928"/>
      <c r="AY101" s="928"/>
      <c r="AZ101" s="928"/>
      <c r="BA101" s="928"/>
      <c r="BB101" s="928"/>
      <c r="BC101" s="928"/>
      <c r="BD101" s="928"/>
      <c r="BE101" s="928"/>
      <c r="BF101" s="928"/>
      <c r="BG101" s="928"/>
      <c r="BH101" s="928"/>
      <c r="BI101" s="928"/>
      <c r="BJ101" s="928"/>
      <c r="BK101" s="928"/>
      <c r="BL101" s="928"/>
      <c r="BM101" s="928"/>
      <c r="BN101" s="928"/>
      <c r="BO101" s="928"/>
      <c r="BP101" s="928"/>
      <c r="BQ101" s="928"/>
      <c r="BR101" s="928"/>
      <c r="BS101" s="928"/>
      <c r="BT101" s="928"/>
      <c r="BU101" s="928"/>
      <c r="BV101" s="928"/>
      <c r="BW101" s="928"/>
      <c r="BX101" s="928"/>
      <c r="BY101" s="928"/>
      <c r="BZ101" s="928"/>
      <c r="CA101" s="928"/>
      <c r="CB101" s="928"/>
      <c r="CC101" s="928"/>
      <c r="CD101" s="928"/>
      <c r="CE101" s="928"/>
      <c r="CF101" s="928"/>
      <c r="CG101" s="928"/>
      <c r="CH101" s="928"/>
      <c r="CI101" s="928"/>
      <c r="CJ101" s="928"/>
      <c r="CK101" s="928"/>
      <c r="CL101" s="928"/>
      <c r="CM101" s="928"/>
      <c r="CN101" s="928"/>
      <c r="CO101" s="928"/>
      <c r="CP101" s="928"/>
      <c r="CQ101" s="928"/>
      <c r="CR101" s="928"/>
      <c r="CS101" s="928"/>
      <c r="CT101" s="928"/>
      <c r="CU101" s="928"/>
      <c r="CV101" s="928"/>
      <c r="CW101" s="928"/>
      <c r="CX101" s="928"/>
      <c r="CY101" s="928"/>
      <c r="CZ101" s="928"/>
      <c r="DA101" s="928"/>
      <c r="DB101" s="928"/>
      <c r="DC101" s="928"/>
      <c r="DD101" s="928"/>
      <c r="DE101" s="928"/>
      <c r="DF101" s="928"/>
      <c r="DG101" s="928"/>
      <c r="DH101" s="928"/>
    </row>
    <row r="102" spans="1:112">
      <c r="A102" s="891" t="s">
        <v>890</v>
      </c>
      <c r="B102" s="891" t="s">
        <v>1476</v>
      </c>
      <c r="C102" s="891" t="s">
        <v>42</v>
      </c>
      <c r="D102" s="891" t="s">
        <v>890</v>
      </c>
      <c r="E102" s="891" t="s">
        <v>1476</v>
      </c>
      <c r="F102" s="891" t="s">
        <v>42</v>
      </c>
      <c r="G102" s="897">
        <v>38.270000000000003</v>
      </c>
      <c r="H102" s="897">
        <v>39.590000000000003</v>
      </c>
      <c r="I102" s="897">
        <v>36.119999999999997</v>
      </c>
      <c r="J102" s="891"/>
      <c r="K102" s="891"/>
      <c r="L102" s="891"/>
      <c r="M102" s="891"/>
      <c r="N102" s="891"/>
      <c r="O102" s="891"/>
      <c r="P102" s="891"/>
      <c r="Q102" s="891"/>
      <c r="R102" s="891"/>
      <c r="S102" s="891"/>
      <c r="T102" s="891"/>
      <c r="U102" s="928"/>
      <c r="V102" s="928"/>
      <c r="W102" s="928"/>
      <c r="X102" s="928"/>
      <c r="Y102" s="928"/>
      <c r="Z102" s="928"/>
      <c r="AA102" s="928"/>
      <c r="AB102" s="928"/>
      <c r="AC102" s="928"/>
      <c r="AD102" s="928"/>
      <c r="AE102" s="928"/>
      <c r="AF102" s="928"/>
      <c r="AG102" s="928"/>
      <c r="AH102" s="928"/>
      <c r="AI102" s="928"/>
      <c r="AJ102" s="928"/>
      <c r="AK102" s="928"/>
      <c r="AL102" s="928"/>
      <c r="AM102" s="928"/>
      <c r="AN102" s="928"/>
      <c r="AO102" s="928"/>
      <c r="AP102" s="928"/>
      <c r="AQ102" s="928"/>
      <c r="AR102" s="928"/>
      <c r="AS102" s="928"/>
      <c r="AT102" s="928"/>
      <c r="AU102" s="928"/>
      <c r="AV102" s="928"/>
      <c r="AW102" s="928"/>
      <c r="AX102" s="928"/>
      <c r="AY102" s="928"/>
      <c r="AZ102" s="928"/>
      <c r="BA102" s="928"/>
      <c r="BB102" s="928"/>
      <c r="BC102" s="928"/>
      <c r="BD102" s="928"/>
      <c r="BE102" s="928"/>
      <c r="BF102" s="928"/>
      <c r="BG102" s="928"/>
      <c r="BH102" s="928"/>
      <c r="BI102" s="928"/>
      <c r="BJ102" s="928"/>
      <c r="BK102" s="928"/>
      <c r="BL102" s="928"/>
      <c r="BM102" s="928"/>
      <c r="BN102" s="928"/>
      <c r="BO102" s="928"/>
      <c r="BP102" s="928"/>
      <c r="BQ102" s="928"/>
      <c r="BR102" s="928"/>
      <c r="BS102" s="928"/>
      <c r="BT102" s="928"/>
      <c r="BU102" s="928"/>
      <c r="BV102" s="928"/>
      <c r="BW102" s="928"/>
      <c r="BX102" s="928"/>
      <c r="BY102" s="928"/>
      <c r="BZ102" s="928"/>
      <c r="CA102" s="928"/>
      <c r="CB102" s="928"/>
      <c r="CC102" s="928"/>
      <c r="CD102" s="928"/>
      <c r="CE102" s="928"/>
      <c r="CF102" s="928"/>
      <c r="CG102" s="928"/>
      <c r="CH102" s="928"/>
      <c r="CI102" s="928"/>
      <c r="CJ102" s="928"/>
      <c r="CK102" s="928"/>
      <c r="CL102" s="928"/>
      <c r="CM102" s="928"/>
      <c r="CN102" s="928"/>
      <c r="CO102" s="928"/>
      <c r="CP102" s="928"/>
      <c r="CQ102" s="928"/>
      <c r="CR102" s="928"/>
      <c r="CS102" s="928"/>
      <c r="CT102" s="928"/>
      <c r="CU102" s="928"/>
      <c r="CV102" s="928"/>
      <c r="CW102" s="928"/>
      <c r="CX102" s="928"/>
      <c r="CY102" s="928"/>
      <c r="CZ102" s="928"/>
      <c r="DA102" s="928"/>
      <c r="DB102" s="928"/>
      <c r="DC102" s="928"/>
      <c r="DD102" s="928"/>
      <c r="DE102" s="928"/>
      <c r="DF102" s="928"/>
      <c r="DG102" s="928"/>
      <c r="DH102" s="928"/>
    </row>
    <row r="103" spans="1:112">
      <c r="A103" s="891" t="s">
        <v>891</v>
      </c>
      <c r="B103" s="891" t="s">
        <v>1475</v>
      </c>
      <c r="C103" s="891" t="s">
        <v>269</v>
      </c>
      <c r="D103" s="891" t="s">
        <v>891</v>
      </c>
      <c r="E103" s="891" t="s">
        <v>1475</v>
      </c>
      <c r="F103" s="891" t="s">
        <v>269</v>
      </c>
      <c r="G103" s="897">
        <v>61.95</v>
      </c>
      <c r="H103" s="897">
        <v>82.22</v>
      </c>
      <c r="I103" s="897">
        <v>137.46</v>
      </c>
      <c r="J103" s="891"/>
      <c r="K103" s="891"/>
      <c r="L103" s="891"/>
      <c r="M103" s="891"/>
      <c r="N103" s="891"/>
      <c r="O103" s="891"/>
      <c r="P103" s="891"/>
      <c r="Q103" s="891"/>
      <c r="R103" s="891"/>
      <c r="S103" s="891"/>
      <c r="T103" s="891"/>
      <c r="U103" s="928"/>
      <c r="V103" s="928"/>
      <c r="W103" s="928"/>
      <c r="X103" s="928"/>
      <c r="Y103" s="928"/>
      <c r="Z103" s="928"/>
      <c r="AA103" s="928"/>
      <c r="AB103" s="928"/>
      <c r="AC103" s="928"/>
      <c r="AD103" s="928"/>
      <c r="AE103" s="928"/>
      <c r="AF103" s="928"/>
      <c r="AG103" s="928"/>
      <c r="AH103" s="928"/>
      <c r="AI103" s="928"/>
      <c r="AJ103" s="928"/>
      <c r="AK103" s="928"/>
      <c r="AL103" s="928"/>
      <c r="AM103" s="928"/>
      <c r="AN103" s="928"/>
      <c r="AO103" s="928"/>
      <c r="AP103" s="928"/>
      <c r="AQ103" s="928"/>
      <c r="AR103" s="928"/>
      <c r="AS103" s="928"/>
      <c r="AT103" s="928"/>
      <c r="AU103" s="928"/>
      <c r="AV103" s="928"/>
      <c r="AW103" s="928"/>
      <c r="AX103" s="928"/>
      <c r="AY103" s="928"/>
      <c r="AZ103" s="928"/>
      <c r="BA103" s="928"/>
      <c r="BB103" s="928"/>
      <c r="BC103" s="928"/>
      <c r="BD103" s="928"/>
      <c r="BE103" s="928"/>
      <c r="BF103" s="928"/>
      <c r="BG103" s="928"/>
      <c r="BH103" s="928"/>
      <c r="BI103" s="928"/>
      <c r="BJ103" s="928"/>
      <c r="BK103" s="928"/>
      <c r="BL103" s="928"/>
      <c r="BM103" s="928"/>
      <c r="BN103" s="928"/>
      <c r="BO103" s="928"/>
      <c r="BP103" s="928"/>
      <c r="BQ103" s="928"/>
      <c r="BR103" s="928"/>
      <c r="BS103" s="928"/>
      <c r="BT103" s="928"/>
      <c r="BU103" s="928"/>
      <c r="BV103" s="928"/>
      <c r="BW103" s="928"/>
      <c r="BX103" s="928"/>
      <c r="BY103" s="928"/>
      <c r="BZ103" s="928"/>
      <c r="CA103" s="928"/>
      <c r="CB103" s="928"/>
      <c r="CC103" s="928"/>
      <c r="CD103" s="928"/>
      <c r="CE103" s="928"/>
      <c r="CF103" s="928"/>
      <c r="CG103" s="928"/>
      <c r="CH103" s="928"/>
      <c r="CI103" s="928"/>
      <c r="CJ103" s="928"/>
      <c r="CK103" s="928"/>
      <c r="CL103" s="928"/>
      <c r="CM103" s="928"/>
      <c r="CN103" s="928"/>
      <c r="CO103" s="928"/>
      <c r="CP103" s="928"/>
      <c r="CQ103" s="928"/>
      <c r="CR103" s="928"/>
      <c r="CS103" s="928"/>
      <c r="CT103" s="928"/>
      <c r="CU103" s="928"/>
      <c r="CV103" s="928"/>
      <c r="CW103" s="928"/>
      <c r="CX103" s="928"/>
      <c r="CY103" s="928"/>
      <c r="CZ103" s="928"/>
      <c r="DA103" s="928"/>
      <c r="DB103" s="928"/>
      <c r="DC103" s="928"/>
      <c r="DD103" s="928"/>
      <c r="DE103" s="928"/>
      <c r="DF103" s="928"/>
      <c r="DG103" s="928"/>
      <c r="DH103" s="928"/>
    </row>
    <row r="104" spans="1:112">
      <c r="A104" s="891" t="s">
        <v>893</v>
      </c>
      <c r="B104" s="891" t="s">
        <v>1478</v>
      </c>
      <c r="C104" s="891" t="s">
        <v>77</v>
      </c>
      <c r="D104" s="891" t="s">
        <v>893</v>
      </c>
      <c r="E104" s="891" t="s">
        <v>1478</v>
      </c>
      <c r="F104" s="891" t="s">
        <v>77</v>
      </c>
      <c r="G104" s="897">
        <v>63.92</v>
      </c>
      <c r="H104" s="897">
        <v>64.989999999999995</v>
      </c>
      <c r="I104" s="897">
        <v>130.11000000000001</v>
      </c>
      <c r="J104" s="891"/>
      <c r="K104" s="891"/>
      <c r="L104" s="891"/>
      <c r="M104" s="891"/>
      <c r="N104" s="891"/>
      <c r="O104" s="891"/>
      <c r="P104" s="891"/>
      <c r="Q104" s="891"/>
      <c r="R104" s="891"/>
      <c r="S104" s="891"/>
      <c r="T104" s="891"/>
      <c r="U104" s="928"/>
      <c r="V104" s="928"/>
      <c r="W104" s="928"/>
      <c r="X104" s="928"/>
      <c r="Y104" s="928"/>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928"/>
      <c r="BI104" s="928"/>
      <c r="BJ104" s="928"/>
      <c r="BK104" s="928"/>
      <c r="BL104" s="928"/>
      <c r="BM104" s="928"/>
      <c r="BN104" s="928"/>
      <c r="BO104" s="928"/>
      <c r="BP104" s="928"/>
      <c r="BQ104" s="928"/>
      <c r="BR104" s="928"/>
      <c r="BS104" s="928"/>
      <c r="BT104" s="928"/>
      <c r="BU104" s="928"/>
      <c r="BV104" s="928"/>
      <c r="BW104" s="928"/>
      <c r="BX104" s="928"/>
      <c r="BY104" s="928"/>
      <c r="BZ104" s="928"/>
      <c r="CA104" s="928"/>
      <c r="CB104" s="928"/>
      <c r="CC104" s="928"/>
      <c r="CD104" s="928"/>
      <c r="CE104" s="928"/>
      <c r="CF104" s="928"/>
      <c r="CG104" s="928"/>
      <c r="CH104" s="928"/>
      <c r="CI104" s="928"/>
      <c r="CJ104" s="928"/>
      <c r="CK104" s="928"/>
      <c r="CL104" s="928"/>
      <c r="CM104" s="928"/>
      <c r="CN104" s="928"/>
      <c r="CO104" s="928"/>
      <c r="CP104" s="928"/>
      <c r="CQ104" s="928"/>
      <c r="CR104" s="928"/>
      <c r="CS104" s="928"/>
      <c r="CT104" s="928"/>
      <c r="CU104" s="928"/>
      <c r="CV104" s="928"/>
      <c r="CW104" s="928"/>
      <c r="CX104" s="928"/>
      <c r="CY104" s="928"/>
      <c r="CZ104" s="928"/>
      <c r="DA104" s="928"/>
      <c r="DB104" s="928"/>
      <c r="DC104" s="928"/>
      <c r="DD104" s="928"/>
      <c r="DE104" s="928"/>
      <c r="DF104" s="928"/>
      <c r="DG104" s="928"/>
      <c r="DH104" s="928"/>
    </row>
    <row r="105" spans="1:112">
      <c r="A105" s="891" t="s">
        <v>894</v>
      </c>
      <c r="B105" s="891" t="s">
        <v>1501</v>
      </c>
      <c r="C105" s="891" t="s">
        <v>335</v>
      </c>
      <c r="D105" s="891" t="s">
        <v>894</v>
      </c>
      <c r="E105" s="891" t="s">
        <v>1501</v>
      </c>
      <c r="F105" s="891" t="s">
        <v>335</v>
      </c>
      <c r="G105" s="897">
        <v>103.72</v>
      </c>
      <c r="H105" s="897">
        <v>110.93</v>
      </c>
      <c r="I105" s="897">
        <v>92.84</v>
      </c>
      <c r="J105" s="891"/>
      <c r="K105" s="891"/>
      <c r="L105" s="891"/>
      <c r="M105" s="891"/>
      <c r="N105" s="891"/>
      <c r="O105" s="891"/>
      <c r="P105" s="891"/>
      <c r="Q105" s="891"/>
      <c r="R105" s="891"/>
      <c r="S105" s="891"/>
      <c r="T105" s="891"/>
      <c r="U105" s="928"/>
      <c r="V105" s="928"/>
      <c r="W105" s="928"/>
      <c r="X105" s="928"/>
      <c r="Y105" s="928"/>
      <c r="Z105" s="928"/>
      <c r="AA105" s="928"/>
      <c r="AB105" s="928"/>
      <c r="AC105" s="928"/>
      <c r="AD105" s="928"/>
      <c r="AE105" s="928"/>
      <c r="AF105" s="928"/>
      <c r="AG105" s="928"/>
      <c r="AH105" s="928"/>
      <c r="AI105" s="928"/>
      <c r="AJ105" s="928"/>
      <c r="AK105" s="928"/>
      <c r="AL105" s="928"/>
      <c r="AM105" s="928"/>
      <c r="AN105" s="928"/>
      <c r="AO105" s="928"/>
      <c r="AP105" s="928"/>
      <c r="AQ105" s="928"/>
      <c r="AR105" s="928"/>
      <c r="AS105" s="928"/>
      <c r="AT105" s="928"/>
      <c r="AU105" s="928"/>
      <c r="AV105" s="928"/>
      <c r="AW105" s="928"/>
      <c r="AX105" s="928"/>
      <c r="AY105" s="928"/>
      <c r="AZ105" s="928"/>
      <c r="BA105" s="928"/>
      <c r="BB105" s="928"/>
      <c r="BC105" s="928"/>
      <c r="BD105" s="928"/>
      <c r="BE105" s="928"/>
      <c r="BF105" s="928"/>
      <c r="BG105" s="928"/>
      <c r="BH105" s="928"/>
      <c r="BI105" s="928"/>
      <c r="BJ105" s="928"/>
      <c r="BK105" s="928"/>
      <c r="BL105" s="928"/>
      <c r="BM105" s="928"/>
      <c r="BN105" s="928"/>
      <c r="BO105" s="928"/>
      <c r="BP105" s="928"/>
      <c r="BQ105" s="928"/>
      <c r="BR105" s="928"/>
      <c r="BS105" s="928"/>
      <c r="BT105" s="928"/>
      <c r="BU105" s="928"/>
      <c r="BV105" s="928"/>
      <c r="BW105" s="928"/>
      <c r="BX105" s="928"/>
      <c r="BY105" s="928"/>
      <c r="BZ105" s="928"/>
      <c r="CA105" s="928"/>
      <c r="CB105" s="928"/>
      <c r="CC105" s="928"/>
      <c r="CD105" s="928"/>
      <c r="CE105" s="928"/>
      <c r="CF105" s="928"/>
      <c r="CG105" s="928"/>
      <c r="CH105" s="928"/>
      <c r="CI105" s="928"/>
      <c r="CJ105" s="928"/>
      <c r="CK105" s="928"/>
      <c r="CL105" s="928"/>
      <c r="CM105" s="928"/>
      <c r="CN105" s="928"/>
      <c r="CO105" s="928"/>
      <c r="CP105" s="928"/>
      <c r="CQ105" s="928"/>
      <c r="CR105" s="928"/>
      <c r="CS105" s="928"/>
      <c r="CT105" s="928"/>
      <c r="CU105" s="928"/>
      <c r="CV105" s="928"/>
      <c r="CW105" s="928"/>
      <c r="CX105" s="928"/>
      <c r="CY105" s="928"/>
      <c r="CZ105" s="928"/>
      <c r="DA105" s="928"/>
      <c r="DB105" s="928"/>
      <c r="DC105" s="928"/>
      <c r="DD105" s="928"/>
      <c r="DE105" s="928"/>
      <c r="DF105" s="928"/>
      <c r="DG105" s="928"/>
      <c r="DH105" s="928"/>
    </row>
    <row r="106" spans="1:112">
      <c r="A106" s="891" t="s">
        <v>895</v>
      </c>
      <c r="B106" s="891" t="s">
        <v>1500</v>
      </c>
      <c r="C106" s="891" t="s">
        <v>64</v>
      </c>
      <c r="D106" s="891" t="s">
        <v>895</v>
      </c>
      <c r="E106" s="891" t="s">
        <v>1500</v>
      </c>
      <c r="F106" s="891" t="s">
        <v>64</v>
      </c>
      <c r="G106" s="897">
        <v>83.83</v>
      </c>
      <c r="H106" s="897">
        <v>84.31</v>
      </c>
      <c r="I106" s="897">
        <v>134.22</v>
      </c>
      <c r="J106" s="891"/>
      <c r="K106" s="891"/>
      <c r="L106" s="891"/>
      <c r="M106" s="891"/>
      <c r="N106" s="891"/>
      <c r="O106" s="891"/>
      <c r="P106" s="891"/>
      <c r="Q106" s="891"/>
      <c r="R106" s="891"/>
      <c r="S106" s="891"/>
      <c r="T106" s="891"/>
      <c r="U106" s="928"/>
      <c r="V106" s="928"/>
      <c r="W106" s="928"/>
      <c r="X106" s="928"/>
      <c r="Y106" s="928"/>
      <c r="Z106" s="928"/>
      <c r="AA106" s="928"/>
      <c r="AB106" s="928"/>
      <c r="AC106" s="928"/>
      <c r="AD106" s="928"/>
      <c r="AE106" s="928"/>
      <c r="AF106" s="928"/>
      <c r="AG106" s="928"/>
      <c r="AH106" s="928"/>
      <c r="AI106" s="928"/>
      <c r="AJ106" s="928"/>
      <c r="AK106" s="928"/>
      <c r="AL106" s="928"/>
      <c r="AM106" s="928"/>
      <c r="AN106" s="928"/>
      <c r="AO106" s="928"/>
      <c r="AP106" s="928"/>
      <c r="AQ106" s="928"/>
      <c r="AR106" s="928"/>
      <c r="AS106" s="928"/>
      <c r="AT106" s="928"/>
      <c r="AU106" s="928"/>
      <c r="AV106" s="928"/>
      <c r="AW106" s="928"/>
      <c r="AX106" s="928"/>
      <c r="AY106" s="928"/>
      <c r="AZ106" s="928"/>
      <c r="BA106" s="928"/>
      <c r="BB106" s="928"/>
      <c r="BC106" s="928"/>
      <c r="BD106" s="928"/>
      <c r="BE106" s="928"/>
      <c r="BF106" s="928"/>
      <c r="BG106" s="928"/>
      <c r="BH106" s="928"/>
      <c r="BI106" s="928"/>
      <c r="BJ106" s="928"/>
      <c r="BK106" s="928"/>
      <c r="BL106" s="928"/>
      <c r="BM106" s="928"/>
      <c r="BN106" s="928"/>
      <c r="BO106" s="928"/>
      <c r="BP106" s="928"/>
      <c r="BQ106" s="928"/>
      <c r="BR106" s="928"/>
      <c r="BS106" s="928"/>
      <c r="BT106" s="928"/>
      <c r="BU106" s="928"/>
      <c r="BV106" s="928"/>
      <c r="BW106" s="928"/>
      <c r="BX106" s="928"/>
      <c r="BY106" s="928"/>
      <c r="BZ106" s="928"/>
      <c r="CA106" s="928"/>
      <c r="CB106" s="928"/>
      <c r="CC106" s="928"/>
      <c r="CD106" s="928"/>
      <c r="CE106" s="928"/>
      <c r="CF106" s="928"/>
      <c r="CG106" s="928"/>
      <c r="CH106" s="928"/>
      <c r="CI106" s="928"/>
      <c r="CJ106" s="928"/>
      <c r="CK106" s="928"/>
      <c r="CL106" s="928"/>
      <c r="CM106" s="928"/>
      <c r="CN106" s="928"/>
      <c r="CO106" s="928"/>
      <c r="CP106" s="928"/>
      <c r="CQ106" s="928"/>
      <c r="CR106" s="928"/>
      <c r="CS106" s="928"/>
      <c r="CT106" s="928"/>
      <c r="CU106" s="928"/>
      <c r="CV106" s="928"/>
      <c r="CW106" s="928"/>
      <c r="CX106" s="928"/>
      <c r="CY106" s="928"/>
      <c r="CZ106" s="928"/>
      <c r="DA106" s="928"/>
      <c r="DB106" s="928"/>
      <c r="DC106" s="928"/>
      <c r="DD106" s="928"/>
      <c r="DE106" s="928"/>
      <c r="DF106" s="928"/>
      <c r="DG106" s="928"/>
      <c r="DH106" s="928"/>
    </row>
    <row r="107" spans="1:112">
      <c r="A107" s="891" t="s">
        <v>896</v>
      </c>
      <c r="B107" s="891" t="s">
        <v>1502</v>
      </c>
      <c r="C107" s="891" t="s">
        <v>304</v>
      </c>
      <c r="D107" s="891" t="s">
        <v>896</v>
      </c>
      <c r="E107" s="891" t="s">
        <v>1502</v>
      </c>
      <c r="F107" s="891" t="s">
        <v>304</v>
      </c>
      <c r="G107" s="897">
        <v>104.2</v>
      </c>
      <c r="H107" s="897">
        <v>99.6</v>
      </c>
      <c r="I107" s="897">
        <v>100.32</v>
      </c>
      <c r="J107" s="891"/>
      <c r="K107" s="891"/>
      <c r="L107" s="891"/>
      <c r="M107" s="891"/>
      <c r="N107" s="891"/>
      <c r="O107" s="891"/>
      <c r="P107" s="891"/>
      <c r="Q107" s="891"/>
      <c r="R107" s="891"/>
      <c r="S107" s="891"/>
      <c r="T107" s="891"/>
      <c r="U107" s="928"/>
      <c r="V107" s="928"/>
      <c r="W107" s="928"/>
      <c r="X107" s="928"/>
      <c r="Y107" s="928"/>
      <c r="Z107" s="928"/>
      <c r="AA107" s="928"/>
      <c r="AB107" s="928"/>
      <c r="AC107" s="928"/>
      <c r="AD107" s="928"/>
      <c r="AE107" s="928"/>
      <c r="AF107" s="928"/>
      <c r="AG107" s="928"/>
      <c r="AH107" s="928"/>
      <c r="AI107" s="928"/>
      <c r="AJ107" s="928"/>
      <c r="AK107" s="928"/>
      <c r="AL107" s="928"/>
      <c r="AM107" s="928"/>
      <c r="AN107" s="928"/>
      <c r="AO107" s="928"/>
      <c r="AP107" s="928"/>
      <c r="AQ107" s="928"/>
      <c r="AR107" s="928"/>
      <c r="AS107" s="928"/>
      <c r="AT107" s="928"/>
      <c r="AU107" s="928"/>
      <c r="AV107" s="928"/>
      <c r="AW107" s="928"/>
      <c r="AX107" s="928"/>
      <c r="AY107" s="928"/>
      <c r="AZ107" s="928"/>
      <c r="BA107" s="928"/>
      <c r="BB107" s="928"/>
      <c r="BC107" s="928"/>
      <c r="BD107" s="928"/>
      <c r="BE107" s="928"/>
      <c r="BF107" s="928"/>
      <c r="BG107" s="928"/>
      <c r="BH107" s="928"/>
      <c r="BI107" s="928"/>
      <c r="BJ107" s="928"/>
      <c r="BK107" s="928"/>
      <c r="BL107" s="928"/>
      <c r="BM107" s="928"/>
      <c r="BN107" s="928"/>
      <c r="BO107" s="928"/>
      <c r="BP107" s="928"/>
      <c r="BQ107" s="928"/>
      <c r="BR107" s="928"/>
      <c r="BS107" s="928"/>
      <c r="BT107" s="928"/>
      <c r="BU107" s="928"/>
      <c r="BV107" s="928"/>
      <c r="BW107" s="928"/>
      <c r="BX107" s="928"/>
      <c r="BY107" s="928"/>
      <c r="BZ107" s="928"/>
      <c r="CA107" s="928"/>
      <c r="CB107" s="928"/>
      <c r="CC107" s="928"/>
      <c r="CD107" s="928"/>
      <c r="CE107" s="928"/>
      <c r="CF107" s="928"/>
      <c r="CG107" s="928"/>
      <c r="CH107" s="928"/>
      <c r="CI107" s="928"/>
      <c r="CJ107" s="928"/>
      <c r="CK107" s="928"/>
      <c r="CL107" s="928"/>
      <c r="CM107" s="928"/>
      <c r="CN107" s="928"/>
      <c r="CO107" s="928"/>
      <c r="CP107" s="928"/>
      <c r="CQ107" s="928"/>
      <c r="CR107" s="928"/>
      <c r="CS107" s="928"/>
      <c r="CT107" s="928"/>
      <c r="CU107" s="928"/>
      <c r="CV107" s="928"/>
      <c r="CW107" s="928"/>
      <c r="CX107" s="928"/>
      <c r="CY107" s="928"/>
      <c r="CZ107" s="928"/>
      <c r="DA107" s="928"/>
      <c r="DB107" s="928"/>
      <c r="DC107" s="928"/>
      <c r="DD107" s="928"/>
      <c r="DE107" s="928"/>
      <c r="DF107" s="928"/>
      <c r="DG107" s="928"/>
      <c r="DH107" s="928"/>
    </row>
    <row r="108" spans="1:112">
      <c r="A108" s="922" t="s">
        <v>897</v>
      </c>
      <c r="B108" s="922" t="s">
        <v>1479</v>
      </c>
      <c r="C108" s="922" t="s">
        <v>5</v>
      </c>
      <c r="D108" s="922" t="s">
        <v>897</v>
      </c>
      <c r="E108" s="922" t="s">
        <v>1479</v>
      </c>
      <c r="F108" s="922" t="s">
        <v>5</v>
      </c>
      <c r="G108" s="897">
        <v>99.51</v>
      </c>
      <c r="H108" s="897">
        <v>84.72</v>
      </c>
      <c r="I108" s="897">
        <v>108.59</v>
      </c>
      <c r="J108" s="891"/>
      <c r="K108" s="891"/>
      <c r="L108" s="891"/>
      <c r="M108" s="891"/>
      <c r="N108" s="891"/>
      <c r="O108" s="891"/>
      <c r="P108" s="891"/>
      <c r="Q108" s="891"/>
      <c r="R108" s="891"/>
      <c r="S108" s="891"/>
      <c r="T108" s="891"/>
      <c r="U108" s="928"/>
      <c r="V108" s="928"/>
      <c r="W108" s="928"/>
      <c r="X108" s="928"/>
      <c r="Y108" s="928"/>
      <c r="Z108" s="928"/>
      <c r="AA108" s="928"/>
      <c r="AB108" s="928"/>
      <c r="AC108" s="928"/>
      <c r="AD108" s="928"/>
      <c r="AE108" s="928"/>
      <c r="AF108" s="928"/>
      <c r="AG108" s="928"/>
      <c r="AH108" s="928"/>
      <c r="AI108" s="928"/>
      <c r="AJ108" s="928"/>
      <c r="AK108" s="928"/>
      <c r="AL108" s="928"/>
      <c r="AM108" s="928"/>
      <c r="AN108" s="928"/>
      <c r="AO108" s="928"/>
      <c r="AP108" s="928"/>
      <c r="AQ108" s="928"/>
      <c r="AR108" s="928"/>
      <c r="AS108" s="928"/>
      <c r="AT108" s="928"/>
      <c r="AU108" s="928"/>
      <c r="AV108" s="928"/>
      <c r="AW108" s="928"/>
      <c r="AX108" s="928"/>
      <c r="AY108" s="928"/>
      <c r="AZ108" s="928"/>
      <c r="BA108" s="928"/>
      <c r="BB108" s="928"/>
      <c r="BC108" s="928"/>
      <c r="BD108" s="928"/>
      <c r="BE108" s="928"/>
      <c r="BF108" s="928"/>
      <c r="BG108" s="928"/>
      <c r="BH108" s="928"/>
      <c r="BI108" s="928"/>
      <c r="BJ108" s="928"/>
      <c r="BK108" s="928"/>
      <c r="BL108" s="928"/>
      <c r="BM108" s="928"/>
      <c r="BN108" s="928"/>
      <c r="BO108" s="928"/>
      <c r="BP108" s="928"/>
      <c r="BQ108" s="928"/>
      <c r="BR108" s="928"/>
      <c r="BS108" s="928"/>
      <c r="BT108" s="928"/>
      <c r="BU108" s="928"/>
      <c r="BV108" s="928"/>
      <c r="BW108" s="928"/>
      <c r="BX108" s="928"/>
      <c r="BY108" s="928"/>
      <c r="BZ108" s="928"/>
      <c r="CA108" s="928"/>
      <c r="CB108" s="928"/>
      <c r="CC108" s="928"/>
      <c r="CD108" s="928"/>
      <c r="CE108" s="928"/>
      <c r="CF108" s="928"/>
      <c r="CG108" s="928"/>
      <c r="CH108" s="928"/>
      <c r="CI108" s="928"/>
      <c r="CJ108" s="928"/>
      <c r="CK108" s="928"/>
      <c r="CL108" s="928"/>
      <c r="CM108" s="928"/>
      <c r="CN108" s="928"/>
      <c r="CO108" s="928"/>
      <c r="CP108" s="928"/>
      <c r="CQ108" s="928"/>
      <c r="CR108" s="928"/>
      <c r="CS108" s="928"/>
      <c r="CT108" s="928"/>
      <c r="CU108" s="928"/>
      <c r="CV108" s="928"/>
      <c r="CW108" s="928"/>
      <c r="CX108" s="928"/>
      <c r="CY108" s="928"/>
      <c r="CZ108" s="928"/>
      <c r="DA108" s="928"/>
      <c r="DB108" s="928"/>
      <c r="DC108" s="928"/>
      <c r="DD108" s="928"/>
      <c r="DE108" s="928"/>
      <c r="DF108" s="928"/>
      <c r="DG108" s="928"/>
      <c r="DH108" s="928"/>
    </row>
    <row r="109" spans="1:112">
      <c r="A109" s="891" t="s">
        <v>898</v>
      </c>
      <c r="B109" s="891" t="s">
        <v>1476</v>
      </c>
      <c r="C109" s="891" t="s">
        <v>35</v>
      </c>
      <c r="D109" s="891" t="s">
        <v>898</v>
      </c>
      <c r="E109" s="891" t="s">
        <v>1476</v>
      </c>
      <c r="F109" s="891" t="s">
        <v>35</v>
      </c>
      <c r="G109" s="897">
        <v>72.72</v>
      </c>
      <c r="H109" s="897">
        <v>113.55</v>
      </c>
      <c r="I109" s="897">
        <v>110.57</v>
      </c>
      <c r="J109" s="891"/>
      <c r="K109" s="891"/>
      <c r="L109" s="891"/>
      <c r="M109" s="891"/>
      <c r="N109" s="891"/>
      <c r="O109" s="891"/>
      <c r="P109" s="891"/>
      <c r="Q109" s="891"/>
      <c r="R109" s="891"/>
      <c r="S109" s="891"/>
      <c r="T109" s="891"/>
      <c r="U109" s="928"/>
      <c r="V109" s="928"/>
      <c r="W109" s="928"/>
      <c r="X109" s="928"/>
      <c r="Y109" s="928"/>
      <c r="Z109" s="928"/>
      <c r="AA109" s="928"/>
      <c r="AB109" s="928"/>
      <c r="AC109" s="928"/>
      <c r="AD109" s="928"/>
      <c r="AE109" s="928"/>
      <c r="AF109" s="928"/>
      <c r="AG109" s="928"/>
      <c r="AH109" s="928"/>
      <c r="AI109" s="928"/>
      <c r="AJ109" s="928"/>
      <c r="AK109" s="928"/>
      <c r="AL109" s="928"/>
      <c r="AM109" s="928"/>
      <c r="AN109" s="928"/>
      <c r="AO109" s="928"/>
      <c r="AP109" s="928"/>
      <c r="AQ109" s="928"/>
      <c r="AR109" s="928"/>
      <c r="AS109" s="928"/>
      <c r="AT109" s="928"/>
      <c r="AU109" s="928"/>
      <c r="AV109" s="928"/>
      <c r="AW109" s="928"/>
      <c r="AX109" s="928"/>
      <c r="AY109" s="928"/>
      <c r="AZ109" s="928"/>
      <c r="BA109" s="928"/>
      <c r="BB109" s="928"/>
      <c r="BC109" s="928"/>
      <c r="BD109" s="928"/>
      <c r="BE109" s="928"/>
      <c r="BF109" s="928"/>
      <c r="BG109" s="928"/>
      <c r="BH109" s="928"/>
      <c r="BI109" s="928"/>
      <c r="BJ109" s="928"/>
      <c r="BK109" s="928"/>
      <c r="BL109" s="928"/>
      <c r="BM109" s="928"/>
      <c r="BN109" s="928"/>
      <c r="BO109" s="928"/>
      <c r="BP109" s="928"/>
      <c r="BQ109" s="928"/>
      <c r="BR109" s="928"/>
      <c r="BS109" s="928"/>
      <c r="BT109" s="928"/>
      <c r="BU109" s="928"/>
      <c r="BV109" s="928"/>
      <c r="BW109" s="928"/>
      <c r="BX109" s="928"/>
      <c r="BY109" s="928"/>
      <c r="BZ109" s="928"/>
      <c r="CA109" s="928"/>
      <c r="CB109" s="928"/>
      <c r="CC109" s="928"/>
      <c r="CD109" s="928"/>
      <c r="CE109" s="928"/>
      <c r="CF109" s="928"/>
      <c r="CG109" s="928"/>
      <c r="CH109" s="928"/>
      <c r="CI109" s="928"/>
      <c r="CJ109" s="928"/>
      <c r="CK109" s="928"/>
      <c r="CL109" s="928"/>
      <c r="CM109" s="928"/>
      <c r="CN109" s="928"/>
      <c r="CO109" s="928"/>
      <c r="CP109" s="928"/>
      <c r="CQ109" s="928"/>
      <c r="CR109" s="928"/>
      <c r="CS109" s="928"/>
      <c r="CT109" s="928"/>
      <c r="CU109" s="928"/>
      <c r="CV109" s="928"/>
      <c r="CW109" s="928"/>
      <c r="CX109" s="928"/>
      <c r="CY109" s="928"/>
      <c r="CZ109" s="928"/>
      <c r="DA109" s="928"/>
      <c r="DB109" s="928"/>
      <c r="DC109" s="928"/>
      <c r="DD109" s="928"/>
      <c r="DE109" s="928"/>
      <c r="DF109" s="928"/>
      <c r="DG109" s="928"/>
      <c r="DH109" s="928"/>
    </row>
    <row r="110" spans="1:112">
      <c r="A110" s="891" t="s">
        <v>899</v>
      </c>
      <c r="B110" s="891" t="s">
        <v>1462</v>
      </c>
      <c r="C110" s="891" t="s">
        <v>140</v>
      </c>
      <c r="D110" s="891" t="s">
        <v>899</v>
      </c>
      <c r="E110" s="891" t="s">
        <v>1462</v>
      </c>
      <c r="F110" s="891" t="s">
        <v>140</v>
      </c>
      <c r="G110" s="897">
        <v>47.35</v>
      </c>
      <c r="H110" s="897">
        <v>38.17</v>
      </c>
      <c r="I110" s="897">
        <v>33.47</v>
      </c>
      <c r="J110" s="891"/>
      <c r="K110" s="891"/>
      <c r="L110" s="891"/>
      <c r="M110" s="891"/>
      <c r="N110" s="891"/>
      <c r="O110" s="891"/>
      <c r="P110" s="891"/>
      <c r="Q110" s="891"/>
      <c r="R110" s="891"/>
      <c r="S110" s="891"/>
      <c r="T110" s="891"/>
      <c r="U110" s="928"/>
      <c r="V110" s="928"/>
      <c r="W110" s="928"/>
      <c r="X110" s="928"/>
      <c r="Y110" s="928"/>
      <c r="Z110" s="928"/>
      <c r="AA110" s="928"/>
      <c r="AB110" s="928"/>
      <c r="AC110" s="928"/>
      <c r="AD110" s="928"/>
      <c r="AE110" s="928"/>
      <c r="AF110" s="928"/>
      <c r="AG110" s="928"/>
      <c r="AH110" s="928"/>
      <c r="AI110" s="928"/>
      <c r="AJ110" s="928"/>
      <c r="AK110" s="928"/>
      <c r="AL110" s="928"/>
      <c r="AM110" s="928"/>
      <c r="AN110" s="928"/>
      <c r="AO110" s="928"/>
      <c r="AP110" s="928"/>
      <c r="AQ110" s="928"/>
      <c r="AR110" s="928"/>
      <c r="AS110" s="928"/>
      <c r="AT110" s="928"/>
      <c r="AU110" s="928"/>
      <c r="AV110" s="928"/>
      <c r="AW110" s="928"/>
      <c r="AX110" s="928"/>
      <c r="AY110" s="928"/>
      <c r="AZ110" s="928"/>
      <c r="BA110" s="928"/>
      <c r="BB110" s="928"/>
      <c r="BC110" s="928"/>
      <c r="BD110" s="928"/>
      <c r="BE110" s="928"/>
      <c r="BF110" s="928"/>
      <c r="BG110" s="928"/>
      <c r="BH110" s="928"/>
      <c r="BI110" s="928"/>
      <c r="BJ110" s="928"/>
      <c r="BK110" s="928"/>
      <c r="BL110" s="928"/>
      <c r="BM110" s="928"/>
      <c r="BN110" s="928"/>
      <c r="BO110" s="928"/>
      <c r="BP110" s="928"/>
      <c r="BQ110" s="928"/>
      <c r="BR110" s="928"/>
      <c r="BS110" s="928"/>
      <c r="BT110" s="928"/>
      <c r="BU110" s="928"/>
      <c r="BV110" s="928"/>
      <c r="BW110" s="928"/>
      <c r="BX110" s="928"/>
      <c r="BY110" s="928"/>
      <c r="BZ110" s="928"/>
      <c r="CA110" s="928"/>
      <c r="CB110" s="928"/>
      <c r="CC110" s="928"/>
      <c r="CD110" s="928"/>
      <c r="CE110" s="928"/>
      <c r="CF110" s="928"/>
      <c r="CG110" s="928"/>
      <c r="CH110" s="928"/>
      <c r="CI110" s="928"/>
      <c r="CJ110" s="928"/>
      <c r="CK110" s="928"/>
      <c r="CL110" s="928"/>
      <c r="CM110" s="928"/>
      <c r="CN110" s="928"/>
      <c r="CO110" s="928"/>
      <c r="CP110" s="928"/>
      <c r="CQ110" s="928"/>
      <c r="CR110" s="928"/>
      <c r="CS110" s="928"/>
      <c r="CT110" s="928"/>
      <c r="CU110" s="928"/>
      <c r="CV110" s="928"/>
      <c r="CW110" s="928"/>
      <c r="CX110" s="928"/>
      <c r="CY110" s="928"/>
      <c r="CZ110" s="928"/>
      <c r="DA110" s="928"/>
      <c r="DB110" s="928"/>
      <c r="DC110" s="928"/>
      <c r="DD110" s="928"/>
      <c r="DE110" s="928"/>
      <c r="DF110" s="928"/>
      <c r="DG110" s="928"/>
      <c r="DH110" s="928"/>
    </row>
    <row r="111" spans="1:112">
      <c r="A111" s="891" t="s">
        <v>901</v>
      </c>
      <c r="B111" s="891" t="s">
        <v>1452</v>
      </c>
      <c r="C111" s="891" t="s">
        <v>47</v>
      </c>
      <c r="D111" s="891" t="s">
        <v>901</v>
      </c>
      <c r="E111" s="891" t="s">
        <v>1452</v>
      </c>
      <c r="F111" s="891" t="s">
        <v>47</v>
      </c>
      <c r="G111" s="897">
        <v>99.93</v>
      </c>
      <c r="H111" s="897">
        <v>108.22</v>
      </c>
      <c r="I111" s="897">
        <v>68</v>
      </c>
      <c r="J111" s="891"/>
      <c r="K111" s="891"/>
      <c r="L111" s="891"/>
      <c r="M111" s="891"/>
      <c r="N111" s="891"/>
      <c r="O111" s="891"/>
      <c r="P111" s="891"/>
      <c r="Q111" s="891"/>
      <c r="R111" s="891"/>
      <c r="S111" s="891"/>
      <c r="T111" s="891"/>
      <c r="U111" s="928"/>
      <c r="V111" s="928"/>
      <c r="W111" s="928"/>
      <c r="X111" s="928"/>
      <c r="Y111" s="928"/>
      <c r="Z111" s="928"/>
      <c r="AA111" s="928"/>
      <c r="AB111" s="928"/>
      <c r="AC111" s="928"/>
      <c r="AD111" s="928"/>
      <c r="AE111" s="928"/>
      <c r="AF111" s="928"/>
      <c r="AG111" s="928"/>
      <c r="AH111" s="928"/>
      <c r="AI111" s="928"/>
      <c r="AJ111" s="928"/>
      <c r="AK111" s="928"/>
      <c r="AL111" s="928"/>
      <c r="AM111" s="928"/>
      <c r="AN111" s="928"/>
      <c r="AO111" s="928"/>
      <c r="AP111" s="928"/>
      <c r="AQ111" s="928"/>
      <c r="AR111" s="928"/>
      <c r="AS111" s="928"/>
      <c r="AT111" s="928"/>
      <c r="AU111" s="928"/>
      <c r="AV111" s="928"/>
      <c r="AW111" s="928"/>
      <c r="AX111" s="928"/>
      <c r="AY111" s="928"/>
      <c r="AZ111" s="928"/>
      <c r="BA111" s="928"/>
      <c r="BB111" s="928"/>
      <c r="BC111" s="928"/>
      <c r="BD111" s="928"/>
      <c r="BE111" s="928"/>
      <c r="BF111" s="928"/>
      <c r="BG111" s="928"/>
      <c r="BH111" s="928"/>
      <c r="BI111" s="928"/>
      <c r="BJ111" s="928"/>
      <c r="BK111" s="928"/>
      <c r="BL111" s="928"/>
      <c r="BM111" s="928"/>
      <c r="BN111" s="928"/>
      <c r="BO111" s="928"/>
      <c r="BP111" s="928"/>
      <c r="BQ111" s="928"/>
      <c r="BR111" s="928"/>
      <c r="BS111" s="928"/>
      <c r="BT111" s="928"/>
      <c r="BU111" s="928"/>
      <c r="BV111" s="928"/>
      <c r="BW111" s="928"/>
      <c r="BX111" s="928"/>
      <c r="BY111" s="928"/>
      <c r="BZ111" s="928"/>
      <c r="CA111" s="928"/>
      <c r="CB111" s="928"/>
      <c r="CC111" s="928"/>
      <c r="CD111" s="928"/>
      <c r="CE111" s="928"/>
      <c r="CF111" s="928"/>
      <c r="CG111" s="928"/>
      <c r="CH111" s="928"/>
      <c r="CI111" s="928"/>
      <c r="CJ111" s="928"/>
      <c r="CK111" s="928"/>
      <c r="CL111" s="928"/>
      <c r="CM111" s="928"/>
      <c r="CN111" s="928"/>
      <c r="CO111" s="928"/>
      <c r="CP111" s="928"/>
      <c r="CQ111" s="928"/>
      <c r="CR111" s="928"/>
      <c r="CS111" s="928"/>
      <c r="CT111" s="928"/>
      <c r="CU111" s="928"/>
      <c r="CV111" s="928"/>
      <c r="CW111" s="928"/>
      <c r="CX111" s="928"/>
      <c r="CY111" s="928"/>
      <c r="CZ111" s="928"/>
      <c r="DA111" s="928"/>
      <c r="DB111" s="928"/>
      <c r="DC111" s="928"/>
      <c r="DD111" s="928"/>
      <c r="DE111" s="928"/>
      <c r="DF111" s="928"/>
      <c r="DG111" s="928"/>
      <c r="DH111" s="928"/>
    </row>
    <row r="112" spans="1:112">
      <c r="A112" s="891" t="s">
        <v>902</v>
      </c>
      <c r="B112" s="891" t="s">
        <v>1503</v>
      </c>
      <c r="C112" s="891" t="s">
        <v>53</v>
      </c>
      <c r="D112" s="891" t="s">
        <v>902</v>
      </c>
      <c r="E112" s="891" t="s">
        <v>1503</v>
      </c>
      <c r="F112" s="891" t="s">
        <v>53</v>
      </c>
      <c r="G112" s="897">
        <v>52.9</v>
      </c>
      <c r="H112" s="897">
        <v>42.04</v>
      </c>
      <c r="I112" s="897">
        <v>52.1</v>
      </c>
      <c r="J112" s="891"/>
      <c r="K112" s="891"/>
      <c r="L112" s="891"/>
      <c r="M112" s="891"/>
      <c r="N112" s="891"/>
      <c r="O112" s="891"/>
      <c r="P112" s="891"/>
      <c r="Q112" s="891"/>
      <c r="R112" s="891"/>
      <c r="S112" s="891"/>
      <c r="T112" s="891"/>
      <c r="U112" s="928"/>
      <c r="V112" s="928"/>
      <c r="W112" s="928"/>
      <c r="X112" s="928"/>
      <c r="Y112" s="928"/>
      <c r="Z112" s="928"/>
      <c r="AA112" s="928"/>
      <c r="AB112" s="928"/>
      <c r="AC112" s="928"/>
      <c r="AD112" s="928"/>
      <c r="AE112" s="928"/>
      <c r="AF112" s="928"/>
      <c r="AG112" s="928"/>
      <c r="AH112" s="928"/>
      <c r="AI112" s="928"/>
      <c r="AJ112" s="928"/>
      <c r="AK112" s="928"/>
      <c r="AL112" s="928"/>
      <c r="AM112" s="928"/>
      <c r="AN112" s="928"/>
      <c r="AO112" s="928"/>
      <c r="AP112" s="928"/>
      <c r="AQ112" s="928"/>
      <c r="AR112" s="928"/>
      <c r="AS112" s="928"/>
      <c r="AT112" s="928"/>
      <c r="AU112" s="928"/>
      <c r="AV112" s="928"/>
      <c r="AW112" s="928"/>
      <c r="AX112" s="928"/>
      <c r="AY112" s="928"/>
      <c r="AZ112" s="928"/>
      <c r="BA112" s="928"/>
      <c r="BB112" s="928"/>
      <c r="BC112" s="928"/>
      <c r="BD112" s="928"/>
      <c r="BE112" s="928"/>
      <c r="BF112" s="928"/>
      <c r="BG112" s="928"/>
      <c r="BH112" s="928"/>
      <c r="BI112" s="928"/>
      <c r="BJ112" s="928"/>
      <c r="BK112" s="928"/>
      <c r="BL112" s="928"/>
      <c r="BM112" s="928"/>
      <c r="BN112" s="928"/>
      <c r="BO112" s="928"/>
      <c r="BP112" s="928"/>
      <c r="BQ112" s="928"/>
      <c r="BR112" s="928"/>
      <c r="BS112" s="928"/>
      <c r="BT112" s="928"/>
      <c r="BU112" s="928"/>
      <c r="BV112" s="928"/>
      <c r="BW112" s="928"/>
      <c r="BX112" s="928"/>
      <c r="BY112" s="928"/>
      <c r="BZ112" s="928"/>
      <c r="CA112" s="928"/>
      <c r="CB112" s="928"/>
      <c r="CC112" s="928"/>
      <c r="CD112" s="928"/>
      <c r="CE112" s="928"/>
      <c r="CF112" s="928"/>
      <c r="CG112" s="928"/>
      <c r="CH112" s="928"/>
      <c r="CI112" s="928"/>
      <c r="CJ112" s="928"/>
      <c r="CK112" s="928"/>
      <c r="CL112" s="928"/>
      <c r="CM112" s="928"/>
      <c r="CN112" s="928"/>
      <c r="CO112" s="928"/>
      <c r="CP112" s="928"/>
      <c r="CQ112" s="928"/>
      <c r="CR112" s="928"/>
      <c r="CS112" s="928"/>
      <c r="CT112" s="928"/>
      <c r="CU112" s="928"/>
      <c r="CV112" s="928"/>
      <c r="CW112" s="928"/>
      <c r="CX112" s="928"/>
      <c r="CY112" s="928"/>
      <c r="CZ112" s="928"/>
      <c r="DA112" s="928"/>
      <c r="DB112" s="928"/>
      <c r="DC112" s="928"/>
      <c r="DD112" s="928"/>
      <c r="DE112" s="928"/>
      <c r="DF112" s="928"/>
      <c r="DG112" s="928"/>
      <c r="DH112" s="928"/>
    </row>
    <row r="113" spans="1:112">
      <c r="A113" s="922" t="s">
        <v>903</v>
      </c>
      <c r="B113" s="922" t="s">
        <v>1504</v>
      </c>
      <c r="C113" s="922" t="s">
        <v>174</v>
      </c>
      <c r="D113" s="922" t="s">
        <v>903</v>
      </c>
      <c r="E113" s="922" t="s">
        <v>1504</v>
      </c>
      <c r="F113" s="922" t="s">
        <v>174</v>
      </c>
      <c r="G113" s="897">
        <v>126.41</v>
      </c>
      <c r="H113" s="897">
        <v>97.42</v>
      </c>
      <c r="I113" s="897">
        <v>139.63999999999999</v>
      </c>
      <c r="J113" s="891"/>
      <c r="K113" s="891"/>
      <c r="L113" s="891"/>
      <c r="M113" s="891"/>
      <c r="N113" s="891"/>
      <c r="O113" s="891"/>
      <c r="P113" s="891"/>
      <c r="Q113" s="891"/>
      <c r="R113" s="891"/>
      <c r="S113" s="891"/>
      <c r="T113" s="891"/>
      <c r="U113" s="928"/>
      <c r="V113" s="928"/>
      <c r="W113" s="928"/>
      <c r="X113" s="928"/>
      <c r="Y113" s="928"/>
      <c r="Z113" s="928"/>
      <c r="AA113" s="928"/>
      <c r="AB113" s="928"/>
      <c r="AC113" s="928"/>
      <c r="AD113" s="928"/>
      <c r="AE113" s="928"/>
      <c r="AF113" s="928"/>
      <c r="AG113" s="928"/>
      <c r="AH113" s="928"/>
      <c r="AI113" s="928"/>
      <c r="AJ113" s="928"/>
      <c r="AK113" s="928"/>
      <c r="AL113" s="928"/>
      <c r="AM113" s="928"/>
      <c r="AN113" s="928"/>
      <c r="AO113" s="928"/>
      <c r="AP113" s="928"/>
      <c r="AQ113" s="928"/>
      <c r="AR113" s="928"/>
      <c r="AS113" s="928"/>
      <c r="AT113" s="928"/>
      <c r="AU113" s="928"/>
      <c r="AV113" s="928"/>
      <c r="AW113" s="928"/>
      <c r="AX113" s="928"/>
      <c r="AY113" s="928"/>
      <c r="AZ113" s="928"/>
      <c r="BA113" s="928"/>
      <c r="BB113" s="928"/>
      <c r="BC113" s="928"/>
      <c r="BD113" s="928"/>
      <c r="BE113" s="928"/>
      <c r="BF113" s="928"/>
      <c r="BG113" s="928"/>
      <c r="BH113" s="928"/>
      <c r="BI113" s="928"/>
      <c r="BJ113" s="928"/>
      <c r="BK113" s="928"/>
      <c r="BL113" s="928"/>
      <c r="BM113" s="928"/>
      <c r="BN113" s="928"/>
      <c r="BO113" s="928"/>
      <c r="BP113" s="928"/>
      <c r="BQ113" s="928"/>
      <c r="BR113" s="928"/>
      <c r="BS113" s="928"/>
      <c r="BT113" s="928"/>
      <c r="BU113" s="928"/>
      <c r="BV113" s="928"/>
      <c r="BW113" s="928"/>
      <c r="BX113" s="928"/>
      <c r="BY113" s="928"/>
      <c r="BZ113" s="928"/>
      <c r="CA113" s="928"/>
      <c r="CB113" s="928"/>
      <c r="CC113" s="928"/>
      <c r="CD113" s="928"/>
      <c r="CE113" s="928"/>
      <c r="CF113" s="928"/>
      <c r="CG113" s="928"/>
      <c r="CH113" s="928"/>
      <c r="CI113" s="928"/>
      <c r="CJ113" s="928"/>
      <c r="CK113" s="928"/>
      <c r="CL113" s="928"/>
      <c r="CM113" s="928"/>
      <c r="CN113" s="928"/>
      <c r="CO113" s="928"/>
      <c r="CP113" s="928"/>
      <c r="CQ113" s="928"/>
      <c r="CR113" s="928"/>
      <c r="CS113" s="928"/>
      <c r="CT113" s="928"/>
      <c r="CU113" s="928"/>
      <c r="CV113" s="928"/>
      <c r="CW113" s="928"/>
      <c r="CX113" s="928"/>
      <c r="CY113" s="928"/>
      <c r="CZ113" s="928"/>
      <c r="DA113" s="928"/>
      <c r="DB113" s="928"/>
      <c r="DC113" s="928"/>
      <c r="DD113" s="928"/>
      <c r="DE113" s="928"/>
      <c r="DF113" s="928"/>
      <c r="DG113" s="928"/>
      <c r="DH113" s="928"/>
    </row>
    <row r="114" spans="1:112">
      <c r="A114" s="922" t="s">
        <v>904</v>
      </c>
      <c r="B114" s="922" t="s">
        <v>1505</v>
      </c>
      <c r="C114" s="922" t="s">
        <v>71</v>
      </c>
      <c r="D114" s="922" t="s">
        <v>904</v>
      </c>
      <c r="E114" s="922" t="s">
        <v>1505</v>
      </c>
      <c r="F114" s="922" t="s">
        <v>71</v>
      </c>
      <c r="G114" s="897">
        <v>86.69</v>
      </c>
      <c r="H114" s="897">
        <v>89.12</v>
      </c>
      <c r="I114" s="897">
        <v>145.88</v>
      </c>
      <c r="J114" s="891"/>
      <c r="K114" s="891"/>
      <c r="L114" s="891"/>
      <c r="M114" s="891"/>
      <c r="N114" s="891"/>
      <c r="O114" s="891"/>
      <c r="P114" s="891"/>
      <c r="Q114" s="891"/>
      <c r="R114" s="891"/>
      <c r="S114" s="891"/>
      <c r="T114" s="891"/>
      <c r="U114" s="928"/>
      <c r="V114" s="928"/>
      <c r="W114" s="928"/>
      <c r="X114" s="928"/>
      <c r="Y114" s="928"/>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928"/>
      <c r="BI114" s="928"/>
      <c r="BJ114" s="928"/>
      <c r="BK114" s="928"/>
      <c r="BL114" s="928"/>
      <c r="BM114" s="928"/>
      <c r="BN114" s="928"/>
      <c r="BO114" s="928"/>
      <c r="BP114" s="928"/>
      <c r="BQ114" s="928"/>
      <c r="BR114" s="928"/>
      <c r="BS114" s="928"/>
      <c r="BT114" s="928"/>
      <c r="BU114" s="928"/>
      <c r="BV114" s="928"/>
      <c r="BW114" s="928"/>
      <c r="BX114" s="928"/>
      <c r="BY114" s="928"/>
      <c r="BZ114" s="928"/>
      <c r="CA114" s="928"/>
      <c r="CB114" s="928"/>
      <c r="CC114" s="928"/>
      <c r="CD114" s="928"/>
      <c r="CE114" s="928"/>
      <c r="CF114" s="928"/>
      <c r="CG114" s="928"/>
      <c r="CH114" s="928"/>
      <c r="CI114" s="928"/>
      <c r="CJ114" s="928"/>
      <c r="CK114" s="928"/>
      <c r="CL114" s="928"/>
      <c r="CM114" s="928"/>
      <c r="CN114" s="928"/>
      <c r="CO114" s="928"/>
      <c r="CP114" s="928"/>
      <c r="CQ114" s="928"/>
      <c r="CR114" s="928"/>
      <c r="CS114" s="928"/>
      <c r="CT114" s="928"/>
      <c r="CU114" s="928"/>
      <c r="CV114" s="928"/>
      <c r="CW114" s="928"/>
      <c r="CX114" s="928"/>
      <c r="CY114" s="928"/>
      <c r="CZ114" s="928"/>
      <c r="DA114" s="928"/>
      <c r="DB114" s="928"/>
      <c r="DC114" s="928"/>
      <c r="DD114" s="928"/>
      <c r="DE114" s="928"/>
      <c r="DF114" s="928"/>
      <c r="DG114" s="928"/>
      <c r="DH114" s="928"/>
    </row>
    <row r="115" spans="1:112">
      <c r="A115" s="891" t="s">
        <v>905</v>
      </c>
      <c r="B115" s="891" t="s">
        <v>1460</v>
      </c>
      <c r="C115" s="891" t="s">
        <v>55</v>
      </c>
      <c r="D115" s="891" t="s">
        <v>905</v>
      </c>
      <c r="E115" s="891" t="s">
        <v>1460</v>
      </c>
      <c r="F115" s="891" t="s">
        <v>55</v>
      </c>
      <c r="G115" s="897">
        <v>49.21</v>
      </c>
      <c r="H115" s="897">
        <v>33.82</v>
      </c>
      <c r="I115" s="897">
        <v>56.51</v>
      </c>
      <c r="J115" s="891"/>
      <c r="K115" s="891"/>
      <c r="L115" s="891"/>
      <c r="M115" s="891"/>
      <c r="N115" s="891"/>
      <c r="O115" s="891"/>
      <c r="P115" s="891"/>
      <c r="Q115" s="891"/>
      <c r="R115" s="891"/>
      <c r="S115" s="891"/>
      <c r="T115" s="891"/>
      <c r="U115" s="928"/>
      <c r="V115" s="928"/>
      <c r="W115" s="928"/>
      <c r="X115" s="928"/>
      <c r="Y115" s="928"/>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c r="BE115" s="928"/>
      <c r="BF115" s="928"/>
      <c r="BG115" s="928"/>
      <c r="BH115" s="928"/>
      <c r="BI115" s="928"/>
      <c r="BJ115" s="928"/>
      <c r="BK115" s="928"/>
      <c r="BL115" s="928"/>
      <c r="BM115" s="928"/>
      <c r="BN115" s="928"/>
      <c r="BO115" s="928"/>
      <c r="BP115" s="928"/>
      <c r="BQ115" s="928"/>
      <c r="BR115" s="928"/>
      <c r="BS115" s="928"/>
      <c r="BT115" s="928"/>
      <c r="BU115" s="928"/>
      <c r="BV115" s="928"/>
      <c r="BW115" s="928"/>
      <c r="BX115" s="928"/>
      <c r="BY115" s="928"/>
      <c r="BZ115" s="928"/>
      <c r="CA115" s="928"/>
      <c r="CB115" s="928"/>
      <c r="CC115" s="928"/>
      <c r="CD115" s="928"/>
      <c r="CE115" s="928"/>
      <c r="CF115" s="928"/>
      <c r="CG115" s="928"/>
      <c r="CH115" s="928"/>
      <c r="CI115" s="928"/>
      <c r="CJ115" s="928"/>
      <c r="CK115" s="928"/>
      <c r="CL115" s="928"/>
      <c r="CM115" s="928"/>
      <c r="CN115" s="928"/>
      <c r="CO115" s="928"/>
      <c r="CP115" s="928"/>
      <c r="CQ115" s="928"/>
      <c r="CR115" s="928"/>
      <c r="CS115" s="928"/>
      <c r="CT115" s="928"/>
      <c r="CU115" s="928"/>
      <c r="CV115" s="928"/>
      <c r="CW115" s="928"/>
      <c r="CX115" s="928"/>
      <c r="CY115" s="928"/>
      <c r="CZ115" s="928"/>
      <c r="DA115" s="928"/>
      <c r="DB115" s="928"/>
      <c r="DC115" s="928"/>
      <c r="DD115" s="928"/>
      <c r="DE115" s="928"/>
      <c r="DF115" s="928"/>
      <c r="DG115" s="928"/>
      <c r="DH115" s="928"/>
    </row>
    <row r="116" spans="1:112">
      <c r="A116" s="891" t="s">
        <v>906</v>
      </c>
      <c r="B116" s="891" t="s">
        <v>1506</v>
      </c>
      <c r="C116" s="891" t="s">
        <v>349</v>
      </c>
      <c r="D116" s="891" t="s">
        <v>906</v>
      </c>
      <c r="E116" s="891" t="s">
        <v>1506</v>
      </c>
      <c r="F116" s="891" t="s">
        <v>349</v>
      </c>
      <c r="G116" s="897">
        <v>103.35</v>
      </c>
      <c r="H116" s="897">
        <v>96.01</v>
      </c>
      <c r="I116" s="897">
        <v>127.78</v>
      </c>
      <c r="J116" s="891"/>
      <c r="K116" s="891"/>
      <c r="L116" s="891"/>
      <c r="M116" s="891"/>
      <c r="N116" s="891"/>
      <c r="O116" s="891"/>
      <c r="P116" s="891"/>
      <c r="Q116" s="891"/>
      <c r="R116" s="891"/>
      <c r="S116" s="891"/>
      <c r="T116" s="891"/>
      <c r="U116" s="928"/>
      <c r="V116" s="928"/>
      <c r="W116" s="928"/>
      <c r="X116" s="928"/>
      <c r="Y116" s="928"/>
      <c r="Z116" s="928"/>
      <c r="AA116" s="928"/>
      <c r="AB116" s="928"/>
      <c r="AC116" s="928"/>
      <c r="AD116" s="928"/>
      <c r="AE116" s="928"/>
      <c r="AF116" s="928"/>
      <c r="AG116" s="928"/>
      <c r="AH116" s="928"/>
      <c r="AI116" s="928"/>
      <c r="AJ116" s="928"/>
      <c r="AK116" s="928"/>
      <c r="AL116" s="928"/>
      <c r="AM116" s="928"/>
      <c r="AN116" s="928"/>
      <c r="AO116" s="928"/>
      <c r="AP116" s="928"/>
      <c r="AQ116" s="928"/>
      <c r="AR116" s="928"/>
      <c r="AS116" s="928"/>
      <c r="AT116" s="928"/>
      <c r="AU116" s="928"/>
      <c r="AV116" s="928"/>
      <c r="AW116" s="928"/>
      <c r="AX116" s="928"/>
      <c r="AY116" s="928"/>
      <c r="AZ116" s="928"/>
      <c r="BA116" s="928"/>
      <c r="BB116" s="928"/>
      <c r="BC116" s="928"/>
      <c r="BD116" s="928"/>
      <c r="BE116" s="928"/>
      <c r="BF116" s="928"/>
      <c r="BG116" s="928"/>
      <c r="BH116" s="928"/>
      <c r="BI116" s="928"/>
      <c r="BJ116" s="928"/>
      <c r="BK116" s="928"/>
      <c r="BL116" s="928"/>
      <c r="BM116" s="928"/>
      <c r="BN116" s="928"/>
      <c r="BO116" s="928"/>
      <c r="BP116" s="928"/>
      <c r="BQ116" s="928"/>
      <c r="BR116" s="928"/>
      <c r="BS116" s="928"/>
      <c r="BT116" s="928"/>
      <c r="BU116" s="928"/>
      <c r="BV116" s="928"/>
      <c r="BW116" s="928"/>
      <c r="BX116" s="928"/>
      <c r="BY116" s="928"/>
      <c r="BZ116" s="928"/>
      <c r="CA116" s="928"/>
      <c r="CB116" s="928"/>
      <c r="CC116" s="928"/>
      <c r="CD116" s="928"/>
      <c r="CE116" s="928"/>
      <c r="CF116" s="928"/>
      <c r="CG116" s="928"/>
      <c r="CH116" s="928"/>
      <c r="CI116" s="928"/>
      <c r="CJ116" s="928"/>
      <c r="CK116" s="928"/>
      <c r="CL116" s="928"/>
      <c r="CM116" s="928"/>
      <c r="CN116" s="928"/>
      <c r="CO116" s="928"/>
      <c r="CP116" s="928"/>
      <c r="CQ116" s="928"/>
      <c r="CR116" s="928"/>
      <c r="CS116" s="928"/>
      <c r="CT116" s="928"/>
      <c r="CU116" s="928"/>
      <c r="CV116" s="928"/>
      <c r="CW116" s="928"/>
      <c r="CX116" s="928"/>
      <c r="CY116" s="928"/>
      <c r="CZ116" s="928"/>
      <c r="DA116" s="928"/>
      <c r="DB116" s="928"/>
      <c r="DC116" s="928"/>
      <c r="DD116" s="928"/>
      <c r="DE116" s="928"/>
      <c r="DF116" s="928"/>
      <c r="DG116" s="928"/>
      <c r="DH116" s="928"/>
    </row>
    <row r="117" spans="1:112">
      <c r="A117" s="891" t="s">
        <v>907</v>
      </c>
      <c r="B117" s="891" t="s">
        <v>1472</v>
      </c>
      <c r="C117" s="891" t="s">
        <v>319</v>
      </c>
      <c r="D117" s="891" t="s">
        <v>907</v>
      </c>
      <c r="E117" s="891" t="s">
        <v>1472</v>
      </c>
      <c r="F117" s="891" t="s">
        <v>319</v>
      </c>
      <c r="G117" s="897">
        <v>42.83</v>
      </c>
      <c r="H117" s="897">
        <v>42.13</v>
      </c>
      <c r="I117" s="897">
        <v>58.77</v>
      </c>
      <c r="J117" s="891"/>
      <c r="K117" s="891"/>
      <c r="L117" s="891"/>
      <c r="M117" s="891"/>
      <c r="N117" s="891"/>
      <c r="O117" s="891"/>
      <c r="P117" s="891"/>
      <c r="Q117" s="891"/>
      <c r="R117" s="891"/>
      <c r="S117" s="891"/>
      <c r="T117" s="891"/>
      <c r="U117" s="928"/>
      <c r="V117" s="928"/>
      <c r="W117" s="928"/>
      <c r="X117" s="928"/>
      <c r="Y117" s="928"/>
      <c r="Z117" s="928"/>
      <c r="AA117" s="928"/>
      <c r="AB117" s="928"/>
      <c r="AC117" s="928"/>
      <c r="AD117" s="928"/>
      <c r="AE117" s="928"/>
      <c r="AF117" s="928"/>
      <c r="AG117" s="928"/>
      <c r="AH117" s="928"/>
      <c r="AI117" s="928"/>
      <c r="AJ117" s="928"/>
      <c r="AK117" s="928"/>
      <c r="AL117" s="928"/>
      <c r="AM117" s="928"/>
      <c r="AN117" s="928"/>
      <c r="AO117" s="928"/>
      <c r="AP117" s="928"/>
      <c r="AQ117" s="928"/>
      <c r="AR117" s="928"/>
      <c r="AS117" s="928"/>
      <c r="AT117" s="928"/>
      <c r="AU117" s="928"/>
      <c r="AV117" s="928"/>
      <c r="AW117" s="928"/>
      <c r="AX117" s="928"/>
      <c r="AY117" s="928"/>
      <c r="AZ117" s="928"/>
      <c r="BA117" s="928"/>
      <c r="BB117" s="928"/>
      <c r="BC117" s="928"/>
      <c r="BD117" s="928"/>
      <c r="BE117" s="928"/>
      <c r="BF117" s="928"/>
      <c r="BG117" s="928"/>
      <c r="BH117" s="928"/>
      <c r="BI117" s="928"/>
      <c r="BJ117" s="928"/>
      <c r="BK117" s="928"/>
      <c r="BL117" s="928"/>
      <c r="BM117" s="928"/>
      <c r="BN117" s="928"/>
      <c r="BO117" s="928"/>
      <c r="BP117" s="928"/>
      <c r="BQ117" s="928"/>
      <c r="BR117" s="928"/>
      <c r="BS117" s="928"/>
      <c r="BT117" s="928"/>
      <c r="BU117" s="928"/>
      <c r="BV117" s="928"/>
      <c r="BW117" s="928"/>
      <c r="BX117" s="928"/>
      <c r="BY117" s="928"/>
      <c r="BZ117" s="928"/>
      <c r="CA117" s="928"/>
      <c r="CB117" s="928"/>
      <c r="CC117" s="928"/>
      <c r="CD117" s="928"/>
      <c r="CE117" s="928"/>
      <c r="CF117" s="928"/>
      <c r="CG117" s="928"/>
      <c r="CH117" s="928"/>
      <c r="CI117" s="928"/>
      <c r="CJ117" s="928"/>
      <c r="CK117" s="928"/>
      <c r="CL117" s="928"/>
      <c r="CM117" s="928"/>
      <c r="CN117" s="928"/>
      <c r="CO117" s="928"/>
      <c r="CP117" s="928"/>
      <c r="CQ117" s="928"/>
      <c r="CR117" s="928"/>
      <c r="CS117" s="928"/>
      <c r="CT117" s="928"/>
      <c r="CU117" s="928"/>
      <c r="CV117" s="928"/>
      <c r="CW117" s="928"/>
      <c r="CX117" s="928"/>
      <c r="CY117" s="928"/>
      <c r="CZ117" s="928"/>
      <c r="DA117" s="928"/>
      <c r="DB117" s="928"/>
      <c r="DC117" s="928"/>
      <c r="DD117" s="928"/>
      <c r="DE117" s="928"/>
      <c r="DF117" s="928"/>
      <c r="DG117" s="928"/>
      <c r="DH117" s="928"/>
    </row>
    <row r="118" spans="1:112">
      <c r="A118" s="891" t="s">
        <v>908</v>
      </c>
      <c r="B118" s="891" t="s">
        <v>1507</v>
      </c>
      <c r="C118" s="891" t="s">
        <v>291</v>
      </c>
      <c r="D118" s="891" t="s">
        <v>908</v>
      </c>
      <c r="E118" s="891" t="s">
        <v>1507</v>
      </c>
      <c r="F118" s="891" t="s">
        <v>291</v>
      </c>
      <c r="G118" s="897">
        <v>170.62</v>
      </c>
      <c r="H118" s="897">
        <v>154</v>
      </c>
      <c r="I118" s="897">
        <v>121.36</v>
      </c>
      <c r="J118" s="891"/>
      <c r="K118" s="891"/>
      <c r="L118" s="891"/>
      <c r="M118" s="891"/>
      <c r="N118" s="891"/>
      <c r="O118" s="891"/>
      <c r="P118" s="891"/>
      <c r="Q118" s="891"/>
      <c r="R118" s="891"/>
      <c r="S118" s="891"/>
      <c r="T118" s="891"/>
      <c r="U118" s="928"/>
      <c r="V118" s="928"/>
      <c r="W118" s="928"/>
      <c r="X118" s="928"/>
      <c r="Y118" s="928"/>
      <c r="Z118" s="928"/>
      <c r="AA118" s="928"/>
      <c r="AB118" s="928"/>
      <c r="AC118" s="928"/>
      <c r="AD118" s="928"/>
      <c r="AE118" s="928"/>
      <c r="AF118" s="928"/>
      <c r="AG118" s="928"/>
      <c r="AH118" s="928"/>
      <c r="AI118" s="928"/>
      <c r="AJ118" s="928"/>
      <c r="AK118" s="928"/>
      <c r="AL118" s="928"/>
      <c r="AM118" s="928"/>
      <c r="AN118" s="928"/>
      <c r="AO118" s="928"/>
      <c r="AP118" s="928"/>
      <c r="AQ118" s="928"/>
      <c r="AR118" s="928"/>
      <c r="AS118" s="928"/>
      <c r="AT118" s="928"/>
      <c r="AU118" s="928"/>
      <c r="AV118" s="928"/>
      <c r="AW118" s="928"/>
      <c r="AX118" s="928"/>
      <c r="AY118" s="928"/>
      <c r="AZ118" s="928"/>
      <c r="BA118" s="928"/>
      <c r="BB118" s="928"/>
      <c r="BC118" s="928"/>
      <c r="BD118" s="928"/>
      <c r="BE118" s="928"/>
      <c r="BF118" s="928"/>
      <c r="BG118" s="928"/>
      <c r="BH118" s="928"/>
      <c r="BI118" s="928"/>
      <c r="BJ118" s="928"/>
      <c r="BK118" s="928"/>
      <c r="BL118" s="928"/>
      <c r="BM118" s="928"/>
      <c r="BN118" s="928"/>
      <c r="BO118" s="928"/>
      <c r="BP118" s="928"/>
      <c r="BQ118" s="928"/>
      <c r="BR118" s="928"/>
      <c r="BS118" s="928"/>
      <c r="BT118" s="928"/>
      <c r="BU118" s="928"/>
      <c r="BV118" s="928"/>
      <c r="BW118" s="928"/>
      <c r="BX118" s="928"/>
      <c r="BY118" s="928"/>
      <c r="BZ118" s="928"/>
      <c r="CA118" s="928"/>
      <c r="CB118" s="928"/>
      <c r="CC118" s="928"/>
      <c r="CD118" s="928"/>
      <c r="CE118" s="928"/>
      <c r="CF118" s="928"/>
      <c r="CG118" s="928"/>
      <c r="CH118" s="928"/>
      <c r="CI118" s="928"/>
      <c r="CJ118" s="928"/>
      <c r="CK118" s="928"/>
      <c r="CL118" s="928"/>
      <c r="CM118" s="928"/>
      <c r="CN118" s="928"/>
      <c r="CO118" s="928"/>
      <c r="CP118" s="928"/>
      <c r="CQ118" s="928"/>
      <c r="CR118" s="928"/>
      <c r="CS118" s="928"/>
      <c r="CT118" s="928"/>
      <c r="CU118" s="928"/>
      <c r="CV118" s="928"/>
      <c r="CW118" s="928"/>
      <c r="CX118" s="928"/>
      <c r="CY118" s="928"/>
      <c r="CZ118" s="928"/>
      <c r="DA118" s="928"/>
      <c r="DB118" s="928"/>
      <c r="DC118" s="928"/>
      <c r="DD118" s="928"/>
      <c r="DE118" s="928"/>
      <c r="DF118" s="928"/>
      <c r="DG118" s="928"/>
      <c r="DH118" s="928"/>
    </row>
    <row r="119" spans="1:112">
      <c r="A119" s="891" t="s">
        <v>910</v>
      </c>
      <c r="B119" s="891" t="s">
        <v>1453</v>
      </c>
      <c r="C119" s="891" t="s">
        <v>373</v>
      </c>
      <c r="D119" s="891" t="s">
        <v>910</v>
      </c>
      <c r="E119" s="891" t="s">
        <v>1453</v>
      </c>
      <c r="F119" s="891" t="s">
        <v>373</v>
      </c>
      <c r="G119" s="897">
        <v>97.8</v>
      </c>
      <c r="H119" s="897">
        <v>108.97</v>
      </c>
      <c r="I119" s="897">
        <v>65.59</v>
      </c>
      <c r="J119" s="891"/>
      <c r="K119" s="891"/>
      <c r="L119" s="891"/>
      <c r="M119" s="891"/>
      <c r="N119" s="891"/>
      <c r="O119" s="891"/>
      <c r="P119" s="891"/>
      <c r="Q119" s="891"/>
      <c r="R119" s="891"/>
      <c r="S119" s="891"/>
      <c r="T119" s="891"/>
      <c r="U119" s="928"/>
      <c r="V119" s="928"/>
      <c r="W119" s="928"/>
      <c r="X119" s="928"/>
      <c r="Y119" s="928"/>
      <c r="Z119" s="928"/>
      <c r="AA119" s="928"/>
      <c r="AB119" s="928"/>
      <c r="AC119" s="928"/>
      <c r="AD119" s="928"/>
      <c r="AE119" s="928"/>
      <c r="AF119" s="928"/>
      <c r="AG119" s="928"/>
      <c r="AH119" s="928"/>
      <c r="AI119" s="928"/>
      <c r="AJ119" s="928"/>
      <c r="AK119" s="928"/>
      <c r="AL119" s="928"/>
      <c r="AM119" s="928"/>
      <c r="AN119" s="928"/>
      <c r="AO119" s="928"/>
      <c r="AP119" s="928"/>
      <c r="AQ119" s="928"/>
      <c r="AR119" s="928"/>
      <c r="AS119" s="928"/>
      <c r="AT119" s="928"/>
      <c r="AU119" s="928"/>
      <c r="AV119" s="928"/>
      <c r="AW119" s="928"/>
      <c r="AX119" s="928"/>
      <c r="AY119" s="928"/>
      <c r="AZ119" s="928"/>
      <c r="BA119" s="928"/>
      <c r="BB119" s="928"/>
      <c r="BC119" s="928"/>
      <c r="BD119" s="928"/>
      <c r="BE119" s="928"/>
      <c r="BF119" s="928"/>
      <c r="BG119" s="928"/>
      <c r="BH119" s="928"/>
      <c r="BI119" s="928"/>
      <c r="BJ119" s="928"/>
      <c r="BK119" s="928"/>
      <c r="BL119" s="928"/>
      <c r="BM119" s="928"/>
      <c r="BN119" s="928"/>
      <c r="BO119" s="928"/>
      <c r="BP119" s="928"/>
      <c r="BQ119" s="928"/>
      <c r="BR119" s="928"/>
      <c r="BS119" s="928"/>
      <c r="BT119" s="928"/>
      <c r="BU119" s="928"/>
      <c r="BV119" s="928"/>
      <c r="BW119" s="928"/>
      <c r="BX119" s="928"/>
      <c r="BY119" s="928"/>
      <c r="BZ119" s="928"/>
      <c r="CA119" s="928"/>
      <c r="CB119" s="928"/>
      <c r="CC119" s="928"/>
      <c r="CD119" s="928"/>
      <c r="CE119" s="928"/>
      <c r="CF119" s="928"/>
      <c r="CG119" s="928"/>
      <c r="CH119" s="928"/>
      <c r="CI119" s="928"/>
      <c r="CJ119" s="928"/>
      <c r="CK119" s="928"/>
      <c r="CL119" s="928"/>
      <c r="CM119" s="928"/>
      <c r="CN119" s="928"/>
      <c r="CO119" s="928"/>
      <c r="CP119" s="928"/>
      <c r="CQ119" s="928"/>
      <c r="CR119" s="928"/>
      <c r="CS119" s="928"/>
      <c r="CT119" s="928"/>
      <c r="CU119" s="928"/>
      <c r="CV119" s="928"/>
      <c r="CW119" s="928"/>
      <c r="CX119" s="928"/>
      <c r="CY119" s="928"/>
      <c r="CZ119" s="928"/>
      <c r="DA119" s="928"/>
      <c r="DB119" s="928"/>
      <c r="DC119" s="928"/>
      <c r="DD119" s="928"/>
      <c r="DE119" s="928"/>
      <c r="DF119" s="928"/>
      <c r="DG119" s="928"/>
      <c r="DH119" s="928"/>
    </row>
    <row r="120" spans="1:112">
      <c r="A120" s="891" t="s">
        <v>911</v>
      </c>
      <c r="B120" s="891" t="s">
        <v>1508</v>
      </c>
      <c r="C120" s="891" t="s">
        <v>139</v>
      </c>
      <c r="D120" s="891" t="s">
        <v>911</v>
      </c>
      <c r="E120" s="891" t="s">
        <v>1508</v>
      </c>
      <c r="F120" s="891" t="s">
        <v>139</v>
      </c>
      <c r="G120" s="897">
        <v>71.459999999999994</v>
      </c>
      <c r="H120" s="897">
        <v>99.15</v>
      </c>
      <c r="I120" s="897">
        <v>96.06</v>
      </c>
      <c r="J120" s="891"/>
      <c r="K120" s="891"/>
      <c r="L120" s="891"/>
      <c r="M120" s="891"/>
      <c r="N120" s="891"/>
      <c r="O120" s="891"/>
      <c r="P120" s="891"/>
      <c r="Q120" s="891"/>
      <c r="R120" s="891"/>
      <c r="S120" s="891"/>
      <c r="T120" s="891"/>
      <c r="U120" s="928"/>
      <c r="V120" s="928"/>
      <c r="W120" s="928"/>
      <c r="X120" s="928"/>
      <c r="Y120" s="928"/>
      <c r="Z120" s="928"/>
      <c r="AA120" s="928"/>
      <c r="AB120" s="928"/>
      <c r="AC120" s="928"/>
      <c r="AD120" s="928"/>
      <c r="AE120" s="928"/>
      <c r="AF120" s="928"/>
      <c r="AG120" s="928"/>
      <c r="AH120" s="928"/>
      <c r="AI120" s="928"/>
      <c r="AJ120" s="928"/>
      <c r="AK120" s="928"/>
      <c r="AL120" s="928"/>
      <c r="AM120" s="928"/>
      <c r="AN120" s="928"/>
      <c r="AO120" s="928"/>
      <c r="AP120" s="928"/>
      <c r="AQ120" s="928"/>
      <c r="AR120" s="928"/>
      <c r="AS120" s="928"/>
      <c r="AT120" s="928"/>
      <c r="AU120" s="928"/>
      <c r="AV120" s="928"/>
      <c r="AW120" s="928"/>
      <c r="AX120" s="928"/>
      <c r="AY120" s="928"/>
      <c r="AZ120" s="928"/>
      <c r="BA120" s="928"/>
      <c r="BB120" s="928"/>
      <c r="BC120" s="928"/>
      <c r="BD120" s="928"/>
      <c r="BE120" s="928"/>
      <c r="BF120" s="928"/>
      <c r="BG120" s="928"/>
      <c r="BH120" s="928"/>
      <c r="BI120" s="928"/>
      <c r="BJ120" s="928"/>
      <c r="BK120" s="928"/>
      <c r="BL120" s="928"/>
      <c r="BM120" s="928"/>
      <c r="BN120" s="928"/>
      <c r="BO120" s="928"/>
      <c r="BP120" s="928"/>
      <c r="BQ120" s="928"/>
      <c r="BR120" s="928"/>
      <c r="BS120" s="928"/>
      <c r="BT120" s="928"/>
      <c r="BU120" s="928"/>
      <c r="BV120" s="928"/>
      <c r="BW120" s="928"/>
      <c r="BX120" s="928"/>
      <c r="BY120" s="928"/>
      <c r="BZ120" s="928"/>
      <c r="CA120" s="928"/>
      <c r="CB120" s="928"/>
      <c r="CC120" s="928"/>
      <c r="CD120" s="928"/>
      <c r="CE120" s="928"/>
      <c r="CF120" s="928"/>
      <c r="CG120" s="928"/>
      <c r="CH120" s="928"/>
      <c r="CI120" s="928"/>
      <c r="CJ120" s="928"/>
      <c r="CK120" s="928"/>
      <c r="CL120" s="928"/>
      <c r="CM120" s="928"/>
      <c r="CN120" s="928"/>
      <c r="CO120" s="928"/>
      <c r="CP120" s="928"/>
      <c r="CQ120" s="928"/>
      <c r="CR120" s="928"/>
      <c r="CS120" s="928"/>
      <c r="CT120" s="928"/>
      <c r="CU120" s="928"/>
      <c r="CV120" s="928"/>
      <c r="CW120" s="928"/>
      <c r="CX120" s="928"/>
      <c r="CY120" s="928"/>
      <c r="CZ120" s="928"/>
      <c r="DA120" s="928"/>
      <c r="DB120" s="928"/>
      <c r="DC120" s="928"/>
      <c r="DD120" s="928"/>
      <c r="DE120" s="928"/>
      <c r="DF120" s="928"/>
      <c r="DG120" s="928"/>
      <c r="DH120" s="928"/>
    </row>
    <row r="121" spans="1:112">
      <c r="A121" s="891" t="s">
        <v>912</v>
      </c>
      <c r="B121" s="891" t="s">
        <v>1471</v>
      </c>
      <c r="C121" s="891" t="s">
        <v>49</v>
      </c>
      <c r="D121" s="891" t="s">
        <v>912</v>
      </c>
      <c r="E121" s="891" t="s">
        <v>1471</v>
      </c>
      <c r="F121" s="891" t="s">
        <v>49</v>
      </c>
      <c r="G121" s="897">
        <v>43.59</v>
      </c>
      <c r="H121" s="897">
        <v>40.67</v>
      </c>
      <c r="I121" s="897">
        <v>52.49</v>
      </c>
      <c r="J121" s="891"/>
      <c r="K121" s="891"/>
      <c r="L121" s="891"/>
      <c r="M121" s="891"/>
      <c r="N121" s="891"/>
      <c r="O121" s="891"/>
      <c r="P121" s="891"/>
      <c r="Q121" s="891"/>
      <c r="R121" s="891"/>
      <c r="S121" s="891"/>
      <c r="T121" s="891"/>
      <c r="U121" s="928"/>
      <c r="V121" s="928"/>
      <c r="W121" s="928"/>
      <c r="X121" s="928"/>
      <c r="Y121" s="928"/>
      <c r="Z121" s="928"/>
      <c r="AA121" s="928"/>
      <c r="AB121" s="928"/>
      <c r="AC121" s="928"/>
      <c r="AD121" s="928"/>
      <c r="AE121" s="928"/>
      <c r="AF121" s="928"/>
      <c r="AG121" s="928"/>
      <c r="AH121" s="928"/>
      <c r="AI121" s="928"/>
      <c r="AJ121" s="928"/>
      <c r="AK121" s="928"/>
      <c r="AL121" s="928"/>
      <c r="AM121" s="928"/>
      <c r="AN121" s="928"/>
      <c r="AO121" s="928"/>
      <c r="AP121" s="928"/>
      <c r="AQ121" s="928"/>
      <c r="AR121" s="928"/>
      <c r="AS121" s="928"/>
      <c r="AT121" s="928"/>
      <c r="AU121" s="928"/>
      <c r="AV121" s="928"/>
      <c r="AW121" s="928"/>
      <c r="AX121" s="928"/>
      <c r="AY121" s="928"/>
      <c r="AZ121" s="928"/>
      <c r="BA121" s="928"/>
      <c r="BB121" s="928"/>
      <c r="BC121" s="928"/>
      <c r="BD121" s="928"/>
      <c r="BE121" s="928"/>
      <c r="BF121" s="928"/>
      <c r="BG121" s="928"/>
      <c r="BH121" s="928"/>
      <c r="BI121" s="928"/>
      <c r="BJ121" s="928"/>
      <c r="BK121" s="928"/>
      <c r="BL121" s="928"/>
      <c r="BM121" s="928"/>
      <c r="BN121" s="928"/>
      <c r="BO121" s="928"/>
      <c r="BP121" s="928"/>
      <c r="BQ121" s="928"/>
      <c r="BR121" s="928"/>
      <c r="BS121" s="928"/>
      <c r="BT121" s="928"/>
      <c r="BU121" s="928"/>
      <c r="BV121" s="928"/>
      <c r="BW121" s="928"/>
      <c r="BX121" s="928"/>
      <c r="BY121" s="928"/>
      <c r="BZ121" s="928"/>
      <c r="CA121" s="928"/>
      <c r="CB121" s="928"/>
      <c r="CC121" s="928"/>
      <c r="CD121" s="928"/>
      <c r="CE121" s="928"/>
      <c r="CF121" s="928"/>
      <c r="CG121" s="928"/>
      <c r="CH121" s="928"/>
      <c r="CI121" s="928"/>
      <c r="CJ121" s="928"/>
      <c r="CK121" s="928"/>
      <c r="CL121" s="928"/>
      <c r="CM121" s="928"/>
      <c r="CN121" s="928"/>
      <c r="CO121" s="928"/>
      <c r="CP121" s="928"/>
      <c r="CQ121" s="928"/>
      <c r="CR121" s="928"/>
      <c r="CS121" s="928"/>
      <c r="CT121" s="928"/>
      <c r="CU121" s="928"/>
      <c r="CV121" s="928"/>
      <c r="CW121" s="928"/>
      <c r="CX121" s="928"/>
      <c r="CY121" s="928"/>
      <c r="CZ121" s="928"/>
      <c r="DA121" s="928"/>
      <c r="DB121" s="928"/>
      <c r="DC121" s="928"/>
      <c r="DD121" s="928"/>
      <c r="DE121" s="928"/>
      <c r="DF121" s="928"/>
      <c r="DG121" s="928"/>
      <c r="DH121" s="928"/>
    </row>
    <row r="122" spans="1:112">
      <c r="A122" s="891" t="s">
        <v>913</v>
      </c>
      <c r="B122" s="891" t="s">
        <v>1478</v>
      </c>
      <c r="C122" s="891" t="s">
        <v>122</v>
      </c>
      <c r="D122" s="891" t="s">
        <v>913</v>
      </c>
      <c r="E122" s="891" t="s">
        <v>1478</v>
      </c>
      <c r="F122" s="891" t="s">
        <v>122</v>
      </c>
      <c r="G122" s="897">
        <v>103.11</v>
      </c>
      <c r="H122" s="897">
        <v>95.18</v>
      </c>
      <c r="I122" s="897">
        <v>125.96</v>
      </c>
      <c r="J122" s="891"/>
      <c r="K122" s="891"/>
      <c r="L122" s="891"/>
      <c r="M122" s="891"/>
      <c r="N122" s="891"/>
      <c r="O122" s="891"/>
      <c r="P122" s="891"/>
      <c r="Q122" s="891"/>
      <c r="R122" s="891"/>
      <c r="S122" s="891"/>
      <c r="T122" s="891"/>
      <c r="U122" s="928"/>
      <c r="V122" s="928"/>
      <c r="W122" s="928"/>
      <c r="X122" s="928"/>
      <c r="Y122" s="928"/>
      <c r="Z122" s="928"/>
      <c r="AA122" s="928"/>
      <c r="AB122" s="928"/>
      <c r="AC122" s="928"/>
      <c r="AD122" s="928"/>
      <c r="AE122" s="928"/>
      <c r="AF122" s="928"/>
      <c r="AG122" s="928"/>
      <c r="AH122" s="928"/>
      <c r="AI122" s="928"/>
      <c r="AJ122" s="928"/>
      <c r="AK122" s="928"/>
      <c r="AL122" s="928"/>
      <c r="AM122" s="928"/>
      <c r="AN122" s="928"/>
      <c r="AO122" s="928"/>
      <c r="AP122" s="928"/>
      <c r="AQ122" s="928"/>
      <c r="AR122" s="928"/>
      <c r="AS122" s="928"/>
      <c r="AT122" s="928"/>
      <c r="AU122" s="928"/>
      <c r="AV122" s="928"/>
      <c r="AW122" s="928"/>
      <c r="AX122" s="928"/>
      <c r="AY122" s="928"/>
      <c r="AZ122" s="928"/>
      <c r="BA122" s="928"/>
      <c r="BB122" s="928"/>
      <c r="BC122" s="928"/>
      <c r="BD122" s="928"/>
      <c r="BE122" s="928"/>
      <c r="BF122" s="928"/>
      <c r="BG122" s="928"/>
      <c r="BH122" s="928"/>
      <c r="BI122" s="928"/>
      <c r="BJ122" s="928"/>
      <c r="BK122" s="928"/>
      <c r="BL122" s="928"/>
      <c r="BM122" s="928"/>
      <c r="BN122" s="928"/>
      <c r="BO122" s="928"/>
      <c r="BP122" s="928"/>
      <c r="BQ122" s="928"/>
      <c r="BR122" s="928"/>
      <c r="BS122" s="928"/>
      <c r="BT122" s="928"/>
      <c r="BU122" s="928"/>
      <c r="BV122" s="928"/>
      <c r="BW122" s="928"/>
      <c r="BX122" s="928"/>
      <c r="BY122" s="928"/>
      <c r="BZ122" s="928"/>
      <c r="CA122" s="928"/>
      <c r="CB122" s="928"/>
      <c r="CC122" s="928"/>
      <c r="CD122" s="928"/>
      <c r="CE122" s="928"/>
      <c r="CF122" s="928"/>
      <c r="CG122" s="928"/>
      <c r="CH122" s="928"/>
      <c r="CI122" s="928"/>
      <c r="CJ122" s="928"/>
      <c r="CK122" s="928"/>
      <c r="CL122" s="928"/>
      <c r="CM122" s="928"/>
      <c r="CN122" s="928"/>
      <c r="CO122" s="928"/>
      <c r="CP122" s="928"/>
      <c r="CQ122" s="928"/>
      <c r="CR122" s="928"/>
      <c r="CS122" s="928"/>
      <c r="CT122" s="928"/>
      <c r="CU122" s="928"/>
      <c r="CV122" s="928"/>
      <c r="CW122" s="928"/>
      <c r="CX122" s="928"/>
      <c r="CY122" s="928"/>
      <c r="CZ122" s="928"/>
      <c r="DA122" s="928"/>
      <c r="DB122" s="928"/>
      <c r="DC122" s="928"/>
      <c r="DD122" s="928"/>
      <c r="DE122" s="928"/>
      <c r="DF122" s="928"/>
      <c r="DG122" s="928"/>
      <c r="DH122" s="928"/>
    </row>
    <row r="123" spans="1:112">
      <c r="A123" s="891" t="s">
        <v>916</v>
      </c>
      <c r="B123" s="891" t="s">
        <v>1509</v>
      </c>
      <c r="C123" s="891" t="s">
        <v>332</v>
      </c>
      <c r="D123" s="891" t="s">
        <v>916</v>
      </c>
      <c r="E123" s="891" t="s">
        <v>1509</v>
      </c>
      <c r="F123" s="891" t="s">
        <v>332</v>
      </c>
      <c r="G123" s="897">
        <v>103</v>
      </c>
      <c r="H123" s="897">
        <v>99.48</v>
      </c>
      <c r="I123" s="897">
        <v>133.01</v>
      </c>
      <c r="J123" s="891"/>
      <c r="K123" s="891"/>
      <c r="L123" s="891"/>
      <c r="M123" s="891"/>
      <c r="N123" s="891"/>
      <c r="O123" s="891"/>
      <c r="P123" s="891"/>
      <c r="Q123" s="891"/>
      <c r="R123" s="891"/>
      <c r="S123" s="891"/>
      <c r="T123" s="891"/>
      <c r="U123" s="928"/>
      <c r="V123" s="928"/>
      <c r="W123" s="928"/>
      <c r="X123" s="928"/>
      <c r="Y123" s="928"/>
      <c r="Z123" s="928"/>
      <c r="AA123" s="928"/>
      <c r="AB123" s="928"/>
      <c r="AC123" s="928"/>
      <c r="AD123" s="928"/>
      <c r="AE123" s="928"/>
      <c r="AF123" s="928"/>
      <c r="AG123" s="928"/>
      <c r="AH123" s="928"/>
      <c r="AI123" s="928"/>
      <c r="AJ123" s="928"/>
      <c r="AK123" s="928"/>
      <c r="AL123" s="928"/>
      <c r="AM123" s="928"/>
      <c r="AN123" s="928"/>
      <c r="AO123" s="928"/>
      <c r="AP123" s="928"/>
      <c r="AQ123" s="928"/>
      <c r="AR123" s="928"/>
      <c r="AS123" s="928"/>
      <c r="AT123" s="928"/>
      <c r="AU123" s="928"/>
      <c r="AV123" s="928"/>
      <c r="AW123" s="928"/>
      <c r="AX123" s="928"/>
      <c r="AY123" s="928"/>
      <c r="AZ123" s="928"/>
      <c r="BA123" s="928"/>
      <c r="BB123" s="928"/>
      <c r="BC123" s="928"/>
      <c r="BD123" s="928"/>
      <c r="BE123" s="928"/>
      <c r="BF123" s="928"/>
      <c r="BG123" s="928"/>
      <c r="BH123" s="928"/>
      <c r="BI123" s="928"/>
      <c r="BJ123" s="928"/>
      <c r="BK123" s="928"/>
      <c r="BL123" s="928"/>
      <c r="BM123" s="928"/>
      <c r="BN123" s="928"/>
      <c r="BO123" s="928"/>
      <c r="BP123" s="928"/>
      <c r="BQ123" s="928"/>
      <c r="BR123" s="928"/>
      <c r="BS123" s="928"/>
      <c r="BT123" s="928"/>
      <c r="BU123" s="928"/>
      <c r="BV123" s="928"/>
      <c r="BW123" s="928"/>
      <c r="BX123" s="928"/>
      <c r="BY123" s="928"/>
      <c r="BZ123" s="928"/>
      <c r="CA123" s="928"/>
      <c r="CB123" s="928"/>
      <c r="CC123" s="928"/>
      <c r="CD123" s="928"/>
      <c r="CE123" s="928"/>
      <c r="CF123" s="928"/>
      <c r="CG123" s="928"/>
      <c r="CH123" s="928"/>
      <c r="CI123" s="928"/>
      <c r="CJ123" s="928"/>
      <c r="CK123" s="928"/>
      <c r="CL123" s="928"/>
      <c r="CM123" s="928"/>
      <c r="CN123" s="928"/>
      <c r="CO123" s="928"/>
      <c r="CP123" s="928"/>
      <c r="CQ123" s="928"/>
      <c r="CR123" s="928"/>
      <c r="CS123" s="928"/>
      <c r="CT123" s="928"/>
      <c r="CU123" s="928"/>
      <c r="CV123" s="928"/>
      <c r="CW123" s="928"/>
      <c r="CX123" s="928"/>
      <c r="CY123" s="928"/>
      <c r="CZ123" s="928"/>
      <c r="DA123" s="928"/>
      <c r="DB123" s="928"/>
      <c r="DC123" s="928"/>
      <c r="DD123" s="928"/>
      <c r="DE123" s="928"/>
      <c r="DF123" s="928"/>
      <c r="DG123" s="928"/>
      <c r="DH123" s="928"/>
    </row>
    <row r="124" spans="1:112">
      <c r="A124" s="891" t="s">
        <v>917</v>
      </c>
      <c r="B124" s="891" t="s">
        <v>1510</v>
      </c>
      <c r="C124" s="891" t="s">
        <v>223</v>
      </c>
      <c r="D124" s="891" t="s">
        <v>917</v>
      </c>
      <c r="E124" s="891" t="s">
        <v>1510</v>
      </c>
      <c r="F124" s="891" t="s">
        <v>223</v>
      </c>
      <c r="G124" s="897">
        <v>77.599999999999994</v>
      </c>
      <c r="H124" s="897">
        <v>60.56</v>
      </c>
      <c r="I124" s="897">
        <v>96.18</v>
      </c>
      <c r="J124" s="891"/>
      <c r="K124" s="891"/>
      <c r="L124" s="891"/>
      <c r="M124" s="891"/>
      <c r="N124" s="891"/>
      <c r="O124" s="891"/>
      <c r="P124" s="891"/>
      <c r="Q124" s="891"/>
      <c r="R124" s="891"/>
      <c r="S124" s="891"/>
      <c r="T124" s="891"/>
      <c r="U124" s="928"/>
      <c r="V124" s="928"/>
      <c r="W124" s="928"/>
      <c r="X124" s="928"/>
      <c r="Y124" s="928"/>
      <c r="Z124" s="928"/>
      <c r="AA124" s="928"/>
      <c r="AB124" s="928"/>
      <c r="AC124" s="928"/>
      <c r="AD124" s="928"/>
      <c r="AE124" s="928"/>
      <c r="AF124" s="928"/>
      <c r="AG124" s="928"/>
      <c r="AH124" s="928"/>
      <c r="AI124" s="928"/>
      <c r="AJ124" s="928"/>
      <c r="AK124" s="928"/>
      <c r="AL124" s="928"/>
      <c r="AM124" s="928"/>
      <c r="AN124" s="928"/>
      <c r="AO124" s="928"/>
      <c r="AP124" s="928"/>
      <c r="AQ124" s="928"/>
      <c r="AR124" s="928"/>
      <c r="AS124" s="928"/>
      <c r="AT124" s="928"/>
      <c r="AU124" s="928"/>
      <c r="AV124" s="928"/>
      <c r="AW124" s="928"/>
      <c r="AX124" s="928"/>
      <c r="AY124" s="928"/>
      <c r="AZ124" s="928"/>
      <c r="BA124" s="928"/>
      <c r="BB124" s="928"/>
      <c r="BC124" s="928"/>
      <c r="BD124" s="928"/>
      <c r="BE124" s="928"/>
      <c r="BF124" s="928"/>
      <c r="BG124" s="928"/>
      <c r="BH124" s="928"/>
      <c r="BI124" s="928"/>
      <c r="BJ124" s="928"/>
      <c r="BK124" s="928"/>
      <c r="BL124" s="928"/>
      <c r="BM124" s="928"/>
      <c r="BN124" s="928"/>
      <c r="BO124" s="928"/>
      <c r="BP124" s="928"/>
      <c r="BQ124" s="928"/>
      <c r="BR124" s="928"/>
      <c r="BS124" s="928"/>
      <c r="BT124" s="928"/>
      <c r="BU124" s="928"/>
      <c r="BV124" s="928"/>
      <c r="BW124" s="928"/>
      <c r="BX124" s="928"/>
      <c r="BY124" s="928"/>
      <c r="BZ124" s="928"/>
      <c r="CA124" s="928"/>
      <c r="CB124" s="928"/>
      <c r="CC124" s="928"/>
      <c r="CD124" s="928"/>
      <c r="CE124" s="928"/>
      <c r="CF124" s="928"/>
      <c r="CG124" s="928"/>
      <c r="CH124" s="928"/>
      <c r="CI124" s="928"/>
      <c r="CJ124" s="928"/>
      <c r="CK124" s="928"/>
      <c r="CL124" s="928"/>
      <c r="CM124" s="928"/>
      <c r="CN124" s="928"/>
      <c r="CO124" s="928"/>
      <c r="CP124" s="928"/>
      <c r="CQ124" s="928"/>
      <c r="CR124" s="928"/>
      <c r="CS124" s="928"/>
      <c r="CT124" s="928"/>
      <c r="CU124" s="928"/>
      <c r="CV124" s="928"/>
      <c r="CW124" s="928"/>
      <c r="CX124" s="928"/>
      <c r="CY124" s="928"/>
      <c r="CZ124" s="928"/>
      <c r="DA124" s="928"/>
      <c r="DB124" s="928"/>
      <c r="DC124" s="928"/>
      <c r="DD124" s="928"/>
      <c r="DE124" s="928"/>
      <c r="DF124" s="928"/>
      <c r="DG124" s="928"/>
      <c r="DH124" s="928"/>
    </row>
    <row r="125" spans="1:112">
      <c r="A125" s="891" t="s">
        <v>918</v>
      </c>
      <c r="B125" s="891" t="s">
        <v>1478</v>
      </c>
      <c r="C125" s="891" t="s">
        <v>85</v>
      </c>
      <c r="D125" s="891" t="s">
        <v>918</v>
      </c>
      <c r="E125" s="891" t="s">
        <v>1478</v>
      </c>
      <c r="F125" s="891" t="s">
        <v>85</v>
      </c>
      <c r="G125" s="897">
        <v>95.9</v>
      </c>
      <c r="H125" s="897">
        <v>90.97</v>
      </c>
      <c r="I125" s="897">
        <v>95.05</v>
      </c>
      <c r="J125" s="891"/>
      <c r="K125" s="891"/>
      <c r="L125" s="891"/>
      <c r="M125" s="891"/>
      <c r="N125" s="891"/>
      <c r="O125" s="891"/>
      <c r="P125" s="891"/>
      <c r="Q125" s="891"/>
      <c r="R125" s="891"/>
      <c r="S125" s="891"/>
      <c r="T125" s="891"/>
      <c r="U125" s="928"/>
      <c r="V125" s="928"/>
      <c r="W125" s="928"/>
      <c r="X125" s="928"/>
      <c r="Y125" s="928"/>
      <c r="Z125" s="928"/>
      <c r="AA125" s="928"/>
      <c r="AB125" s="928"/>
      <c r="AC125" s="928"/>
      <c r="AD125" s="928"/>
      <c r="AE125" s="928"/>
      <c r="AF125" s="928"/>
      <c r="AG125" s="928"/>
      <c r="AH125" s="928"/>
      <c r="AI125" s="928"/>
      <c r="AJ125" s="928"/>
      <c r="AK125" s="928"/>
      <c r="AL125" s="928"/>
      <c r="AM125" s="928"/>
      <c r="AN125" s="928"/>
      <c r="AO125" s="928"/>
      <c r="AP125" s="928"/>
      <c r="AQ125" s="928"/>
      <c r="AR125" s="928"/>
      <c r="AS125" s="928"/>
      <c r="AT125" s="928"/>
      <c r="AU125" s="928"/>
      <c r="AV125" s="928"/>
      <c r="AW125" s="928"/>
      <c r="AX125" s="928"/>
      <c r="AY125" s="928"/>
      <c r="AZ125" s="928"/>
      <c r="BA125" s="928"/>
      <c r="BB125" s="928"/>
      <c r="BC125" s="928"/>
      <c r="BD125" s="928"/>
      <c r="BE125" s="928"/>
      <c r="BF125" s="928"/>
      <c r="BG125" s="928"/>
      <c r="BH125" s="928"/>
      <c r="BI125" s="928"/>
      <c r="BJ125" s="928"/>
      <c r="BK125" s="928"/>
      <c r="BL125" s="928"/>
      <c r="BM125" s="928"/>
      <c r="BN125" s="928"/>
      <c r="BO125" s="928"/>
      <c r="BP125" s="928"/>
      <c r="BQ125" s="928"/>
      <c r="BR125" s="928"/>
      <c r="BS125" s="928"/>
      <c r="BT125" s="928"/>
      <c r="BU125" s="928"/>
      <c r="BV125" s="928"/>
      <c r="BW125" s="928"/>
      <c r="BX125" s="928"/>
      <c r="BY125" s="928"/>
      <c r="BZ125" s="928"/>
      <c r="CA125" s="928"/>
      <c r="CB125" s="928"/>
      <c r="CC125" s="928"/>
      <c r="CD125" s="928"/>
      <c r="CE125" s="928"/>
      <c r="CF125" s="928"/>
      <c r="CG125" s="928"/>
      <c r="CH125" s="928"/>
      <c r="CI125" s="928"/>
      <c r="CJ125" s="928"/>
      <c r="CK125" s="928"/>
      <c r="CL125" s="928"/>
      <c r="CM125" s="928"/>
      <c r="CN125" s="928"/>
      <c r="CO125" s="928"/>
      <c r="CP125" s="928"/>
      <c r="CQ125" s="928"/>
      <c r="CR125" s="928"/>
      <c r="CS125" s="928"/>
      <c r="CT125" s="928"/>
      <c r="CU125" s="928"/>
      <c r="CV125" s="928"/>
      <c r="CW125" s="928"/>
      <c r="CX125" s="928"/>
      <c r="CY125" s="928"/>
      <c r="CZ125" s="928"/>
      <c r="DA125" s="928"/>
      <c r="DB125" s="928"/>
      <c r="DC125" s="928"/>
      <c r="DD125" s="928"/>
      <c r="DE125" s="928"/>
      <c r="DF125" s="928"/>
      <c r="DG125" s="928"/>
      <c r="DH125" s="928"/>
    </row>
    <row r="126" spans="1:112">
      <c r="A126" s="891" t="s">
        <v>919</v>
      </c>
      <c r="B126" s="891" t="s">
        <v>1511</v>
      </c>
      <c r="C126" s="891" t="s">
        <v>36</v>
      </c>
      <c r="D126" s="891" t="s">
        <v>919</v>
      </c>
      <c r="E126" s="891" t="s">
        <v>1511</v>
      </c>
      <c r="F126" s="891" t="s">
        <v>36</v>
      </c>
      <c r="G126" s="897">
        <v>86.72</v>
      </c>
      <c r="H126" s="897">
        <v>99.63</v>
      </c>
      <c r="I126" s="897">
        <v>112.98</v>
      </c>
      <c r="J126" s="891"/>
      <c r="K126" s="891"/>
      <c r="L126" s="891"/>
      <c r="M126" s="891"/>
      <c r="N126" s="891"/>
      <c r="O126" s="891"/>
      <c r="P126" s="891"/>
      <c r="Q126" s="891"/>
      <c r="R126" s="891"/>
      <c r="S126" s="891"/>
      <c r="T126" s="891"/>
      <c r="U126" s="928"/>
      <c r="V126" s="928"/>
      <c r="W126" s="928"/>
      <c r="X126" s="928"/>
      <c r="Y126" s="928"/>
      <c r="Z126" s="928"/>
      <c r="AA126" s="928"/>
      <c r="AB126" s="928"/>
      <c r="AC126" s="928"/>
      <c r="AD126" s="928"/>
      <c r="AE126" s="928"/>
      <c r="AF126" s="928"/>
      <c r="AG126" s="928"/>
      <c r="AH126" s="928"/>
      <c r="AI126" s="928"/>
      <c r="AJ126" s="928"/>
      <c r="AK126" s="928"/>
      <c r="AL126" s="928"/>
      <c r="AM126" s="928"/>
      <c r="AN126" s="928"/>
      <c r="AO126" s="928"/>
      <c r="AP126" s="928"/>
      <c r="AQ126" s="928"/>
      <c r="AR126" s="928"/>
      <c r="AS126" s="928"/>
      <c r="AT126" s="928"/>
      <c r="AU126" s="928"/>
      <c r="AV126" s="928"/>
      <c r="AW126" s="928"/>
      <c r="AX126" s="928"/>
      <c r="AY126" s="928"/>
      <c r="AZ126" s="928"/>
      <c r="BA126" s="928"/>
      <c r="BB126" s="928"/>
      <c r="BC126" s="928"/>
      <c r="BD126" s="928"/>
      <c r="BE126" s="928"/>
      <c r="BF126" s="928"/>
      <c r="BG126" s="928"/>
      <c r="BH126" s="928"/>
      <c r="BI126" s="928"/>
      <c r="BJ126" s="928"/>
      <c r="BK126" s="928"/>
      <c r="BL126" s="928"/>
      <c r="BM126" s="928"/>
      <c r="BN126" s="928"/>
      <c r="BO126" s="928"/>
      <c r="BP126" s="928"/>
      <c r="BQ126" s="928"/>
      <c r="BR126" s="928"/>
      <c r="BS126" s="928"/>
      <c r="BT126" s="928"/>
      <c r="BU126" s="928"/>
      <c r="BV126" s="928"/>
      <c r="BW126" s="928"/>
      <c r="BX126" s="928"/>
      <c r="BY126" s="928"/>
      <c r="BZ126" s="928"/>
      <c r="CA126" s="928"/>
      <c r="CB126" s="928"/>
      <c r="CC126" s="928"/>
      <c r="CD126" s="928"/>
      <c r="CE126" s="928"/>
      <c r="CF126" s="928"/>
      <c r="CG126" s="928"/>
      <c r="CH126" s="928"/>
      <c r="CI126" s="928"/>
      <c r="CJ126" s="928"/>
      <c r="CK126" s="928"/>
      <c r="CL126" s="928"/>
      <c r="CM126" s="928"/>
      <c r="CN126" s="928"/>
      <c r="CO126" s="928"/>
      <c r="CP126" s="928"/>
      <c r="CQ126" s="928"/>
      <c r="CR126" s="928"/>
      <c r="CS126" s="928"/>
      <c r="CT126" s="928"/>
      <c r="CU126" s="928"/>
      <c r="CV126" s="928"/>
      <c r="CW126" s="928"/>
      <c r="CX126" s="928"/>
      <c r="CY126" s="928"/>
      <c r="CZ126" s="928"/>
      <c r="DA126" s="928"/>
      <c r="DB126" s="928"/>
      <c r="DC126" s="928"/>
      <c r="DD126" s="928"/>
      <c r="DE126" s="928"/>
      <c r="DF126" s="928"/>
      <c r="DG126" s="928"/>
      <c r="DH126" s="928"/>
    </row>
    <row r="127" spans="1:112">
      <c r="A127" s="891" t="s">
        <v>1512</v>
      </c>
      <c r="B127" s="891" t="s">
        <v>1463</v>
      </c>
      <c r="C127" s="891" t="s">
        <v>413</v>
      </c>
      <c r="D127" s="891" t="s">
        <v>1512</v>
      </c>
      <c r="E127" s="891" t="s">
        <v>1463</v>
      </c>
      <c r="F127" s="891" t="s">
        <v>413</v>
      </c>
      <c r="G127" s="897">
        <v>45.36</v>
      </c>
      <c r="H127" s="897">
        <v>39.409999999999997</v>
      </c>
      <c r="I127" s="897">
        <v>65.17</v>
      </c>
      <c r="J127" s="891"/>
      <c r="K127" s="891"/>
      <c r="L127" s="891"/>
      <c r="M127" s="891"/>
      <c r="N127" s="891"/>
      <c r="O127" s="891"/>
      <c r="P127" s="891"/>
      <c r="Q127" s="891"/>
      <c r="R127" s="891"/>
      <c r="S127" s="891"/>
      <c r="T127" s="891"/>
      <c r="U127" s="928"/>
      <c r="V127" s="928"/>
      <c r="W127" s="928"/>
      <c r="X127" s="928"/>
      <c r="Y127" s="928"/>
      <c r="Z127" s="928"/>
      <c r="AA127" s="928"/>
      <c r="AB127" s="928"/>
      <c r="AC127" s="928"/>
      <c r="AD127" s="928"/>
      <c r="AE127" s="928"/>
      <c r="AF127" s="928"/>
      <c r="AG127" s="928"/>
      <c r="AH127" s="928"/>
      <c r="AI127" s="928"/>
      <c r="AJ127" s="928"/>
      <c r="AK127" s="928"/>
      <c r="AL127" s="928"/>
      <c r="AM127" s="928"/>
      <c r="AN127" s="928"/>
      <c r="AO127" s="928"/>
      <c r="AP127" s="928"/>
      <c r="AQ127" s="928"/>
      <c r="AR127" s="928"/>
      <c r="AS127" s="928"/>
      <c r="AT127" s="928"/>
      <c r="AU127" s="928"/>
      <c r="AV127" s="928"/>
      <c r="AW127" s="928"/>
      <c r="AX127" s="928"/>
      <c r="AY127" s="928"/>
      <c r="AZ127" s="928"/>
      <c r="BA127" s="928"/>
      <c r="BB127" s="928"/>
      <c r="BC127" s="928"/>
      <c r="BD127" s="928"/>
      <c r="BE127" s="928"/>
      <c r="BF127" s="928"/>
      <c r="BG127" s="928"/>
      <c r="BH127" s="928"/>
      <c r="BI127" s="928"/>
      <c r="BJ127" s="928"/>
      <c r="BK127" s="928"/>
      <c r="BL127" s="928"/>
      <c r="BM127" s="928"/>
      <c r="BN127" s="928"/>
      <c r="BO127" s="928"/>
      <c r="BP127" s="928"/>
      <c r="BQ127" s="928"/>
      <c r="BR127" s="928"/>
      <c r="BS127" s="928"/>
      <c r="BT127" s="928"/>
      <c r="BU127" s="928"/>
      <c r="BV127" s="928"/>
      <c r="BW127" s="928"/>
      <c r="BX127" s="928"/>
      <c r="BY127" s="928"/>
      <c r="BZ127" s="928"/>
      <c r="CA127" s="928"/>
      <c r="CB127" s="928"/>
      <c r="CC127" s="928"/>
      <c r="CD127" s="928"/>
      <c r="CE127" s="928"/>
      <c r="CF127" s="928"/>
      <c r="CG127" s="928"/>
      <c r="CH127" s="928"/>
      <c r="CI127" s="928"/>
      <c r="CJ127" s="928"/>
      <c r="CK127" s="928"/>
      <c r="CL127" s="928"/>
      <c r="CM127" s="928"/>
      <c r="CN127" s="928"/>
      <c r="CO127" s="928"/>
      <c r="CP127" s="928"/>
      <c r="CQ127" s="928"/>
      <c r="CR127" s="928"/>
      <c r="CS127" s="928"/>
      <c r="CT127" s="928"/>
      <c r="CU127" s="928"/>
      <c r="CV127" s="928"/>
      <c r="CW127" s="928"/>
      <c r="CX127" s="928"/>
      <c r="CY127" s="928"/>
      <c r="CZ127" s="928"/>
      <c r="DA127" s="928"/>
      <c r="DB127" s="928"/>
      <c r="DC127" s="928"/>
      <c r="DD127" s="928"/>
      <c r="DE127" s="928"/>
      <c r="DF127" s="928"/>
      <c r="DG127" s="928"/>
      <c r="DH127" s="928"/>
    </row>
    <row r="128" spans="1:112">
      <c r="A128" s="891" t="s">
        <v>920</v>
      </c>
      <c r="B128" s="891" t="s">
        <v>1509</v>
      </c>
      <c r="C128" s="891" t="s">
        <v>356</v>
      </c>
      <c r="D128" s="891" t="s">
        <v>920</v>
      </c>
      <c r="E128" s="891" t="s">
        <v>1509</v>
      </c>
      <c r="F128" s="891" t="s">
        <v>356</v>
      </c>
      <c r="G128" s="897">
        <v>55.12</v>
      </c>
      <c r="H128" s="897">
        <v>25.63</v>
      </c>
      <c r="I128" s="897">
        <v>34.28</v>
      </c>
      <c r="J128" s="891"/>
      <c r="K128" s="891"/>
      <c r="L128" s="891"/>
      <c r="M128" s="891"/>
      <c r="N128" s="891"/>
      <c r="O128" s="891"/>
      <c r="P128" s="891"/>
      <c r="Q128" s="891"/>
      <c r="R128" s="891"/>
      <c r="S128" s="891"/>
      <c r="T128" s="891"/>
      <c r="U128" s="928"/>
      <c r="V128" s="928"/>
      <c r="W128" s="928"/>
      <c r="X128" s="928"/>
      <c r="Y128" s="928"/>
      <c r="Z128" s="928"/>
      <c r="AA128" s="928"/>
      <c r="AB128" s="928"/>
      <c r="AC128" s="928"/>
      <c r="AD128" s="928"/>
      <c r="AE128" s="928"/>
      <c r="AF128" s="928"/>
      <c r="AG128" s="928"/>
      <c r="AH128" s="928"/>
      <c r="AI128" s="928"/>
      <c r="AJ128" s="928"/>
      <c r="AK128" s="928"/>
      <c r="AL128" s="928"/>
      <c r="AM128" s="928"/>
      <c r="AN128" s="928"/>
      <c r="AO128" s="928"/>
      <c r="AP128" s="928"/>
      <c r="AQ128" s="928"/>
      <c r="AR128" s="928"/>
      <c r="AS128" s="928"/>
      <c r="AT128" s="928"/>
      <c r="AU128" s="928"/>
      <c r="AV128" s="928"/>
      <c r="AW128" s="928"/>
      <c r="AX128" s="928"/>
      <c r="AY128" s="928"/>
      <c r="AZ128" s="928"/>
      <c r="BA128" s="928"/>
      <c r="BB128" s="928"/>
      <c r="BC128" s="928"/>
      <c r="BD128" s="928"/>
      <c r="BE128" s="928"/>
      <c r="BF128" s="928"/>
      <c r="BG128" s="928"/>
      <c r="BH128" s="928"/>
      <c r="BI128" s="928"/>
      <c r="BJ128" s="928"/>
      <c r="BK128" s="928"/>
      <c r="BL128" s="928"/>
      <c r="BM128" s="928"/>
      <c r="BN128" s="928"/>
      <c r="BO128" s="928"/>
      <c r="BP128" s="928"/>
      <c r="BQ128" s="928"/>
      <c r="BR128" s="928"/>
      <c r="BS128" s="928"/>
      <c r="BT128" s="928"/>
      <c r="BU128" s="928"/>
      <c r="BV128" s="928"/>
      <c r="BW128" s="928"/>
      <c r="BX128" s="928"/>
      <c r="BY128" s="928"/>
      <c r="BZ128" s="928"/>
      <c r="CA128" s="928"/>
      <c r="CB128" s="928"/>
      <c r="CC128" s="928"/>
      <c r="CD128" s="928"/>
      <c r="CE128" s="928"/>
      <c r="CF128" s="928"/>
      <c r="CG128" s="928"/>
      <c r="CH128" s="928"/>
      <c r="CI128" s="928"/>
      <c r="CJ128" s="928"/>
      <c r="CK128" s="928"/>
      <c r="CL128" s="928"/>
      <c r="CM128" s="928"/>
      <c r="CN128" s="928"/>
      <c r="CO128" s="928"/>
      <c r="CP128" s="928"/>
      <c r="CQ128" s="928"/>
      <c r="CR128" s="928"/>
      <c r="CS128" s="928"/>
      <c r="CT128" s="928"/>
      <c r="CU128" s="928"/>
      <c r="CV128" s="928"/>
      <c r="CW128" s="928"/>
      <c r="CX128" s="928"/>
      <c r="CY128" s="928"/>
      <c r="CZ128" s="928"/>
      <c r="DA128" s="928"/>
      <c r="DB128" s="928"/>
      <c r="DC128" s="928"/>
      <c r="DD128" s="928"/>
      <c r="DE128" s="928"/>
      <c r="DF128" s="928"/>
      <c r="DG128" s="928"/>
      <c r="DH128" s="928"/>
    </row>
    <row r="129" spans="1:112">
      <c r="A129" s="891" t="s">
        <v>561</v>
      </c>
      <c r="B129" s="891" t="s">
        <v>1513</v>
      </c>
      <c r="C129" s="891" t="s">
        <v>159</v>
      </c>
      <c r="D129" s="891" t="s">
        <v>561</v>
      </c>
      <c r="E129" s="891" t="s">
        <v>1513</v>
      </c>
      <c r="F129" s="891" t="s">
        <v>159</v>
      </c>
      <c r="G129" s="897">
        <v>58.72</v>
      </c>
      <c r="H129" s="897">
        <v>31.73</v>
      </c>
      <c r="I129" s="897">
        <v>35.25</v>
      </c>
      <c r="J129" s="891"/>
      <c r="K129" s="891"/>
      <c r="L129" s="891"/>
      <c r="M129" s="891"/>
      <c r="N129" s="891"/>
      <c r="O129" s="891"/>
      <c r="P129" s="891"/>
      <c r="Q129" s="891"/>
      <c r="R129" s="891"/>
      <c r="S129" s="891"/>
      <c r="T129" s="891"/>
      <c r="U129" s="928"/>
      <c r="V129" s="928"/>
      <c r="W129" s="928"/>
      <c r="X129" s="928"/>
      <c r="Y129" s="928"/>
      <c r="Z129" s="928"/>
      <c r="AA129" s="928"/>
      <c r="AB129" s="928"/>
      <c r="AC129" s="928"/>
      <c r="AD129" s="928"/>
      <c r="AE129" s="928"/>
      <c r="AF129" s="928"/>
      <c r="AG129" s="928"/>
      <c r="AH129" s="928"/>
      <c r="AI129" s="928"/>
      <c r="AJ129" s="928"/>
      <c r="AK129" s="928"/>
      <c r="AL129" s="928"/>
      <c r="AM129" s="928"/>
      <c r="AN129" s="928"/>
      <c r="AO129" s="928"/>
      <c r="AP129" s="928"/>
      <c r="AQ129" s="928"/>
      <c r="AR129" s="928"/>
      <c r="AS129" s="928"/>
      <c r="AT129" s="928"/>
      <c r="AU129" s="928"/>
      <c r="AV129" s="928"/>
      <c r="AW129" s="928"/>
      <c r="AX129" s="928"/>
      <c r="AY129" s="928"/>
      <c r="AZ129" s="928"/>
      <c r="BA129" s="928"/>
      <c r="BB129" s="928"/>
      <c r="BC129" s="928"/>
      <c r="BD129" s="928"/>
      <c r="BE129" s="928"/>
      <c r="BF129" s="928"/>
      <c r="BG129" s="928"/>
      <c r="BH129" s="928"/>
      <c r="BI129" s="928"/>
      <c r="BJ129" s="928"/>
      <c r="BK129" s="928"/>
      <c r="BL129" s="928"/>
      <c r="BM129" s="928"/>
      <c r="BN129" s="928"/>
      <c r="BO129" s="928"/>
      <c r="BP129" s="928"/>
      <c r="BQ129" s="928"/>
      <c r="BR129" s="928"/>
      <c r="BS129" s="928"/>
      <c r="BT129" s="928"/>
      <c r="BU129" s="928"/>
      <c r="BV129" s="928"/>
      <c r="BW129" s="928"/>
      <c r="BX129" s="928"/>
      <c r="BY129" s="928"/>
      <c r="BZ129" s="928"/>
      <c r="CA129" s="928"/>
      <c r="CB129" s="928"/>
      <c r="CC129" s="928"/>
      <c r="CD129" s="928"/>
      <c r="CE129" s="928"/>
      <c r="CF129" s="928"/>
      <c r="CG129" s="928"/>
      <c r="CH129" s="928"/>
      <c r="CI129" s="928"/>
      <c r="CJ129" s="928"/>
      <c r="CK129" s="928"/>
      <c r="CL129" s="928"/>
      <c r="CM129" s="928"/>
      <c r="CN129" s="928"/>
      <c r="CO129" s="928"/>
      <c r="CP129" s="928"/>
      <c r="CQ129" s="928"/>
      <c r="CR129" s="928"/>
      <c r="CS129" s="928"/>
      <c r="CT129" s="928"/>
      <c r="CU129" s="928"/>
      <c r="CV129" s="928"/>
      <c r="CW129" s="928"/>
      <c r="CX129" s="928"/>
      <c r="CY129" s="928"/>
      <c r="CZ129" s="928"/>
      <c r="DA129" s="928"/>
      <c r="DB129" s="928"/>
      <c r="DC129" s="928"/>
      <c r="DD129" s="928"/>
      <c r="DE129" s="928"/>
      <c r="DF129" s="928"/>
      <c r="DG129" s="928"/>
      <c r="DH129" s="928"/>
    </row>
    <row r="130" spans="1:112">
      <c r="A130" s="891" t="s">
        <v>921</v>
      </c>
      <c r="B130" s="891" t="s">
        <v>1454</v>
      </c>
      <c r="C130" s="891" t="s">
        <v>51</v>
      </c>
      <c r="D130" s="891" t="s">
        <v>921</v>
      </c>
      <c r="E130" s="891" t="s">
        <v>1454</v>
      </c>
      <c r="F130" s="891" t="s">
        <v>51</v>
      </c>
      <c r="G130" s="897">
        <v>99.29</v>
      </c>
      <c r="H130" s="897">
        <v>117.46</v>
      </c>
      <c r="I130" s="897">
        <v>81.650000000000006</v>
      </c>
      <c r="J130" s="891"/>
      <c r="K130" s="891"/>
      <c r="L130" s="891"/>
      <c r="M130" s="891"/>
      <c r="N130" s="891"/>
      <c r="O130" s="891"/>
      <c r="P130" s="891"/>
      <c r="Q130" s="891"/>
      <c r="R130" s="891"/>
      <c r="S130" s="891"/>
      <c r="T130" s="891"/>
      <c r="U130" s="928"/>
      <c r="V130" s="928"/>
      <c r="W130" s="928"/>
      <c r="X130" s="928"/>
      <c r="Y130" s="928"/>
      <c r="Z130" s="928"/>
      <c r="AA130" s="928"/>
      <c r="AB130" s="928"/>
      <c r="AC130" s="928"/>
      <c r="AD130" s="928"/>
      <c r="AE130" s="928"/>
      <c r="AF130" s="928"/>
      <c r="AG130" s="928"/>
      <c r="AH130" s="928"/>
      <c r="AI130" s="928"/>
      <c r="AJ130" s="928"/>
      <c r="AK130" s="928"/>
      <c r="AL130" s="928"/>
      <c r="AM130" s="928"/>
      <c r="AN130" s="928"/>
      <c r="AO130" s="928"/>
      <c r="AP130" s="928"/>
      <c r="AQ130" s="928"/>
      <c r="AR130" s="928"/>
      <c r="AS130" s="928"/>
      <c r="AT130" s="928"/>
      <c r="AU130" s="928"/>
      <c r="AV130" s="928"/>
      <c r="AW130" s="928"/>
      <c r="AX130" s="928"/>
      <c r="AY130" s="928"/>
      <c r="AZ130" s="928"/>
      <c r="BA130" s="928"/>
      <c r="BB130" s="928"/>
      <c r="BC130" s="928"/>
      <c r="BD130" s="928"/>
      <c r="BE130" s="928"/>
      <c r="BF130" s="928"/>
      <c r="BG130" s="928"/>
      <c r="BH130" s="928"/>
      <c r="BI130" s="928"/>
      <c r="BJ130" s="928"/>
      <c r="BK130" s="928"/>
      <c r="BL130" s="928"/>
      <c r="BM130" s="928"/>
      <c r="BN130" s="928"/>
      <c r="BO130" s="928"/>
      <c r="BP130" s="928"/>
      <c r="BQ130" s="928"/>
      <c r="BR130" s="928"/>
      <c r="BS130" s="928"/>
      <c r="BT130" s="928"/>
      <c r="BU130" s="928"/>
      <c r="BV130" s="928"/>
      <c r="BW130" s="928"/>
      <c r="BX130" s="928"/>
      <c r="BY130" s="928"/>
      <c r="BZ130" s="928"/>
      <c r="CA130" s="928"/>
      <c r="CB130" s="928"/>
      <c r="CC130" s="928"/>
      <c r="CD130" s="928"/>
      <c r="CE130" s="928"/>
      <c r="CF130" s="928"/>
      <c r="CG130" s="928"/>
      <c r="CH130" s="928"/>
      <c r="CI130" s="928"/>
      <c r="CJ130" s="928"/>
      <c r="CK130" s="928"/>
      <c r="CL130" s="928"/>
      <c r="CM130" s="928"/>
      <c r="CN130" s="928"/>
      <c r="CO130" s="928"/>
      <c r="CP130" s="928"/>
      <c r="CQ130" s="928"/>
      <c r="CR130" s="928"/>
      <c r="CS130" s="928"/>
      <c r="CT130" s="928"/>
      <c r="CU130" s="928"/>
      <c r="CV130" s="928"/>
      <c r="CW130" s="928"/>
      <c r="CX130" s="928"/>
      <c r="CY130" s="928"/>
      <c r="CZ130" s="928"/>
      <c r="DA130" s="928"/>
      <c r="DB130" s="928"/>
      <c r="DC130" s="928"/>
      <c r="DD130" s="928"/>
      <c r="DE130" s="928"/>
      <c r="DF130" s="928"/>
      <c r="DG130" s="928"/>
      <c r="DH130" s="928"/>
    </row>
    <row r="131" spans="1:112">
      <c r="A131" s="891" t="s">
        <v>922</v>
      </c>
      <c r="B131" s="891" t="s">
        <v>1454</v>
      </c>
      <c r="C131" s="891" t="s">
        <v>192</v>
      </c>
      <c r="D131" s="891" t="s">
        <v>922</v>
      </c>
      <c r="E131" s="891" t="s">
        <v>1454</v>
      </c>
      <c r="F131" s="891" t="s">
        <v>192</v>
      </c>
      <c r="G131" s="897">
        <v>33.31</v>
      </c>
      <c r="H131" s="897">
        <v>23.53</v>
      </c>
      <c r="I131" s="897">
        <v>80.37</v>
      </c>
      <c r="J131" s="891"/>
      <c r="K131" s="891"/>
      <c r="L131" s="891"/>
      <c r="M131" s="891"/>
      <c r="N131" s="891"/>
      <c r="O131" s="891"/>
      <c r="P131" s="891"/>
      <c r="Q131" s="891"/>
      <c r="R131" s="891"/>
      <c r="S131" s="891"/>
      <c r="T131" s="891"/>
      <c r="U131" s="928"/>
      <c r="V131" s="928"/>
      <c r="W131" s="928"/>
      <c r="X131" s="928"/>
      <c r="Y131" s="928"/>
      <c r="Z131" s="928"/>
      <c r="AA131" s="928"/>
      <c r="AB131" s="928"/>
      <c r="AC131" s="928"/>
      <c r="AD131" s="928"/>
      <c r="AE131" s="928"/>
      <c r="AF131" s="928"/>
      <c r="AG131" s="928"/>
      <c r="AH131" s="928"/>
      <c r="AI131" s="928"/>
      <c r="AJ131" s="928"/>
      <c r="AK131" s="928"/>
      <c r="AL131" s="928"/>
      <c r="AM131" s="928"/>
      <c r="AN131" s="928"/>
      <c r="AO131" s="928"/>
      <c r="AP131" s="928"/>
      <c r="AQ131" s="928"/>
      <c r="AR131" s="928"/>
      <c r="AS131" s="928"/>
      <c r="AT131" s="928"/>
      <c r="AU131" s="928"/>
      <c r="AV131" s="928"/>
      <c r="AW131" s="928"/>
      <c r="AX131" s="928"/>
      <c r="AY131" s="928"/>
      <c r="AZ131" s="928"/>
      <c r="BA131" s="928"/>
      <c r="BB131" s="928"/>
      <c r="BC131" s="928"/>
      <c r="BD131" s="928"/>
      <c r="BE131" s="928"/>
      <c r="BF131" s="928"/>
      <c r="BG131" s="928"/>
      <c r="BH131" s="928"/>
      <c r="BI131" s="928"/>
      <c r="BJ131" s="928"/>
      <c r="BK131" s="928"/>
      <c r="BL131" s="928"/>
      <c r="BM131" s="928"/>
      <c r="BN131" s="928"/>
      <c r="BO131" s="928"/>
      <c r="BP131" s="928"/>
      <c r="BQ131" s="928"/>
      <c r="BR131" s="928"/>
      <c r="BS131" s="928"/>
      <c r="BT131" s="928"/>
      <c r="BU131" s="928"/>
      <c r="BV131" s="928"/>
      <c r="BW131" s="928"/>
      <c r="BX131" s="928"/>
      <c r="BY131" s="928"/>
      <c r="BZ131" s="928"/>
      <c r="CA131" s="928"/>
      <c r="CB131" s="928"/>
      <c r="CC131" s="928"/>
      <c r="CD131" s="928"/>
      <c r="CE131" s="928"/>
      <c r="CF131" s="928"/>
      <c r="CG131" s="928"/>
      <c r="CH131" s="928"/>
      <c r="CI131" s="928"/>
      <c r="CJ131" s="928"/>
      <c r="CK131" s="928"/>
      <c r="CL131" s="928"/>
      <c r="CM131" s="928"/>
      <c r="CN131" s="928"/>
      <c r="CO131" s="928"/>
      <c r="CP131" s="928"/>
      <c r="CQ131" s="928"/>
      <c r="CR131" s="928"/>
      <c r="CS131" s="928"/>
      <c r="CT131" s="928"/>
      <c r="CU131" s="928"/>
      <c r="CV131" s="928"/>
      <c r="CW131" s="928"/>
      <c r="CX131" s="928"/>
      <c r="CY131" s="928"/>
      <c r="CZ131" s="928"/>
      <c r="DA131" s="928"/>
      <c r="DB131" s="928"/>
      <c r="DC131" s="928"/>
      <c r="DD131" s="928"/>
      <c r="DE131" s="928"/>
      <c r="DF131" s="928"/>
      <c r="DG131" s="928"/>
      <c r="DH131" s="928"/>
    </row>
    <row r="132" spans="1:112">
      <c r="A132" s="891" t="s">
        <v>923</v>
      </c>
      <c r="B132" s="891" t="s">
        <v>1454</v>
      </c>
      <c r="C132" s="891" t="s">
        <v>210</v>
      </c>
      <c r="D132" s="891" t="s">
        <v>923</v>
      </c>
      <c r="E132" s="891" t="s">
        <v>1454</v>
      </c>
      <c r="F132" s="891" t="s">
        <v>210</v>
      </c>
      <c r="G132" s="897">
        <v>74.38</v>
      </c>
      <c r="H132" s="897">
        <v>101.12</v>
      </c>
      <c r="I132" s="897">
        <v>84.74</v>
      </c>
      <c r="J132" s="891"/>
      <c r="K132" s="891"/>
      <c r="L132" s="891"/>
      <c r="M132" s="891"/>
      <c r="N132" s="891"/>
      <c r="O132" s="891"/>
      <c r="P132" s="891"/>
      <c r="Q132" s="891"/>
      <c r="R132" s="891"/>
      <c r="S132" s="891"/>
      <c r="T132" s="891"/>
      <c r="U132" s="928"/>
      <c r="V132" s="928"/>
      <c r="W132" s="928"/>
      <c r="X132" s="928"/>
      <c r="Y132" s="928"/>
      <c r="Z132" s="928"/>
      <c r="AA132" s="928"/>
      <c r="AB132" s="928"/>
      <c r="AC132" s="928"/>
      <c r="AD132" s="928"/>
      <c r="AE132" s="928"/>
      <c r="AF132" s="928"/>
      <c r="AG132" s="928"/>
      <c r="AH132" s="928"/>
      <c r="AI132" s="928"/>
      <c r="AJ132" s="928"/>
      <c r="AK132" s="928"/>
      <c r="AL132" s="928"/>
      <c r="AM132" s="928"/>
      <c r="AN132" s="928"/>
      <c r="AO132" s="928"/>
      <c r="AP132" s="928"/>
      <c r="AQ132" s="928"/>
      <c r="AR132" s="928"/>
      <c r="AS132" s="928"/>
      <c r="AT132" s="928"/>
      <c r="AU132" s="928"/>
      <c r="AV132" s="928"/>
      <c r="AW132" s="928"/>
      <c r="AX132" s="928"/>
      <c r="AY132" s="928"/>
      <c r="AZ132" s="928"/>
      <c r="BA132" s="928"/>
      <c r="BB132" s="928"/>
      <c r="BC132" s="928"/>
      <c r="BD132" s="928"/>
      <c r="BE132" s="928"/>
      <c r="BF132" s="928"/>
      <c r="BG132" s="928"/>
      <c r="BH132" s="928"/>
      <c r="BI132" s="928"/>
      <c r="BJ132" s="928"/>
      <c r="BK132" s="928"/>
      <c r="BL132" s="928"/>
      <c r="BM132" s="928"/>
      <c r="BN132" s="928"/>
      <c r="BO132" s="928"/>
      <c r="BP132" s="928"/>
      <c r="BQ132" s="928"/>
      <c r="BR132" s="928"/>
      <c r="BS132" s="928"/>
      <c r="BT132" s="928"/>
      <c r="BU132" s="928"/>
      <c r="BV132" s="928"/>
      <c r="BW132" s="928"/>
      <c r="BX132" s="928"/>
      <c r="BY132" s="928"/>
      <c r="BZ132" s="928"/>
      <c r="CA132" s="928"/>
      <c r="CB132" s="928"/>
      <c r="CC132" s="928"/>
      <c r="CD132" s="928"/>
      <c r="CE132" s="928"/>
      <c r="CF132" s="928"/>
      <c r="CG132" s="928"/>
      <c r="CH132" s="928"/>
      <c r="CI132" s="928"/>
      <c r="CJ132" s="928"/>
      <c r="CK132" s="928"/>
      <c r="CL132" s="928"/>
      <c r="CM132" s="928"/>
      <c r="CN132" s="928"/>
      <c r="CO132" s="928"/>
      <c r="CP132" s="928"/>
      <c r="CQ132" s="928"/>
      <c r="CR132" s="928"/>
      <c r="CS132" s="928"/>
      <c r="CT132" s="928"/>
      <c r="CU132" s="928"/>
      <c r="CV132" s="928"/>
      <c r="CW132" s="928"/>
      <c r="CX132" s="928"/>
      <c r="CY132" s="928"/>
      <c r="CZ132" s="928"/>
      <c r="DA132" s="928"/>
      <c r="DB132" s="928"/>
      <c r="DC132" s="928"/>
      <c r="DD132" s="928"/>
      <c r="DE132" s="928"/>
      <c r="DF132" s="928"/>
      <c r="DG132" s="928"/>
      <c r="DH132" s="928"/>
    </row>
    <row r="133" spans="1:112">
      <c r="A133" s="891" t="s">
        <v>924</v>
      </c>
      <c r="B133" s="891" t="s">
        <v>1453</v>
      </c>
      <c r="C133" s="891" t="s">
        <v>395</v>
      </c>
      <c r="D133" s="891" t="s">
        <v>924</v>
      </c>
      <c r="E133" s="891" t="s">
        <v>1453</v>
      </c>
      <c r="F133" s="891" t="s">
        <v>395</v>
      </c>
      <c r="G133" s="897">
        <v>129.63999999999999</v>
      </c>
      <c r="H133" s="897">
        <v>75.86</v>
      </c>
      <c r="I133" s="897">
        <v>108.28</v>
      </c>
      <c r="J133" s="891"/>
      <c r="K133" s="891"/>
      <c r="L133" s="891"/>
      <c r="M133" s="891"/>
      <c r="N133" s="891"/>
      <c r="O133" s="891"/>
      <c r="P133" s="891"/>
      <c r="Q133" s="891"/>
      <c r="R133" s="891"/>
      <c r="S133" s="891"/>
      <c r="T133" s="891"/>
      <c r="U133" s="928"/>
      <c r="V133" s="928"/>
      <c r="W133" s="928"/>
      <c r="X133" s="928"/>
      <c r="Y133" s="928"/>
      <c r="Z133" s="928"/>
      <c r="AA133" s="928"/>
      <c r="AB133" s="928"/>
      <c r="AC133" s="928"/>
      <c r="AD133" s="928"/>
      <c r="AE133" s="928"/>
      <c r="AF133" s="928"/>
      <c r="AG133" s="928"/>
      <c r="AH133" s="928"/>
      <c r="AI133" s="928"/>
      <c r="AJ133" s="928"/>
      <c r="AK133" s="928"/>
      <c r="AL133" s="928"/>
      <c r="AM133" s="928"/>
      <c r="AN133" s="928"/>
      <c r="AO133" s="928"/>
      <c r="AP133" s="928"/>
      <c r="AQ133" s="928"/>
      <c r="AR133" s="928"/>
      <c r="AS133" s="928"/>
      <c r="AT133" s="928"/>
      <c r="AU133" s="928"/>
      <c r="AV133" s="928"/>
      <c r="AW133" s="928"/>
      <c r="AX133" s="928"/>
      <c r="AY133" s="928"/>
      <c r="AZ133" s="928"/>
      <c r="BA133" s="928"/>
      <c r="BB133" s="928"/>
      <c r="BC133" s="928"/>
      <c r="BD133" s="928"/>
      <c r="BE133" s="928"/>
      <c r="BF133" s="928"/>
      <c r="BG133" s="928"/>
      <c r="BH133" s="928"/>
      <c r="BI133" s="928"/>
      <c r="BJ133" s="928"/>
      <c r="BK133" s="928"/>
      <c r="BL133" s="928"/>
      <c r="BM133" s="928"/>
      <c r="BN133" s="928"/>
      <c r="BO133" s="928"/>
      <c r="BP133" s="928"/>
      <c r="BQ133" s="928"/>
      <c r="BR133" s="928"/>
      <c r="BS133" s="928"/>
      <c r="BT133" s="928"/>
      <c r="BU133" s="928"/>
      <c r="BV133" s="928"/>
      <c r="BW133" s="928"/>
      <c r="BX133" s="928"/>
      <c r="BY133" s="928"/>
      <c r="BZ133" s="928"/>
      <c r="CA133" s="928"/>
      <c r="CB133" s="928"/>
      <c r="CC133" s="928"/>
      <c r="CD133" s="928"/>
      <c r="CE133" s="928"/>
      <c r="CF133" s="928"/>
      <c r="CG133" s="928"/>
      <c r="CH133" s="928"/>
      <c r="CI133" s="928"/>
      <c r="CJ133" s="928"/>
      <c r="CK133" s="928"/>
      <c r="CL133" s="928"/>
      <c r="CM133" s="928"/>
      <c r="CN133" s="928"/>
      <c r="CO133" s="928"/>
      <c r="CP133" s="928"/>
      <c r="CQ133" s="928"/>
      <c r="CR133" s="928"/>
      <c r="CS133" s="928"/>
      <c r="CT133" s="928"/>
      <c r="CU133" s="928"/>
      <c r="CV133" s="928"/>
      <c r="CW133" s="928"/>
      <c r="CX133" s="928"/>
      <c r="CY133" s="928"/>
      <c r="CZ133" s="928"/>
      <c r="DA133" s="928"/>
      <c r="DB133" s="928"/>
      <c r="DC133" s="928"/>
      <c r="DD133" s="928"/>
      <c r="DE133" s="928"/>
      <c r="DF133" s="928"/>
      <c r="DG133" s="928"/>
      <c r="DH133" s="928"/>
    </row>
    <row r="134" spans="1:112">
      <c r="A134" s="891" t="s">
        <v>925</v>
      </c>
      <c r="B134" s="891" t="s">
        <v>1483</v>
      </c>
      <c r="C134" s="891" t="s">
        <v>316</v>
      </c>
      <c r="D134" s="891" t="s">
        <v>925</v>
      </c>
      <c r="E134" s="891" t="s">
        <v>1483</v>
      </c>
      <c r="F134" s="891" t="s">
        <v>316</v>
      </c>
      <c r="G134" s="897">
        <v>75.67</v>
      </c>
      <c r="H134" s="897">
        <v>79.81</v>
      </c>
      <c r="I134" s="897">
        <v>106.79</v>
      </c>
      <c r="J134" s="891"/>
      <c r="K134" s="891"/>
      <c r="L134" s="891"/>
      <c r="M134" s="891"/>
      <c r="N134" s="891"/>
      <c r="O134" s="891"/>
      <c r="P134" s="891"/>
      <c r="Q134" s="891"/>
      <c r="R134" s="891"/>
      <c r="S134" s="891"/>
      <c r="T134" s="891"/>
      <c r="U134" s="928"/>
      <c r="V134" s="928"/>
      <c r="W134" s="928"/>
      <c r="X134" s="928"/>
      <c r="Y134" s="928"/>
      <c r="Z134" s="928"/>
      <c r="AA134" s="928"/>
      <c r="AB134" s="928"/>
      <c r="AC134" s="928"/>
      <c r="AD134" s="928"/>
      <c r="AE134" s="928"/>
      <c r="AF134" s="928"/>
      <c r="AG134" s="928"/>
      <c r="AH134" s="928"/>
      <c r="AI134" s="928"/>
      <c r="AJ134" s="928"/>
      <c r="AK134" s="928"/>
      <c r="AL134" s="928"/>
      <c r="AM134" s="928"/>
      <c r="AN134" s="928"/>
      <c r="AO134" s="928"/>
      <c r="AP134" s="928"/>
      <c r="AQ134" s="928"/>
      <c r="AR134" s="928"/>
      <c r="AS134" s="928"/>
      <c r="AT134" s="928"/>
      <c r="AU134" s="928"/>
      <c r="AV134" s="928"/>
      <c r="AW134" s="928"/>
      <c r="AX134" s="928"/>
      <c r="AY134" s="928"/>
      <c r="AZ134" s="928"/>
      <c r="BA134" s="928"/>
      <c r="BB134" s="928"/>
      <c r="BC134" s="928"/>
      <c r="BD134" s="928"/>
      <c r="BE134" s="928"/>
      <c r="BF134" s="928"/>
      <c r="BG134" s="928"/>
      <c r="BH134" s="928"/>
      <c r="BI134" s="928"/>
      <c r="BJ134" s="928"/>
      <c r="BK134" s="928"/>
      <c r="BL134" s="928"/>
      <c r="BM134" s="928"/>
      <c r="BN134" s="928"/>
      <c r="BO134" s="928"/>
      <c r="BP134" s="928"/>
      <c r="BQ134" s="928"/>
      <c r="BR134" s="928"/>
      <c r="BS134" s="928"/>
      <c r="BT134" s="928"/>
      <c r="BU134" s="928"/>
      <c r="BV134" s="928"/>
      <c r="BW134" s="928"/>
      <c r="BX134" s="928"/>
      <c r="BY134" s="928"/>
      <c r="BZ134" s="928"/>
      <c r="CA134" s="928"/>
      <c r="CB134" s="928"/>
      <c r="CC134" s="928"/>
      <c r="CD134" s="928"/>
      <c r="CE134" s="928"/>
      <c r="CF134" s="928"/>
      <c r="CG134" s="928"/>
      <c r="CH134" s="928"/>
      <c r="CI134" s="928"/>
      <c r="CJ134" s="928"/>
      <c r="CK134" s="928"/>
      <c r="CL134" s="928"/>
      <c r="CM134" s="928"/>
      <c r="CN134" s="928"/>
      <c r="CO134" s="928"/>
      <c r="CP134" s="928"/>
      <c r="CQ134" s="928"/>
      <c r="CR134" s="928"/>
      <c r="CS134" s="928"/>
      <c r="CT134" s="928"/>
      <c r="CU134" s="928"/>
      <c r="CV134" s="928"/>
      <c r="CW134" s="928"/>
      <c r="CX134" s="928"/>
      <c r="CY134" s="928"/>
      <c r="CZ134" s="928"/>
      <c r="DA134" s="928"/>
      <c r="DB134" s="928"/>
      <c r="DC134" s="928"/>
      <c r="DD134" s="928"/>
      <c r="DE134" s="928"/>
      <c r="DF134" s="928"/>
      <c r="DG134" s="928"/>
      <c r="DH134" s="928"/>
    </row>
    <row r="135" spans="1:112">
      <c r="A135" s="891" t="s">
        <v>926</v>
      </c>
      <c r="B135" s="891" t="s">
        <v>1454</v>
      </c>
      <c r="C135" s="891" t="s">
        <v>205</v>
      </c>
      <c r="D135" s="891" t="s">
        <v>926</v>
      </c>
      <c r="E135" s="891" t="s">
        <v>1454</v>
      </c>
      <c r="F135" s="891" t="s">
        <v>205</v>
      </c>
      <c r="G135" s="897">
        <v>86.33</v>
      </c>
      <c r="H135" s="897">
        <v>70.09</v>
      </c>
      <c r="I135" s="897">
        <v>101.07</v>
      </c>
      <c r="J135" s="891"/>
      <c r="K135" s="891"/>
      <c r="L135" s="891"/>
      <c r="M135" s="891"/>
      <c r="N135" s="891"/>
      <c r="O135" s="891"/>
      <c r="P135" s="891"/>
      <c r="Q135" s="891"/>
      <c r="R135" s="891"/>
      <c r="S135" s="891"/>
      <c r="T135" s="891"/>
      <c r="U135" s="928"/>
      <c r="V135" s="928"/>
      <c r="W135" s="928"/>
      <c r="X135" s="928"/>
      <c r="Y135" s="928"/>
      <c r="Z135" s="928"/>
      <c r="AA135" s="928"/>
      <c r="AB135" s="928"/>
      <c r="AC135" s="928"/>
      <c r="AD135" s="928"/>
      <c r="AE135" s="928"/>
      <c r="AF135" s="928"/>
      <c r="AG135" s="928"/>
      <c r="AH135" s="928"/>
      <c r="AI135" s="928"/>
      <c r="AJ135" s="928"/>
      <c r="AK135" s="928"/>
      <c r="AL135" s="928"/>
      <c r="AM135" s="928"/>
      <c r="AN135" s="928"/>
      <c r="AO135" s="928"/>
      <c r="AP135" s="928"/>
      <c r="AQ135" s="928"/>
      <c r="AR135" s="928"/>
      <c r="AS135" s="928"/>
      <c r="AT135" s="928"/>
      <c r="AU135" s="928"/>
      <c r="AV135" s="928"/>
      <c r="AW135" s="928"/>
      <c r="AX135" s="928"/>
      <c r="AY135" s="928"/>
      <c r="AZ135" s="928"/>
      <c r="BA135" s="928"/>
      <c r="BB135" s="928"/>
      <c r="BC135" s="928"/>
      <c r="BD135" s="928"/>
      <c r="BE135" s="928"/>
      <c r="BF135" s="928"/>
      <c r="BG135" s="928"/>
      <c r="BH135" s="928"/>
      <c r="BI135" s="928"/>
      <c r="BJ135" s="928"/>
      <c r="BK135" s="928"/>
      <c r="BL135" s="928"/>
      <c r="BM135" s="928"/>
      <c r="BN135" s="928"/>
      <c r="BO135" s="928"/>
      <c r="BP135" s="928"/>
      <c r="BQ135" s="928"/>
      <c r="BR135" s="928"/>
      <c r="BS135" s="928"/>
      <c r="BT135" s="928"/>
      <c r="BU135" s="928"/>
      <c r="BV135" s="928"/>
      <c r="BW135" s="928"/>
      <c r="BX135" s="928"/>
      <c r="BY135" s="928"/>
      <c r="BZ135" s="928"/>
      <c r="CA135" s="928"/>
      <c r="CB135" s="928"/>
      <c r="CC135" s="928"/>
      <c r="CD135" s="928"/>
      <c r="CE135" s="928"/>
      <c r="CF135" s="928"/>
      <c r="CG135" s="928"/>
      <c r="CH135" s="928"/>
      <c r="CI135" s="928"/>
      <c r="CJ135" s="928"/>
      <c r="CK135" s="928"/>
      <c r="CL135" s="928"/>
      <c r="CM135" s="928"/>
      <c r="CN135" s="928"/>
      <c r="CO135" s="928"/>
      <c r="CP135" s="928"/>
      <c r="CQ135" s="928"/>
      <c r="CR135" s="928"/>
      <c r="CS135" s="928"/>
      <c r="CT135" s="928"/>
      <c r="CU135" s="928"/>
      <c r="CV135" s="928"/>
      <c r="CW135" s="928"/>
      <c r="CX135" s="928"/>
      <c r="CY135" s="928"/>
      <c r="CZ135" s="928"/>
      <c r="DA135" s="928"/>
      <c r="DB135" s="928"/>
      <c r="DC135" s="928"/>
      <c r="DD135" s="928"/>
      <c r="DE135" s="928"/>
      <c r="DF135" s="928"/>
      <c r="DG135" s="928"/>
      <c r="DH135" s="928"/>
    </row>
    <row r="136" spans="1:112">
      <c r="A136" s="891" t="s">
        <v>927</v>
      </c>
      <c r="B136" s="891" t="s">
        <v>1453</v>
      </c>
      <c r="C136" s="891" t="s">
        <v>398</v>
      </c>
      <c r="D136" s="891" t="s">
        <v>927</v>
      </c>
      <c r="E136" s="891" t="s">
        <v>1453</v>
      </c>
      <c r="F136" s="891" t="s">
        <v>398</v>
      </c>
      <c r="G136" s="897">
        <v>61</v>
      </c>
      <c r="H136" s="897">
        <v>36.86</v>
      </c>
      <c r="I136" s="897">
        <v>50.86</v>
      </c>
      <c r="J136" s="891"/>
      <c r="K136" s="891"/>
      <c r="L136" s="891"/>
      <c r="M136" s="891"/>
      <c r="N136" s="891"/>
      <c r="O136" s="891"/>
      <c r="P136" s="891"/>
      <c r="Q136" s="891"/>
      <c r="R136" s="891"/>
      <c r="S136" s="891"/>
      <c r="T136" s="891"/>
      <c r="U136" s="928"/>
      <c r="V136" s="928"/>
      <c r="W136" s="928"/>
      <c r="X136" s="928"/>
      <c r="Y136" s="928"/>
      <c r="Z136" s="928"/>
      <c r="AA136" s="928"/>
      <c r="AB136" s="928"/>
      <c r="AC136" s="928"/>
      <c r="AD136" s="928"/>
      <c r="AE136" s="928"/>
      <c r="AF136" s="928"/>
      <c r="AG136" s="928"/>
      <c r="AH136" s="928"/>
      <c r="AI136" s="928"/>
      <c r="AJ136" s="928"/>
      <c r="AK136" s="928"/>
      <c r="AL136" s="928"/>
      <c r="AM136" s="928"/>
      <c r="AN136" s="928"/>
      <c r="AO136" s="928"/>
      <c r="AP136" s="928"/>
      <c r="AQ136" s="928"/>
      <c r="AR136" s="928"/>
      <c r="AS136" s="928"/>
      <c r="AT136" s="928"/>
      <c r="AU136" s="928"/>
      <c r="AV136" s="928"/>
      <c r="AW136" s="928"/>
      <c r="AX136" s="928"/>
      <c r="AY136" s="928"/>
      <c r="AZ136" s="928"/>
      <c r="BA136" s="928"/>
      <c r="BB136" s="928"/>
      <c r="BC136" s="928"/>
      <c r="BD136" s="928"/>
      <c r="BE136" s="928"/>
      <c r="BF136" s="928"/>
      <c r="BG136" s="928"/>
      <c r="BH136" s="928"/>
      <c r="BI136" s="928"/>
      <c r="BJ136" s="928"/>
      <c r="BK136" s="928"/>
      <c r="BL136" s="928"/>
      <c r="BM136" s="928"/>
      <c r="BN136" s="928"/>
      <c r="BO136" s="928"/>
      <c r="BP136" s="928"/>
      <c r="BQ136" s="928"/>
      <c r="BR136" s="928"/>
      <c r="BS136" s="928"/>
      <c r="BT136" s="928"/>
      <c r="BU136" s="928"/>
      <c r="BV136" s="928"/>
      <c r="BW136" s="928"/>
      <c r="BX136" s="928"/>
      <c r="BY136" s="928"/>
      <c r="BZ136" s="928"/>
      <c r="CA136" s="928"/>
      <c r="CB136" s="928"/>
      <c r="CC136" s="928"/>
      <c r="CD136" s="928"/>
      <c r="CE136" s="928"/>
      <c r="CF136" s="928"/>
      <c r="CG136" s="928"/>
      <c r="CH136" s="928"/>
      <c r="CI136" s="928"/>
      <c r="CJ136" s="928"/>
      <c r="CK136" s="928"/>
      <c r="CL136" s="928"/>
      <c r="CM136" s="928"/>
      <c r="CN136" s="928"/>
      <c r="CO136" s="928"/>
      <c r="CP136" s="928"/>
      <c r="CQ136" s="928"/>
      <c r="CR136" s="928"/>
      <c r="CS136" s="928"/>
      <c r="CT136" s="928"/>
      <c r="CU136" s="928"/>
      <c r="CV136" s="928"/>
      <c r="CW136" s="928"/>
      <c r="CX136" s="928"/>
      <c r="CY136" s="928"/>
      <c r="CZ136" s="928"/>
      <c r="DA136" s="928"/>
      <c r="DB136" s="928"/>
      <c r="DC136" s="928"/>
      <c r="DD136" s="928"/>
      <c r="DE136" s="928"/>
      <c r="DF136" s="928"/>
      <c r="DG136" s="928"/>
      <c r="DH136" s="928"/>
    </row>
    <row r="137" spans="1:112">
      <c r="A137" s="891" t="s">
        <v>928</v>
      </c>
      <c r="B137" s="891" t="s">
        <v>574</v>
      </c>
      <c r="C137" s="891" t="s">
        <v>265</v>
      </c>
      <c r="D137" s="891" t="s">
        <v>928</v>
      </c>
      <c r="E137" s="891" t="s">
        <v>574</v>
      </c>
      <c r="F137" s="891" t="s">
        <v>265</v>
      </c>
      <c r="G137" s="897">
        <v>42.55</v>
      </c>
      <c r="H137" s="897">
        <v>22.06</v>
      </c>
      <c r="I137" s="897">
        <v>20.78</v>
      </c>
      <c r="J137" s="891"/>
      <c r="K137" s="891"/>
      <c r="L137" s="891"/>
      <c r="M137" s="891"/>
      <c r="N137" s="891"/>
      <c r="O137" s="891"/>
      <c r="P137" s="891"/>
      <c r="Q137" s="891"/>
      <c r="R137" s="891"/>
      <c r="S137" s="891"/>
      <c r="T137" s="891"/>
      <c r="U137" s="928"/>
      <c r="V137" s="928"/>
      <c r="W137" s="928"/>
      <c r="X137" s="928"/>
      <c r="Y137" s="928"/>
      <c r="Z137" s="928"/>
      <c r="AA137" s="928"/>
      <c r="AB137" s="928"/>
      <c r="AC137" s="928"/>
      <c r="AD137" s="928"/>
      <c r="AE137" s="928"/>
      <c r="AF137" s="928"/>
      <c r="AG137" s="928"/>
      <c r="AH137" s="928"/>
      <c r="AI137" s="928"/>
      <c r="AJ137" s="928"/>
      <c r="AK137" s="928"/>
      <c r="AL137" s="928"/>
      <c r="AM137" s="928"/>
      <c r="AN137" s="928"/>
      <c r="AO137" s="928"/>
      <c r="AP137" s="928"/>
      <c r="AQ137" s="928"/>
      <c r="AR137" s="928"/>
      <c r="AS137" s="928"/>
      <c r="AT137" s="928"/>
      <c r="AU137" s="928"/>
      <c r="AV137" s="928"/>
      <c r="AW137" s="928"/>
      <c r="AX137" s="928"/>
      <c r="AY137" s="928"/>
      <c r="AZ137" s="928"/>
      <c r="BA137" s="928"/>
      <c r="BB137" s="928"/>
      <c r="BC137" s="928"/>
      <c r="BD137" s="928"/>
      <c r="BE137" s="928"/>
      <c r="BF137" s="928"/>
      <c r="BG137" s="928"/>
      <c r="BH137" s="928"/>
      <c r="BI137" s="928"/>
      <c r="BJ137" s="928"/>
      <c r="BK137" s="928"/>
      <c r="BL137" s="928"/>
      <c r="BM137" s="928"/>
      <c r="BN137" s="928"/>
      <c r="BO137" s="928"/>
      <c r="BP137" s="928"/>
      <c r="BQ137" s="928"/>
      <c r="BR137" s="928"/>
      <c r="BS137" s="928"/>
      <c r="BT137" s="928"/>
      <c r="BU137" s="928"/>
      <c r="BV137" s="928"/>
      <c r="BW137" s="928"/>
      <c r="BX137" s="928"/>
      <c r="BY137" s="928"/>
      <c r="BZ137" s="928"/>
      <c r="CA137" s="928"/>
      <c r="CB137" s="928"/>
      <c r="CC137" s="928"/>
      <c r="CD137" s="928"/>
      <c r="CE137" s="928"/>
      <c r="CF137" s="928"/>
      <c r="CG137" s="928"/>
      <c r="CH137" s="928"/>
      <c r="CI137" s="928"/>
      <c r="CJ137" s="928"/>
      <c r="CK137" s="928"/>
      <c r="CL137" s="928"/>
      <c r="CM137" s="928"/>
      <c r="CN137" s="928"/>
      <c r="CO137" s="928"/>
      <c r="CP137" s="928"/>
      <c r="CQ137" s="928"/>
      <c r="CR137" s="928"/>
      <c r="CS137" s="928"/>
      <c r="CT137" s="928"/>
      <c r="CU137" s="928"/>
      <c r="CV137" s="928"/>
      <c r="CW137" s="928"/>
      <c r="CX137" s="928"/>
      <c r="CY137" s="928"/>
      <c r="CZ137" s="928"/>
      <c r="DA137" s="928"/>
      <c r="DB137" s="928"/>
      <c r="DC137" s="928"/>
      <c r="DD137" s="928"/>
      <c r="DE137" s="928"/>
      <c r="DF137" s="928"/>
      <c r="DG137" s="928"/>
      <c r="DH137" s="928"/>
    </row>
    <row r="138" spans="1:112">
      <c r="A138" s="891" t="s">
        <v>929</v>
      </c>
      <c r="B138" s="891" t="s">
        <v>1514</v>
      </c>
      <c r="C138" s="891" t="s">
        <v>376</v>
      </c>
      <c r="D138" s="891" t="s">
        <v>929</v>
      </c>
      <c r="E138" s="891" t="s">
        <v>1514</v>
      </c>
      <c r="F138" s="891" t="s">
        <v>376</v>
      </c>
      <c r="G138" s="897">
        <v>66.52</v>
      </c>
      <c r="H138" s="897">
        <v>52.44</v>
      </c>
      <c r="I138" s="897">
        <v>27.1</v>
      </c>
      <c r="J138" s="891"/>
      <c r="K138" s="891"/>
      <c r="L138" s="891"/>
      <c r="M138" s="891"/>
      <c r="N138" s="891"/>
      <c r="O138" s="891"/>
      <c r="P138" s="891"/>
      <c r="Q138" s="891"/>
      <c r="R138" s="891"/>
      <c r="S138" s="891"/>
      <c r="T138" s="891"/>
      <c r="U138" s="928"/>
      <c r="V138" s="928"/>
      <c r="W138" s="928"/>
      <c r="X138" s="928"/>
      <c r="Y138" s="928"/>
      <c r="Z138" s="928"/>
      <c r="AA138" s="928"/>
      <c r="AB138" s="928"/>
      <c r="AC138" s="928"/>
      <c r="AD138" s="928"/>
      <c r="AE138" s="928"/>
      <c r="AF138" s="928"/>
      <c r="AG138" s="928"/>
      <c r="AH138" s="928"/>
      <c r="AI138" s="928"/>
      <c r="AJ138" s="928"/>
      <c r="AK138" s="928"/>
      <c r="AL138" s="928"/>
      <c r="AM138" s="928"/>
      <c r="AN138" s="928"/>
      <c r="AO138" s="928"/>
      <c r="AP138" s="928"/>
      <c r="AQ138" s="928"/>
      <c r="AR138" s="928"/>
      <c r="AS138" s="928"/>
      <c r="AT138" s="928"/>
      <c r="AU138" s="928"/>
      <c r="AV138" s="928"/>
      <c r="AW138" s="928"/>
      <c r="AX138" s="928"/>
      <c r="AY138" s="928"/>
      <c r="AZ138" s="928"/>
      <c r="BA138" s="928"/>
      <c r="BB138" s="928"/>
      <c r="BC138" s="928"/>
      <c r="BD138" s="928"/>
      <c r="BE138" s="928"/>
      <c r="BF138" s="928"/>
      <c r="BG138" s="928"/>
      <c r="BH138" s="928"/>
      <c r="BI138" s="928"/>
      <c r="BJ138" s="928"/>
      <c r="BK138" s="928"/>
      <c r="BL138" s="928"/>
      <c r="BM138" s="928"/>
      <c r="BN138" s="928"/>
      <c r="BO138" s="928"/>
      <c r="BP138" s="928"/>
      <c r="BQ138" s="928"/>
      <c r="BR138" s="928"/>
      <c r="BS138" s="928"/>
      <c r="BT138" s="928"/>
      <c r="BU138" s="928"/>
      <c r="BV138" s="928"/>
      <c r="BW138" s="928"/>
      <c r="BX138" s="928"/>
      <c r="BY138" s="928"/>
      <c r="BZ138" s="928"/>
      <c r="CA138" s="928"/>
      <c r="CB138" s="928"/>
      <c r="CC138" s="928"/>
      <c r="CD138" s="928"/>
      <c r="CE138" s="928"/>
      <c r="CF138" s="928"/>
      <c r="CG138" s="928"/>
      <c r="CH138" s="928"/>
      <c r="CI138" s="928"/>
      <c r="CJ138" s="928"/>
      <c r="CK138" s="928"/>
      <c r="CL138" s="928"/>
      <c r="CM138" s="928"/>
      <c r="CN138" s="928"/>
      <c r="CO138" s="928"/>
      <c r="CP138" s="928"/>
      <c r="CQ138" s="928"/>
      <c r="CR138" s="928"/>
      <c r="CS138" s="928"/>
      <c r="CT138" s="928"/>
      <c r="CU138" s="928"/>
      <c r="CV138" s="928"/>
      <c r="CW138" s="928"/>
      <c r="CX138" s="928"/>
      <c r="CY138" s="928"/>
      <c r="CZ138" s="928"/>
      <c r="DA138" s="928"/>
      <c r="DB138" s="928"/>
      <c r="DC138" s="928"/>
      <c r="DD138" s="928"/>
      <c r="DE138" s="928"/>
      <c r="DF138" s="928"/>
      <c r="DG138" s="928"/>
      <c r="DH138" s="928"/>
    </row>
    <row r="139" spans="1:112">
      <c r="A139" s="891" t="s">
        <v>930</v>
      </c>
      <c r="B139" s="891" t="s">
        <v>1461</v>
      </c>
      <c r="C139" s="891" t="s">
        <v>266</v>
      </c>
      <c r="D139" s="891" t="s">
        <v>930</v>
      </c>
      <c r="E139" s="891" t="s">
        <v>1461</v>
      </c>
      <c r="F139" s="891" t="s">
        <v>266</v>
      </c>
      <c r="G139" s="897">
        <v>101.89</v>
      </c>
      <c r="H139" s="897">
        <v>69.760000000000005</v>
      </c>
      <c r="I139" s="897">
        <v>107.46</v>
      </c>
      <c r="J139" s="891"/>
      <c r="K139" s="891"/>
      <c r="L139" s="891"/>
      <c r="M139" s="891"/>
      <c r="N139" s="891"/>
      <c r="O139" s="891"/>
      <c r="P139" s="891"/>
      <c r="Q139" s="891"/>
      <c r="R139" s="891"/>
      <c r="S139" s="891"/>
      <c r="T139" s="891"/>
      <c r="U139" s="928"/>
      <c r="V139" s="928"/>
      <c r="W139" s="928"/>
      <c r="X139" s="928"/>
      <c r="Y139" s="928"/>
      <c r="Z139" s="928"/>
      <c r="AA139" s="928"/>
      <c r="AB139" s="928"/>
      <c r="AC139" s="928"/>
      <c r="AD139" s="928"/>
      <c r="AE139" s="928"/>
      <c r="AF139" s="928"/>
      <c r="AG139" s="928"/>
      <c r="AH139" s="928"/>
      <c r="AI139" s="928"/>
      <c r="AJ139" s="928"/>
      <c r="AK139" s="928"/>
      <c r="AL139" s="928"/>
      <c r="AM139" s="928"/>
      <c r="AN139" s="928"/>
      <c r="AO139" s="928"/>
      <c r="AP139" s="928"/>
      <c r="AQ139" s="928"/>
      <c r="AR139" s="928"/>
      <c r="AS139" s="928"/>
      <c r="AT139" s="928"/>
      <c r="AU139" s="928"/>
      <c r="AV139" s="928"/>
      <c r="AW139" s="928"/>
      <c r="AX139" s="928"/>
      <c r="AY139" s="928"/>
      <c r="AZ139" s="928"/>
      <c r="BA139" s="928"/>
      <c r="BB139" s="928"/>
      <c r="BC139" s="928"/>
      <c r="BD139" s="928"/>
      <c r="BE139" s="928"/>
      <c r="BF139" s="928"/>
      <c r="BG139" s="928"/>
      <c r="BH139" s="928"/>
      <c r="BI139" s="928"/>
      <c r="BJ139" s="928"/>
      <c r="BK139" s="928"/>
      <c r="BL139" s="928"/>
      <c r="BM139" s="928"/>
      <c r="BN139" s="928"/>
      <c r="BO139" s="928"/>
      <c r="BP139" s="928"/>
      <c r="BQ139" s="928"/>
      <c r="BR139" s="928"/>
      <c r="BS139" s="928"/>
      <c r="BT139" s="928"/>
      <c r="BU139" s="928"/>
      <c r="BV139" s="928"/>
      <c r="BW139" s="928"/>
      <c r="BX139" s="928"/>
      <c r="BY139" s="928"/>
      <c r="BZ139" s="928"/>
      <c r="CA139" s="928"/>
      <c r="CB139" s="928"/>
      <c r="CC139" s="928"/>
      <c r="CD139" s="928"/>
      <c r="CE139" s="928"/>
      <c r="CF139" s="928"/>
      <c r="CG139" s="928"/>
      <c r="CH139" s="928"/>
      <c r="CI139" s="928"/>
      <c r="CJ139" s="928"/>
      <c r="CK139" s="928"/>
      <c r="CL139" s="928"/>
      <c r="CM139" s="928"/>
      <c r="CN139" s="928"/>
      <c r="CO139" s="928"/>
      <c r="CP139" s="928"/>
      <c r="CQ139" s="928"/>
      <c r="CR139" s="928"/>
      <c r="CS139" s="928"/>
      <c r="CT139" s="928"/>
      <c r="CU139" s="928"/>
      <c r="CV139" s="928"/>
      <c r="CW139" s="928"/>
      <c r="CX139" s="928"/>
      <c r="CY139" s="928"/>
      <c r="CZ139" s="928"/>
      <c r="DA139" s="928"/>
      <c r="DB139" s="928"/>
      <c r="DC139" s="928"/>
      <c r="DD139" s="928"/>
      <c r="DE139" s="928"/>
      <c r="DF139" s="928"/>
      <c r="DG139" s="928"/>
      <c r="DH139" s="928"/>
    </row>
    <row r="140" spans="1:112">
      <c r="A140" s="891" t="s">
        <v>931</v>
      </c>
      <c r="B140" s="891" t="s">
        <v>1461</v>
      </c>
      <c r="C140" s="891" t="s">
        <v>296</v>
      </c>
      <c r="D140" s="891" t="s">
        <v>931</v>
      </c>
      <c r="E140" s="891" t="s">
        <v>1461</v>
      </c>
      <c r="F140" s="891" t="s">
        <v>296</v>
      </c>
      <c r="G140" s="897">
        <v>108.03</v>
      </c>
      <c r="H140" s="897">
        <v>103.95</v>
      </c>
      <c r="I140" s="897">
        <v>96.39</v>
      </c>
      <c r="J140" s="891"/>
      <c r="K140" s="891"/>
      <c r="L140" s="891"/>
      <c r="M140" s="891"/>
      <c r="N140" s="891"/>
      <c r="O140" s="891"/>
      <c r="P140" s="891"/>
      <c r="Q140" s="891"/>
      <c r="R140" s="891"/>
      <c r="S140" s="891"/>
      <c r="T140" s="891"/>
      <c r="U140" s="928"/>
      <c r="V140" s="928"/>
      <c r="W140" s="928"/>
      <c r="X140" s="928"/>
      <c r="Y140" s="928"/>
      <c r="Z140" s="928"/>
      <c r="AA140" s="928"/>
      <c r="AB140" s="928"/>
      <c r="AC140" s="928"/>
      <c r="AD140" s="928"/>
      <c r="AE140" s="928"/>
      <c r="AF140" s="928"/>
      <c r="AG140" s="928"/>
      <c r="AH140" s="928"/>
      <c r="AI140" s="928"/>
      <c r="AJ140" s="928"/>
      <c r="AK140" s="928"/>
      <c r="AL140" s="928"/>
      <c r="AM140" s="928"/>
      <c r="AN140" s="928"/>
      <c r="AO140" s="928"/>
      <c r="AP140" s="928"/>
      <c r="AQ140" s="928"/>
      <c r="AR140" s="928"/>
      <c r="AS140" s="928"/>
      <c r="AT140" s="928"/>
      <c r="AU140" s="928"/>
      <c r="AV140" s="928"/>
      <c r="AW140" s="928"/>
      <c r="AX140" s="928"/>
      <c r="AY140" s="928"/>
      <c r="AZ140" s="928"/>
      <c r="BA140" s="928"/>
      <c r="BB140" s="928"/>
      <c r="BC140" s="928"/>
      <c r="BD140" s="928"/>
      <c r="BE140" s="928"/>
      <c r="BF140" s="928"/>
      <c r="BG140" s="928"/>
      <c r="BH140" s="928"/>
      <c r="BI140" s="928"/>
      <c r="BJ140" s="928"/>
      <c r="BK140" s="928"/>
      <c r="BL140" s="928"/>
      <c r="BM140" s="928"/>
      <c r="BN140" s="928"/>
      <c r="BO140" s="928"/>
      <c r="BP140" s="928"/>
      <c r="BQ140" s="928"/>
      <c r="BR140" s="928"/>
      <c r="BS140" s="928"/>
      <c r="BT140" s="928"/>
      <c r="BU140" s="928"/>
      <c r="BV140" s="928"/>
      <c r="BW140" s="928"/>
      <c r="BX140" s="928"/>
      <c r="BY140" s="928"/>
      <c r="BZ140" s="928"/>
      <c r="CA140" s="928"/>
      <c r="CB140" s="928"/>
      <c r="CC140" s="928"/>
      <c r="CD140" s="928"/>
      <c r="CE140" s="928"/>
      <c r="CF140" s="928"/>
      <c r="CG140" s="928"/>
      <c r="CH140" s="928"/>
      <c r="CI140" s="928"/>
      <c r="CJ140" s="928"/>
      <c r="CK140" s="928"/>
      <c r="CL140" s="928"/>
      <c r="CM140" s="928"/>
      <c r="CN140" s="928"/>
      <c r="CO140" s="928"/>
      <c r="CP140" s="928"/>
      <c r="CQ140" s="928"/>
      <c r="CR140" s="928"/>
      <c r="CS140" s="928"/>
      <c r="CT140" s="928"/>
      <c r="CU140" s="928"/>
      <c r="CV140" s="928"/>
      <c r="CW140" s="928"/>
      <c r="CX140" s="928"/>
      <c r="CY140" s="928"/>
      <c r="CZ140" s="928"/>
      <c r="DA140" s="928"/>
      <c r="DB140" s="928"/>
      <c r="DC140" s="928"/>
      <c r="DD140" s="928"/>
      <c r="DE140" s="928"/>
      <c r="DF140" s="928"/>
      <c r="DG140" s="928"/>
      <c r="DH140" s="928"/>
    </row>
    <row r="141" spans="1:112">
      <c r="A141" s="891" t="s">
        <v>932</v>
      </c>
      <c r="B141" s="891" t="s">
        <v>1453</v>
      </c>
      <c r="C141" s="891" t="s">
        <v>394</v>
      </c>
      <c r="D141" s="891" t="s">
        <v>932</v>
      </c>
      <c r="E141" s="891" t="s">
        <v>1453</v>
      </c>
      <c r="F141" s="891" t="s">
        <v>394</v>
      </c>
      <c r="G141" s="897">
        <v>42.53</v>
      </c>
      <c r="H141" s="897">
        <v>24.58</v>
      </c>
      <c r="I141" s="897">
        <v>29.75</v>
      </c>
      <c r="J141" s="891"/>
      <c r="K141" s="891"/>
      <c r="L141" s="891"/>
      <c r="M141" s="891"/>
      <c r="N141" s="891"/>
      <c r="O141" s="891"/>
      <c r="P141" s="891"/>
      <c r="Q141" s="891"/>
      <c r="R141" s="891"/>
      <c r="S141" s="891"/>
      <c r="T141" s="891"/>
      <c r="U141" s="928"/>
      <c r="V141" s="928"/>
      <c r="W141" s="928"/>
      <c r="X141" s="928"/>
      <c r="Y141" s="928"/>
      <c r="Z141" s="928"/>
      <c r="AA141" s="928"/>
      <c r="AB141" s="928"/>
      <c r="AC141" s="928"/>
      <c r="AD141" s="928"/>
      <c r="AE141" s="928"/>
      <c r="AF141" s="928"/>
      <c r="AG141" s="928"/>
      <c r="AH141" s="928"/>
      <c r="AI141" s="928"/>
      <c r="AJ141" s="928"/>
      <c r="AK141" s="928"/>
      <c r="AL141" s="928"/>
      <c r="AM141" s="928"/>
      <c r="AN141" s="928"/>
      <c r="AO141" s="928"/>
      <c r="AP141" s="928"/>
      <c r="AQ141" s="928"/>
      <c r="AR141" s="928"/>
      <c r="AS141" s="928"/>
      <c r="AT141" s="928"/>
      <c r="AU141" s="928"/>
      <c r="AV141" s="928"/>
      <c r="AW141" s="928"/>
      <c r="AX141" s="928"/>
      <c r="AY141" s="928"/>
      <c r="AZ141" s="928"/>
      <c r="BA141" s="928"/>
      <c r="BB141" s="928"/>
      <c r="BC141" s="928"/>
      <c r="BD141" s="928"/>
      <c r="BE141" s="928"/>
      <c r="BF141" s="928"/>
      <c r="BG141" s="928"/>
      <c r="BH141" s="928"/>
      <c r="BI141" s="928"/>
      <c r="BJ141" s="928"/>
      <c r="BK141" s="928"/>
      <c r="BL141" s="928"/>
      <c r="BM141" s="928"/>
      <c r="BN141" s="928"/>
      <c r="BO141" s="928"/>
      <c r="BP141" s="928"/>
      <c r="BQ141" s="928"/>
      <c r="BR141" s="928"/>
      <c r="BS141" s="928"/>
      <c r="BT141" s="928"/>
      <c r="BU141" s="928"/>
      <c r="BV141" s="928"/>
      <c r="BW141" s="928"/>
      <c r="BX141" s="928"/>
      <c r="BY141" s="928"/>
      <c r="BZ141" s="928"/>
      <c r="CA141" s="928"/>
      <c r="CB141" s="928"/>
      <c r="CC141" s="928"/>
      <c r="CD141" s="928"/>
      <c r="CE141" s="928"/>
      <c r="CF141" s="928"/>
      <c r="CG141" s="928"/>
      <c r="CH141" s="928"/>
      <c r="CI141" s="928"/>
      <c r="CJ141" s="928"/>
      <c r="CK141" s="928"/>
      <c r="CL141" s="928"/>
      <c r="CM141" s="928"/>
      <c r="CN141" s="928"/>
      <c r="CO141" s="928"/>
      <c r="CP141" s="928"/>
      <c r="CQ141" s="928"/>
      <c r="CR141" s="928"/>
      <c r="CS141" s="928"/>
      <c r="CT141" s="928"/>
      <c r="CU141" s="928"/>
      <c r="CV141" s="928"/>
      <c r="CW141" s="928"/>
      <c r="CX141" s="928"/>
      <c r="CY141" s="928"/>
      <c r="CZ141" s="928"/>
      <c r="DA141" s="928"/>
      <c r="DB141" s="928"/>
      <c r="DC141" s="928"/>
      <c r="DD141" s="928"/>
      <c r="DE141" s="928"/>
      <c r="DF141" s="928"/>
      <c r="DG141" s="928"/>
      <c r="DH141" s="928"/>
    </row>
    <row r="142" spans="1:112">
      <c r="A142" s="891" t="s">
        <v>933</v>
      </c>
      <c r="B142" s="891" t="s">
        <v>1467</v>
      </c>
      <c r="C142" s="891" t="s">
        <v>351</v>
      </c>
      <c r="D142" s="891" t="s">
        <v>933</v>
      </c>
      <c r="E142" s="891" t="s">
        <v>1467</v>
      </c>
      <c r="F142" s="891" t="s">
        <v>351</v>
      </c>
      <c r="G142" s="897">
        <v>86.36</v>
      </c>
      <c r="H142" s="897">
        <v>60.3</v>
      </c>
      <c r="I142" s="897">
        <v>66.94</v>
      </c>
      <c r="J142" s="891"/>
      <c r="K142" s="891"/>
      <c r="L142" s="891"/>
      <c r="M142" s="891"/>
      <c r="N142" s="891"/>
      <c r="O142" s="891"/>
      <c r="P142" s="891"/>
      <c r="Q142" s="891"/>
      <c r="R142" s="891"/>
      <c r="S142" s="891"/>
      <c r="T142" s="891"/>
      <c r="U142" s="928"/>
      <c r="V142" s="928"/>
      <c r="W142" s="928"/>
      <c r="X142" s="928"/>
      <c r="Y142" s="928"/>
      <c r="Z142" s="928"/>
      <c r="AA142" s="928"/>
      <c r="AB142" s="928"/>
      <c r="AC142" s="928"/>
      <c r="AD142" s="928"/>
      <c r="AE142" s="928"/>
      <c r="AF142" s="928"/>
      <c r="AG142" s="928"/>
      <c r="AH142" s="928"/>
      <c r="AI142" s="928"/>
      <c r="AJ142" s="928"/>
      <c r="AK142" s="928"/>
      <c r="AL142" s="928"/>
      <c r="AM142" s="928"/>
      <c r="AN142" s="928"/>
      <c r="AO142" s="928"/>
      <c r="AP142" s="928"/>
      <c r="AQ142" s="928"/>
      <c r="AR142" s="928"/>
      <c r="AS142" s="928"/>
      <c r="AT142" s="928"/>
      <c r="AU142" s="928"/>
      <c r="AV142" s="928"/>
      <c r="AW142" s="928"/>
      <c r="AX142" s="928"/>
      <c r="AY142" s="928"/>
      <c r="AZ142" s="928"/>
      <c r="BA142" s="928"/>
      <c r="BB142" s="928"/>
      <c r="BC142" s="928"/>
      <c r="BD142" s="928"/>
      <c r="BE142" s="928"/>
      <c r="BF142" s="928"/>
      <c r="BG142" s="928"/>
      <c r="BH142" s="928"/>
      <c r="BI142" s="928"/>
      <c r="BJ142" s="928"/>
      <c r="BK142" s="928"/>
      <c r="BL142" s="928"/>
      <c r="BM142" s="928"/>
      <c r="BN142" s="928"/>
      <c r="BO142" s="928"/>
      <c r="BP142" s="928"/>
      <c r="BQ142" s="928"/>
      <c r="BR142" s="928"/>
      <c r="BS142" s="928"/>
      <c r="BT142" s="928"/>
      <c r="BU142" s="928"/>
      <c r="BV142" s="928"/>
      <c r="BW142" s="928"/>
      <c r="BX142" s="928"/>
      <c r="BY142" s="928"/>
      <c r="BZ142" s="928"/>
      <c r="CA142" s="928"/>
      <c r="CB142" s="928"/>
      <c r="CC142" s="928"/>
      <c r="CD142" s="928"/>
      <c r="CE142" s="928"/>
      <c r="CF142" s="928"/>
      <c r="CG142" s="928"/>
      <c r="CH142" s="928"/>
      <c r="CI142" s="928"/>
      <c r="CJ142" s="928"/>
      <c r="CK142" s="928"/>
      <c r="CL142" s="928"/>
      <c r="CM142" s="928"/>
      <c r="CN142" s="928"/>
      <c r="CO142" s="928"/>
      <c r="CP142" s="928"/>
      <c r="CQ142" s="928"/>
      <c r="CR142" s="928"/>
      <c r="CS142" s="928"/>
      <c r="CT142" s="928"/>
      <c r="CU142" s="928"/>
      <c r="CV142" s="928"/>
      <c r="CW142" s="928"/>
      <c r="CX142" s="928"/>
      <c r="CY142" s="928"/>
      <c r="CZ142" s="928"/>
      <c r="DA142" s="928"/>
      <c r="DB142" s="928"/>
      <c r="DC142" s="928"/>
      <c r="DD142" s="928"/>
      <c r="DE142" s="928"/>
      <c r="DF142" s="928"/>
      <c r="DG142" s="928"/>
      <c r="DH142" s="928"/>
    </row>
    <row r="143" spans="1:112">
      <c r="A143" s="891" t="s">
        <v>934</v>
      </c>
      <c r="B143" s="891" t="s">
        <v>1450</v>
      </c>
      <c r="C143" s="891" t="s">
        <v>26</v>
      </c>
      <c r="D143" s="891" t="s">
        <v>934</v>
      </c>
      <c r="E143" s="891" t="s">
        <v>1450</v>
      </c>
      <c r="F143" s="891" t="s">
        <v>26</v>
      </c>
      <c r="G143" s="897">
        <v>133.34</v>
      </c>
      <c r="H143" s="897">
        <v>76.19</v>
      </c>
      <c r="I143" s="897">
        <v>95.74</v>
      </c>
      <c r="J143" s="891"/>
      <c r="K143" s="891"/>
      <c r="L143" s="891"/>
      <c r="M143" s="891"/>
      <c r="N143" s="891"/>
      <c r="O143" s="891"/>
      <c r="P143" s="891"/>
      <c r="Q143" s="891"/>
      <c r="R143" s="891"/>
      <c r="S143" s="891"/>
      <c r="T143" s="891"/>
      <c r="U143" s="928"/>
      <c r="V143" s="928"/>
      <c r="W143" s="928"/>
      <c r="X143" s="928"/>
      <c r="Y143" s="928"/>
      <c r="Z143" s="928"/>
      <c r="AA143" s="928"/>
      <c r="AB143" s="928"/>
      <c r="AC143" s="928"/>
      <c r="AD143" s="928"/>
      <c r="AE143" s="928"/>
      <c r="AF143" s="928"/>
      <c r="AG143" s="928"/>
      <c r="AH143" s="928"/>
      <c r="AI143" s="928"/>
      <c r="AJ143" s="928"/>
      <c r="AK143" s="928"/>
      <c r="AL143" s="928"/>
      <c r="AM143" s="928"/>
      <c r="AN143" s="928"/>
      <c r="AO143" s="928"/>
      <c r="AP143" s="928"/>
      <c r="AQ143" s="928"/>
      <c r="AR143" s="928"/>
      <c r="AS143" s="928"/>
      <c r="AT143" s="928"/>
      <c r="AU143" s="928"/>
      <c r="AV143" s="928"/>
      <c r="AW143" s="928"/>
      <c r="AX143" s="928"/>
      <c r="AY143" s="928"/>
      <c r="AZ143" s="928"/>
      <c r="BA143" s="928"/>
      <c r="BB143" s="928"/>
      <c r="BC143" s="928"/>
      <c r="BD143" s="928"/>
      <c r="BE143" s="928"/>
      <c r="BF143" s="928"/>
      <c r="BG143" s="928"/>
      <c r="BH143" s="928"/>
      <c r="BI143" s="928"/>
      <c r="BJ143" s="928"/>
      <c r="BK143" s="928"/>
      <c r="BL143" s="928"/>
      <c r="BM143" s="928"/>
      <c r="BN143" s="928"/>
      <c r="BO143" s="928"/>
      <c r="BP143" s="928"/>
      <c r="BQ143" s="928"/>
      <c r="BR143" s="928"/>
      <c r="BS143" s="928"/>
      <c r="BT143" s="928"/>
      <c r="BU143" s="928"/>
      <c r="BV143" s="928"/>
      <c r="BW143" s="928"/>
      <c r="BX143" s="928"/>
      <c r="BY143" s="928"/>
      <c r="BZ143" s="928"/>
      <c r="CA143" s="928"/>
      <c r="CB143" s="928"/>
      <c r="CC143" s="928"/>
      <c r="CD143" s="928"/>
      <c r="CE143" s="928"/>
      <c r="CF143" s="928"/>
      <c r="CG143" s="928"/>
      <c r="CH143" s="928"/>
      <c r="CI143" s="928"/>
      <c r="CJ143" s="928"/>
      <c r="CK143" s="928"/>
      <c r="CL143" s="928"/>
      <c r="CM143" s="928"/>
      <c r="CN143" s="928"/>
      <c r="CO143" s="928"/>
      <c r="CP143" s="928"/>
      <c r="CQ143" s="928"/>
      <c r="CR143" s="928"/>
      <c r="CS143" s="928"/>
      <c r="CT143" s="928"/>
      <c r="CU143" s="928"/>
      <c r="CV143" s="928"/>
      <c r="CW143" s="928"/>
      <c r="CX143" s="928"/>
      <c r="CY143" s="928"/>
      <c r="CZ143" s="928"/>
      <c r="DA143" s="928"/>
      <c r="DB143" s="928"/>
      <c r="DC143" s="928"/>
      <c r="DD143" s="928"/>
      <c r="DE143" s="928"/>
      <c r="DF143" s="928"/>
      <c r="DG143" s="928"/>
      <c r="DH143" s="928"/>
    </row>
    <row r="144" spans="1:112">
      <c r="A144" s="891" t="s">
        <v>935</v>
      </c>
      <c r="B144" s="891" t="s">
        <v>1508</v>
      </c>
      <c r="C144" s="891" t="s">
        <v>121</v>
      </c>
      <c r="D144" s="891" t="s">
        <v>935</v>
      </c>
      <c r="E144" s="891" t="s">
        <v>1508</v>
      </c>
      <c r="F144" s="891" t="s">
        <v>121</v>
      </c>
      <c r="G144" s="897">
        <v>73.739999999999995</v>
      </c>
      <c r="H144" s="897">
        <v>67.959999999999994</v>
      </c>
      <c r="I144" s="897">
        <v>138.38999999999999</v>
      </c>
      <c r="J144" s="891"/>
      <c r="K144" s="891"/>
      <c r="L144" s="891"/>
      <c r="M144" s="891"/>
      <c r="N144" s="891"/>
      <c r="O144" s="891"/>
      <c r="P144" s="891"/>
      <c r="Q144" s="891"/>
      <c r="R144" s="891"/>
      <c r="S144" s="891"/>
      <c r="T144" s="891"/>
      <c r="U144" s="928"/>
      <c r="V144" s="928"/>
      <c r="W144" s="928"/>
      <c r="X144" s="928"/>
      <c r="Y144" s="928"/>
      <c r="Z144" s="928"/>
      <c r="AA144" s="928"/>
      <c r="AB144" s="928"/>
      <c r="AC144" s="928"/>
      <c r="AD144" s="928"/>
      <c r="AE144" s="928"/>
      <c r="AF144" s="928"/>
      <c r="AG144" s="928"/>
      <c r="AH144" s="928"/>
      <c r="AI144" s="928"/>
      <c r="AJ144" s="928"/>
      <c r="AK144" s="928"/>
      <c r="AL144" s="928"/>
      <c r="AM144" s="928"/>
      <c r="AN144" s="928"/>
      <c r="AO144" s="928"/>
      <c r="AP144" s="928"/>
      <c r="AQ144" s="928"/>
      <c r="AR144" s="928"/>
      <c r="AS144" s="928"/>
      <c r="AT144" s="928"/>
      <c r="AU144" s="928"/>
      <c r="AV144" s="928"/>
      <c r="AW144" s="928"/>
      <c r="AX144" s="928"/>
      <c r="AY144" s="928"/>
      <c r="AZ144" s="928"/>
      <c r="BA144" s="928"/>
      <c r="BB144" s="928"/>
      <c r="BC144" s="928"/>
      <c r="BD144" s="928"/>
      <c r="BE144" s="928"/>
      <c r="BF144" s="928"/>
      <c r="BG144" s="928"/>
      <c r="BH144" s="928"/>
      <c r="BI144" s="928"/>
      <c r="BJ144" s="928"/>
      <c r="BK144" s="928"/>
      <c r="BL144" s="928"/>
      <c r="BM144" s="928"/>
      <c r="BN144" s="928"/>
      <c r="BO144" s="928"/>
      <c r="BP144" s="928"/>
      <c r="BQ144" s="928"/>
      <c r="BR144" s="928"/>
      <c r="BS144" s="928"/>
      <c r="BT144" s="928"/>
      <c r="BU144" s="928"/>
      <c r="BV144" s="928"/>
      <c r="BW144" s="928"/>
      <c r="BX144" s="928"/>
      <c r="BY144" s="928"/>
      <c r="BZ144" s="928"/>
      <c r="CA144" s="928"/>
      <c r="CB144" s="928"/>
      <c r="CC144" s="928"/>
      <c r="CD144" s="928"/>
      <c r="CE144" s="928"/>
      <c r="CF144" s="928"/>
      <c r="CG144" s="928"/>
      <c r="CH144" s="928"/>
      <c r="CI144" s="928"/>
      <c r="CJ144" s="928"/>
      <c r="CK144" s="928"/>
      <c r="CL144" s="928"/>
      <c r="CM144" s="928"/>
      <c r="CN144" s="928"/>
      <c r="CO144" s="928"/>
      <c r="CP144" s="928"/>
      <c r="CQ144" s="928"/>
      <c r="CR144" s="928"/>
      <c r="CS144" s="928"/>
      <c r="CT144" s="928"/>
      <c r="CU144" s="928"/>
      <c r="CV144" s="928"/>
      <c r="CW144" s="928"/>
      <c r="CX144" s="928"/>
      <c r="CY144" s="928"/>
      <c r="CZ144" s="928"/>
      <c r="DA144" s="928"/>
      <c r="DB144" s="928"/>
      <c r="DC144" s="928"/>
      <c r="DD144" s="928"/>
      <c r="DE144" s="928"/>
      <c r="DF144" s="928"/>
      <c r="DG144" s="928"/>
      <c r="DH144" s="928"/>
    </row>
    <row r="145" spans="1:112">
      <c r="A145" s="891" t="s">
        <v>936</v>
      </c>
      <c r="B145" s="891" t="s">
        <v>1489</v>
      </c>
      <c r="C145" s="891" t="s">
        <v>289</v>
      </c>
      <c r="D145" s="891" t="s">
        <v>936</v>
      </c>
      <c r="E145" s="891" t="s">
        <v>1489</v>
      </c>
      <c r="F145" s="891" t="s">
        <v>289</v>
      </c>
      <c r="G145" s="897">
        <v>84.02</v>
      </c>
      <c r="H145" s="897">
        <v>62.09</v>
      </c>
      <c r="I145" s="897">
        <v>138.93</v>
      </c>
      <c r="J145" s="891"/>
      <c r="K145" s="891"/>
      <c r="L145" s="891"/>
      <c r="M145" s="891"/>
      <c r="N145" s="891"/>
      <c r="O145" s="891"/>
      <c r="P145" s="891"/>
      <c r="Q145" s="891"/>
      <c r="R145" s="891"/>
      <c r="S145" s="891"/>
      <c r="T145" s="891"/>
      <c r="U145" s="928"/>
      <c r="V145" s="928"/>
      <c r="W145" s="928"/>
      <c r="X145" s="928"/>
      <c r="Y145" s="928"/>
      <c r="Z145" s="928"/>
      <c r="AA145" s="928"/>
      <c r="AB145" s="928"/>
      <c r="AC145" s="928"/>
      <c r="AD145" s="928"/>
      <c r="AE145" s="928"/>
      <c r="AF145" s="928"/>
      <c r="AG145" s="928"/>
      <c r="AH145" s="928"/>
      <c r="AI145" s="928"/>
      <c r="AJ145" s="928"/>
      <c r="AK145" s="928"/>
      <c r="AL145" s="928"/>
      <c r="AM145" s="928"/>
      <c r="AN145" s="928"/>
      <c r="AO145" s="928"/>
      <c r="AP145" s="928"/>
      <c r="AQ145" s="928"/>
      <c r="AR145" s="928"/>
      <c r="AS145" s="928"/>
      <c r="AT145" s="928"/>
      <c r="AU145" s="928"/>
      <c r="AV145" s="928"/>
      <c r="AW145" s="928"/>
      <c r="AX145" s="928"/>
      <c r="AY145" s="928"/>
      <c r="AZ145" s="928"/>
      <c r="BA145" s="928"/>
      <c r="BB145" s="928"/>
      <c r="BC145" s="928"/>
      <c r="BD145" s="928"/>
      <c r="BE145" s="928"/>
      <c r="BF145" s="928"/>
      <c r="BG145" s="928"/>
      <c r="BH145" s="928"/>
      <c r="BI145" s="928"/>
      <c r="BJ145" s="928"/>
      <c r="BK145" s="928"/>
      <c r="BL145" s="928"/>
      <c r="BM145" s="928"/>
      <c r="BN145" s="928"/>
      <c r="BO145" s="928"/>
      <c r="BP145" s="928"/>
      <c r="BQ145" s="928"/>
      <c r="BR145" s="928"/>
      <c r="BS145" s="928"/>
      <c r="BT145" s="928"/>
      <c r="BU145" s="928"/>
      <c r="BV145" s="928"/>
      <c r="BW145" s="928"/>
      <c r="BX145" s="928"/>
      <c r="BY145" s="928"/>
      <c r="BZ145" s="928"/>
      <c r="CA145" s="928"/>
      <c r="CB145" s="928"/>
      <c r="CC145" s="928"/>
      <c r="CD145" s="928"/>
      <c r="CE145" s="928"/>
      <c r="CF145" s="928"/>
      <c r="CG145" s="928"/>
      <c r="CH145" s="928"/>
      <c r="CI145" s="928"/>
      <c r="CJ145" s="928"/>
      <c r="CK145" s="928"/>
      <c r="CL145" s="928"/>
      <c r="CM145" s="928"/>
      <c r="CN145" s="928"/>
      <c r="CO145" s="928"/>
      <c r="CP145" s="928"/>
      <c r="CQ145" s="928"/>
      <c r="CR145" s="928"/>
      <c r="CS145" s="928"/>
      <c r="CT145" s="928"/>
      <c r="CU145" s="928"/>
      <c r="CV145" s="928"/>
      <c r="CW145" s="928"/>
      <c r="CX145" s="928"/>
      <c r="CY145" s="928"/>
      <c r="CZ145" s="928"/>
      <c r="DA145" s="928"/>
      <c r="DB145" s="928"/>
      <c r="DC145" s="928"/>
      <c r="DD145" s="928"/>
      <c r="DE145" s="928"/>
      <c r="DF145" s="928"/>
      <c r="DG145" s="928"/>
      <c r="DH145" s="928"/>
    </row>
    <row r="146" spans="1:112">
      <c r="A146" s="891" t="s">
        <v>937</v>
      </c>
      <c r="B146" s="891" t="s">
        <v>1515</v>
      </c>
      <c r="C146" s="891" t="s">
        <v>312</v>
      </c>
      <c r="D146" s="891" t="s">
        <v>937</v>
      </c>
      <c r="E146" s="891" t="s">
        <v>1515</v>
      </c>
      <c r="F146" s="891" t="s">
        <v>312</v>
      </c>
      <c r="G146" s="897">
        <v>29.54</v>
      </c>
      <c r="H146" s="897">
        <v>14.3</v>
      </c>
      <c r="I146" s="897">
        <v>76.67</v>
      </c>
      <c r="J146" s="891"/>
      <c r="K146" s="891"/>
      <c r="L146" s="891"/>
      <c r="M146" s="891"/>
      <c r="N146" s="891"/>
      <c r="O146" s="891"/>
      <c r="P146" s="891"/>
      <c r="Q146" s="891"/>
      <c r="R146" s="891"/>
      <c r="S146" s="891"/>
      <c r="T146" s="891"/>
      <c r="U146" s="928"/>
      <c r="V146" s="928"/>
      <c r="W146" s="928"/>
      <c r="X146" s="928"/>
      <c r="Y146" s="928"/>
      <c r="Z146" s="928"/>
      <c r="AA146" s="928"/>
      <c r="AB146" s="928"/>
      <c r="AC146" s="928"/>
      <c r="AD146" s="928"/>
      <c r="AE146" s="928"/>
      <c r="AF146" s="928"/>
      <c r="AG146" s="928"/>
      <c r="AH146" s="928"/>
      <c r="AI146" s="928"/>
      <c r="AJ146" s="928"/>
      <c r="AK146" s="928"/>
      <c r="AL146" s="928"/>
      <c r="AM146" s="928"/>
      <c r="AN146" s="928"/>
      <c r="AO146" s="928"/>
      <c r="AP146" s="928"/>
      <c r="AQ146" s="928"/>
      <c r="AR146" s="928"/>
      <c r="AS146" s="928"/>
      <c r="AT146" s="928"/>
      <c r="AU146" s="928"/>
      <c r="AV146" s="928"/>
      <c r="AW146" s="928"/>
      <c r="AX146" s="928"/>
      <c r="AY146" s="928"/>
      <c r="AZ146" s="928"/>
      <c r="BA146" s="928"/>
      <c r="BB146" s="928"/>
      <c r="BC146" s="928"/>
      <c r="BD146" s="928"/>
      <c r="BE146" s="928"/>
      <c r="BF146" s="928"/>
      <c r="BG146" s="928"/>
      <c r="BH146" s="928"/>
      <c r="BI146" s="928"/>
      <c r="BJ146" s="928"/>
      <c r="BK146" s="928"/>
      <c r="BL146" s="928"/>
      <c r="BM146" s="928"/>
      <c r="BN146" s="928"/>
      <c r="BO146" s="928"/>
      <c r="BP146" s="928"/>
      <c r="BQ146" s="928"/>
      <c r="BR146" s="928"/>
      <c r="BS146" s="928"/>
      <c r="BT146" s="928"/>
      <c r="BU146" s="928"/>
      <c r="BV146" s="928"/>
      <c r="BW146" s="928"/>
      <c r="BX146" s="928"/>
      <c r="BY146" s="928"/>
      <c r="BZ146" s="928"/>
      <c r="CA146" s="928"/>
      <c r="CB146" s="928"/>
      <c r="CC146" s="928"/>
      <c r="CD146" s="928"/>
      <c r="CE146" s="928"/>
      <c r="CF146" s="928"/>
      <c r="CG146" s="928"/>
      <c r="CH146" s="928"/>
      <c r="CI146" s="928"/>
      <c r="CJ146" s="928"/>
      <c r="CK146" s="928"/>
      <c r="CL146" s="928"/>
      <c r="CM146" s="928"/>
      <c r="CN146" s="928"/>
      <c r="CO146" s="928"/>
      <c r="CP146" s="928"/>
      <c r="CQ146" s="928"/>
      <c r="CR146" s="928"/>
      <c r="CS146" s="928"/>
      <c r="CT146" s="928"/>
      <c r="CU146" s="928"/>
      <c r="CV146" s="928"/>
      <c r="CW146" s="928"/>
      <c r="CX146" s="928"/>
      <c r="CY146" s="928"/>
      <c r="CZ146" s="928"/>
      <c r="DA146" s="928"/>
      <c r="DB146" s="928"/>
      <c r="DC146" s="928"/>
      <c r="DD146" s="928"/>
      <c r="DE146" s="928"/>
      <c r="DF146" s="928"/>
      <c r="DG146" s="928"/>
      <c r="DH146" s="928"/>
    </row>
    <row r="147" spans="1:112">
      <c r="A147" s="891" t="s">
        <v>938</v>
      </c>
      <c r="B147" s="891" t="s">
        <v>1516</v>
      </c>
      <c r="C147" s="891" t="s">
        <v>317</v>
      </c>
      <c r="D147" s="891" t="s">
        <v>938</v>
      </c>
      <c r="E147" s="891" t="s">
        <v>1516</v>
      </c>
      <c r="F147" s="891" t="s">
        <v>317</v>
      </c>
      <c r="G147" s="897">
        <v>47</v>
      </c>
      <c r="H147" s="897">
        <v>34.51</v>
      </c>
      <c r="I147" s="897">
        <v>35.090000000000003</v>
      </c>
      <c r="J147" s="891"/>
      <c r="K147" s="891"/>
      <c r="L147" s="891"/>
      <c r="M147" s="891"/>
      <c r="N147" s="891"/>
      <c r="O147" s="891"/>
      <c r="P147" s="891"/>
      <c r="Q147" s="891"/>
      <c r="R147" s="891"/>
      <c r="S147" s="891"/>
      <c r="T147" s="891"/>
      <c r="U147" s="928"/>
      <c r="V147" s="928"/>
      <c r="W147" s="928"/>
      <c r="X147" s="928"/>
      <c r="Y147" s="928"/>
      <c r="Z147" s="928"/>
      <c r="AA147" s="928"/>
      <c r="AB147" s="928"/>
      <c r="AC147" s="928"/>
      <c r="AD147" s="928"/>
      <c r="AE147" s="928"/>
      <c r="AF147" s="928"/>
      <c r="AG147" s="928"/>
      <c r="AH147" s="928"/>
      <c r="AI147" s="928"/>
      <c r="AJ147" s="928"/>
      <c r="AK147" s="928"/>
      <c r="AL147" s="928"/>
      <c r="AM147" s="928"/>
      <c r="AN147" s="928"/>
      <c r="AO147" s="928"/>
      <c r="AP147" s="928"/>
      <c r="AQ147" s="928"/>
      <c r="AR147" s="928"/>
      <c r="AS147" s="928"/>
      <c r="AT147" s="928"/>
      <c r="AU147" s="928"/>
      <c r="AV147" s="928"/>
      <c r="AW147" s="928"/>
      <c r="AX147" s="928"/>
      <c r="AY147" s="928"/>
      <c r="AZ147" s="928"/>
      <c r="BA147" s="928"/>
      <c r="BB147" s="928"/>
      <c r="BC147" s="928"/>
      <c r="BD147" s="928"/>
      <c r="BE147" s="928"/>
      <c r="BF147" s="928"/>
      <c r="BG147" s="928"/>
      <c r="BH147" s="928"/>
      <c r="BI147" s="928"/>
      <c r="BJ147" s="928"/>
      <c r="BK147" s="928"/>
      <c r="BL147" s="928"/>
      <c r="BM147" s="928"/>
      <c r="BN147" s="928"/>
      <c r="BO147" s="928"/>
      <c r="BP147" s="928"/>
      <c r="BQ147" s="928"/>
      <c r="BR147" s="928"/>
      <c r="BS147" s="928"/>
      <c r="BT147" s="928"/>
      <c r="BU147" s="928"/>
      <c r="BV147" s="928"/>
      <c r="BW147" s="928"/>
      <c r="BX147" s="928"/>
      <c r="BY147" s="928"/>
      <c r="BZ147" s="928"/>
      <c r="CA147" s="928"/>
      <c r="CB147" s="928"/>
      <c r="CC147" s="928"/>
      <c r="CD147" s="928"/>
      <c r="CE147" s="928"/>
      <c r="CF147" s="928"/>
      <c r="CG147" s="928"/>
      <c r="CH147" s="928"/>
      <c r="CI147" s="928"/>
      <c r="CJ147" s="928"/>
      <c r="CK147" s="928"/>
      <c r="CL147" s="928"/>
      <c r="CM147" s="928"/>
      <c r="CN147" s="928"/>
      <c r="CO147" s="928"/>
      <c r="CP147" s="928"/>
      <c r="CQ147" s="928"/>
      <c r="CR147" s="928"/>
      <c r="CS147" s="928"/>
      <c r="CT147" s="928"/>
      <c r="CU147" s="928"/>
      <c r="CV147" s="928"/>
      <c r="CW147" s="928"/>
      <c r="CX147" s="928"/>
      <c r="CY147" s="928"/>
      <c r="CZ147" s="928"/>
      <c r="DA147" s="928"/>
      <c r="DB147" s="928"/>
      <c r="DC147" s="928"/>
      <c r="DD147" s="928"/>
      <c r="DE147" s="928"/>
      <c r="DF147" s="928"/>
      <c r="DG147" s="928"/>
      <c r="DH147" s="928"/>
    </row>
    <row r="148" spans="1:112">
      <c r="A148" s="891" t="s">
        <v>939</v>
      </c>
      <c r="B148" s="891" t="s">
        <v>1454</v>
      </c>
      <c r="C148" s="891" t="s">
        <v>200</v>
      </c>
      <c r="D148" s="891" t="s">
        <v>939</v>
      </c>
      <c r="E148" s="891" t="s">
        <v>1454</v>
      </c>
      <c r="F148" s="891" t="s">
        <v>200</v>
      </c>
      <c r="G148" s="897">
        <v>74.78</v>
      </c>
      <c r="H148" s="897">
        <v>68.92</v>
      </c>
      <c r="I148" s="897">
        <v>154.05000000000001</v>
      </c>
      <c r="J148" s="891"/>
      <c r="K148" s="891"/>
      <c r="L148" s="891"/>
      <c r="M148" s="891"/>
      <c r="N148" s="891"/>
      <c r="O148" s="891"/>
      <c r="P148" s="891"/>
      <c r="Q148" s="891"/>
      <c r="R148" s="891"/>
      <c r="S148" s="891"/>
      <c r="T148" s="891"/>
      <c r="U148" s="928"/>
      <c r="V148" s="928"/>
      <c r="W148" s="928"/>
      <c r="X148" s="928"/>
      <c r="Y148" s="928"/>
      <c r="Z148" s="928"/>
      <c r="AA148" s="928"/>
      <c r="AB148" s="928"/>
      <c r="AC148" s="928"/>
      <c r="AD148" s="928"/>
      <c r="AE148" s="928"/>
      <c r="AF148" s="928"/>
      <c r="AG148" s="928"/>
      <c r="AH148" s="928"/>
      <c r="AI148" s="928"/>
      <c r="AJ148" s="928"/>
      <c r="AK148" s="928"/>
      <c r="AL148" s="928"/>
      <c r="AM148" s="928"/>
      <c r="AN148" s="928"/>
      <c r="AO148" s="928"/>
      <c r="AP148" s="928"/>
      <c r="AQ148" s="928"/>
      <c r="AR148" s="928"/>
      <c r="AS148" s="928"/>
      <c r="AT148" s="928"/>
      <c r="AU148" s="928"/>
      <c r="AV148" s="928"/>
      <c r="AW148" s="928"/>
      <c r="AX148" s="928"/>
      <c r="AY148" s="928"/>
      <c r="AZ148" s="928"/>
      <c r="BA148" s="928"/>
      <c r="BB148" s="928"/>
      <c r="BC148" s="928"/>
      <c r="BD148" s="928"/>
      <c r="BE148" s="928"/>
      <c r="BF148" s="928"/>
      <c r="BG148" s="928"/>
      <c r="BH148" s="928"/>
      <c r="BI148" s="928"/>
      <c r="BJ148" s="928"/>
      <c r="BK148" s="928"/>
      <c r="BL148" s="928"/>
      <c r="BM148" s="928"/>
      <c r="BN148" s="928"/>
      <c r="BO148" s="928"/>
      <c r="BP148" s="928"/>
      <c r="BQ148" s="928"/>
      <c r="BR148" s="928"/>
      <c r="BS148" s="928"/>
      <c r="BT148" s="928"/>
      <c r="BU148" s="928"/>
      <c r="BV148" s="928"/>
      <c r="BW148" s="928"/>
      <c r="BX148" s="928"/>
      <c r="BY148" s="928"/>
      <c r="BZ148" s="928"/>
      <c r="CA148" s="928"/>
      <c r="CB148" s="928"/>
      <c r="CC148" s="928"/>
      <c r="CD148" s="928"/>
      <c r="CE148" s="928"/>
      <c r="CF148" s="928"/>
      <c r="CG148" s="928"/>
      <c r="CH148" s="928"/>
      <c r="CI148" s="928"/>
      <c r="CJ148" s="928"/>
      <c r="CK148" s="928"/>
      <c r="CL148" s="928"/>
      <c r="CM148" s="928"/>
      <c r="CN148" s="928"/>
      <c r="CO148" s="928"/>
      <c r="CP148" s="928"/>
      <c r="CQ148" s="928"/>
      <c r="CR148" s="928"/>
      <c r="CS148" s="928"/>
      <c r="CT148" s="928"/>
      <c r="CU148" s="928"/>
      <c r="CV148" s="928"/>
      <c r="CW148" s="928"/>
      <c r="CX148" s="928"/>
      <c r="CY148" s="928"/>
      <c r="CZ148" s="928"/>
      <c r="DA148" s="928"/>
      <c r="DB148" s="928"/>
      <c r="DC148" s="928"/>
      <c r="DD148" s="928"/>
      <c r="DE148" s="928"/>
      <c r="DF148" s="928"/>
      <c r="DG148" s="928"/>
      <c r="DH148" s="928"/>
    </row>
    <row r="149" spans="1:112">
      <c r="A149" s="891" t="s">
        <v>940</v>
      </c>
      <c r="B149" s="891" t="s">
        <v>1514</v>
      </c>
      <c r="C149" s="891" t="s">
        <v>377</v>
      </c>
      <c r="D149" s="891" t="s">
        <v>940</v>
      </c>
      <c r="E149" s="891" t="s">
        <v>1514</v>
      </c>
      <c r="F149" s="891" t="s">
        <v>377</v>
      </c>
      <c r="G149" s="897">
        <v>25.27</v>
      </c>
      <c r="H149" s="897">
        <v>13.44</v>
      </c>
      <c r="I149" s="897">
        <v>42.4</v>
      </c>
      <c r="J149" s="891"/>
      <c r="K149" s="891"/>
      <c r="L149" s="891"/>
      <c r="M149" s="891"/>
      <c r="N149" s="891"/>
      <c r="O149" s="891"/>
      <c r="P149" s="891"/>
      <c r="Q149" s="891"/>
      <c r="R149" s="891"/>
      <c r="S149" s="891"/>
      <c r="T149" s="891"/>
      <c r="U149" s="928"/>
      <c r="V149" s="928"/>
      <c r="W149" s="928"/>
      <c r="X149" s="928"/>
      <c r="Y149" s="928"/>
      <c r="Z149" s="928"/>
      <c r="AA149" s="928"/>
      <c r="AB149" s="928"/>
      <c r="AC149" s="928"/>
      <c r="AD149" s="928"/>
      <c r="AE149" s="928"/>
      <c r="AF149" s="928"/>
      <c r="AG149" s="928"/>
      <c r="AH149" s="928"/>
      <c r="AI149" s="928"/>
      <c r="AJ149" s="928"/>
      <c r="AK149" s="928"/>
      <c r="AL149" s="928"/>
      <c r="AM149" s="928"/>
      <c r="AN149" s="928"/>
      <c r="AO149" s="928"/>
      <c r="AP149" s="928"/>
      <c r="AQ149" s="928"/>
      <c r="AR149" s="928"/>
      <c r="AS149" s="928"/>
      <c r="AT149" s="928"/>
      <c r="AU149" s="928"/>
      <c r="AV149" s="928"/>
      <c r="AW149" s="928"/>
      <c r="AX149" s="928"/>
      <c r="AY149" s="928"/>
      <c r="AZ149" s="928"/>
      <c r="BA149" s="928"/>
      <c r="BB149" s="928"/>
      <c r="BC149" s="928"/>
      <c r="BD149" s="928"/>
      <c r="BE149" s="928"/>
      <c r="BF149" s="928"/>
      <c r="BG149" s="928"/>
      <c r="BH149" s="928"/>
      <c r="BI149" s="928"/>
      <c r="BJ149" s="928"/>
      <c r="BK149" s="928"/>
      <c r="BL149" s="928"/>
      <c r="BM149" s="928"/>
      <c r="BN149" s="928"/>
      <c r="BO149" s="928"/>
      <c r="BP149" s="928"/>
      <c r="BQ149" s="928"/>
      <c r="BR149" s="928"/>
      <c r="BS149" s="928"/>
      <c r="BT149" s="928"/>
      <c r="BU149" s="928"/>
      <c r="BV149" s="928"/>
      <c r="BW149" s="928"/>
      <c r="BX149" s="928"/>
      <c r="BY149" s="928"/>
      <c r="BZ149" s="928"/>
      <c r="CA149" s="928"/>
      <c r="CB149" s="928"/>
      <c r="CC149" s="928"/>
      <c r="CD149" s="928"/>
      <c r="CE149" s="928"/>
      <c r="CF149" s="928"/>
      <c r="CG149" s="928"/>
      <c r="CH149" s="928"/>
      <c r="CI149" s="928"/>
      <c r="CJ149" s="928"/>
      <c r="CK149" s="928"/>
      <c r="CL149" s="928"/>
      <c r="CM149" s="928"/>
      <c r="CN149" s="928"/>
      <c r="CO149" s="928"/>
      <c r="CP149" s="928"/>
      <c r="CQ149" s="928"/>
      <c r="CR149" s="928"/>
      <c r="CS149" s="928"/>
      <c r="CT149" s="928"/>
      <c r="CU149" s="928"/>
      <c r="CV149" s="928"/>
      <c r="CW149" s="928"/>
      <c r="CX149" s="928"/>
      <c r="CY149" s="928"/>
      <c r="CZ149" s="928"/>
      <c r="DA149" s="928"/>
      <c r="DB149" s="928"/>
      <c r="DC149" s="928"/>
      <c r="DD149" s="928"/>
      <c r="DE149" s="928"/>
      <c r="DF149" s="928"/>
      <c r="DG149" s="928"/>
      <c r="DH149" s="928"/>
    </row>
    <row r="150" spans="1:112">
      <c r="A150" s="891" t="s">
        <v>941</v>
      </c>
      <c r="B150" s="891" t="s">
        <v>1517</v>
      </c>
      <c r="C150" s="891" t="s">
        <v>374</v>
      </c>
      <c r="D150" s="891" t="s">
        <v>941</v>
      </c>
      <c r="E150" s="891" t="s">
        <v>1517</v>
      </c>
      <c r="F150" s="891" t="s">
        <v>374</v>
      </c>
      <c r="G150" s="897">
        <v>45.61</v>
      </c>
      <c r="H150" s="897">
        <v>62.61</v>
      </c>
      <c r="I150" s="897">
        <v>40.15</v>
      </c>
      <c r="J150" s="891"/>
      <c r="K150" s="891"/>
      <c r="L150" s="891"/>
      <c r="M150" s="891"/>
      <c r="N150" s="891"/>
      <c r="O150" s="891"/>
      <c r="P150" s="891"/>
      <c r="Q150" s="891"/>
      <c r="R150" s="891"/>
      <c r="S150" s="891"/>
      <c r="T150" s="891"/>
      <c r="U150" s="928"/>
      <c r="V150" s="928"/>
      <c r="W150" s="928"/>
      <c r="X150" s="928"/>
      <c r="Y150" s="928"/>
      <c r="Z150" s="928"/>
      <c r="AA150" s="928"/>
      <c r="AB150" s="928"/>
      <c r="AC150" s="928"/>
      <c r="AD150" s="928"/>
      <c r="AE150" s="928"/>
      <c r="AF150" s="928"/>
      <c r="AG150" s="928"/>
      <c r="AH150" s="928"/>
      <c r="AI150" s="928"/>
      <c r="AJ150" s="928"/>
      <c r="AK150" s="928"/>
      <c r="AL150" s="928"/>
      <c r="AM150" s="928"/>
      <c r="AN150" s="928"/>
      <c r="AO150" s="928"/>
      <c r="AP150" s="928"/>
      <c r="AQ150" s="928"/>
      <c r="AR150" s="928"/>
      <c r="AS150" s="928"/>
      <c r="AT150" s="928"/>
      <c r="AU150" s="928"/>
      <c r="AV150" s="928"/>
      <c r="AW150" s="928"/>
      <c r="AX150" s="928"/>
      <c r="AY150" s="928"/>
      <c r="AZ150" s="928"/>
      <c r="BA150" s="928"/>
      <c r="BB150" s="928"/>
      <c r="BC150" s="928"/>
      <c r="BD150" s="928"/>
      <c r="BE150" s="928"/>
      <c r="BF150" s="928"/>
      <c r="BG150" s="928"/>
      <c r="BH150" s="928"/>
      <c r="BI150" s="928"/>
      <c r="BJ150" s="928"/>
      <c r="BK150" s="928"/>
      <c r="BL150" s="928"/>
      <c r="BM150" s="928"/>
      <c r="BN150" s="928"/>
      <c r="BO150" s="928"/>
      <c r="BP150" s="928"/>
      <c r="BQ150" s="928"/>
      <c r="BR150" s="928"/>
      <c r="BS150" s="928"/>
      <c r="BT150" s="928"/>
      <c r="BU150" s="928"/>
      <c r="BV150" s="928"/>
      <c r="BW150" s="928"/>
      <c r="BX150" s="928"/>
      <c r="BY150" s="928"/>
      <c r="BZ150" s="928"/>
      <c r="CA150" s="928"/>
      <c r="CB150" s="928"/>
      <c r="CC150" s="928"/>
      <c r="CD150" s="928"/>
      <c r="CE150" s="928"/>
      <c r="CF150" s="928"/>
      <c r="CG150" s="928"/>
      <c r="CH150" s="928"/>
      <c r="CI150" s="928"/>
      <c r="CJ150" s="928"/>
      <c r="CK150" s="928"/>
      <c r="CL150" s="928"/>
      <c r="CM150" s="928"/>
      <c r="CN150" s="928"/>
      <c r="CO150" s="928"/>
      <c r="CP150" s="928"/>
      <c r="CQ150" s="928"/>
      <c r="CR150" s="928"/>
      <c r="CS150" s="928"/>
      <c r="CT150" s="928"/>
      <c r="CU150" s="928"/>
      <c r="CV150" s="928"/>
      <c r="CW150" s="928"/>
      <c r="CX150" s="928"/>
      <c r="CY150" s="928"/>
      <c r="CZ150" s="928"/>
      <c r="DA150" s="928"/>
      <c r="DB150" s="928"/>
      <c r="DC150" s="928"/>
      <c r="DD150" s="928"/>
      <c r="DE150" s="928"/>
      <c r="DF150" s="928"/>
      <c r="DG150" s="928"/>
      <c r="DH150" s="928"/>
    </row>
    <row r="151" spans="1:112">
      <c r="A151" s="891" t="s">
        <v>942</v>
      </c>
      <c r="B151" s="891" t="s">
        <v>1502</v>
      </c>
      <c r="C151" s="891" t="s">
        <v>336</v>
      </c>
      <c r="D151" s="891" t="s">
        <v>942</v>
      </c>
      <c r="E151" s="891" t="s">
        <v>1502</v>
      </c>
      <c r="F151" s="891" t="s">
        <v>336</v>
      </c>
      <c r="G151" s="897">
        <v>28.63</v>
      </c>
      <c r="H151" s="897">
        <v>25.59</v>
      </c>
      <c r="I151" s="897">
        <v>29.47</v>
      </c>
      <c r="J151" s="891"/>
      <c r="K151" s="891"/>
      <c r="L151" s="891"/>
      <c r="M151" s="891"/>
      <c r="N151" s="891"/>
      <c r="O151" s="891"/>
      <c r="P151" s="891"/>
      <c r="Q151" s="891"/>
      <c r="R151" s="891"/>
      <c r="S151" s="891"/>
      <c r="T151" s="891"/>
      <c r="U151" s="928"/>
      <c r="V151" s="928"/>
      <c r="W151" s="928"/>
      <c r="X151" s="928"/>
      <c r="Y151" s="928"/>
      <c r="Z151" s="928"/>
      <c r="AA151" s="928"/>
      <c r="AB151" s="928"/>
      <c r="AC151" s="928"/>
      <c r="AD151" s="928"/>
      <c r="AE151" s="928"/>
      <c r="AF151" s="928"/>
      <c r="AG151" s="928"/>
      <c r="AH151" s="928"/>
      <c r="AI151" s="928"/>
      <c r="AJ151" s="928"/>
      <c r="AK151" s="928"/>
      <c r="AL151" s="928"/>
      <c r="AM151" s="928"/>
      <c r="AN151" s="928"/>
      <c r="AO151" s="928"/>
      <c r="AP151" s="928"/>
      <c r="AQ151" s="928"/>
      <c r="AR151" s="928"/>
      <c r="AS151" s="928"/>
      <c r="AT151" s="928"/>
      <c r="AU151" s="928"/>
      <c r="AV151" s="928"/>
      <c r="AW151" s="928"/>
      <c r="AX151" s="928"/>
      <c r="AY151" s="928"/>
      <c r="AZ151" s="928"/>
      <c r="BA151" s="928"/>
      <c r="BB151" s="928"/>
      <c r="BC151" s="928"/>
      <c r="BD151" s="928"/>
      <c r="BE151" s="928"/>
      <c r="BF151" s="928"/>
      <c r="BG151" s="928"/>
      <c r="BH151" s="928"/>
      <c r="BI151" s="928"/>
      <c r="BJ151" s="928"/>
      <c r="BK151" s="928"/>
      <c r="BL151" s="928"/>
      <c r="BM151" s="928"/>
      <c r="BN151" s="928"/>
      <c r="BO151" s="928"/>
      <c r="BP151" s="928"/>
      <c r="BQ151" s="928"/>
      <c r="BR151" s="928"/>
      <c r="BS151" s="928"/>
      <c r="BT151" s="928"/>
      <c r="BU151" s="928"/>
      <c r="BV151" s="928"/>
      <c r="BW151" s="928"/>
      <c r="BX151" s="928"/>
      <c r="BY151" s="928"/>
      <c r="BZ151" s="928"/>
      <c r="CA151" s="928"/>
      <c r="CB151" s="928"/>
      <c r="CC151" s="928"/>
      <c r="CD151" s="928"/>
      <c r="CE151" s="928"/>
      <c r="CF151" s="928"/>
      <c r="CG151" s="928"/>
      <c r="CH151" s="928"/>
      <c r="CI151" s="928"/>
      <c r="CJ151" s="928"/>
      <c r="CK151" s="928"/>
      <c r="CL151" s="928"/>
      <c r="CM151" s="928"/>
      <c r="CN151" s="928"/>
      <c r="CO151" s="928"/>
      <c r="CP151" s="928"/>
      <c r="CQ151" s="928"/>
      <c r="CR151" s="928"/>
      <c r="CS151" s="928"/>
      <c r="CT151" s="928"/>
      <c r="CU151" s="928"/>
      <c r="CV151" s="928"/>
      <c r="CW151" s="928"/>
      <c r="CX151" s="928"/>
      <c r="CY151" s="928"/>
      <c r="CZ151" s="928"/>
      <c r="DA151" s="928"/>
      <c r="DB151" s="928"/>
      <c r="DC151" s="928"/>
      <c r="DD151" s="928"/>
      <c r="DE151" s="928"/>
      <c r="DF151" s="928"/>
      <c r="DG151" s="928"/>
      <c r="DH151" s="928"/>
    </row>
    <row r="152" spans="1:112">
      <c r="A152" s="891" t="s">
        <v>943</v>
      </c>
      <c r="B152" s="891" t="s">
        <v>1518</v>
      </c>
      <c r="C152" s="891" t="s">
        <v>253</v>
      </c>
      <c r="D152" s="891" t="s">
        <v>943</v>
      </c>
      <c r="E152" s="891" t="s">
        <v>1518</v>
      </c>
      <c r="F152" s="891" t="s">
        <v>253</v>
      </c>
      <c r="G152" s="897">
        <v>49.05</v>
      </c>
      <c r="H152" s="897">
        <v>46.29</v>
      </c>
      <c r="I152" s="897">
        <v>62.64</v>
      </c>
      <c r="J152" s="891"/>
      <c r="K152" s="891"/>
      <c r="L152" s="891"/>
      <c r="M152" s="891"/>
      <c r="N152" s="891"/>
      <c r="O152" s="891"/>
      <c r="P152" s="891"/>
      <c r="Q152" s="891"/>
      <c r="R152" s="891"/>
      <c r="S152" s="891"/>
      <c r="T152" s="891"/>
      <c r="U152" s="928"/>
      <c r="V152" s="928"/>
      <c r="W152" s="928"/>
      <c r="X152" s="928"/>
      <c r="Y152" s="928"/>
      <c r="Z152" s="928"/>
      <c r="AA152" s="928"/>
      <c r="AB152" s="928"/>
      <c r="AC152" s="928"/>
      <c r="AD152" s="928"/>
      <c r="AE152" s="928"/>
      <c r="AF152" s="928"/>
      <c r="AG152" s="928"/>
      <c r="AH152" s="928"/>
      <c r="AI152" s="928"/>
      <c r="AJ152" s="928"/>
      <c r="AK152" s="928"/>
      <c r="AL152" s="928"/>
      <c r="AM152" s="928"/>
      <c r="AN152" s="928"/>
      <c r="AO152" s="928"/>
      <c r="AP152" s="928"/>
      <c r="AQ152" s="928"/>
      <c r="AR152" s="928"/>
      <c r="AS152" s="928"/>
      <c r="AT152" s="928"/>
      <c r="AU152" s="928"/>
      <c r="AV152" s="928"/>
      <c r="AW152" s="928"/>
      <c r="AX152" s="928"/>
      <c r="AY152" s="928"/>
      <c r="AZ152" s="928"/>
      <c r="BA152" s="928"/>
      <c r="BB152" s="928"/>
      <c r="BC152" s="928"/>
      <c r="BD152" s="928"/>
      <c r="BE152" s="928"/>
      <c r="BF152" s="928"/>
      <c r="BG152" s="928"/>
      <c r="BH152" s="928"/>
      <c r="BI152" s="928"/>
      <c r="BJ152" s="928"/>
      <c r="BK152" s="928"/>
      <c r="BL152" s="928"/>
      <c r="BM152" s="928"/>
      <c r="BN152" s="928"/>
      <c r="BO152" s="928"/>
      <c r="BP152" s="928"/>
      <c r="BQ152" s="928"/>
      <c r="BR152" s="928"/>
      <c r="BS152" s="928"/>
      <c r="BT152" s="928"/>
      <c r="BU152" s="928"/>
      <c r="BV152" s="928"/>
      <c r="BW152" s="928"/>
      <c r="BX152" s="928"/>
      <c r="BY152" s="928"/>
      <c r="BZ152" s="928"/>
      <c r="CA152" s="928"/>
      <c r="CB152" s="928"/>
      <c r="CC152" s="928"/>
      <c r="CD152" s="928"/>
      <c r="CE152" s="928"/>
      <c r="CF152" s="928"/>
      <c r="CG152" s="928"/>
      <c r="CH152" s="928"/>
      <c r="CI152" s="928"/>
      <c r="CJ152" s="928"/>
      <c r="CK152" s="928"/>
      <c r="CL152" s="928"/>
      <c r="CM152" s="928"/>
      <c r="CN152" s="928"/>
      <c r="CO152" s="928"/>
      <c r="CP152" s="928"/>
      <c r="CQ152" s="928"/>
      <c r="CR152" s="928"/>
      <c r="CS152" s="928"/>
      <c r="CT152" s="928"/>
      <c r="CU152" s="928"/>
      <c r="CV152" s="928"/>
      <c r="CW152" s="928"/>
      <c r="CX152" s="928"/>
      <c r="CY152" s="928"/>
      <c r="CZ152" s="928"/>
      <c r="DA152" s="928"/>
      <c r="DB152" s="928"/>
      <c r="DC152" s="928"/>
      <c r="DD152" s="928"/>
      <c r="DE152" s="928"/>
      <c r="DF152" s="928"/>
      <c r="DG152" s="928"/>
      <c r="DH152" s="928"/>
    </row>
    <row r="153" spans="1:112">
      <c r="A153" s="891" t="s">
        <v>944</v>
      </c>
      <c r="B153" s="891" t="s">
        <v>1471</v>
      </c>
      <c r="C153" s="891" t="s">
        <v>136</v>
      </c>
      <c r="D153" s="891" t="s">
        <v>944</v>
      </c>
      <c r="E153" s="891" t="s">
        <v>1471</v>
      </c>
      <c r="F153" s="891" t="s">
        <v>136</v>
      </c>
      <c r="G153" s="897">
        <v>44.21</v>
      </c>
      <c r="H153" s="897">
        <v>42.18</v>
      </c>
      <c r="I153" s="897">
        <v>53.12</v>
      </c>
      <c r="J153" s="891"/>
      <c r="K153" s="891"/>
      <c r="L153" s="891"/>
      <c r="M153" s="891"/>
      <c r="N153" s="891"/>
      <c r="O153" s="891"/>
      <c r="P153" s="891"/>
      <c r="Q153" s="891"/>
      <c r="R153" s="891"/>
      <c r="S153" s="891"/>
      <c r="T153" s="891"/>
      <c r="U153" s="928"/>
      <c r="V153" s="928"/>
      <c r="W153" s="928"/>
      <c r="X153" s="928"/>
      <c r="Y153" s="928"/>
      <c r="Z153" s="928"/>
      <c r="AA153" s="928"/>
      <c r="AB153" s="928"/>
      <c r="AC153" s="928"/>
      <c r="AD153" s="928"/>
      <c r="AE153" s="928"/>
      <c r="AF153" s="928"/>
      <c r="AG153" s="928"/>
      <c r="AH153" s="928"/>
      <c r="AI153" s="928"/>
      <c r="AJ153" s="928"/>
      <c r="AK153" s="928"/>
      <c r="AL153" s="928"/>
      <c r="AM153" s="928"/>
      <c r="AN153" s="928"/>
      <c r="AO153" s="928"/>
      <c r="AP153" s="928"/>
      <c r="AQ153" s="928"/>
      <c r="AR153" s="928"/>
      <c r="AS153" s="928"/>
      <c r="AT153" s="928"/>
      <c r="AU153" s="928"/>
      <c r="AV153" s="928"/>
      <c r="AW153" s="928"/>
      <c r="AX153" s="928"/>
      <c r="AY153" s="928"/>
      <c r="AZ153" s="928"/>
      <c r="BA153" s="928"/>
      <c r="BB153" s="928"/>
      <c r="BC153" s="928"/>
      <c r="BD153" s="928"/>
      <c r="BE153" s="928"/>
      <c r="BF153" s="928"/>
      <c r="BG153" s="928"/>
      <c r="BH153" s="928"/>
      <c r="BI153" s="928"/>
      <c r="BJ153" s="928"/>
      <c r="BK153" s="928"/>
      <c r="BL153" s="928"/>
      <c r="BM153" s="928"/>
      <c r="BN153" s="928"/>
      <c r="BO153" s="928"/>
      <c r="BP153" s="928"/>
      <c r="BQ153" s="928"/>
      <c r="BR153" s="928"/>
      <c r="BS153" s="928"/>
      <c r="BT153" s="928"/>
      <c r="BU153" s="928"/>
      <c r="BV153" s="928"/>
      <c r="BW153" s="928"/>
      <c r="BX153" s="928"/>
      <c r="BY153" s="928"/>
      <c r="BZ153" s="928"/>
      <c r="CA153" s="928"/>
      <c r="CB153" s="928"/>
      <c r="CC153" s="928"/>
      <c r="CD153" s="928"/>
      <c r="CE153" s="928"/>
      <c r="CF153" s="928"/>
      <c r="CG153" s="928"/>
      <c r="CH153" s="928"/>
      <c r="CI153" s="928"/>
      <c r="CJ153" s="928"/>
      <c r="CK153" s="928"/>
      <c r="CL153" s="928"/>
      <c r="CM153" s="928"/>
      <c r="CN153" s="928"/>
      <c r="CO153" s="928"/>
      <c r="CP153" s="928"/>
      <c r="CQ153" s="928"/>
      <c r="CR153" s="928"/>
      <c r="CS153" s="928"/>
      <c r="CT153" s="928"/>
      <c r="CU153" s="928"/>
      <c r="CV153" s="928"/>
      <c r="CW153" s="928"/>
      <c r="CX153" s="928"/>
      <c r="CY153" s="928"/>
      <c r="CZ153" s="928"/>
      <c r="DA153" s="928"/>
      <c r="DB153" s="928"/>
      <c r="DC153" s="928"/>
      <c r="DD153" s="928"/>
      <c r="DE153" s="928"/>
      <c r="DF153" s="928"/>
      <c r="DG153" s="928"/>
      <c r="DH153" s="928"/>
    </row>
    <row r="154" spans="1:112">
      <c r="A154" s="891" t="s">
        <v>945</v>
      </c>
      <c r="B154" s="891" t="s">
        <v>1498</v>
      </c>
      <c r="C154" s="891" t="s">
        <v>346</v>
      </c>
      <c r="D154" s="891" t="s">
        <v>945</v>
      </c>
      <c r="E154" s="891" t="s">
        <v>1498</v>
      </c>
      <c r="F154" s="891" t="s">
        <v>346</v>
      </c>
      <c r="G154" s="897">
        <v>30.69</v>
      </c>
      <c r="H154" s="897">
        <v>13.63</v>
      </c>
      <c r="I154" s="897">
        <v>71.7</v>
      </c>
      <c r="J154" s="891"/>
      <c r="K154" s="891"/>
      <c r="L154" s="891"/>
      <c r="M154" s="891"/>
      <c r="N154" s="891"/>
      <c r="O154" s="891"/>
      <c r="P154" s="891"/>
      <c r="Q154" s="891"/>
      <c r="R154" s="891"/>
      <c r="S154" s="891"/>
      <c r="T154" s="891"/>
      <c r="U154" s="928"/>
      <c r="V154" s="928"/>
      <c r="W154" s="928"/>
      <c r="X154" s="928"/>
      <c r="Y154" s="928"/>
      <c r="Z154" s="928"/>
      <c r="AA154" s="928"/>
      <c r="AB154" s="928"/>
      <c r="AC154" s="928"/>
      <c r="AD154" s="928"/>
      <c r="AE154" s="928"/>
      <c r="AF154" s="928"/>
      <c r="AG154" s="928"/>
      <c r="AH154" s="928"/>
      <c r="AI154" s="928"/>
      <c r="AJ154" s="928"/>
      <c r="AK154" s="928"/>
      <c r="AL154" s="928"/>
      <c r="AM154" s="928"/>
      <c r="AN154" s="928"/>
      <c r="AO154" s="928"/>
      <c r="AP154" s="928"/>
      <c r="AQ154" s="928"/>
      <c r="AR154" s="928"/>
      <c r="AS154" s="928"/>
      <c r="AT154" s="928"/>
      <c r="AU154" s="928"/>
      <c r="AV154" s="928"/>
      <c r="AW154" s="928"/>
      <c r="AX154" s="928"/>
      <c r="AY154" s="928"/>
      <c r="AZ154" s="928"/>
      <c r="BA154" s="928"/>
      <c r="BB154" s="928"/>
      <c r="BC154" s="928"/>
      <c r="BD154" s="928"/>
      <c r="BE154" s="928"/>
      <c r="BF154" s="928"/>
      <c r="BG154" s="928"/>
      <c r="BH154" s="928"/>
      <c r="BI154" s="928"/>
      <c r="BJ154" s="928"/>
      <c r="BK154" s="928"/>
      <c r="BL154" s="928"/>
      <c r="BM154" s="928"/>
      <c r="BN154" s="928"/>
      <c r="BO154" s="928"/>
      <c r="BP154" s="928"/>
      <c r="BQ154" s="928"/>
      <c r="BR154" s="928"/>
      <c r="BS154" s="928"/>
      <c r="BT154" s="928"/>
      <c r="BU154" s="928"/>
      <c r="BV154" s="928"/>
      <c r="BW154" s="928"/>
      <c r="BX154" s="928"/>
      <c r="BY154" s="928"/>
      <c r="BZ154" s="928"/>
      <c r="CA154" s="928"/>
      <c r="CB154" s="928"/>
      <c r="CC154" s="928"/>
      <c r="CD154" s="928"/>
      <c r="CE154" s="928"/>
      <c r="CF154" s="928"/>
      <c r="CG154" s="928"/>
      <c r="CH154" s="928"/>
      <c r="CI154" s="928"/>
      <c r="CJ154" s="928"/>
      <c r="CK154" s="928"/>
      <c r="CL154" s="928"/>
      <c r="CM154" s="928"/>
      <c r="CN154" s="928"/>
      <c r="CO154" s="928"/>
      <c r="CP154" s="928"/>
      <c r="CQ154" s="928"/>
      <c r="CR154" s="928"/>
      <c r="CS154" s="928"/>
      <c r="CT154" s="928"/>
      <c r="CU154" s="928"/>
      <c r="CV154" s="928"/>
      <c r="CW154" s="928"/>
      <c r="CX154" s="928"/>
      <c r="CY154" s="928"/>
      <c r="CZ154" s="928"/>
      <c r="DA154" s="928"/>
      <c r="DB154" s="928"/>
      <c r="DC154" s="928"/>
      <c r="DD154" s="928"/>
      <c r="DE154" s="928"/>
      <c r="DF154" s="928"/>
      <c r="DG154" s="928"/>
      <c r="DH154" s="928"/>
    </row>
    <row r="155" spans="1:112">
      <c r="A155" s="891" t="s">
        <v>946</v>
      </c>
      <c r="B155" s="891" t="s">
        <v>1519</v>
      </c>
      <c r="C155" s="891" t="s">
        <v>249</v>
      </c>
      <c r="D155" s="891" t="s">
        <v>946</v>
      </c>
      <c r="E155" s="891" t="s">
        <v>1519</v>
      </c>
      <c r="F155" s="891" t="s">
        <v>249</v>
      </c>
      <c r="G155" s="897">
        <v>52.82</v>
      </c>
      <c r="H155" s="897">
        <v>24.6</v>
      </c>
      <c r="I155" s="897">
        <v>27.22</v>
      </c>
      <c r="J155" s="891"/>
      <c r="K155" s="891"/>
      <c r="L155" s="891"/>
      <c r="M155" s="891"/>
      <c r="N155" s="891"/>
      <c r="O155" s="891"/>
      <c r="P155" s="891"/>
      <c r="Q155" s="891"/>
      <c r="R155" s="891"/>
      <c r="S155" s="891"/>
      <c r="T155" s="891"/>
      <c r="U155" s="928"/>
      <c r="V155" s="928"/>
      <c r="W155" s="928"/>
      <c r="X155" s="928"/>
      <c r="Y155" s="928"/>
      <c r="Z155" s="928"/>
      <c r="AA155" s="928"/>
      <c r="AB155" s="928"/>
      <c r="AC155" s="928"/>
      <c r="AD155" s="928"/>
      <c r="AE155" s="928"/>
      <c r="AF155" s="928"/>
      <c r="AG155" s="928"/>
      <c r="AH155" s="928"/>
      <c r="AI155" s="928"/>
      <c r="AJ155" s="928"/>
      <c r="AK155" s="928"/>
      <c r="AL155" s="928"/>
      <c r="AM155" s="928"/>
      <c r="AN155" s="928"/>
      <c r="AO155" s="928"/>
      <c r="AP155" s="928"/>
      <c r="AQ155" s="928"/>
      <c r="AR155" s="928"/>
      <c r="AS155" s="928"/>
      <c r="AT155" s="928"/>
      <c r="AU155" s="928"/>
      <c r="AV155" s="928"/>
      <c r="AW155" s="928"/>
      <c r="AX155" s="928"/>
      <c r="AY155" s="928"/>
      <c r="AZ155" s="928"/>
      <c r="BA155" s="928"/>
      <c r="BB155" s="928"/>
      <c r="BC155" s="928"/>
      <c r="BD155" s="928"/>
      <c r="BE155" s="928"/>
      <c r="BF155" s="928"/>
      <c r="BG155" s="928"/>
      <c r="BH155" s="928"/>
      <c r="BI155" s="928"/>
      <c r="BJ155" s="928"/>
      <c r="BK155" s="928"/>
      <c r="BL155" s="928"/>
      <c r="BM155" s="928"/>
      <c r="BN155" s="928"/>
      <c r="BO155" s="928"/>
      <c r="BP155" s="928"/>
      <c r="BQ155" s="928"/>
      <c r="BR155" s="928"/>
      <c r="BS155" s="928"/>
      <c r="BT155" s="928"/>
      <c r="BU155" s="928"/>
      <c r="BV155" s="928"/>
      <c r="BW155" s="928"/>
      <c r="BX155" s="928"/>
      <c r="BY155" s="928"/>
      <c r="BZ155" s="928"/>
      <c r="CA155" s="928"/>
      <c r="CB155" s="928"/>
      <c r="CC155" s="928"/>
      <c r="CD155" s="928"/>
      <c r="CE155" s="928"/>
      <c r="CF155" s="928"/>
      <c r="CG155" s="928"/>
      <c r="CH155" s="928"/>
      <c r="CI155" s="928"/>
      <c r="CJ155" s="928"/>
      <c r="CK155" s="928"/>
      <c r="CL155" s="928"/>
      <c r="CM155" s="928"/>
      <c r="CN155" s="928"/>
      <c r="CO155" s="928"/>
      <c r="CP155" s="928"/>
      <c r="CQ155" s="928"/>
      <c r="CR155" s="928"/>
      <c r="CS155" s="928"/>
      <c r="CT155" s="928"/>
      <c r="CU155" s="928"/>
      <c r="CV155" s="928"/>
      <c r="CW155" s="928"/>
      <c r="CX155" s="928"/>
      <c r="CY155" s="928"/>
      <c r="CZ155" s="928"/>
      <c r="DA155" s="928"/>
      <c r="DB155" s="928"/>
      <c r="DC155" s="928"/>
      <c r="DD155" s="928"/>
      <c r="DE155" s="928"/>
      <c r="DF155" s="928"/>
      <c r="DG155" s="928"/>
      <c r="DH155" s="928"/>
    </row>
    <row r="156" spans="1:112">
      <c r="A156" s="891" t="s">
        <v>947</v>
      </c>
      <c r="B156" s="891" t="s">
        <v>1498</v>
      </c>
      <c r="C156" s="891" t="s">
        <v>313</v>
      </c>
      <c r="D156" s="891" t="s">
        <v>947</v>
      </c>
      <c r="E156" s="891" t="s">
        <v>1498</v>
      </c>
      <c r="F156" s="891" t="s">
        <v>313</v>
      </c>
      <c r="G156" s="897">
        <v>159.15</v>
      </c>
      <c r="H156" s="897">
        <v>33.14</v>
      </c>
      <c r="I156" s="897">
        <v>70.7</v>
      </c>
      <c r="J156" s="891"/>
      <c r="K156" s="891"/>
      <c r="L156" s="891"/>
      <c r="M156" s="891"/>
      <c r="N156" s="891"/>
      <c r="O156" s="891"/>
      <c r="P156" s="891"/>
      <c r="Q156" s="891"/>
      <c r="R156" s="891"/>
      <c r="S156" s="891"/>
      <c r="T156" s="891"/>
      <c r="U156" s="928"/>
      <c r="V156" s="928"/>
      <c r="W156" s="928"/>
      <c r="X156" s="928"/>
      <c r="Y156" s="928"/>
      <c r="Z156" s="928"/>
      <c r="AA156" s="928"/>
      <c r="AB156" s="928"/>
      <c r="AC156" s="928"/>
      <c r="AD156" s="928"/>
      <c r="AE156" s="928"/>
      <c r="AF156" s="928"/>
      <c r="AG156" s="928"/>
      <c r="AH156" s="928"/>
      <c r="AI156" s="928"/>
      <c r="AJ156" s="928"/>
      <c r="AK156" s="928"/>
      <c r="AL156" s="928"/>
      <c r="AM156" s="928"/>
      <c r="AN156" s="928"/>
      <c r="AO156" s="928"/>
      <c r="AP156" s="928"/>
      <c r="AQ156" s="928"/>
      <c r="AR156" s="928"/>
      <c r="AS156" s="928"/>
      <c r="AT156" s="928"/>
      <c r="AU156" s="928"/>
      <c r="AV156" s="928"/>
      <c r="AW156" s="928"/>
      <c r="AX156" s="928"/>
      <c r="AY156" s="928"/>
      <c r="AZ156" s="928"/>
      <c r="BA156" s="928"/>
      <c r="BB156" s="928"/>
      <c r="BC156" s="928"/>
      <c r="BD156" s="928"/>
      <c r="BE156" s="928"/>
      <c r="BF156" s="928"/>
      <c r="BG156" s="928"/>
      <c r="BH156" s="928"/>
      <c r="BI156" s="928"/>
      <c r="BJ156" s="928"/>
      <c r="BK156" s="928"/>
      <c r="BL156" s="928"/>
      <c r="BM156" s="928"/>
      <c r="BN156" s="928"/>
      <c r="BO156" s="928"/>
      <c r="BP156" s="928"/>
      <c r="BQ156" s="928"/>
      <c r="BR156" s="928"/>
      <c r="BS156" s="928"/>
      <c r="BT156" s="928"/>
      <c r="BU156" s="928"/>
      <c r="BV156" s="928"/>
      <c r="BW156" s="928"/>
      <c r="BX156" s="928"/>
      <c r="BY156" s="928"/>
      <c r="BZ156" s="928"/>
      <c r="CA156" s="928"/>
      <c r="CB156" s="928"/>
      <c r="CC156" s="928"/>
      <c r="CD156" s="928"/>
      <c r="CE156" s="928"/>
      <c r="CF156" s="928"/>
      <c r="CG156" s="928"/>
      <c r="CH156" s="928"/>
      <c r="CI156" s="928"/>
      <c r="CJ156" s="928"/>
      <c r="CK156" s="928"/>
      <c r="CL156" s="928"/>
      <c r="CM156" s="928"/>
      <c r="CN156" s="928"/>
      <c r="CO156" s="928"/>
      <c r="CP156" s="928"/>
      <c r="CQ156" s="928"/>
      <c r="CR156" s="928"/>
      <c r="CS156" s="928"/>
      <c r="CT156" s="928"/>
      <c r="CU156" s="928"/>
      <c r="CV156" s="928"/>
      <c r="CW156" s="928"/>
      <c r="CX156" s="928"/>
      <c r="CY156" s="928"/>
      <c r="CZ156" s="928"/>
      <c r="DA156" s="928"/>
      <c r="DB156" s="928"/>
      <c r="DC156" s="928"/>
      <c r="DD156" s="928"/>
      <c r="DE156" s="928"/>
      <c r="DF156" s="928"/>
      <c r="DG156" s="928"/>
      <c r="DH156" s="928"/>
    </row>
    <row r="157" spans="1:112">
      <c r="A157" s="891" t="s">
        <v>948</v>
      </c>
      <c r="B157" s="891" t="s">
        <v>1471</v>
      </c>
      <c r="C157" s="891" t="s">
        <v>1520</v>
      </c>
      <c r="D157" s="891" t="s">
        <v>948</v>
      </c>
      <c r="E157" s="891" t="s">
        <v>1471</v>
      </c>
      <c r="F157" s="891" t="s">
        <v>1520</v>
      </c>
      <c r="G157" s="897">
        <v>75.760000000000005</v>
      </c>
      <c r="H157" s="897">
        <v>97.03</v>
      </c>
      <c r="I157" s="897">
        <v>61.67</v>
      </c>
      <c r="J157" s="891"/>
      <c r="K157" s="891"/>
      <c r="L157" s="891"/>
      <c r="M157" s="891"/>
      <c r="N157" s="891"/>
      <c r="O157" s="891"/>
      <c r="P157" s="891"/>
      <c r="Q157" s="891"/>
      <c r="R157" s="891"/>
      <c r="S157" s="891"/>
      <c r="T157" s="891"/>
      <c r="U157" s="928"/>
      <c r="V157" s="928"/>
      <c r="W157" s="928"/>
      <c r="X157" s="928"/>
      <c r="Y157" s="928"/>
      <c r="Z157" s="928"/>
      <c r="AA157" s="928"/>
      <c r="AB157" s="928"/>
      <c r="AC157" s="928"/>
      <c r="AD157" s="928"/>
      <c r="AE157" s="928"/>
      <c r="AF157" s="928"/>
      <c r="AG157" s="928"/>
      <c r="AH157" s="928"/>
      <c r="AI157" s="928"/>
      <c r="AJ157" s="928"/>
      <c r="AK157" s="928"/>
      <c r="AL157" s="928"/>
      <c r="AM157" s="928"/>
      <c r="AN157" s="928"/>
      <c r="AO157" s="928"/>
      <c r="AP157" s="928"/>
      <c r="AQ157" s="928"/>
      <c r="AR157" s="928"/>
      <c r="AS157" s="928"/>
      <c r="AT157" s="928"/>
      <c r="AU157" s="928"/>
      <c r="AV157" s="928"/>
      <c r="AW157" s="928"/>
      <c r="AX157" s="928"/>
      <c r="AY157" s="928"/>
      <c r="AZ157" s="928"/>
      <c r="BA157" s="928"/>
      <c r="BB157" s="928"/>
      <c r="BC157" s="928"/>
      <c r="BD157" s="928"/>
      <c r="BE157" s="928"/>
      <c r="BF157" s="928"/>
      <c r="BG157" s="928"/>
      <c r="BH157" s="928"/>
      <c r="BI157" s="928"/>
      <c r="BJ157" s="928"/>
      <c r="BK157" s="928"/>
      <c r="BL157" s="928"/>
      <c r="BM157" s="928"/>
      <c r="BN157" s="928"/>
      <c r="BO157" s="928"/>
      <c r="BP157" s="928"/>
      <c r="BQ157" s="928"/>
      <c r="BR157" s="928"/>
      <c r="BS157" s="928"/>
      <c r="BT157" s="928"/>
      <c r="BU157" s="928"/>
      <c r="BV157" s="928"/>
      <c r="BW157" s="928"/>
      <c r="BX157" s="928"/>
      <c r="BY157" s="928"/>
      <c r="BZ157" s="928"/>
      <c r="CA157" s="928"/>
      <c r="CB157" s="928"/>
      <c r="CC157" s="928"/>
      <c r="CD157" s="928"/>
      <c r="CE157" s="928"/>
      <c r="CF157" s="928"/>
      <c r="CG157" s="928"/>
      <c r="CH157" s="928"/>
      <c r="CI157" s="928"/>
      <c r="CJ157" s="928"/>
      <c r="CK157" s="928"/>
      <c r="CL157" s="928"/>
      <c r="CM157" s="928"/>
      <c r="CN157" s="928"/>
      <c r="CO157" s="928"/>
      <c r="CP157" s="928"/>
      <c r="CQ157" s="928"/>
      <c r="CR157" s="928"/>
      <c r="CS157" s="928"/>
      <c r="CT157" s="928"/>
      <c r="CU157" s="928"/>
      <c r="CV157" s="928"/>
      <c r="CW157" s="928"/>
      <c r="CX157" s="928"/>
      <c r="CY157" s="928"/>
      <c r="CZ157" s="928"/>
      <c r="DA157" s="928"/>
      <c r="DB157" s="928"/>
      <c r="DC157" s="928"/>
      <c r="DD157" s="928"/>
      <c r="DE157" s="928"/>
      <c r="DF157" s="928"/>
      <c r="DG157" s="928"/>
      <c r="DH157" s="928"/>
    </row>
    <row r="158" spans="1:112">
      <c r="A158" s="891" t="s">
        <v>949</v>
      </c>
      <c r="B158" s="891" t="s">
        <v>1471</v>
      </c>
      <c r="C158" s="891" t="s">
        <v>124</v>
      </c>
      <c r="D158" s="891" t="s">
        <v>949</v>
      </c>
      <c r="E158" s="891" t="s">
        <v>1471</v>
      </c>
      <c r="F158" s="891" t="s">
        <v>124</v>
      </c>
      <c r="G158" s="897">
        <v>47.93</v>
      </c>
      <c r="H158" s="897">
        <v>46.56</v>
      </c>
      <c r="I158" s="897">
        <v>99.61</v>
      </c>
      <c r="J158" s="891"/>
      <c r="K158" s="891"/>
      <c r="L158" s="891"/>
      <c r="M158" s="891"/>
      <c r="N158" s="891"/>
      <c r="O158" s="891"/>
      <c r="P158" s="891"/>
      <c r="Q158" s="891"/>
      <c r="R158" s="891"/>
      <c r="S158" s="891"/>
      <c r="T158" s="891"/>
      <c r="U158" s="928"/>
      <c r="V158" s="928"/>
      <c r="W158" s="928"/>
      <c r="X158" s="928"/>
      <c r="Y158" s="928"/>
      <c r="Z158" s="928"/>
      <c r="AA158" s="928"/>
      <c r="AB158" s="928"/>
      <c r="AC158" s="928"/>
      <c r="AD158" s="928"/>
      <c r="AE158" s="928"/>
      <c r="AF158" s="928"/>
      <c r="AG158" s="928"/>
      <c r="AH158" s="928"/>
      <c r="AI158" s="928"/>
      <c r="AJ158" s="928"/>
      <c r="AK158" s="928"/>
      <c r="AL158" s="928"/>
      <c r="AM158" s="928"/>
      <c r="AN158" s="928"/>
      <c r="AO158" s="928"/>
      <c r="AP158" s="928"/>
      <c r="AQ158" s="928"/>
      <c r="AR158" s="928"/>
      <c r="AS158" s="928"/>
      <c r="AT158" s="928"/>
      <c r="AU158" s="928"/>
      <c r="AV158" s="928"/>
      <c r="AW158" s="928"/>
      <c r="AX158" s="928"/>
      <c r="AY158" s="928"/>
      <c r="AZ158" s="928"/>
      <c r="BA158" s="928"/>
      <c r="BB158" s="928"/>
      <c r="BC158" s="928"/>
      <c r="BD158" s="928"/>
      <c r="BE158" s="928"/>
      <c r="BF158" s="928"/>
      <c r="BG158" s="928"/>
      <c r="BH158" s="928"/>
      <c r="BI158" s="928"/>
      <c r="BJ158" s="928"/>
      <c r="BK158" s="928"/>
      <c r="BL158" s="928"/>
      <c r="BM158" s="928"/>
      <c r="BN158" s="928"/>
      <c r="BO158" s="928"/>
      <c r="BP158" s="928"/>
      <c r="BQ158" s="928"/>
      <c r="BR158" s="928"/>
      <c r="BS158" s="928"/>
      <c r="BT158" s="928"/>
      <c r="BU158" s="928"/>
      <c r="BV158" s="928"/>
      <c r="BW158" s="928"/>
      <c r="BX158" s="928"/>
      <c r="BY158" s="928"/>
      <c r="BZ158" s="928"/>
      <c r="CA158" s="928"/>
      <c r="CB158" s="928"/>
      <c r="CC158" s="928"/>
      <c r="CD158" s="928"/>
      <c r="CE158" s="928"/>
      <c r="CF158" s="928"/>
      <c r="CG158" s="928"/>
      <c r="CH158" s="928"/>
      <c r="CI158" s="928"/>
      <c r="CJ158" s="928"/>
      <c r="CK158" s="928"/>
      <c r="CL158" s="928"/>
      <c r="CM158" s="928"/>
      <c r="CN158" s="928"/>
      <c r="CO158" s="928"/>
      <c r="CP158" s="928"/>
      <c r="CQ158" s="928"/>
      <c r="CR158" s="928"/>
      <c r="CS158" s="928"/>
      <c r="CT158" s="928"/>
      <c r="CU158" s="928"/>
      <c r="CV158" s="928"/>
      <c r="CW158" s="928"/>
      <c r="CX158" s="928"/>
      <c r="CY158" s="928"/>
      <c r="CZ158" s="928"/>
      <c r="DA158" s="928"/>
      <c r="DB158" s="928"/>
      <c r="DC158" s="928"/>
      <c r="DD158" s="928"/>
      <c r="DE158" s="928"/>
      <c r="DF158" s="928"/>
      <c r="DG158" s="928"/>
      <c r="DH158" s="928"/>
    </row>
    <row r="159" spans="1:112">
      <c r="A159" s="891" t="s">
        <v>950</v>
      </c>
      <c r="B159" s="891" t="s">
        <v>1453</v>
      </c>
      <c r="C159" s="891" t="s">
        <v>392</v>
      </c>
      <c r="D159" s="891" t="s">
        <v>950</v>
      </c>
      <c r="E159" s="891" t="s">
        <v>1453</v>
      </c>
      <c r="F159" s="891" t="s">
        <v>392</v>
      </c>
      <c r="G159" s="897">
        <v>46.86</v>
      </c>
      <c r="H159" s="897">
        <v>27.88</v>
      </c>
      <c r="I159" s="897">
        <v>46.06</v>
      </c>
      <c r="J159" s="891"/>
      <c r="K159" s="891"/>
      <c r="L159" s="891"/>
      <c r="M159" s="891"/>
      <c r="N159" s="891"/>
      <c r="O159" s="891"/>
      <c r="P159" s="891"/>
      <c r="Q159" s="891"/>
      <c r="R159" s="891"/>
      <c r="S159" s="891"/>
      <c r="T159" s="891"/>
      <c r="U159" s="928"/>
      <c r="V159" s="928"/>
      <c r="W159" s="928"/>
      <c r="X159" s="928"/>
      <c r="Y159" s="928"/>
      <c r="Z159" s="928"/>
      <c r="AA159" s="928"/>
      <c r="AB159" s="928"/>
      <c r="AC159" s="928"/>
      <c r="AD159" s="928"/>
      <c r="AE159" s="928"/>
      <c r="AF159" s="928"/>
      <c r="AG159" s="928"/>
      <c r="AH159" s="928"/>
      <c r="AI159" s="928"/>
      <c r="AJ159" s="928"/>
      <c r="AK159" s="928"/>
      <c r="AL159" s="928"/>
      <c r="AM159" s="928"/>
      <c r="AN159" s="928"/>
      <c r="AO159" s="928"/>
      <c r="AP159" s="928"/>
      <c r="AQ159" s="928"/>
      <c r="AR159" s="928"/>
      <c r="AS159" s="928"/>
      <c r="AT159" s="928"/>
      <c r="AU159" s="928"/>
      <c r="AV159" s="928"/>
      <c r="AW159" s="928"/>
      <c r="AX159" s="928"/>
      <c r="AY159" s="928"/>
      <c r="AZ159" s="928"/>
      <c r="BA159" s="928"/>
      <c r="BB159" s="928"/>
      <c r="BC159" s="928"/>
      <c r="BD159" s="928"/>
      <c r="BE159" s="928"/>
      <c r="BF159" s="928"/>
      <c r="BG159" s="928"/>
      <c r="BH159" s="928"/>
      <c r="BI159" s="928"/>
      <c r="BJ159" s="928"/>
      <c r="BK159" s="928"/>
      <c r="BL159" s="928"/>
      <c r="BM159" s="928"/>
      <c r="BN159" s="928"/>
      <c r="BO159" s="928"/>
      <c r="BP159" s="928"/>
      <c r="BQ159" s="928"/>
      <c r="BR159" s="928"/>
      <c r="BS159" s="928"/>
      <c r="BT159" s="928"/>
      <c r="BU159" s="928"/>
      <c r="BV159" s="928"/>
      <c r="BW159" s="928"/>
      <c r="BX159" s="928"/>
      <c r="BY159" s="928"/>
      <c r="BZ159" s="928"/>
      <c r="CA159" s="928"/>
      <c r="CB159" s="928"/>
      <c r="CC159" s="928"/>
      <c r="CD159" s="928"/>
      <c r="CE159" s="928"/>
      <c r="CF159" s="928"/>
      <c r="CG159" s="928"/>
      <c r="CH159" s="928"/>
      <c r="CI159" s="928"/>
      <c r="CJ159" s="928"/>
      <c r="CK159" s="928"/>
      <c r="CL159" s="928"/>
      <c r="CM159" s="928"/>
      <c r="CN159" s="928"/>
      <c r="CO159" s="928"/>
      <c r="CP159" s="928"/>
      <c r="CQ159" s="928"/>
      <c r="CR159" s="928"/>
      <c r="CS159" s="928"/>
      <c r="CT159" s="928"/>
      <c r="CU159" s="928"/>
      <c r="CV159" s="928"/>
      <c r="CW159" s="928"/>
      <c r="CX159" s="928"/>
      <c r="CY159" s="928"/>
      <c r="CZ159" s="928"/>
      <c r="DA159" s="928"/>
      <c r="DB159" s="928"/>
      <c r="DC159" s="928"/>
      <c r="DD159" s="928"/>
      <c r="DE159" s="928"/>
      <c r="DF159" s="928"/>
      <c r="DG159" s="928"/>
      <c r="DH159" s="928"/>
    </row>
    <row r="160" spans="1:112">
      <c r="A160" s="891" t="s">
        <v>951</v>
      </c>
      <c r="B160" s="891" t="s">
        <v>1453</v>
      </c>
      <c r="C160" s="891" t="s">
        <v>390</v>
      </c>
      <c r="D160" s="891" t="s">
        <v>951</v>
      </c>
      <c r="E160" s="891" t="s">
        <v>1453</v>
      </c>
      <c r="F160" s="891" t="s">
        <v>390</v>
      </c>
      <c r="G160" s="897">
        <v>46.86</v>
      </c>
      <c r="H160" s="897">
        <v>27.69</v>
      </c>
      <c r="I160" s="897">
        <v>30.92</v>
      </c>
      <c r="J160" s="891"/>
      <c r="K160" s="891"/>
      <c r="L160" s="891"/>
      <c r="M160" s="891"/>
      <c r="N160" s="891"/>
      <c r="O160" s="891"/>
      <c r="P160" s="891"/>
      <c r="Q160" s="891"/>
      <c r="R160" s="891"/>
      <c r="S160" s="891"/>
      <c r="T160" s="891"/>
      <c r="U160" s="928"/>
      <c r="V160" s="928"/>
      <c r="W160" s="928"/>
      <c r="X160" s="928"/>
      <c r="Y160" s="928"/>
      <c r="Z160" s="928"/>
      <c r="AA160" s="928"/>
      <c r="AB160" s="928"/>
      <c r="AC160" s="928"/>
      <c r="AD160" s="928"/>
      <c r="AE160" s="928"/>
      <c r="AF160" s="928"/>
      <c r="AG160" s="928"/>
      <c r="AH160" s="928"/>
      <c r="AI160" s="928"/>
      <c r="AJ160" s="928"/>
      <c r="AK160" s="928"/>
      <c r="AL160" s="928"/>
      <c r="AM160" s="928"/>
      <c r="AN160" s="928"/>
      <c r="AO160" s="928"/>
      <c r="AP160" s="928"/>
      <c r="AQ160" s="928"/>
      <c r="AR160" s="928"/>
      <c r="AS160" s="928"/>
      <c r="AT160" s="928"/>
      <c r="AU160" s="928"/>
      <c r="AV160" s="928"/>
      <c r="AW160" s="928"/>
      <c r="AX160" s="928"/>
      <c r="AY160" s="928"/>
      <c r="AZ160" s="928"/>
      <c r="BA160" s="928"/>
      <c r="BB160" s="928"/>
      <c r="BC160" s="928"/>
      <c r="BD160" s="928"/>
      <c r="BE160" s="928"/>
      <c r="BF160" s="928"/>
      <c r="BG160" s="928"/>
      <c r="BH160" s="928"/>
      <c r="BI160" s="928"/>
      <c r="BJ160" s="928"/>
      <c r="BK160" s="928"/>
      <c r="BL160" s="928"/>
      <c r="BM160" s="928"/>
      <c r="BN160" s="928"/>
      <c r="BO160" s="928"/>
      <c r="BP160" s="928"/>
      <c r="BQ160" s="928"/>
      <c r="BR160" s="928"/>
      <c r="BS160" s="928"/>
      <c r="BT160" s="928"/>
      <c r="BU160" s="928"/>
      <c r="BV160" s="928"/>
      <c r="BW160" s="928"/>
      <c r="BX160" s="928"/>
      <c r="BY160" s="928"/>
      <c r="BZ160" s="928"/>
      <c r="CA160" s="928"/>
      <c r="CB160" s="928"/>
      <c r="CC160" s="928"/>
      <c r="CD160" s="928"/>
      <c r="CE160" s="928"/>
      <c r="CF160" s="928"/>
      <c r="CG160" s="928"/>
      <c r="CH160" s="928"/>
      <c r="CI160" s="928"/>
      <c r="CJ160" s="928"/>
      <c r="CK160" s="928"/>
      <c r="CL160" s="928"/>
      <c r="CM160" s="928"/>
      <c r="CN160" s="928"/>
      <c r="CO160" s="928"/>
      <c r="CP160" s="928"/>
      <c r="CQ160" s="928"/>
      <c r="CR160" s="928"/>
      <c r="CS160" s="928"/>
      <c r="CT160" s="928"/>
      <c r="CU160" s="928"/>
      <c r="CV160" s="928"/>
      <c r="CW160" s="928"/>
      <c r="CX160" s="928"/>
      <c r="CY160" s="928"/>
      <c r="CZ160" s="928"/>
      <c r="DA160" s="928"/>
      <c r="DB160" s="928"/>
      <c r="DC160" s="928"/>
      <c r="DD160" s="928"/>
      <c r="DE160" s="928"/>
      <c r="DF160" s="928"/>
      <c r="DG160" s="928"/>
      <c r="DH160" s="928"/>
    </row>
    <row r="161" spans="1:112">
      <c r="A161" s="891" t="s">
        <v>952</v>
      </c>
      <c r="B161" s="891" t="s">
        <v>1484</v>
      </c>
      <c r="C161" s="891" t="s">
        <v>263</v>
      </c>
      <c r="D161" s="891" t="s">
        <v>952</v>
      </c>
      <c r="E161" s="891" t="s">
        <v>1484</v>
      </c>
      <c r="F161" s="891" t="s">
        <v>263</v>
      </c>
      <c r="G161" s="897">
        <v>80.099999999999994</v>
      </c>
      <c r="H161" s="897">
        <v>67</v>
      </c>
      <c r="I161" s="897">
        <v>153.97</v>
      </c>
      <c r="J161" s="891"/>
      <c r="K161" s="891"/>
      <c r="L161" s="891"/>
      <c r="M161" s="891"/>
      <c r="N161" s="891"/>
      <c r="O161" s="891"/>
      <c r="P161" s="891"/>
      <c r="Q161" s="891"/>
      <c r="R161" s="891"/>
      <c r="S161" s="891"/>
      <c r="T161" s="891"/>
      <c r="U161" s="928"/>
      <c r="V161" s="928"/>
      <c r="W161" s="928"/>
      <c r="X161" s="928"/>
      <c r="Y161" s="928"/>
      <c r="Z161" s="928"/>
      <c r="AA161" s="928"/>
      <c r="AB161" s="928"/>
      <c r="AC161" s="928"/>
      <c r="AD161" s="928"/>
      <c r="AE161" s="928"/>
      <c r="AF161" s="928"/>
      <c r="AG161" s="928"/>
      <c r="AH161" s="928"/>
      <c r="AI161" s="928"/>
      <c r="AJ161" s="928"/>
      <c r="AK161" s="928"/>
      <c r="AL161" s="928"/>
      <c r="AM161" s="928"/>
      <c r="AN161" s="928"/>
      <c r="AO161" s="928"/>
      <c r="AP161" s="928"/>
      <c r="AQ161" s="928"/>
      <c r="AR161" s="928"/>
      <c r="AS161" s="928"/>
      <c r="AT161" s="928"/>
      <c r="AU161" s="928"/>
      <c r="AV161" s="928"/>
      <c r="AW161" s="928"/>
      <c r="AX161" s="928"/>
      <c r="AY161" s="928"/>
      <c r="AZ161" s="928"/>
      <c r="BA161" s="928"/>
      <c r="BB161" s="928"/>
      <c r="BC161" s="928"/>
      <c r="BD161" s="928"/>
      <c r="BE161" s="928"/>
      <c r="BF161" s="928"/>
      <c r="BG161" s="928"/>
      <c r="BH161" s="928"/>
      <c r="BI161" s="928"/>
      <c r="BJ161" s="928"/>
      <c r="BK161" s="928"/>
      <c r="BL161" s="928"/>
      <c r="BM161" s="928"/>
      <c r="BN161" s="928"/>
      <c r="BO161" s="928"/>
      <c r="BP161" s="928"/>
      <c r="BQ161" s="928"/>
      <c r="BR161" s="928"/>
      <c r="BS161" s="928"/>
      <c r="BT161" s="928"/>
      <c r="BU161" s="928"/>
      <c r="BV161" s="928"/>
      <c r="BW161" s="928"/>
      <c r="BX161" s="928"/>
      <c r="BY161" s="928"/>
      <c r="BZ161" s="928"/>
      <c r="CA161" s="928"/>
      <c r="CB161" s="928"/>
      <c r="CC161" s="928"/>
      <c r="CD161" s="928"/>
      <c r="CE161" s="928"/>
      <c r="CF161" s="928"/>
      <c r="CG161" s="928"/>
      <c r="CH161" s="928"/>
      <c r="CI161" s="928"/>
      <c r="CJ161" s="928"/>
      <c r="CK161" s="928"/>
      <c r="CL161" s="928"/>
      <c r="CM161" s="928"/>
      <c r="CN161" s="928"/>
      <c r="CO161" s="928"/>
      <c r="CP161" s="928"/>
      <c r="CQ161" s="928"/>
      <c r="CR161" s="928"/>
      <c r="CS161" s="928"/>
      <c r="CT161" s="928"/>
      <c r="CU161" s="928"/>
      <c r="CV161" s="928"/>
      <c r="CW161" s="928"/>
      <c r="CX161" s="928"/>
      <c r="CY161" s="928"/>
      <c r="CZ161" s="928"/>
      <c r="DA161" s="928"/>
      <c r="DB161" s="928"/>
      <c r="DC161" s="928"/>
      <c r="DD161" s="928"/>
      <c r="DE161" s="928"/>
      <c r="DF161" s="928"/>
      <c r="DG161" s="928"/>
      <c r="DH161" s="928"/>
    </row>
    <row r="162" spans="1:112">
      <c r="A162" s="891" t="s">
        <v>954</v>
      </c>
      <c r="B162" s="891" t="s">
        <v>1502</v>
      </c>
      <c r="C162" s="891" t="s">
        <v>309</v>
      </c>
      <c r="D162" s="891" t="s">
        <v>954</v>
      </c>
      <c r="E162" s="891" t="s">
        <v>1502</v>
      </c>
      <c r="F162" s="891" t="s">
        <v>309</v>
      </c>
      <c r="G162" s="897">
        <v>31.08</v>
      </c>
      <c r="H162" s="897">
        <v>22.23</v>
      </c>
      <c r="I162" s="897">
        <v>25.98</v>
      </c>
      <c r="J162" s="891"/>
      <c r="K162" s="891"/>
      <c r="L162" s="891"/>
      <c r="M162" s="891"/>
      <c r="N162" s="891"/>
      <c r="O162" s="891"/>
      <c r="P162" s="891"/>
      <c r="Q162" s="891"/>
      <c r="R162" s="891"/>
      <c r="S162" s="891"/>
      <c r="T162" s="891"/>
      <c r="U162" s="928"/>
      <c r="V162" s="928"/>
      <c r="W162" s="928"/>
      <c r="X162" s="928"/>
      <c r="Y162" s="928"/>
      <c r="Z162" s="928"/>
      <c r="AA162" s="928"/>
      <c r="AB162" s="928"/>
      <c r="AC162" s="928"/>
      <c r="AD162" s="928"/>
      <c r="AE162" s="928"/>
      <c r="AF162" s="928"/>
      <c r="AG162" s="928"/>
      <c r="AH162" s="928"/>
      <c r="AI162" s="928"/>
      <c r="AJ162" s="928"/>
      <c r="AK162" s="928"/>
      <c r="AL162" s="928"/>
      <c r="AM162" s="928"/>
      <c r="AN162" s="928"/>
      <c r="AO162" s="928"/>
      <c r="AP162" s="928"/>
      <c r="AQ162" s="928"/>
      <c r="AR162" s="928"/>
      <c r="AS162" s="928"/>
      <c r="AT162" s="928"/>
      <c r="AU162" s="928"/>
      <c r="AV162" s="928"/>
      <c r="AW162" s="928"/>
      <c r="AX162" s="928"/>
      <c r="AY162" s="928"/>
      <c r="AZ162" s="928"/>
      <c r="BA162" s="928"/>
      <c r="BB162" s="928"/>
      <c r="BC162" s="928"/>
      <c r="BD162" s="928"/>
      <c r="BE162" s="928"/>
      <c r="BF162" s="928"/>
      <c r="BG162" s="928"/>
      <c r="BH162" s="928"/>
      <c r="BI162" s="928"/>
      <c r="BJ162" s="928"/>
      <c r="BK162" s="928"/>
      <c r="BL162" s="928"/>
      <c r="BM162" s="928"/>
      <c r="BN162" s="928"/>
      <c r="BO162" s="928"/>
      <c r="BP162" s="928"/>
      <c r="BQ162" s="928"/>
      <c r="BR162" s="928"/>
      <c r="BS162" s="928"/>
      <c r="BT162" s="928"/>
      <c r="BU162" s="928"/>
      <c r="BV162" s="928"/>
      <c r="BW162" s="928"/>
      <c r="BX162" s="928"/>
      <c r="BY162" s="928"/>
      <c r="BZ162" s="928"/>
      <c r="CA162" s="928"/>
      <c r="CB162" s="928"/>
      <c r="CC162" s="928"/>
      <c r="CD162" s="928"/>
      <c r="CE162" s="928"/>
      <c r="CF162" s="928"/>
      <c r="CG162" s="928"/>
      <c r="CH162" s="928"/>
      <c r="CI162" s="928"/>
      <c r="CJ162" s="928"/>
      <c r="CK162" s="928"/>
      <c r="CL162" s="928"/>
      <c r="CM162" s="928"/>
      <c r="CN162" s="928"/>
      <c r="CO162" s="928"/>
      <c r="CP162" s="928"/>
      <c r="CQ162" s="928"/>
      <c r="CR162" s="928"/>
      <c r="CS162" s="928"/>
      <c r="CT162" s="928"/>
      <c r="CU162" s="928"/>
      <c r="CV162" s="928"/>
      <c r="CW162" s="928"/>
      <c r="CX162" s="928"/>
      <c r="CY162" s="928"/>
      <c r="CZ162" s="928"/>
      <c r="DA162" s="928"/>
      <c r="DB162" s="928"/>
      <c r="DC162" s="928"/>
      <c r="DD162" s="928"/>
      <c r="DE162" s="928"/>
      <c r="DF162" s="928"/>
      <c r="DG162" s="928"/>
      <c r="DH162" s="928"/>
    </row>
    <row r="163" spans="1:112">
      <c r="A163" s="891" t="s">
        <v>956</v>
      </c>
      <c r="B163" s="891" t="s">
        <v>1515</v>
      </c>
      <c r="C163" s="891" t="s">
        <v>292</v>
      </c>
      <c r="D163" s="891" t="s">
        <v>956</v>
      </c>
      <c r="E163" s="891" t="s">
        <v>1515</v>
      </c>
      <c r="F163" s="891" t="s">
        <v>292</v>
      </c>
      <c r="G163" s="897">
        <v>31.93</v>
      </c>
      <c r="H163" s="897">
        <v>21.24</v>
      </c>
      <c r="I163" s="897">
        <v>28.27</v>
      </c>
      <c r="J163" s="891"/>
      <c r="K163" s="891"/>
      <c r="L163" s="891"/>
      <c r="M163" s="891"/>
      <c r="N163" s="891"/>
      <c r="O163" s="891"/>
      <c r="P163" s="891"/>
      <c r="Q163" s="891"/>
      <c r="R163" s="891"/>
      <c r="S163" s="891"/>
      <c r="T163" s="891"/>
      <c r="U163" s="928"/>
      <c r="V163" s="928"/>
      <c r="W163" s="928"/>
      <c r="X163" s="928"/>
      <c r="Y163" s="928"/>
      <c r="Z163" s="928"/>
      <c r="AA163" s="928"/>
      <c r="AB163" s="928"/>
      <c r="AC163" s="928"/>
      <c r="AD163" s="928"/>
      <c r="AE163" s="928"/>
      <c r="AF163" s="928"/>
      <c r="AG163" s="928"/>
      <c r="AH163" s="928"/>
      <c r="AI163" s="928"/>
      <c r="AJ163" s="928"/>
      <c r="AK163" s="928"/>
      <c r="AL163" s="928"/>
      <c r="AM163" s="928"/>
      <c r="AN163" s="928"/>
      <c r="AO163" s="928"/>
      <c r="AP163" s="928"/>
      <c r="AQ163" s="928"/>
      <c r="AR163" s="928"/>
      <c r="AS163" s="928"/>
      <c r="AT163" s="928"/>
      <c r="AU163" s="928"/>
      <c r="AV163" s="928"/>
      <c r="AW163" s="928"/>
      <c r="AX163" s="928"/>
      <c r="AY163" s="928"/>
      <c r="AZ163" s="928"/>
      <c r="BA163" s="928"/>
      <c r="BB163" s="928"/>
      <c r="BC163" s="928"/>
      <c r="BD163" s="928"/>
      <c r="BE163" s="928"/>
      <c r="BF163" s="928"/>
      <c r="BG163" s="928"/>
      <c r="BH163" s="928"/>
      <c r="BI163" s="928"/>
      <c r="BJ163" s="928"/>
      <c r="BK163" s="928"/>
      <c r="BL163" s="928"/>
      <c r="BM163" s="928"/>
      <c r="BN163" s="928"/>
      <c r="BO163" s="928"/>
      <c r="BP163" s="928"/>
      <c r="BQ163" s="928"/>
      <c r="BR163" s="928"/>
      <c r="BS163" s="928"/>
      <c r="BT163" s="928"/>
      <c r="BU163" s="928"/>
      <c r="BV163" s="928"/>
      <c r="BW163" s="928"/>
      <c r="BX163" s="928"/>
      <c r="BY163" s="928"/>
      <c r="BZ163" s="928"/>
      <c r="CA163" s="928"/>
      <c r="CB163" s="928"/>
      <c r="CC163" s="928"/>
      <c r="CD163" s="928"/>
      <c r="CE163" s="928"/>
      <c r="CF163" s="928"/>
      <c r="CG163" s="928"/>
      <c r="CH163" s="928"/>
      <c r="CI163" s="928"/>
      <c r="CJ163" s="928"/>
      <c r="CK163" s="928"/>
      <c r="CL163" s="928"/>
      <c r="CM163" s="928"/>
      <c r="CN163" s="928"/>
      <c r="CO163" s="928"/>
      <c r="CP163" s="928"/>
      <c r="CQ163" s="928"/>
      <c r="CR163" s="928"/>
      <c r="CS163" s="928"/>
      <c r="CT163" s="928"/>
      <c r="CU163" s="928"/>
      <c r="CV163" s="928"/>
      <c r="CW163" s="928"/>
      <c r="CX163" s="928"/>
      <c r="CY163" s="928"/>
      <c r="CZ163" s="928"/>
      <c r="DA163" s="928"/>
      <c r="DB163" s="928"/>
      <c r="DC163" s="928"/>
      <c r="DD163" s="928"/>
      <c r="DE163" s="928"/>
      <c r="DF163" s="928"/>
      <c r="DG163" s="928"/>
      <c r="DH163" s="928"/>
    </row>
    <row r="164" spans="1:112">
      <c r="A164" s="891" t="s">
        <v>957</v>
      </c>
      <c r="B164" s="891" t="s">
        <v>1521</v>
      </c>
      <c r="C164" s="891" t="s">
        <v>156</v>
      </c>
      <c r="D164" s="891" t="s">
        <v>957</v>
      </c>
      <c r="E164" s="891" t="s">
        <v>1521</v>
      </c>
      <c r="F164" s="891" t="s">
        <v>156</v>
      </c>
      <c r="G164" s="897">
        <v>43.11</v>
      </c>
      <c r="H164" s="897">
        <v>39.64</v>
      </c>
      <c r="I164" s="897">
        <v>69.77</v>
      </c>
      <c r="J164" s="891"/>
      <c r="K164" s="891"/>
      <c r="L164" s="891"/>
      <c r="M164" s="891"/>
      <c r="N164" s="891"/>
      <c r="O164" s="891"/>
      <c r="P164" s="891"/>
      <c r="Q164" s="891"/>
      <c r="R164" s="891"/>
      <c r="S164" s="891"/>
      <c r="T164" s="891"/>
      <c r="U164" s="928"/>
      <c r="V164" s="928"/>
      <c r="W164" s="928"/>
      <c r="X164" s="928"/>
      <c r="Y164" s="928"/>
      <c r="Z164" s="928"/>
      <c r="AA164" s="928"/>
      <c r="AB164" s="928"/>
      <c r="AC164" s="928"/>
      <c r="AD164" s="928"/>
      <c r="AE164" s="928"/>
      <c r="AF164" s="928"/>
      <c r="AG164" s="928"/>
      <c r="AH164" s="928"/>
      <c r="AI164" s="928"/>
      <c r="AJ164" s="928"/>
      <c r="AK164" s="928"/>
      <c r="AL164" s="928"/>
      <c r="AM164" s="928"/>
      <c r="AN164" s="928"/>
      <c r="AO164" s="928"/>
      <c r="AP164" s="928"/>
      <c r="AQ164" s="928"/>
      <c r="AR164" s="928"/>
      <c r="AS164" s="928"/>
      <c r="AT164" s="928"/>
      <c r="AU164" s="928"/>
      <c r="AV164" s="928"/>
      <c r="AW164" s="928"/>
      <c r="AX164" s="928"/>
      <c r="AY164" s="928"/>
      <c r="AZ164" s="928"/>
      <c r="BA164" s="928"/>
      <c r="BB164" s="928"/>
      <c r="BC164" s="928"/>
      <c r="BD164" s="928"/>
      <c r="BE164" s="928"/>
      <c r="BF164" s="928"/>
      <c r="BG164" s="928"/>
      <c r="BH164" s="928"/>
      <c r="BI164" s="928"/>
      <c r="BJ164" s="928"/>
      <c r="BK164" s="928"/>
      <c r="BL164" s="928"/>
      <c r="BM164" s="928"/>
      <c r="BN164" s="928"/>
      <c r="BO164" s="928"/>
      <c r="BP164" s="928"/>
      <c r="BQ164" s="928"/>
      <c r="BR164" s="928"/>
      <c r="BS164" s="928"/>
      <c r="BT164" s="928"/>
      <c r="BU164" s="928"/>
      <c r="BV164" s="928"/>
      <c r="BW164" s="928"/>
      <c r="BX164" s="928"/>
      <c r="BY164" s="928"/>
      <c r="BZ164" s="928"/>
      <c r="CA164" s="928"/>
      <c r="CB164" s="928"/>
      <c r="CC164" s="928"/>
      <c r="CD164" s="928"/>
      <c r="CE164" s="928"/>
      <c r="CF164" s="928"/>
      <c r="CG164" s="928"/>
      <c r="CH164" s="928"/>
      <c r="CI164" s="928"/>
      <c r="CJ164" s="928"/>
      <c r="CK164" s="928"/>
      <c r="CL164" s="928"/>
      <c r="CM164" s="928"/>
      <c r="CN164" s="928"/>
      <c r="CO164" s="928"/>
      <c r="CP164" s="928"/>
      <c r="CQ164" s="928"/>
      <c r="CR164" s="928"/>
      <c r="CS164" s="928"/>
      <c r="CT164" s="928"/>
      <c r="CU164" s="928"/>
      <c r="CV164" s="928"/>
      <c r="CW164" s="928"/>
      <c r="CX164" s="928"/>
      <c r="CY164" s="928"/>
      <c r="CZ164" s="928"/>
      <c r="DA164" s="928"/>
      <c r="DB164" s="928"/>
      <c r="DC164" s="928"/>
      <c r="DD164" s="928"/>
      <c r="DE164" s="928"/>
      <c r="DF164" s="928"/>
      <c r="DG164" s="928"/>
      <c r="DH164" s="928"/>
    </row>
    <row r="165" spans="1:112">
      <c r="A165" s="891" t="s">
        <v>958</v>
      </c>
      <c r="B165" s="891" t="s">
        <v>1522</v>
      </c>
      <c r="C165" s="891" t="s">
        <v>157</v>
      </c>
      <c r="D165" s="891" t="s">
        <v>958</v>
      </c>
      <c r="E165" s="891" t="s">
        <v>1522</v>
      </c>
      <c r="F165" s="891" t="s">
        <v>157</v>
      </c>
      <c r="G165" s="897">
        <v>55.35</v>
      </c>
      <c r="H165" s="897">
        <v>40.93</v>
      </c>
      <c r="I165" s="897">
        <v>39.06</v>
      </c>
      <c r="J165" s="891"/>
      <c r="K165" s="891"/>
      <c r="L165" s="891"/>
      <c r="M165" s="891"/>
      <c r="N165" s="891"/>
      <c r="O165" s="891"/>
      <c r="P165" s="891"/>
      <c r="Q165" s="891"/>
      <c r="R165" s="891"/>
      <c r="S165" s="891"/>
      <c r="T165" s="891"/>
      <c r="U165" s="928"/>
      <c r="V165" s="928"/>
      <c r="W165" s="928"/>
      <c r="X165" s="928"/>
      <c r="Y165" s="928"/>
      <c r="Z165" s="928"/>
      <c r="AA165" s="928"/>
      <c r="AB165" s="928"/>
      <c r="AC165" s="928"/>
      <c r="AD165" s="928"/>
      <c r="AE165" s="928"/>
      <c r="AF165" s="928"/>
      <c r="AG165" s="928"/>
      <c r="AH165" s="928"/>
      <c r="AI165" s="928"/>
      <c r="AJ165" s="928"/>
      <c r="AK165" s="928"/>
      <c r="AL165" s="928"/>
      <c r="AM165" s="928"/>
      <c r="AN165" s="928"/>
      <c r="AO165" s="928"/>
      <c r="AP165" s="928"/>
      <c r="AQ165" s="928"/>
      <c r="AR165" s="928"/>
      <c r="AS165" s="928"/>
      <c r="AT165" s="928"/>
      <c r="AU165" s="928"/>
      <c r="AV165" s="928"/>
      <c r="AW165" s="928"/>
      <c r="AX165" s="928"/>
      <c r="AY165" s="928"/>
      <c r="AZ165" s="928"/>
      <c r="BA165" s="928"/>
      <c r="BB165" s="928"/>
      <c r="BC165" s="928"/>
      <c r="BD165" s="928"/>
      <c r="BE165" s="928"/>
      <c r="BF165" s="928"/>
      <c r="BG165" s="928"/>
      <c r="BH165" s="928"/>
      <c r="BI165" s="928"/>
      <c r="BJ165" s="928"/>
      <c r="BK165" s="928"/>
      <c r="BL165" s="928"/>
      <c r="BM165" s="928"/>
      <c r="BN165" s="928"/>
      <c r="BO165" s="928"/>
      <c r="BP165" s="928"/>
      <c r="BQ165" s="928"/>
      <c r="BR165" s="928"/>
      <c r="BS165" s="928"/>
      <c r="BT165" s="928"/>
      <c r="BU165" s="928"/>
      <c r="BV165" s="928"/>
      <c r="BW165" s="928"/>
      <c r="BX165" s="928"/>
      <c r="BY165" s="928"/>
      <c r="BZ165" s="928"/>
      <c r="CA165" s="928"/>
      <c r="CB165" s="928"/>
      <c r="CC165" s="928"/>
      <c r="CD165" s="928"/>
      <c r="CE165" s="928"/>
      <c r="CF165" s="928"/>
      <c r="CG165" s="928"/>
      <c r="CH165" s="928"/>
      <c r="CI165" s="928"/>
      <c r="CJ165" s="928"/>
      <c r="CK165" s="928"/>
      <c r="CL165" s="928"/>
      <c r="CM165" s="928"/>
      <c r="CN165" s="928"/>
      <c r="CO165" s="928"/>
      <c r="CP165" s="928"/>
      <c r="CQ165" s="928"/>
      <c r="CR165" s="928"/>
      <c r="CS165" s="928"/>
      <c r="CT165" s="928"/>
      <c r="CU165" s="928"/>
      <c r="CV165" s="928"/>
      <c r="CW165" s="928"/>
      <c r="CX165" s="928"/>
      <c r="CY165" s="928"/>
      <c r="CZ165" s="928"/>
      <c r="DA165" s="928"/>
      <c r="DB165" s="928"/>
      <c r="DC165" s="928"/>
      <c r="DD165" s="928"/>
      <c r="DE165" s="928"/>
      <c r="DF165" s="928"/>
      <c r="DG165" s="928"/>
      <c r="DH165" s="928"/>
    </row>
    <row r="166" spans="1:112">
      <c r="A166" s="891" t="s">
        <v>959</v>
      </c>
      <c r="B166" s="891" t="s">
        <v>1514</v>
      </c>
      <c r="C166" s="891" t="s">
        <v>372</v>
      </c>
      <c r="D166" s="891" t="s">
        <v>959</v>
      </c>
      <c r="E166" s="891" t="s">
        <v>1514</v>
      </c>
      <c r="F166" s="891" t="s">
        <v>372</v>
      </c>
      <c r="G166" s="897">
        <v>97.29</v>
      </c>
      <c r="H166" s="897">
        <v>75.02</v>
      </c>
      <c r="I166" s="897">
        <v>90.3</v>
      </c>
      <c r="J166" s="891"/>
      <c r="K166" s="891"/>
      <c r="L166" s="891"/>
      <c r="M166" s="891"/>
      <c r="N166" s="891"/>
      <c r="O166" s="891"/>
      <c r="P166" s="891"/>
      <c r="Q166" s="891"/>
      <c r="R166" s="891"/>
      <c r="S166" s="891"/>
      <c r="T166" s="891"/>
      <c r="U166" s="928"/>
      <c r="V166" s="928"/>
      <c r="W166" s="928"/>
      <c r="X166" s="928"/>
      <c r="Y166" s="928"/>
      <c r="Z166" s="928"/>
      <c r="AA166" s="928"/>
      <c r="AB166" s="928"/>
      <c r="AC166" s="928"/>
      <c r="AD166" s="928"/>
      <c r="AE166" s="928"/>
      <c r="AF166" s="928"/>
      <c r="AG166" s="928"/>
      <c r="AH166" s="928"/>
      <c r="AI166" s="928"/>
      <c r="AJ166" s="928"/>
      <c r="AK166" s="928"/>
      <c r="AL166" s="928"/>
      <c r="AM166" s="928"/>
      <c r="AN166" s="928"/>
      <c r="AO166" s="928"/>
      <c r="AP166" s="928"/>
      <c r="AQ166" s="928"/>
      <c r="AR166" s="928"/>
      <c r="AS166" s="928"/>
      <c r="AT166" s="928"/>
      <c r="AU166" s="928"/>
      <c r="AV166" s="928"/>
      <c r="AW166" s="928"/>
      <c r="AX166" s="928"/>
      <c r="AY166" s="928"/>
      <c r="AZ166" s="928"/>
      <c r="BA166" s="928"/>
      <c r="BB166" s="928"/>
      <c r="BC166" s="928"/>
      <c r="BD166" s="928"/>
      <c r="BE166" s="928"/>
      <c r="BF166" s="928"/>
      <c r="BG166" s="928"/>
      <c r="BH166" s="928"/>
      <c r="BI166" s="928"/>
      <c r="BJ166" s="928"/>
      <c r="BK166" s="928"/>
      <c r="BL166" s="928"/>
      <c r="BM166" s="928"/>
      <c r="BN166" s="928"/>
      <c r="BO166" s="928"/>
      <c r="BP166" s="928"/>
      <c r="BQ166" s="928"/>
      <c r="BR166" s="928"/>
      <c r="BS166" s="928"/>
      <c r="BT166" s="928"/>
      <c r="BU166" s="928"/>
      <c r="BV166" s="928"/>
      <c r="BW166" s="928"/>
      <c r="BX166" s="928"/>
      <c r="BY166" s="928"/>
      <c r="BZ166" s="928"/>
      <c r="CA166" s="928"/>
      <c r="CB166" s="928"/>
      <c r="CC166" s="928"/>
      <c r="CD166" s="928"/>
      <c r="CE166" s="928"/>
      <c r="CF166" s="928"/>
      <c r="CG166" s="928"/>
      <c r="CH166" s="928"/>
      <c r="CI166" s="928"/>
      <c r="CJ166" s="928"/>
      <c r="CK166" s="928"/>
      <c r="CL166" s="928"/>
      <c r="CM166" s="928"/>
      <c r="CN166" s="928"/>
      <c r="CO166" s="928"/>
      <c r="CP166" s="928"/>
      <c r="CQ166" s="928"/>
      <c r="CR166" s="928"/>
      <c r="CS166" s="928"/>
      <c r="CT166" s="928"/>
      <c r="CU166" s="928"/>
      <c r="CV166" s="928"/>
      <c r="CW166" s="928"/>
      <c r="CX166" s="928"/>
      <c r="CY166" s="928"/>
      <c r="CZ166" s="928"/>
      <c r="DA166" s="928"/>
      <c r="DB166" s="928"/>
      <c r="DC166" s="928"/>
      <c r="DD166" s="928"/>
      <c r="DE166" s="928"/>
      <c r="DF166" s="928"/>
      <c r="DG166" s="928"/>
      <c r="DH166" s="928"/>
    </row>
    <row r="167" spans="1:112">
      <c r="A167" s="891" t="s">
        <v>960</v>
      </c>
      <c r="B167" s="891" t="s">
        <v>1454</v>
      </c>
      <c r="C167" s="891" t="s">
        <v>180</v>
      </c>
      <c r="D167" s="891" t="s">
        <v>960</v>
      </c>
      <c r="E167" s="891" t="s">
        <v>1454</v>
      </c>
      <c r="F167" s="891" t="s">
        <v>180</v>
      </c>
      <c r="G167" s="897">
        <v>42.21</v>
      </c>
      <c r="H167" s="897">
        <v>46.19</v>
      </c>
      <c r="I167" s="897">
        <v>27.43</v>
      </c>
      <c r="J167" s="891"/>
      <c r="K167" s="891"/>
      <c r="L167" s="891"/>
      <c r="M167" s="891"/>
      <c r="N167" s="891"/>
      <c r="O167" s="891"/>
      <c r="P167" s="891"/>
      <c r="Q167" s="891"/>
      <c r="R167" s="891"/>
      <c r="S167" s="891"/>
      <c r="T167" s="891"/>
      <c r="U167" s="928"/>
      <c r="V167" s="928"/>
      <c r="W167" s="928"/>
      <c r="X167" s="928"/>
      <c r="Y167" s="928"/>
      <c r="Z167" s="928"/>
      <c r="AA167" s="928"/>
      <c r="AB167" s="928"/>
      <c r="AC167" s="928"/>
      <c r="AD167" s="928"/>
      <c r="AE167" s="928"/>
      <c r="AF167" s="928"/>
      <c r="AG167" s="928"/>
      <c r="AH167" s="928"/>
      <c r="AI167" s="928"/>
      <c r="AJ167" s="928"/>
      <c r="AK167" s="928"/>
      <c r="AL167" s="928"/>
      <c r="AM167" s="928"/>
      <c r="AN167" s="928"/>
      <c r="AO167" s="928"/>
      <c r="AP167" s="928"/>
      <c r="AQ167" s="928"/>
      <c r="AR167" s="928"/>
      <c r="AS167" s="928"/>
      <c r="AT167" s="928"/>
      <c r="AU167" s="928"/>
      <c r="AV167" s="928"/>
      <c r="AW167" s="928"/>
      <c r="AX167" s="928"/>
      <c r="AY167" s="928"/>
      <c r="AZ167" s="928"/>
      <c r="BA167" s="928"/>
      <c r="BB167" s="928"/>
      <c r="BC167" s="928"/>
      <c r="BD167" s="928"/>
      <c r="BE167" s="928"/>
      <c r="BF167" s="928"/>
      <c r="BG167" s="928"/>
      <c r="BH167" s="928"/>
      <c r="BI167" s="928"/>
      <c r="BJ167" s="928"/>
      <c r="BK167" s="928"/>
      <c r="BL167" s="928"/>
      <c r="BM167" s="928"/>
      <c r="BN167" s="928"/>
      <c r="BO167" s="928"/>
      <c r="BP167" s="928"/>
      <c r="BQ167" s="928"/>
      <c r="BR167" s="928"/>
      <c r="BS167" s="928"/>
      <c r="BT167" s="928"/>
      <c r="BU167" s="928"/>
      <c r="BV167" s="928"/>
      <c r="BW167" s="928"/>
      <c r="BX167" s="928"/>
      <c r="BY167" s="928"/>
      <c r="BZ167" s="928"/>
      <c r="CA167" s="928"/>
      <c r="CB167" s="928"/>
      <c r="CC167" s="928"/>
      <c r="CD167" s="928"/>
      <c r="CE167" s="928"/>
      <c r="CF167" s="928"/>
      <c r="CG167" s="928"/>
      <c r="CH167" s="928"/>
      <c r="CI167" s="928"/>
      <c r="CJ167" s="928"/>
      <c r="CK167" s="928"/>
      <c r="CL167" s="928"/>
      <c r="CM167" s="928"/>
      <c r="CN167" s="928"/>
      <c r="CO167" s="928"/>
      <c r="CP167" s="928"/>
      <c r="CQ167" s="928"/>
      <c r="CR167" s="928"/>
      <c r="CS167" s="928"/>
      <c r="CT167" s="928"/>
      <c r="CU167" s="928"/>
      <c r="CV167" s="928"/>
      <c r="CW167" s="928"/>
      <c r="CX167" s="928"/>
      <c r="CY167" s="928"/>
      <c r="CZ167" s="928"/>
      <c r="DA167" s="928"/>
      <c r="DB167" s="928"/>
      <c r="DC167" s="928"/>
      <c r="DD167" s="928"/>
      <c r="DE167" s="928"/>
      <c r="DF167" s="928"/>
      <c r="DG167" s="928"/>
      <c r="DH167" s="928"/>
    </row>
    <row r="168" spans="1:112">
      <c r="A168" s="891" t="s">
        <v>961</v>
      </c>
      <c r="B168" s="891" t="s">
        <v>1479</v>
      </c>
      <c r="C168" s="891" t="s">
        <v>8</v>
      </c>
      <c r="D168" s="891" t="s">
        <v>961</v>
      </c>
      <c r="E168" s="891" t="s">
        <v>1479</v>
      </c>
      <c r="F168" s="891" t="s">
        <v>8</v>
      </c>
      <c r="G168" s="897">
        <v>45.9</v>
      </c>
      <c r="H168" s="897">
        <v>46.61</v>
      </c>
      <c r="I168" s="897">
        <v>35.68</v>
      </c>
      <c r="J168" s="891"/>
      <c r="K168" s="891"/>
      <c r="L168" s="891"/>
      <c r="M168" s="891"/>
      <c r="N168" s="891"/>
      <c r="O168" s="891"/>
      <c r="P168" s="891"/>
      <c r="Q168" s="891"/>
      <c r="R168" s="891"/>
      <c r="S168" s="891"/>
      <c r="T168" s="891"/>
      <c r="U168" s="928"/>
      <c r="V168" s="928"/>
      <c r="W168" s="928"/>
      <c r="X168" s="928"/>
      <c r="Y168" s="928"/>
      <c r="Z168" s="928"/>
      <c r="AA168" s="928"/>
      <c r="AB168" s="928"/>
      <c r="AC168" s="928"/>
      <c r="AD168" s="928"/>
      <c r="AE168" s="928"/>
      <c r="AF168" s="928"/>
      <c r="AG168" s="928"/>
      <c r="AH168" s="928"/>
      <c r="AI168" s="928"/>
      <c r="AJ168" s="928"/>
      <c r="AK168" s="928"/>
      <c r="AL168" s="928"/>
      <c r="AM168" s="928"/>
      <c r="AN168" s="928"/>
      <c r="AO168" s="928"/>
      <c r="AP168" s="928"/>
      <c r="AQ168" s="928"/>
      <c r="AR168" s="928"/>
      <c r="AS168" s="928"/>
      <c r="AT168" s="928"/>
      <c r="AU168" s="928"/>
      <c r="AV168" s="928"/>
      <c r="AW168" s="928"/>
      <c r="AX168" s="928"/>
      <c r="AY168" s="928"/>
      <c r="AZ168" s="928"/>
      <c r="BA168" s="928"/>
      <c r="BB168" s="928"/>
      <c r="BC168" s="928"/>
      <c r="BD168" s="928"/>
      <c r="BE168" s="928"/>
      <c r="BF168" s="928"/>
      <c r="BG168" s="928"/>
      <c r="BH168" s="928"/>
      <c r="BI168" s="928"/>
      <c r="BJ168" s="928"/>
      <c r="BK168" s="928"/>
      <c r="BL168" s="928"/>
      <c r="BM168" s="928"/>
      <c r="BN168" s="928"/>
      <c r="BO168" s="928"/>
      <c r="BP168" s="928"/>
      <c r="BQ168" s="928"/>
      <c r="BR168" s="928"/>
      <c r="BS168" s="928"/>
      <c r="BT168" s="928"/>
      <c r="BU168" s="928"/>
      <c r="BV168" s="928"/>
      <c r="BW168" s="928"/>
      <c r="BX168" s="928"/>
      <c r="BY168" s="928"/>
      <c r="BZ168" s="928"/>
      <c r="CA168" s="928"/>
      <c r="CB168" s="928"/>
      <c r="CC168" s="928"/>
      <c r="CD168" s="928"/>
      <c r="CE168" s="928"/>
      <c r="CF168" s="928"/>
      <c r="CG168" s="928"/>
      <c r="CH168" s="928"/>
      <c r="CI168" s="928"/>
      <c r="CJ168" s="928"/>
      <c r="CK168" s="928"/>
      <c r="CL168" s="928"/>
      <c r="CM168" s="928"/>
      <c r="CN168" s="928"/>
      <c r="CO168" s="928"/>
      <c r="CP168" s="928"/>
      <c r="CQ168" s="928"/>
      <c r="CR168" s="928"/>
      <c r="CS168" s="928"/>
      <c r="CT168" s="928"/>
      <c r="CU168" s="928"/>
      <c r="CV168" s="928"/>
      <c r="CW168" s="928"/>
      <c r="CX168" s="928"/>
      <c r="CY168" s="928"/>
      <c r="CZ168" s="928"/>
      <c r="DA168" s="928"/>
      <c r="DB168" s="928"/>
      <c r="DC168" s="928"/>
      <c r="DD168" s="928"/>
      <c r="DE168" s="928"/>
      <c r="DF168" s="928"/>
      <c r="DG168" s="928"/>
      <c r="DH168" s="928"/>
    </row>
    <row r="169" spans="1:112">
      <c r="A169" s="891" t="s">
        <v>962</v>
      </c>
      <c r="B169" s="891" t="s">
        <v>1447</v>
      </c>
      <c r="C169" s="891" t="s">
        <v>92</v>
      </c>
      <c r="D169" s="891" t="s">
        <v>962</v>
      </c>
      <c r="E169" s="891" t="s">
        <v>1447</v>
      </c>
      <c r="F169" s="891" t="s">
        <v>92</v>
      </c>
      <c r="G169" s="897">
        <v>80.28</v>
      </c>
      <c r="H169" s="897">
        <v>47.39</v>
      </c>
      <c r="I169" s="897">
        <v>108.62</v>
      </c>
      <c r="J169" s="891"/>
      <c r="K169" s="891"/>
      <c r="L169" s="891"/>
      <c r="M169" s="891"/>
      <c r="N169" s="891"/>
      <c r="O169" s="891"/>
      <c r="P169" s="891"/>
      <c r="Q169" s="891"/>
      <c r="R169" s="891"/>
      <c r="S169" s="891"/>
      <c r="T169" s="891"/>
      <c r="U169" s="928"/>
      <c r="V169" s="928"/>
      <c r="W169" s="928"/>
      <c r="X169" s="928"/>
      <c r="Y169" s="928"/>
      <c r="Z169" s="928"/>
      <c r="AA169" s="928"/>
      <c r="AB169" s="928"/>
      <c r="AC169" s="928"/>
      <c r="AD169" s="928"/>
      <c r="AE169" s="928"/>
      <c r="AF169" s="928"/>
      <c r="AG169" s="928"/>
      <c r="AH169" s="928"/>
      <c r="AI169" s="928"/>
      <c r="AJ169" s="928"/>
      <c r="AK169" s="928"/>
      <c r="AL169" s="928"/>
      <c r="AM169" s="928"/>
      <c r="AN169" s="928"/>
      <c r="AO169" s="928"/>
      <c r="AP169" s="928"/>
      <c r="AQ169" s="928"/>
      <c r="AR169" s="928"/>
      <c r="AS169" s="928"/>
      <c r="AT169" s="928"/>
      <c r="AU169" s="928"/>
      <c r="AV169" s="928"/>
      <c r="AW169" s="928"/>
      <c r="AX169" s="928"/>
      <c r="AY169" s="928"/>
      <c r="AZ169" s="928"/>
      <c r="BA169" s="928"/>
      <c r="BB169" s="928"/>
      <c r="BC169" s="928"/>
      <c r="BD169" s="928"/>
      <c r="BE169" s="928"/>
      <c r="BF169" s="928"/>
      <c r="BG169" s="928"/>
      <c r="BH169" s="928"/>
      <c r="BI169" s="928"/>
      <c r="BJ169" s="928"/>
      <c r="BK169" s="928"/>
      <c r="BL169" s="928"/>
      <c r="BM169" s="928"/>
      <c r="BN169" s="928"/>
      <c r="BO169" s="928"/>
      <c r="BP169" s="928"/>
      <c r="BQ169" s="928"/>
      <c r="BR169" s="928"/>
      <c r="BS169" s="928"/>
      <c r="BT169" s="928"/>
      <c r="BU169" s="928"/>
      <c r="BV169" s="928"/>
      <c r="BW169" s="928"/>
      <c r="BX169" s="928"/>
      <c r="BY169" s="928"/>
      <c r="BZ169" s="928"/>
      <c r="CA169" s="928"/>
      <c r="CB169" s="928"/>
      <c r="CC169" s="928"/>
      <c r="CD169" s="928"/>
      <c r="CE169" s="928"/>
      <c r="CF169" s="928"/>
      <c r="CG169" s="928"/>
      <c r="CH169" s="928"/>
      <c r="CI169" s="928"/>
      <c r="CJ169" s="928"/>
      <c r="CK169" s="928"/>
      <c r="CL169" s="928"/>
      <c r="CM169" s="928"/>
      <c r="CN169" s="928"/>
      <c r="CO169" s="928"/>
      <c r="CP169" s="928"/>
      <c r="CQ169" s="928"/>
      <c r="CR169" s="928"/>
      <c r="CS169" s="928"/>
      <c r="CT169" s="928"/>
      <c r="CU169" s="928"/>
      <c r="CV169" s="928"/>
      <c r="CW169" s="928"/>
      <c r="CX169" s="928"/>
      <c r="CY169" s="928"/>
      <c r="CZ169" s="928"/>
      <c r="DA169" s="928"/>
      <c r="DB169" s="928"/>
      <c r="DC169" s="928"/>
      <c r="DD169" s="928"/>
      <c r="DE169" s="928"/>
      <c r="DF169" s="928"/>
      <c r="DG169" s="928"/>
      <c r="DH169" s="928"/>
    </row>
    <row r="170" spans="1:112">
      <c r="A170" s="891" t="s">
        <v>963</v>
      </c>
      <c r="B170" s="891" t="s">
        <v>1447</v>
      </c>
      <c r="C170" s="891" t="s">
        <v>112</v>
      </c>
      <c r="D170" s="891" t="s">
        <v>963</v>
      </c>
      <c r="E170" s="891" t="s">
        <v>1447</v>
      </c>
      <c r="F170" s="891" t="s">
        <v>112</v>
      </c>
      <c r="G170" s="897">
        <v>108.44</v>
      </c>
      <c r="H170" s="897">
        <v>70.53</v>
      </c>
      <c r="I170" s="897">
        <v>155.87</v>
      </c>
      <c r="J170" s="891"/>
      <c r="K170" s="891"/>
      <c r="L170" s="891"/>
      <c r="M170" s="891"/>
      <c r="N170" s="891"/>
      <c r="O170" s="891"/>
      <c r="P170" s="891"/>
      <c r="Q170" s="891"/>
      <c r="R170" s="891"/>
      <c r="S170" s="891"/>
      <c r="T170" s="891"/>
      <c r="U170" s="928"/>
      <c r="V170" s="928"/>
      <c r="W170" s="928"/>
      <c r="X170" s="928"/>
      <c r="Y170" s="928"/>
      <c r="Z170" s="928"/>
      <c r="AA170" s="928"/>
      <c r="AB170" s="928"/>
      <c r="AC170" s="928"/>
      <c r="AD170" s="928"/>
      <c r="AE170" s="928"/>
      <c r="AF170" s="928"/>
      <c r="AG170" s="928"/>
      <c r="AH170" s="928"/>
      <c r="AI170" s="928"/>
      <c r="AJ170" s="928"/>
      <c r="AK170" s="928"/>
      <c r="AL170" s="928"/>
      <c r="AM170" s="928"/>
      <c r="AN170" s="928"/>
      <c r="AO170" s="928"/>
      <c r="AP170" s="928"/>
      <c r="AQ170" s="928"/>
      <c r="AR170" s="928"/>
      <c r="AS170" s="928"/>
      <c r="AT170" s="928"/>
      <c r="AU170" s="928"/>
      <c r="AV170" s="928"/>
      <c r="AW170" s="928"/>
      <c r="AX170" s="928"/>
      <c r="AY170" s="928"/>
      <c r="AZ170" s="928"/>
      <c r="BA170" s="928"/>
      <c r="BB170" s="928"/>
      <c r="BC170" s="928"/>
      <c r="BD170" s="928"/>
      <c r="BE170" s="928"/>
      <c r="BF170" s="928"/>
      <c r="BG170" s="928"/>
      <c r="BH170" s="928"/>
      <c r="BI170" s="928"/>
      <c r="BJ170" s="928"/>
      <c r="BK170" s="928"/>
      <c r="BL170" s="928"/>
      <c r="BM170" s="928"/>
      <c r="BN170" s="928"/>
      <c r="BO170" s="928"/>
      <c r="BP170" s="928"/>
      <c r="BQ170" s="928"/>
      <c r="BR170" s="928"/>
      <c r="BS170" s="928"/>
      <c r="BT170" s="928"/>
      <c r="BU170" s="928"/>
      <c r="BV170" s="928"/>
      <c r="BW170" s="928"/>
      <c r="BX170" s="928"/>
      <c r="BY170" s="928"/>
      <c r="BZ170" s="928"/>
      <c r="CA170" s="928"/>
      <c r="CB170" s="928"/>
      <c r="CC170" s="928"/>
      <c r="CD170" s="928"/>
      <c r="CE170" s="928"/>
      <c r="CF170" s="928"/>
      <c r="CG170" s="928"/>
      <c r="CH170" s="928"/>
      <c r="CI170" s="928"/>
      <c r="CJ170" s="928"/>
      <c r="CK170" s="928"/>
      <c r="CL170" s="928"/>
      <c r="CM170" s="928"/>
      <c r="CN170" s="928"/>
      <c r="CO170" s="928"/>
      <c r="CP170" s="928"/>
      <c r="CQ170" s="928"/>
      <c r="CR170" s="928"/>
      <c r="CS170" s="928"/>
      <c r="CT170" s="928"/>
      <c r="CU170" s="928"/>
      <c r="CV170" s="928"/>
      <c r="CW170" s="928"/>
      <c r="CX170" s="928"/>
      <c r="CY170" s="928"/>
      <c r="CZ170" s="928"/>
      <c r="DA170" s="928"/>
      <c r="DB170" s="928"/>
      <c r="DC170" s="928"/>
      <c r="DD170" s="928"/>
      <c r="DE170" s="928"/>
      <c r="DF170" s="928"/>
      <c r="DG170" s="928"/>
      <c r="DH170" s="928"/>
    </row>
    <row r="171" spans="1:112">
      <c r="A171" s="891" t="s">
        <v>964</v>
      </c>
      <c r="B171" s="891" t="s">
        <v>1460</v>
      </c>
      <c r="C171" s="891" t="s">
        <v>75</v>
      </c>
      <c r="D171" s="891" t="s">
        <v>964</v>
      </c>
      <c r="E171" s="891" t="s">
        <v>1460</v>
      </c>
      <c r="F171" s="891" t="s">
        <v>75</v>
      </c>
      <c r="G171" s="897">
        <v>30.79</v>
      </c>
      <c r="H171" s="897">
        <v>12.17</v>
      </c>
      <c r="I171" s="897">
        <v>51.91</v>
      </c>
      <c r="J171" s="891"/>
      <c r="K171" s="891"/>
      <c r="L171" s="891"/>
      <c r="M171" s="891"/>
      <c r="N171" s="891"/>
      <c r="O171" s="891"/>
      <c r="P171" s="891"/>
      <c r="Q171" s="891"/>
      <c r="R171" s="891"/>
      <c r="S171" s="891"/>
      <c r="T171" s="891"/>
      <c r="U171" s="928"/>
      <c r="V171" s="928"/>
      <c r="W171" s="928"/>
      <c r="X171" s="928"/>
      <c r="Y171" s="928"/>
      <c r="Z171" s="928"/>
      <c r="AA171" s="928"/>
      <c r="AB171" s="928"/>
      <c r="AC171" s="928"/>
      <c r="AD171" s="928"/>
      <c r="AE171" s="928"/>
      <c r="AF171" s="928"/>
      <c r="AG171" s="928"/>
      <c r="AH171" s="928"/>
      <c r="AI171" s="928"/>
      <c r="AJ171" s="928"/>
      <c r="AK171" s="928"/>
      <c r="AL171" s="928"/>
      <c r="AM171" s="928"/>
      <c r="AN171" s="928"/>
      <c r="AO171" s="928"/>
      <c r="AP171" s="928"/>
      <c r="AQ171" s="928"/>
      <c r="AR171" s="928"/>
      <c r="AS171" s="928"/>
      <c r="AT171" s="928"/>
      <c r="AU171" s="928"/>
      <c r="AV171" s="928"/>
      <c r="AW171" s="928"/>
      <c r="AX171" s="928"/>
      <c r="AY171" s="928"/>
      <c r="AZ171" s="928"/>
      <c r="BA171" s="928"/>
      <c r="BB171" s="928"/>
      <c r="BC171" s="928"/>
      <c r="BD171" s="928"/>
      <c r="BE171" s="928"/>
      <c r="BF171" s="928"/>
      <c r="BG171" s="928"/>
      <c r="BH171" s="928"/>
      <c r="BI171" s="928"/>
      <c r="BJ171" s="928"/>
      <c r="BK171" s="928"/>
      <c r="BL171" s="928"/>
      <c r="BM171" s="928"/>
      <c r="BN171" s="928"/>
      <c r="BO171" s="928"/>
      <c r="BP171" s="928"/>
      <c r="BQ171" s="928"/>
      <c r="BR171" s="928"/>
      <c r="BS171" s="928"/>
      <c r="BT171" s="928"/>
      <c r="BU171" s="928"/>
      <c r="BV171" s="928"/>
      <c r="BW171" s="928"/>
      <c r="BX171" s="928"/>
      <c r="BY171" s="928"/>
      <c r="BZ171" s="928"/>
      <c r="CA171" s="928"/>
      <c r="CB171" s="928"/>
      <c r="CC171" s="928"/>
      <c r="CD171" s="928"/>
      <c r="CE171" s="928"/>
      <c r="CF171" s="928"/>
      <c r="CG171" s="928"/>
      <c r="CH171" s="928"/>
      <c r="CI171" s="928"/>
      <c r="CJ171" s="928"/>
      <c r="CK171" s="928"/>
      <c r="CL171" s="928"/>
      <c r="CM171" s="928"/>
      <c r="CN171" s="928"/>
      <c r="CO171" s="928"/>
      <c r="CP171" s="928"/>
      <c r="CQ171" s="928"/>
      <c r="CR171" s="928"/>
      <c r="CS171" s="928"/>
      <c r="CT171" s="928"/>
      <c r="CU171" s="928"/>
      <c r="CV171" s="928"/>
      <c r="CW171" s="928"/>
      <c r="CX171" s="928"/>
      <c r="CY171" s="928"/>
      <c r="CZ171" s="928"/>
      <c r="DA171" s="928"/>
      <c r="DB171" s="928"/>
      <c r="DC171" s="928"/>
      <c r="DD171" s="928"/>
      <c r="DE171" s="928"/>
      <c r="DF171" s="928"/>
      <c r="DG171" s="928"/>
      <c r="DH171" s="928"/>
    </row>
    <row r="172" spans="1:112">
      <c r="A172" s="891" t="s">
        <v>965</v>
      </c>
      <c r="B172" s="891" t="s">
        <v>1505</v>
      </c>
      <c r="C172" s="891" t="s">
        <v>83</v>
      </c>
      <c r="D172" s="891" t="s">
        <v>965</v>
      </c>
      <c r="E172" s="891" t="s">
        <v>1505</v>
      </c>
      <c r="F172" s="891" t="s">
        <v>83</v>
      </c>
      <c r="G172" s="897">
        <v>28.93</v>
      </c>
      <c r="H172" s="897">
        <v>15.73</v>
      </c>
      <c r="I172" s="897">
        <v>51.96</v>
      </c>
      <c r="J172" s="891"/>
      <c r="K172" s="891"/>
      <c r="L172" s="891"/>
      <c r="M172" s="891"/>
      <c r="N172" s="891"/>
      <c r="O172" s="891"/>
      <c r="P172" s="891"/>
      <c r="Q172" s="891"/>
      <c r="R172" s="891"/>
      <c r="S172" s="891"/>
      <c r="T172" s="891"/>
      <c r="U172" s="928"/>
      <c r="V172" s="928"/>
      <c r="W172" s="928"/>
      <c r="X172" s="928"/>
      <c r="Y172" s="928"/>
      <c r="Z172" s="928"/>
      <c r="AA172" s="928"/>
      <c r="AB172" s="928"/>
      <c r="AC172" s="928"/>
      <c r="AD172" s="928"/>
      <c r="AE172" s="928"/>
      <c r="AF172" s="928"/>
      <c r="AG172" s="928"/>
      <c r="AH172" s="928"/>
      <c r="AI172" s="928"/>
      <c r="AJ172" s="928"/>
      <c r="AK172" s="928"/>
      <c r="AL172" s="928"/>
      <c r="AM172" s="928"/>
      <c r="AN172" s="928"/>
      <c r="AO172" s="928"/>
      <c r="AP172" s="928"/>
      <c r="AQ172" s="928"/>
      <c r="AR172" s="928"/>
      <c r="AS172" s="928"/>
      <c r="AT172" s="928"/>
      <c r="AU172" s="928"/>
      <c r="AV172" s="928"/>
      <c r="AW172" s="928"/>
      <c r="AX172" s="928"/>
      <c r="AY172" s="928"/>
      <c r="AZ172" s="928"/>
      <c r="BA172" s="928"/>
      <c r="BB172" s="928"/>
      <c r="BC172" s="928"/>
      <c r="BD172" s="928"/>
      <c r="BE172" s="928"/>
      <c r="BF172" s="928"/>
      <c r="BG172" s="928"/>
      <c r="BH172" s="928"/>
      <c r="BI172" s="928"/>
      <c r="BJ172" s="928"/>
      <c r="BK172" s="928"/>
      <c r="BL172" s="928"/>
      <c r="BM172" s="928"/>
      <c r="BN172" s="928"/>
      <c r="BO172" s="928"/>
      <c r="BP172" s="928"/>
      <c r="BQ172" s="928"/>
      <c r="BR172" s="928"/>
      <c r="BS172" s="928"/>
      <c r="BT172" s="928"/>
      <c r="BU172" s="928"/>
      <c r="BV172" s="928"/>
      <c r="BW172" s="928"/>
      <c r="BX172" s="928"/>
      <c r="BY172" s="928"/>
      <c r="BZ172" s="928"/>
      <c r="CA172" s="928"/>
      <c r="CB172" s="928"/>
      <c r="CC172" s="928"/>
      <c r="CD172" s="928"/>
      <c r="CE172" s="928"/>
      <c r="CF172" s="928"/>
      <c r="CG172" s="928"/>
      <c r="CH172" s="928"/>
      <c r="CI172" s="928"/>
      <c r="CJ172" s="928"/>
      <c r="CK172" s="928"/>
      <c r="CL172" s="928"/>
      <c r="CM172" s="928"/>
      <c r="CN172" s="928"/>
      <c r="CO172" s="928"/>
      <c r="CP172" s="928"/>
      <c r="CQ172" s="928"/>
      <c r="CR172" s="928"/>
      <c r="CS172" s="928"/>
      <c r="CT172" s="928"/>
      <c r="CU172" s="928"/>
      <c r="CV172" s="928"/>
      <c r="CW172" s="928"/>
      <c r="CX172" s="928"/>
      <c r="CY172" s="928"/>
      <c r="CZ172" s="928"/>
      <c r="DA172" s="928"/>
      <c r="DB172" s="928"/>
      <c r="DC172" s="928"/>
      <c r="DD172" s="928"/>
      <c r="DE172" s="928"/>
      <c r="DF172" s="928"/>
      <c r="DG172" s="928"/>
      <c r="DH172" s="928"/>
    </row>
    <row r="173" spans="1:112">
      <c r="A173" s="891" t="s">
        <v>966</v>
      </c>
      <c r="B173" s="891" t="s">
        <v>551</v>
      </c>
      <c r="C173" s="891" t="s">
        <v>294</v>
      </c>
      <c r="D173" s="891" t="s">
        <v>966</v>
      </c>
      <c r="E173" s="891" t="s">
        <v>551</v>
      </c>
      <c r="F173" s="891" t="s">
        <v>294</v>
      </c>
      <c r="G173" s="897">
        <v>55.72</v>
      </c>
      <c r="H173" s="897">
        <v>41.84</v>
      </c>
      <c r="I173" s="897">
        <v>52.05</v>
      </c>
      <c r="J173" s="891"/>
      <c r="K173" s="891"/>
      <c r="L173" s="891"/>
      <c r="M173" s="891"/>
      <c r="N173" s="891"/>
      <c r="O173" s="891"/>
      <c r="P173" s="891"/>
      <c r="Q173" s="891"/>
      <c r="R173" s="891"/>
      <c r="S173" s="891"/>
      <c r="T173" s="891"/>
      <c r="U173" s="928"/>
      <c r="V173" s="928"/>
      <c r="W173" s="928"/>
      <c r="X173" s="928"/>
      <c r="Y173" s="928"/>
      <c r="Z173" s="928"/>
      <c r="AA173" s="928"/>
      <c r="AB173" s="928"/>
      <c r="AC173" s="928"/>
      <c r="AD173" s="928"/>
      <c r="AE173" s="928"/>
      <c r="AF173" s="928"/>
      <c r="AG173" s="928"/>
      <c r="AH173" s="928"/>
      <c r="AI173" s="928"/>
      <c r="AJ173" s="928"/>
      <c r="AK173" s="928"/>
      <c r="AL173" s="928"/>
      <c r="AM173" s="928"/>
      <c r="AN173" s="928"/>
      <c r="AO173" s="928"/>
      <c r="AP173" s="928"/>
      <c r="AQ173" s="928"/>
      <c r="AR173" s="928"/>
      <c r="AS173" s="928"/>
      <c r="AT173" s="928"/>
      <c r="AU173" s="928"/>
      <c r="AV173" s="928"/>
      <c r="AW173" s="928"/>
      <c r="AX173" s="928"/>
      <c r="AY173" s="928"/>
      <c r="AZ173" s="928"/>
      <c r="BA173" s="928"/>
      <c r="BB173" s="928"/>
      <c r="BC173" s="928"/>
      <c r="BD173" s="928"/>
      <c r="BE173" s="928"/>
      <c r="BF173" s="928"/>
      <c r="BG173" s="928"/>
      <c r="BH173" s="928"/>
      <c r="BI173" s="928"/>
      <c r="BJ173" s="928"/>
      <c r="BK173" s="928"/>
      <c r="BL173" s="928"/>
      <c r="BM173" s="928"/>
      <c r="BN173" s="928"/>
      <c r="BO173" s="928"/>
      <c r="BP173" s="928"/>
      <c r="BQ173" s="928"/>
      <c r="BR173" s="928"/>
      <c r="BS173" s="928"/>
      <c r="BT173" s="928"/>
      <c r="BU173" s="928"/>
      <c r="BV173" s="928"/>
      <c r="BW173" s="928"/>
      <c r="BX173" s="928"/>
      <c r="BY173" s="928"/>
      <c r="BZ173" s="928"/>
      <c r="CA173" s="928"/>
      <c r="CB173" s="928"/>
      <c r="CC173" s="928"/>
      <c r="CD173" s="928"/>
      <c r="CE173" s="928"/>
      <c r="CF173" s="928"/>
      <c r="CG173" s="928"/>
      <c r="CH173" s="928"/>
      <c r="CI173" s="928"/>
      <c r="CJ173" s="928"/>
      <c r="CK173" s="928"/>
      <c r="CL173" s="928"/>
      <c r="CM173" s="928"/>
      <c r="CN173" s="928"/>
      <c r="CO173" s="928"/>
      <c r="CP173" s="928"/>
      <c r="CQ173" s="928"/>
      <c r="CR173" s="928"/>
      <c r="CS173" s="928"/>
      <c r="CT173" s="928"/>
      <c r="CU173" s="928"/>
      <c r="CV173" s="928"/>
      <c r="CW173" s="928"/>
      <c r="CX173" s="928"/>
      <c r="CY173" s="928"/>
      <c r="CZ173" s="928"/>
      <c r="DA173" s="928"/>
      <c r="DB173" s="928"/>
      <c r="DC173" s="928"/>
      <c r="DD173" s="928"/>
      <c r="DE173" s="928"/>
      <c r="DF173" s="928"/>
      <c r="DG173" s="928"/>
      <c r="DH173" s="928"/>
    </row>
    <row r="174" spans="1:112">
      <c r="A174" s="891" t="s">
        <v>967</v>
      </c>
      <c r="B174" s="891" t="s">
        <v>1523</v>
      </c>
      <c r="C174" s="891" t="s">
        <v>135</v>
      </c>
      <c r="D174" s="891" t="s">
        <v>967</v>
      </c>
      <c r="E174" s="891" t="s">
        <v>1523</v>
      </c>
      <c r="F174" s="891" t="s">
        <v>135</v>
      </c>
      <c r="G174" s="897">
        <v>73.28</v>
      </c>
      <c r="H174" s="897">
        <v>44.19</v>
      </c>
      <c r="I174" s="897">
        <v>98.09</v>
      </c>
      <c r="J174" s="891"/>
      <c r="K174" s="891"/>
      <c r="L174" s="891"/>
      <c r="M174" s="891"/>
      <c r="N174" s="891"/>
      <c r="O174" s="891"/>
      <c r="P174" s="891"/>
      <c r="Q174" s="891"/>
      <c r="R174" s="891"/>
      <c r="S174" s="891"/>
      <c r="T174" s="891"/>
      <c r="U174" s="928"/>
      <c r="V174" s="928"/>
      <c r="W174" s="928"/>
      <c r="X174" s="928"/>
      <c r="Y174" s="928"/>
      <c r="Z174" s="928"/>
      <c r="AA174" s="928"/>
      <c r="AB174" s="928"/>
      <c r="AC174" s="928"/>
      <c r="AD174" s="928"/>
      <c r="AE174" s="928"/>
      <c r="AF174" s="928"/>
      <c r="AG174" s="928"/>
      <c r="AH174" s="928"/>
      <c r="AI174" s="928"/>
      <c r="AJ174" s="928"/>
      <c r="AK174" s="928"/>
      <c r="AL174" s="928"/>
      <c r="AM174" s="928"/>
      <c r="AN174" s="928"/>
      <c r="AO174" s="928"/>
      <c r="AP174" s="928"/>
      <c r="AQ174" s="928"/>
      <c r="AR174" s="928"/>
      <c r="AS174" s="928"/>
      <c r="AT174" s="928"/>
      <c r="AU174" s="928"/>
      <c r="AV174" s="928"/>
      <c r="AW174" s="928"/>
      <c r="AX174" s="928"/>
      <c r="AY174" s="928"/>
      <c r="AZ174" s="928"/>
      <c r="BA174" s="928"/>
      <c r="BB174" s="928"/>
      <c r="BC174" s="928"/>
      <c r="BD174" s="928"/>
      <c r="BE174" s="928"/>
      <c r="BF174" s="928"/>
      <c r="BG174" s="928"/>
      <c r="BH174" s="928"/>
      <c r="BI174" s="928"/>
      <c r="BJ174" s="928"/>
      <c r="BK174" s="928"/>
      <c r="BL174" s="928"/>
      <c r="BM174" s="928"/>
      <c r="BN174" s="928"/>
      <c r="BO174" s="928"/>
      <c r="BP174" s="928"/>
      <c r="BQ174" s="928"/>
      <c r="BR174" s="928"/>
      <c r="BS174" s="928"/>
      <c r="BT174" s="928"/>
      <c r="BU174" s="928"/>
      <c r="BV174" s="928"/>
      <c r="BW174" s="928"/>
      <c r="BX174" s="928"/>
      <c r="BY174" s="928"/>
      <c r="BZ174" s="928"/>
      <c r="CA174" s="928"/>
      <c r="CB174" s="928"/>
      <c r="CC174" s="928"/>
      <c r="CD174" s="928"/>
      <c r="CE174" s="928"/>
      <c r="CF174" s="928"/>
      <c r="CG174" s="928"/>
      <c r="CH174" s="928"/>
      <c r="CI174" s="928"/>
      <c r="CJ174" s="928"/>
      <c r="CK174" s="928"/>
      <c r="CL174" s="928"/>
      <c r="CM174" s="928"/>
      <c r="CN174" s="928"/>
      <c r="CO174" s="928"/>
      <c r="CP174" s="928"/>
      <c r="CQ174" s="928"/>
      <c r="CR174" s="928"/>
      <c r="CS174" s="928"/>
      <c r="CT174" s="928"/>
      <c r="CU174" s="928"/>
      <c r="CV174" s="928"/>
      <c r="CW174" s="928"/>
      <c r="CX174" s="928"/>
      <c r="CY174" s="928"/>
      <c r="CZ174" s="928"/>
      <c r="DA174" s="928"/>
      <c r="DB174" s="928"/>
      <c r="DC174" s="928"/>
      <c r="DD174" s="928"/>
      <c r="DE174" s="928"/>
      <c r="DF174" s="928"/>
      <c r="DG174" s="928"/>
      <c r="DH174" s="928"/>
    </row>
    <row r="175" spans="1:112">
      <c r="A175" s="891" t="s">
        <v>968</v>
      </c>
      <c r="B175" s="891" t="s">
        <v>1500</v>
      </c>
      <c r="C175" s="891" t="s">
        <v>72</v>
      </c>
      <c r="D175" s="891" t="s">
        <v>968</v>
      </c>
      <c r="E175" s="891" t="s">
        <v>1500</v>
      </c>
      <c r="F175" s="891" t="s">
        <v>72</v>
      </c>
      <c r="G175" s="897">
        <v>44.8</v>
      </c>
      <c r="H175" s="897">
        <v>38.76</v>
      </c>
      <c r="I175" s="897">
        <v>61.7</v>
      </c>
      <c r="J175" s="891"/>
      <c r="K175" s="891"/>
      <c r="L175" s="891"/>
      <c r="M175" s="891"/>
      <c r="N175" s="891"/>
      <c r="O175" s="891"/>
      <c r="P175" s="891"/>
      <c r="Q175" s="891"/>
      <c r="R175" s="891"/>
      <c r="S175" s="891"/>
      <c r="T175" s="891"/>
      <c r="U175" s="928"/>
      <c r="V175" s="928"/>
      <c r="W175" s="928"/>
      <c r="X175" s="928"/>
      <c r="Y175" s="928"/>
      <c r="Z175" s="928"/>
      <c r="AA175" s="928"/>
      <c r="AB175" s="928"/>
      <c r="AC175" s="928"/>
      <c r="AD175" s="928"/>
      <c r="AE175" s="928"/>
      <c r="AF175" s="928"/>
      <c r="AG175" s="928"/>
      <c r="AH175" s="928"/>
      <c r="AI175" s="928"/>
      <c r="AJ175" s="928"/>
      <c r="AK175" s="928"/>
      <c r="AL175" s="928"/>
      <c r="AM175" s="928"/>
      <c r="AN175" s="928"/>
      <c r="AO175" s="928"/>
      <c r="AP175" s="928"/>
      <c r="AQ175" s="928"/>
      <c r="AR175" s="928"/>
      <c r="AS175" s="928"/>
      <c r="AT175" s="928"/>
      <c r="AU175" s="928"/>
      <c r="AV175" s="928"/>
      <c r="AW175" s="928"/>
      <c r="AX175" s="928"/>
      <c r="AY175" s="928"/>
      <c r="AZ175" s="928"/>
      <c r="BA175" s="928"/>
      <c r="BB175" s="928"/>
      <c r="BC175" s="928"/>
      <c r="BD175" s="928"/>
      <c r="BE175" s="928"/>
      <c r="BF175" s="928"/>
      <c r="BG175" s="928"/>
      <c r="BH175" s="928"/>
      <c r="BI175" s="928"/>
      <c r="BJ175" s="928"/>
      <c r="BK175" s="928"/>
      <c r="BL175" s="928"/>
      <c r="BM175" s="928"/>
      <c r="BN175" s="928"/>
      <c r="BO175" s="928"/>
      <c r="BP175" s="928"/>
      <c r="BQ175" s="928"/>
      <c r="BR175" s="928"/>
      <c r="BS175" s="928"/>
      <c r="BT175" s="928"/>
      <c r="BU175" s="928"/>
      <c r="BV175" s="928"/>
      <c r="BW175" s="928"/>
      <c r="BX175" s="928"/>
      <c r="BY175" s="928"/>
      <c r="BZ175" s="928"/>
      <c r="CA175" s="928"/>
      <c r="CB175" s="928"/>
      <c r="CC175" s="928"/>
      <c r="CD175" s="928"/>
      <c r="CE175" s="928"/>
      <c r="CF175" s="928"/>
      <c r="CG175" s="928"/>
      <c r="CH175" s="928"/>
      <c r="CI175" s="928"/>
      <c r="CJ175" s="928"/>
      <c r="CK175" s="928"/>
      <c r="CL175" s="928"/>
      <c r="CM175" s="928"/>
      <c r="CN175" s="928"/>
      <c r="CO175" s="928"/>
      <c r="CP175" s="928"/>
      <c r="CQ175" s="928"/>
      <c r="CR175" s="928"/>
      <c r="CS175" s="928"/>
      <c r="CT175" s="928"/>
      <c r="CU175" s="928"/>
      <c r="CV175" s="928"/>
      <c r="CW175" s="928"/>
      <c r="CX175" s="928"/>
      <c r="CY175" s="928"/>
      <c r="CZ175" s="928"/>
      <c r="DA175" s="928"/>
      <c r="DB175" s="928"/>
      <c r="DC175" s="928"/>
      <c r="DD175" s="928"/>
      <c r="DE175" s="928"/>
      <c r="DF175" s="928"/>
      <c r="DG175" s="928"/>
      <c r="DH175" s="928"/>
    </row>
    <row r="176" spans="1:112">
      <c r="A176" s="891" t="s">
        <v>969</v>
      </c>
      <c r="B176" s="891" t="s">
        <v>1493</v>
      </c>
      <c r="C176" s="891" t="s">
        <v>204</v>
      </c>
      <c r="D176" s="891" t="s">
        <v>969</v>
      </c>
      <c r="E176" s="891" t="s">
        <v>1493</v>
      </c>
      <c r="F176" s="891" t="s">
        <v>204</v>
      </c>
      <c r="G176" s="897">
        <v>46.6</v>
      </c>
      <c r="H176" s="897">
        <v>44.82</v>
      </c>
      <c r="I176" s="897">
        <v>55.34</v>
      </c>
      <c r="J176" s="891"/>
      <c r="K176" s="891"/>
      <c r="L176" s="891"/>
      <c r="M176" s="891"/>
      <c r="N176" s="891"/>
      <c r="O176" s="891"/>
      <c r="P176" s="891"/>
      <c r="Q176" s="891"/>
      <c r="R176" s="891"/>
      <c r="S176" s="891"/>
      <c r="T176" s="891"/>
      <c r="U176" s="928"/>
      <c r="V176" s="928"/>
      <c r="W176" s="928"/>
      <c r="X176" s="928"/>
      <c r="Y176" s="928"/>
      <c r="Z176" s="928"/>
      <c r="AA176" s="928"/>
      <c r="AB176" s="928"/>
      <c r="AC176" s="928"/>
      <c r="AD176" s="928"/>
      <c r="AE176" s="928"/>
      <c r="AF176" s="928"/>
      <c r="AG176" s="928"/>
      <c r="AH176" s="928"/>
      <c r="AI176" s="928"/>
      <c r="AJ176" s="928"/>
      <c r="AK176" s="928"/>
      <c r="AL176" s="928"/>
      <c r="AM176" s="928"/>
      <c r="AN176" s="928"/>
      <c r="AO176" s="928"/>
      <c r="AP176" s="928"/>
      <c r="AQ176" s="928"/>
      <c r="AR176" s="928"/>
      <c r="AS176" s="928"/>
      <c r="AT176" s="928"/>
      <c r="AU176" s="928"/>
      <c r="AV176" s="928"/>
      <c r="AW176" s="928"/>
      <c r="AX176" s="928"/>
      <c r="AY176" s="928"/>
      <c r="AZ176" s="928"/>
      <c r="BA176" s="928"/>
      <c r="BB176" s="928"/>
      <c r="BC176" s="928"/>
      <c r="BD176" s="928"/>
      <c r="BE176" s="928"/>
      <c r="BF176" s="928"/>
      <c r="BG176" s="928"/>
      <c r="BH176" s="928"/>
      <c r="BI176" s="928"/>
      <c r="BJ176" s="928"/>
      <c r="BK176" s="928"/>
      <c r="BL176" s="928"/>
      <c r="BM176" s="928"/>
      <c r="BN176" s="928"/>
      <c r="BO176" s="928"/>
      <c r="BP176" s="928"/>
      <c r="BQ176" s="928"/>
      <c r="BR176" s="928"/>
      <c r="BS176" s="928"/>
      <c r="BT176" s="928"/>
      <c r="BU176" s="928"/>
      <c r="BV176" s="928"/>
      <c r="BW176" s="928"/>
      <c r="BX176" s="928"/>
      <c r="BY176" s="928"/>
      <c r="BZ176" s="928"/>
      <c r="CA176" s="928"/>
      <c r="CB176" s="928"/>
      <c r="CC176" s="928"/>
      <c r="CD176" s="928"/>
      <c r="CE176" s="928"/>
      <c r="CF176" s="928"/>
      <c r="CG176" s="928"/>
      <c r="CH176" s="928"/>
      <c r="CI176" s="928"/>
      <c r="CJ176" s="928"/>
      <c r="CK176" s="928"/>
      <c r="CL176" s="928"/>
      <c r="CM176" s="928"/>
      <c r="CN176" s="928"/>
      <c r="CO176" s="928"/>
      <c r="CP176" s="928"/>
      <c r="CQ176" s="928"/>
      <c r="CR176" s="928"/>
      <c r="CS176" s="928"/>
      <c r="CT176" s="928"/>
      <c r="CU176" s="928"/>
      <c r="CV176" s="928"/>
      <c r="CW176" s="928"/>
      <c r="CX176" s="928"/>
      <c r="CY176" s="928"/>
      <c r="CZ176" s="928"/>
      <c r="DA176" s="928"/>
      <c r="DB176" s="928"/>
      <c r="DC176" s="928"/>
      <c r="DD176" s="928"/>
      <c r="DE176" s="928"/>
      <c r="DF176" s="928"/>
      <c r="DG176" s="928"/>
      <c r="DH176" s="928"/>
    </row>
    <row r="177" spans="1:112">
      <c r="A177" s="891" t="s">
        <v>970</v>
      </c>
      <c r="B177" s="891" t="s">
        <v>1447</v>
      </c>
      <c r="C177" s="891" t="s">
        <v>97</v>
      </c>
      <c r="D177" s="891" t="s">
        <v>970</v>
      </c>
      <c r="E177" s="891" t="s">
        <v>1447</v>
      </c>
      <c r="F177" s="891" t="s">
        <v>97</v>
      </c>
      <c r="G177" s="897">
        <v>57.48</v>
      </c>
      <c r="H177" s="897">
        <v>28.39</v>
      </c>
      <c r="I177" s="897">
        <v>77.489999999999995</v>
      </c>
      <c r="J177" s="891"/>
      <c r="K177" s="897">
        <v>77</v>
      </c>
      <c r="L177" s="891"/>
      <c r="M177" s="891"/>
      <c r="N177" s="891"/>
      <c r="O177" s="891"/>
      <c r="P177" s="891"/>
      <c r="Q177" s="891"/>
      <c r="R177" s="891"/>
      <c r="S177" s="891"/>
      <c r="T177" s="891"/>
      <c r="U177" s="928"/>
      <c r="V177" s="928"/>
      <c r="W177" s="928"/>
      <c r="X177" s="928"/>
      <c r="Y177" s="928"/>
      <c r="Z177" s="928"/>
      <c r="AA177" s="928"/>
      <c r="AB177" s="928"/>
      <c r="AC177" s="928"/>
      <c r="AD177" s="928"/>
      <c r="AE177" s="928"/>
      <c r="AF177" s="928"/>
      <c r="AG177" s="928"/>
      <c r="AH177" s="928"/>
      <c r="AI177" s="928"/>
      <c r="AJ177" s="928"/>
      <c r="AK177" s="928"/>
      <c r="AL177" s="928"/>
      <c r="AM177" s="928"/>
      <c r="AN177" s="928"/>
      <c r="AO177" s="928"/>
      <c r="AP177" s="928"/>
      <c r="AQ177" s="928"/>
      <c r="AR177" s="928"/>
      <c r="AS177" s="928"/>
      <c r="AT177" s="928"/>
      <c r="AU177" s="928"/>
      <c r="AV177" s="928"/>
      <c r="AW177" s="928"/>
      <c r="AX177" s="928"/>
      <c r="AY177" s="928"/>
      <c r="AZ177" s="928"/>
      <c r="BA177" s="928"/>
      <c r="BB177" s="928"/>
      <c r="BC177" s="928"/>
      <c r="BD177" s="928"/>
      <c r="BE177" s="928"/>
      <c r="BF177" s="928"/>
      <c r="BG177" s="928"/>
      <c r="BH177" s="928"/>
      <c r="BI177" s="928"/>
      <c r="BJ177" s="928"/>
      <c r="BK177" s="928"/>
      <c r="BL177" s="928"/>
      <c r="BM177" s="928"/>
      <c r="BN177" s="928"/>
      <c r="BO177" s="928"/>
      <c r="BP177" s="928"/>
      <c r="BQ177" s="928"/>
      <c r="BR177" s="928"/>
      <c r="BS177" s="928"/>
      <c r="BT177" s="928"/>
      <c r="BU177" s="928"/>
      <c r="BV177" s="928"/>
      <c r="BW177" s="928"/>
      <c r="BX177" s="928"/>
      <c r="BY177" s="928"/>
      <c r="BZ177" s="928"/>
      <c r="CA177" s="928"/>
      <c r="CB177" s="928"/>
      <c r="CC177" s="928"/>
      <c r="CD177" s="928"/>
      <c r="CE177" s="928"/>
      <c r="CF177" s="928"/>
      <c r="CG177" s="928"/>
      <c r="CH177" s="928"/>
      <c r="CI177" s="928"/>
      <c r="CJ177" s="928"/>
      <c r="CK177" s="928"/>
      <c r="CL177" s="928"/>
      <c r="CM177" s="928"/>
      <c r="CN177" s="928"/>
      <c r="CO177" s="928"/>
      <c r="CP177" s="928"/>
      <c r="CQ177" s="928"/>
      <c r="CR177" s="928"/>
      <c r="CS177" s="928"/>
      <c r="CT177" s="928"/>
      <c r="CU177" s="928"/>
      <c r="CV177" s="928"/>
      <c r="CW177" s="928"/>
      <c r="CX177" s="928"/>
      <c r="CY177" s="928"/>
      <c r="CZ177" s="928"/>
      <c r="DA177" s="928"/>
      <c r="DB177" s="928"/>
      <c r="DC177" s="928"/>
      <c r="DD177" s="928"/>
      <c r="DE177" s="928"/>
      <c r="DF177" s="928"/>
      <c r="DG177" s="928"/>
      <c r="DH177" s="928"/>
    </row>
    <row r="178" spans="1:112">
      <c r="A178" s="891" t="s">
        <v>973</v>
      </c>
      <c r="B178" s="891" t="s">
        <v>1471</v>
      </c>
      <c r="C178" s="891" t="s">
        <v>115</v>
      </c>
      <c r="D178" s="891" t="s">
        <v>973</v>
      </c>
      <c r="E178" s="891" t="s">
        <v>1471</v>
      </c>
      <c r="F178" s="891" t="s">
        <v>115</v>
      </c>
      <c r="G178" s="897">
        <v>102.92</v>
      </c>
      <c r="H178" s="897">
        <v>59.47</v>
      </c>
      <c r="I178" s="897">
        <v>99.44</v>
      </c>
      <c r="J178" s="891"/>
      <c r="K178" s="891"/>
      <c r="L178" s="891"/>
      <c r="M178" s="891"/>
      <c r="N178" s="891"/>
      <c r="O178" s="891"/>
      <c r="P178" s="891"/>
      <c r="Q178" s="891"/>
      <c r="R178" s="891"/>
      <c r="S178" s="891"/>
      <c r="T178" s="891"/>
      <c r="U178" s="928"/>
      <c r="V178" s="928"/>
      <c r="W178" s="928"/>
      <c r="X178" s="928"/>
      <c r="Y178" s="928"/>
      <c r="Z178" s="928"/>
      <c r="AA178" s="928"/>
      <c r="AB178" s="928"/>
      <c r="AC178" s="928"/>
      <c r="AD178" s="928"/>
      <c r="AE178" s="928"/>
      <c r="AF178" s="928"/>
      <c r="AG178" s="928"/>
      <c r="AH178" s="928"/>
      <c r="AI178" s="928"/>
      <c r="AJ178" s="928"/>
      <c r="AK178" s="928"/>
      <c r="AL178" s="928"/>
      <c r="AM178" s="928"/>
      <c r="AN178" s="928"/>
      <c r="AO178" s="928"/>
      <c r="AP178" s="928"/>
      <c r="AQ178" s="928"/>
      <c r="AR178" s="928"/>
      <c r="AS178" s="928"/>
      <c r="AT178" s="928"/>
      <c r="AU178" s="928"/>
      <c r="AV178" s="928"/>
      <c r="AW178" s="928"/>
      <c r="AX178" s="928"/>
      <c r="AY178" s="928"/>
      <c r="AZ178" s="928"/>
      <c r="BA178" s="928"/>
      <c r="BB178" s="928"/>
      <c r="BC178" s="928"/>
      <c r="BD178" s="928"/>
      <c r="BE178" s="928"/>
      <c r="BF178" s="928"/>
      <c r="BG178" s="928"/>
      <c r="BH178" s="928"/>
      <c r="BI178" s="928"/>
      <c r="BJ178" s="928"/>
      <c r="BK178" s="928"/>
      <c r="BL178" s="928"/>
      <c r="BM178" s="928"/>
      <c r="BN178" s="928"/>
      <c r="BO178" s="928"/>
      <c r="BP178" s="928"/>
      <c r="BQ178" s="928"/>
      <c r="BR178" s="928"/>
      <c r="BS178" s="928"/>
      <c r="BT178" s="928"/>
      <c r="BU178" s="928"/>
      <c r="BV178" s="928"/>
      <c r="BW178" s="928"/>
      <c r="BX178" s="928"/>
      <c r="BY178" s="928"/>
      <c r="BZ178" s="928"/>
      <c r="CA178" s="928"/>
      <c r="CB178" s="928"/>
      <c r="CC178" s="928"/>
      <c r="CD178" s="928"/>
      <c r="CE178" s="928"/>
      <c r="CF178" s="928"/>
      <c r="CG178" s="928"/>
      <c r="CH178" s="928"/>
      <c r="CI178" s="928"/>
      <c r="CJ178" s="928"/>
      <c r="CK178" s="928"/>
      <c r="CL178" s="928"/>
      <c r="CM178" s="928"/>
      <c r="CN178" s="928"/>
      <c r="CO178" s="928"/>
      <c r="CP178" s="928"/>
      <c r="CQ178" s="928"/>
      <c r="CR178" s="928"/>
      <c r="CS178" s="928"/>
      <c r="CT178" s="928"/>
      <c r="CU178" s="928"/>
      <c r="CV178" s="928"/>
      <c r="CW178" s="928"/>
      <c r="CX178" s="928"/>
      <c r="CY178" s="928"/>
      <c r="CZ178" s="928"/>
      <c r="DA178" s="928"/>
      <c r="DB178" s="928"/>
      <c r="DC178" s="928"/>
      <c r="DD178" s="928"/>
      <c r="DE178" s="928"/>
      <c r="DF178" s="928"/>
      <c r="DG178" s="928"/>
      <c r="DH178" s="928"/>
    </row>
    <row r="179" spans="1:112">
      <c r="A179" s="891" t="s">
        <v>973</v>
      </c>
      <c r="B179" s="891" t="s">
        <v>1447</v>
      </c>
      <c r="C179" s="891" t="s">
        <v>30</v>
      </c>
      <c r="D179" s="891" t="s">
        <v>973</v>
      </c>
      <c r="E179" s="891" t="s">
        <v>1447</v>
      </c>
      <c r="F179" s="891" t="s">
        <v>30</v>
      </c>
      <c r="G179" s="897">
        <v>84.02</v>
      </c>
      <c r="H179" s="897">
        <v>62.96</v>
      </c>
      <c r="I179" s="897">
        <v>26.09</v>
      </c>
      <c r="J179" s="891"/>
      <c r="K179" s="891"/>
      <c r="L179" s="891"/>
      <c r="M179" s="891"/>
      <c r="N179" s="891"/>
      <c r="O179" s="891"/>
      <c r="P179" s="891"/>
      <c r="Q179" s="891"/>
      <c r="R179" s="891"/>
      <c r="S179" s="891"/>
      <c r="T179" s="891"/>
      <c r="U179" s="928"/>
      <c r="V179" s="928"/>
      <c r="W179" s="928"/>
      <c r="X179" s="928"/>
      <c r="Y179" s="928"/>
      <c r="Z179" s="928"/>
      <c r="AA179" s="928"/>
      <c r="AB179" s="928"/>
      <c r="AC179" s="928"/>
      <c r="AD179" s="928"/>
      <c r="AE179" s="928"/>
      <c r="AF179" s="928"/>
      <c r="AG179" s="928"/>
      <c r="AH179" s="928"/>
      <c r="AI179" s="928"/>
      <c r="AJ179" s="928"/>
      <c r="AK179" s="928"/>
      <c r="AL179" s="928"/>
      <c r="AM179" s="928"/>
      <c r="AN179" s="928"/>
      <c r="AO179" s="928"/>
      <c r="AP179" s="928"/>
      <c r="AQ179" s="928"/>
      <c r="AR179" s="928"/>
      <c r="AS179" s="928"/>
      <c r="AT179" s="928"/>
      <c r="AU179" s="928"/>
      <c r="AV179" s="928"/>
      <c r="AW179" s="928"/>
      <c r="AX179" s="928"/>
      <c r="AY179" s="928"/>
      <c r="AZ179" s="928"/>
      <c r="BA179" s="928"/>
      <c r="BB179" s="928"/>
      <c r="BC179" s="928"/>
      <c r="BD179" s="928"/>
      <c r="BE179" s="928"/>
      <c r="BF179" s="928"/>
      <c r="BG179" s="928"/>
      <c r="BH179" s="928"/>
      <c r="BI179" s="928"/>
      <c r="BJ179" s="928"/>
      <c r="BK179" s="928"/>
      <c r="BL179" s="928"/>
      <c r="BM179" s="928"/>
      <c r="BN179" s="928"/>
      <c r="BO179" s="928"/>
      <c r="BP179" s="928"/>
      <c r="BQ179" s="928"/>
      <c r="BR179" s="928"/>
      <c r="BS179" s="928"/>
      <c r="BT179" s="928"/>
      <c r="BU179" s="928"/>
      <c r="BV179" s="928"/>
      <c r="BW179" s="928"/>
      <c r="BX179" s="928"/>
      <c r="BY179" s="928"/>
      <c r="BZ179" s="928"/>
      <c r="CA179" s="928"/>
      <c r="CB179" s="928"/>
      <c r="CC179" s="928"/>
      <c r="CD179" s="928"/>
      <c r="CE179" s="928"/>
      <c r="CF179" s="928"/>
      <c r="CG179" s="928"/>
      <c r="CH179" s="928"/>
      <c r="CI179" s="928"/>
      <c r="CJ179" s="928"/>
      <c r="CK179" s="928"/>
      <c r="CL179" s="928"/>
      <c r="CM179" s="928"/>
      <c r="CN179" s="928"/>
      <c r="CO179" s="928"/>
      <c r="CP179" s="928"/>
      <c r="CQ179" s="928"/>
      <c r="CR179" s="928"/>
      <c r="CS179" s="928"/>
      <c r="CT179" s="928"/>
      <c r="CU179" s="928"/>
      <c r="CV179" s="928"/>
      <c r="CW179" s="928"/>
      <c r="CX179" s="928"/>
      <c r="CY179" s="928"/>
      <c r="CZ179" s="928"/>
      <c r="DA179" s="928"/>
      <c r="DB179" s="928"/>
      <c r="DC179" s="928"/>
      <c r="DD179" s="928"/>
      <c r="DE179" s="928"/>
      <c r="DF179" s="928"/>
      <c r="DG179" s="928"/>
      <c r="DH179" s="928"/>
    </row>
    <row r="180" spans="1:112">
      <c r="A180" s="891" t="s">
        <v>974</v>
      </c>
      <c r="B180" s="891" t="s">
        <v>1454</v>
      </c>
      <c r="C180" s="891" t="s">
        <v>211</v>
      </c>
      <c r="D180" s="891" t="s">
        <v>974</v>
      </c>
      <c r="E180" s="891" t="s">
        <v>1454</v>
      </c>
      <c r="F180" s="891" t="s">
        <v>211</v>
      </c>
      <c r="G180" s="897">
        <v>34.64</v>
      </c>
      <c r="H180" s="897">
        <v>25.35</v>
      </c>
      <c r="I180" s="897">
        <v>27.07</v>
      </c>
      <c r="J180" s="891"/>
      <c r="K180" s="891"/>
      <c r="L180" s="891"/>
      <c r="M180" s="891"/>
      <c r="N180" s="891"/>
      <c r="O180" s="891"/>
      <c r="P180" s="891"/>
      <c r="Q180" s="891"/>
      <c r="R180" s="891"/>
      <c r="S180" s="891"/>
      <c r="T180" s="891"/>
      <c r="U180" s="928"/>
      <c r="V180" s="928"/>
      <c r="W180" s="928"/>
      <c r="X180" s="928"/>
      <c r="Y180" s="928"/>
      <c r="Z180" s="928"/>
      <c r="AA180" s="928"/>
      <c r="AB180" s="928"/>
      <c r="AC180" s="928"/>
      <c r="AD180" s="928"/>
      <c r="AE180" s="928"/>
      <c r="AF180" s="928"/>
      <c r="AG180" s="928"/>
      <c r="AH180" s="928"/>
      <c r="AI180" s="928"/>
      <c r="AJ180" s="928"/>
      <c r="AK180" s="928"/>
      <c r="AL180" s="928"/>
      <c r="AM180" s="928"/>
      <c r="AN180" s="928"/>
      <c r="AO180" s="928"/>
      <c r="AP180" s="928"/>
      <c r="AQ180" s="928"/>
      <c r="AR180" s="928"/>
      <c r="AS180" s="928"/>
      <c r="AT180" s="928"/>
      <c r="AU180" s="928"/>
      <c r="AV180" s="928"/>
      <c r="AW180" s="928"/>
      <c r="AX180" s="928"/>
      <c r="AY180" s="928"/>
      <c r="AZ180" s="928"/>
      <c r="BA180" s="928"/>
      <c r="BB180" s="928"/>
      <c r="BC180" s="928"/>
      <c r="BD180" s="928"/>
      <c r="BE180" s="928"/>
      <c r="BF180" s="928"/>
      <c r="BG180" s="928"/>
      <c r="BH180" s="928"/>
      <c r="BI180" s="928"/>
      <c r="BJ180" s="928"/>
      <c r="BK180" s="928"/>
      <c r="BL180" s="928"/>
      <c r="BM180" s="928"/>
      <c r="BN180" s="928"/>
      <c r="BO180" s="928"/>
      <c r="BP180" s="928"/>
      <c r="BQ180" s="928"/>
      <c r="BR180" s="928"/>
      <c r="BS180" s="928"/>
      <c r="BT180" s="928"/>
      <c r="BU180" s="928"/>
      <c r="BV180" s="928"/>
      <c r="BW180" s="928"/>
      <c r="BX180" s="928"/>
      <c r="BY180" s="928"/>
      <c r="BZ180" s="928"/>
      <c r="CA180" s="928"/>
      <c r="CB180" s="928"/>
      <c r="CC180" s="928"/>
      <c r="CD180" s="928"/>
      <c r="CE180" s="928"/>
      <c r="CF180" s="928"/>
      <c r="CG180" s="928"/>
      <c r="CH180" s="928"/>
      <c r="CI180" s="928"/>
      <c r="CJ180" s="928"/>
      <c r="CK180" s="928"/>
      <c r="CL180" s="928"/>
      <c r="CM180" s="928"/>
      <c r="CN180" s="928"/>
      <c r="CO180" s="928"/>
      <c r="CP180" s="928"/>
      <c r="CQ180" s="928"/>
      <c r="CR180" s="928"/>
      <c r="CS180" s="928"/>
      <c r="CT180" s="928"/>
      <c r="CU180" s="928"/>
      <c r="CV180" s="928"/>
      <c r="CW180" s="928"/>
      <c r="CX180" s="928"/>
      <c r="CY180" s="928"/>
      <c r="CZ180" s="928"/>
      <c r="DA180" s="928"/>
      <c r="DB180" s="928"/>
      <c r="DC180" s="928"/>
      <c r="DD180" s="928"/>
      <c r="DE180" s="928"/>
      <c r="DF180" s="928"/>
      <c r="DG180" s="928"/>
      <c r="DH180" s="928"/>
    </row>
    <row r="181" spans="1:112">
      <c r="A181" s="891" t="s">
        <v>975</v>
      </c>
      <c r="B181" s="891" t="s">
        <v>1502</v>
      </c>
      <c r="C181" s="891" t="s">
        <v>329</v>
      </c>
      <c r="D181" s="891" t="s">
        <v>975</v>
      </c>
      <c r="E181" s="891" t="s">
        <v>1502</v>
      </c>
      <c r="F181" s="891" t="s">
        <v>329</v>
      </c>
      <c r="G181" s="897">
        <v>74.48</v>
      </c>
      <c r="H181" s="897">
        <v>72.319999999999993</v>
      </c>
      <c r="I181" s="897">
        <v>157.41</v>
      </c>
      <c r="J181" s="891"/>
      <c r="K181" s="891"/>
      <c r="L181" s="891"/>
      <c r="M181" s="891"/>
      <c r="N181" s="891"/>
      <c r="O181" s="891"/>
      <c r="P181" s="891"/>
      <c r="Q181" s="891"/>
      <c r="R181" s="891"/>
      <c r="S181" s="891"/>
      <c r="T181" s="891"/>
      <c r="U181" s="928"/>
      <c r="V181" s="928"/>
      <c r="W181" s="928"/>
      <c r="X181" s="928"/>
      <c r="Y181" s="928"/>
      <c r="Z181" s="928"/>
      <c r="AA181" s="928"/>
      <c r="AB181" s="928"/>
      <c r="AC181" s="928"/>
      <c r="AD181" s="928"/>
      <c r="AE181" s="928"/>
      <c r="AF181" s="928"/>
      <c r="AG181" s="928"/>
      <c r="AH181" s="928"/>
      <c r="AI181" s="928"/>
      <c r="AJ181" s="928"/>
      <c r="AK181" s="928"/>
      <c r="AL181" s="928"/>
      <c r="AM181" s="928"/>
      <c r="AN181" s="928"/>
      <c r="AO181" s="928"/>
      <c r="AP181" s="928"/>
      <c r="AQ181" s="928"/>
      <c r="AR181" s="928"/>
      <c r="AS181" s="928"/>
      <c r="AT181" s="928"/>
      <c r="AU181" s="928"/>
      <c r="AV181" s="928"/>
      <c r="AW181" s="928"/>
      <c r="AX181" s="928"/>
      <c r="AY181" s="928"/>
      <c r="AZ181" s="928"/>
      <c r="BA181" s="928"/>
      <c r="BB181" s="928"/>
      <c r="BC181" s="928"/>
      <c r="BD181" s="928"/>
      <c r="BE181" s="928"/>
      <c r="BF181" s="928"/>
      <c r="BG181" s="928"/>
      <c r="BH181" s="928"/>
      <c r="BI181" s="928"/>
      <c r="BJ181" s="928"/>
      <c r="BK181" s="928"/>
      <c r="BL181" s="928"/>
      <c r="BM181" s="928"/>
      <c r="BN181" s="928"/>
      <c r="BO181" s="928"/>
      <c r="BP181" s="928"/>
      <c r="BQ181" s="928"/>
      <c r="BR181" s="928"/>
      <c r="BS181" s="928"/>
      <c r="BT181" s="928"/>
      <c r="BU181" s="928"/>
      <c r="BV181" s="928"/>
      <c r="BW181" s="928"/>
      <c r="BX181" s="928"/>
      <c r="BY181" s="928"/>
      <c r="BZ181" s="928"/>
      <c r="CA181" s="928"/>
      <c r="CB181" s="928"/>
      <c r="CC181" s="928"/>
      <c r="CD181" s="928"/>
      <c r="CE181" s="928"/>
      <c r="CF181" s="928"/>
      <c r="CG181" s="928"/>
      <c r="CH181" s="928"/>
      <c r="CI181" s="928"/>
      <c r="CJ181" s="928"/>
      <c r="CK181" s="928"/>
      <c r="CL181" s="928"/>
      <c r="CM181" s="928"/>
      <c r="CN181" s="928"/>
      <c r="CO181" s="928"/>
      <c r="CP181" s="928"/>
      <c r="CQ181" s="928"/>
      <c r="CR181" s="928"/>
      <c r="CS181" s="928"/>
      <c r="CT181" s="928"/>
      <c r="CU181" s="928"/>
      <c r="CV181" s="928"/>
      <c r="CW181" s="928"/>
      <c r="CX181" s="928"/>
      <c r="CY181" s="928"/>
      <c r="CZ181" s="928"/>
      <c r="DA181" s="928"/>
      <c r="DB181" s="928"/>
      <c r="DC181" s="928"/>
      <c r="DD181" s="928"/>
      <c r="DE181" s="928"/>
      <c r="DF181" s="928"/>
      <c r="DG181" s="928"/>
      <c r="DH181" s="928"/>
    </row>
    <row r="182" spans="1:112">
      <c r="A182" s="891" t="s">
        <v>976</v>
      </c>
      <c r="B182" s="891" t="s">
        <v>1479</v>
      </c>
      <c r="C182" s="891" t="s">
        <v>12</v>
      </c>
      <c r="D182" s="891" t="s">
        <v>976</v>
      </c>
      <c r="E182" s="891" t="s">
        <v>1479</v>
      </c>
      <c r="F182" s="891" t="s">
        <v>12</v>
      </c>
      <c r="G182" s="897">
        <v>158.38999999999999</v>
      </c>
      <c r="H182" s="897">
        <v>122.27</v>
      </c>
      <c r="I182" s="897">
        <v>135.44</v>
      </c>
      <c r="J182" s="891"/>
      <c r="K182" s="891"/>
      <c r="L182" s="891"/>
      <c r="M182" s="891"/>
      <c r="N182" s="891"/>
      <c r="O182" s="891"/>
      <c r="P182" s="891"/>
      <c r="Q182" s="891"/>
      <c r="R182" s="891"/>
      <c r="S182" s="891"/>
      <c r="T182" s="891"/>
      <c r="U182" s="928"/>
      <c r="V182" s="928"/>
      <c r="W182" s="928"/>
      <c r="X182" s="928"/>
      <c r="Y182" s="928"/>
      <c r="Z182" s="928"/>
      <c r="AA182" s="928"/>
      <c r="AB182" s="928"/>
      <c r="AC182" s="928"/>
      <c r="AD182" s="928"/>
      <c r="AE182" s="928"/>
      <c r="AF182" s="928"/>
      <c r="AG182" s="928"/>
      <c r="AH182" s="928"/>
      <c r="AI182" s="928"/>
      <c r="AJ182" s="928"/>
      <c r="AK182" s="928"/>
      <c r="AL182" s="928"/>
      <c r="AM182" s="928"/>
      <c r="AN182" s="928"/>
      <c r="AO182" s="928"/>
      <c r="AP182" s="928"/>
      <c r="AQ182" s="928"/>
      <c r="AR182" s="928"/>
      <c r="AS182" s="928"/>
      <c r="AT182" s="928"/>
      <c r="AU182" s="928"/>
      <c r="AV182" s="928"/>
      <c r="AW182" s="928"/>
      <c r="AX182" s="928"/>
      <c r="AY182" s="928"/>
      <c r="AZ182" s="928"/>
      <c r="BA182" s="928"/>
      <c r="BB182" s="928"/>
      <c r="BC182" s="928"/>
      <c r="BD182" s="928"/>
      <c r="BE182" s="928"/>
      <c r="BF182" s="928"/>
      <c r="BG182" s="928"/>
      <c r="BH182" s="928"/>
      <c r="BI182" s="928"/>
      <c r="BJ182" s="928"/>
      <c r="BK182" s="928"/>
      <c r="BL182" s="928"/>
      <c r="BM182" s="928"/>
      <c r="BN182" s="928"/>
      <c r="BO182" s="928"/>
      <c r="BP182" s="928"/>
      <c r="BQ182" s="928"/>
      <c r="BR182" s="928"/>
      <c r="BS182" s="928"/>
      <c r="BT182" s="928"/>
      <c r="BU182" s="928"/>
      <c r="BV182" s="928"/>
      <c r="BW182" s="928"/>
      <c r="BX182" s="928"/>
      <c r="BY182" s="928"/>
      <c r="BZ182" s="928"/>
      <c r="CA182" s="928"/>
      <c r="CB182" s="928"/>
      <c r="CC182" s="928"/>
      <c r="CD182" s="928"/>
      <c r="CE182" s="928"/>
      <c r="CF182" s="928"/>
      <c r="CG182" s="928"/>
      <c r="CH182" s="928"/>
      <c r="CI182" s="928"/>
      <c r="CJ182" s="928"/>
      <c r="CK182" s="928"/>
      <c r="CL182" s="928"/>
      <c r="CM182" s="928"/>
      <c r="CN182" s="928"/>
      <c r="CO182" s="928"/>
      <c r="CP182" s="928"/>
      <c r="CQ182" s="928"/>
      <c r="CR182" s="928"/>
      <c r="CS182" s="928"/>
      <c r="CT182" s="928"/>
      <c r="CU182" s="928"/>
      <c r="CV182" s="928"/>
      <c r="CW182" s="928"/>
      <c r="CX182" s="928"/>
      <c r="CY182" s="928"/>
      <c r="CZ182" s="928"/>
      <c r="DA182" s="928"/>
      <c r="DB182" s="928"/>
      <c r="DC182" s="928"/>
      <c r="DD182" s="928"/>
      <c r="DE182" s="928"/>
      <c r="DF182" s="928"/>
      <c r="DG182" s="928"/>
      <c r="DH182" s="928"/>
    </row>
    <row r="183" spans="1:112">
      <c r="A183" s="891" t="s">
        <v>580</v>
      </c>
      <c r="B183" s="891" t="s">
        <v>1524</v>
      </c>
      <c r="C183" s="891" t="s">
        <v>25</v>
      </c>
      <c r="D183" s="891" t="s">
        <v>580</v>
      </c>
      <c r="E183" s="891" t="s">
        <v>1524</v>
      </c>
      <c r="F183" s="891" t="s">
        <v>25</v>
      </c>
      <c r="G183" s="897">
        <v>85.4</v>
      </c>
      <c r="H183" s="897">
        <v>101.45</v>
      </c>
      <c r="I183" s="897">
        <v>120.59</v>
      </c>
      <c r="J183" s="891"/>
      <c r="K183" s="891"/>
      <c r="L183" s="891"/>
      <c r="M183" s="891"/>
      <c r="N183" s="891"/>
      <c r="O183" s="891"/>
      <c r="P183" s="891"/>
      <c r="Q183" s="891"/>
      <c r="R183" s="891"/>
      <c r="S183" s="891"/>
      <c r="T183" s="891"/>
      <c r="U183" s="928"/>
      <c r="V183" s="928"/>
      <c r="W183" s="928"/>
      <c r="X183" s="928"/>
      <c r="Y183" s="928"/>
      <c r="Z183" s="928"/>
      <c r="AA183" s="928"/>
      <c r="AB183" s="928"/>
      <c r="AC183" s="928"/>
      <c r="AD183" s="928"/>
      <c r="AE183" s="928"/>
      <c r="AF183" s="928"/>
      <c r="AG183" s="928"/>
      <c r="AH183" s="928"/>
      <c r="AI183" s="928"/>
      <c r="AJ183" s="928"/>
      <c r="AK183" s="928"/>
      <c r="AL183" s="928"/>
      <c r="AM183" s="928"/>
      <c r="AN183" s="928"/>
      <c r="AO183" s="928"/>
      <c r="AP183" s="928"/>
      <c r="AQ183" s="928"/>
      <c r="AR183" s="928"/>
      <c r="AS183" s="928"/>
      <c r="AT183" s="928"/>
      <c r="AU183" s="928"/>
      <c r="AV183" s="928"/>
      <c r="AW183" s="928"/>
      <c r="AX183" s="928"/>
      <c r="AY183" s="928"/>
      <c r="AZ183" s="928"/>
      <c r="BA183" s="928"/>
      <c r="BB183" s="928"/>
      <c r="BC183" s="928"/>
      <c r="BD183" s="928"/>
      <c r="BE183" s="928"/>
      <c r="BF183" s="928"/>
      <c r="BG183" s="928"/>
      <c r="BH183" s="928"/>
      <c r="BI183" s="928"/>
      <c r="BJ183" s="928"/>
      <c r="BK183" s="928"/>
      <c r="BL183" s="928"/>
      <c r="BM183" s="928"/>
      <c r="BN183" s="928"/>
      <c r="BO183" s="928"/>
      <c r="BP183" s="928"/>
      <c r="BQ183" s="928"/>
      <c r="BR183" s="928"/>
      <c r="BS183" s="928"/>
      <c r="BT183" s="928"/>
      <c r="BU183" s="928"/>
      <c r="BV183" s="928"/>
      <c r="BW183" s="928"/>
      <c r="BX183" s="928"/>
      <c r="BY183" s="928"/>
      <c r="BZ183" s="928"/>
      <c r="CA183" s="928"/>
      <c r="CB183" s="928"/>
      <c r="CC183" s="928"/>
      <c r="CD183" s="928"/>
      <c r="CE183" s="928"/>
      <c r="CF183" s="928"/>
      <c r="CG183" s="928"/>
      <c r="CH183" s="928"/>
      <c r="CI183" s="928"/>
      <c r="CJ183" s="928"/>
      <c r="CK183" s="928"/>
      <c r="CL183" s="928"/>
      <c r="CM183" s="928"/>
      <c r="CN183" s="928"/>
      <c r="CO183" s="928"/>
      <c r="CP183" s="928"/>
      <c r="CQ183" s="928"/>
      <c r="CR183" s="928"/>
      <c r="CS183" s="928"/>
      <c r="CT183" s="928"/>
      <c r="CU183" s="928"/>
      <c r="CV183" s="928"/>
      <c r="CW183" s="928"/>
      <c r="CX183" s="928"/>
      <c r="CY183" s="928"/>
      <c r="CZ183" s="928"/>
      <c r="DA183" s="928"/>
      <c r="DB183" s="928"/>
      <c r="DC183" s="928"/>
      <c r="DD183" s="928"/>
      <c r="DE183" s="928"/>
      <c r="DF183" s="928"/>
      <c r="DG183" s="928"/>
      <c r="DH183" s="928"/>
    </row>
    <row r="184" spans="1:112">
      <c r="A184" s="891" t="s">
        <v>977</v>
      </c>
      <c r="B184" s="891" t="s">
        <v>1498</v>
      </c>
      <c r="C184" s="891" t="s">
        <v>344</v>
      </c>
      <c r="D184" s="891" t="s">
        <v>977</v>
      </c>
      <c r="E184" s="891" t="s">
        <v>1498</v>
      </c>
      <c r="F184" s="891" t="s">
        <v>344</v>
      </c>
      <c r="G184" s="897">
        <v>87.43</v>
      </c>
      <c r="H184" s="897">
        <v>80.42</v>
      </c>
      <c r="I184" s="897">
        <v>103.16</v>
      </c>
      <c r="J184" s="891"/>
      <c r="K184" s="891"/>
      <c r="L184" s="891"/>
      <c r="M184" s="891"/>
      <c r="N184" s="891"/>
      <c r="O184" s="891"/>
      <c r="P184" s="891"/>
      <c r="Q184" s="891"/>
      <c r="R184" s="891"/>
      <c r="S184" s="891"/>
      <c r="T184" s="891"/>
      <c r="U184" s="928"/>
      <c r="V184" s="928"/>
      <c r="W184" s="928"/>
      <c r="X184" s="928"/>
      <c r="Y184" s="928"/>
      <c r="Z184" s="928"/>
      <c r="AA184" s="928"/>
      <c r="AB184" s="928"/>
      <c r="AC184" s="928"/>
      <c r="AD184" s="928"/>
      <c r="AE184" s="928"/>
      <c r="AF184" s="928"/>
      <c r="AG184" s="928"/>
      <c r="AH184" s="928"/>
      <c r="AI184" s="928"/>
      <c r="AJ184" s="928"/>
      <c r="AK184" s="928"/>
      <c r="AL184" s="928"/>
      <c r="AM184" s="928"/>
      <c r="AN184" s="928"/>
      <c r="AO184" s="928"/>
      <c r="AP184" s="928"/>
      <c r="AQ184" s="928"/>
      <c r="AR184" s="928"/>
      <c r="AS184" s="928"/>
      <c r="AT184" s="928"/>
      <c r="AU184" s="928"/>
      <c r="AV184" s="928"/>
      <c r="AW184" s="928"/>
      <c r="AX184" s="928"/>
      <c r="AY184" s="928"/>
      <c r="AZ184" s="928"/>
      <c r="BA184" s="928"/>
      <c r="BB184" s="928"/>
      <c r="BC184" s="928"/>
      <c r="BD184" s="928"/>
      <c r="BE184" s="928"/>
      <c r="BF184" s="928"/>
      <c r="BG184" s="928"/>
      <c r="BH184" s="928"/>
      <c r="BI184" s="928"/>
      <c r="BJ184" s="928"/>
      <c r="BK184" s="928"/>
      <c r="BL184" s="928"/>
      <c r="BM184" s="928"/>
      <c r="BN184" s="928"/>
      <c r="BO184" s="928"/>
      <c r="BP184" s="928"/>
      <c r="BQ184" s="928"/>
      <c r="BR184" s="928"/>
      <c r="BS184" s="928"/>
      <c r="BT184" s="928"/>
      <c r="BU184" s="928"/>
      <c r="BV184" s="928"/>
      <c r="BW184" s="928"/>
      <c r="BX184" s="928"/>
      <c r="BY184" s="928"/>
      <c r="BZ184" s="928"/>
      <c r="CA184" s="928"/>
      <c r="CB184" s="928"/>
      <c r="CC184" s="928"/>
      <c r="CD184" s="928"/>
      <c r="CE184" s="928"/>
      <c r="CF184" s="928"/>
      <c r="CG184" s="928"/>
      <c r="CH184" s="928"/>
      <c r="CI184" s="928"/>
      <c r="CJ184" s="928"/>
      <c r="CK184" s="928"/>
      <c r="CL184" s="928"/>
      <c r="CM184" s="928"/>
      <c r="CN184" s="928"/>
      <c r="CO184" s="928"/>
      <c r="CP184" s="928"/>
      <c r="CQ184" s="928"/>
      <c r="CR184" s="928"/>
      <c r="CS184" s="928"/>
      <c r="CT184" s="928"/>
      <c r="CU184" s="928"/>
      <c r="CV184" s="928"/>
      <c r="CW184" s="928"/>
      <c r="CX184" s="928"/>
      <c r="CY184" s="928"/>
      <c r="CZ184" s="928"/>
      <c r="DA184" s="928"/>
      <c r="DB184" s="928"/>
      <c r="DC184" s="928"/>
      <c r="DD184" s="928"/>
      <c r="DE184" s="928"/>
      <c r="DF184" s="928"/>
      <c r="DG184" s="928"/>
      <c r="DH184" s="928"/>
    </row>
    <row r="185" spans="1:112">
      <c r="A185" s="891" t="s">
        <v>978</v>
      </c>
      <c r="B185" s="891" t="s">
        <v>1505</v>
      </c>
      <c r="C185" s="891" t="s">
        <v>65</v>
      </c>
      <c r="D185" s="891" t="s">
        <v>978</v>
      </c>
      <c r="E185" s="891" t="s">
        <v>1505</v>
      </c>
      <c r="F185" s="891" t="s">
        <v>65</v>
      </c>
      <c r="G185" s="897">
        <v>77.180000000000007</v>
      </c>
      <c r="H185" s="897">
        <v>109.8</v>
      </c>
      <c r="I185" s="897">
        <v>116.28</v>
      </c>
      <c r="J185" s="891"/>
      <c r="K185" s="891"/>
      <c r="L185" s="891"/>
      <c r="M185" s="891"/>
      <c r="N185" s="891"/>
      <c r="O185" s="891"/>
      <c r="P185" s="891"/>
      <c r="Q185" s="891"/>
      <c r="R185" s="891"/>
      <c r="S185" s="891"/>
      <c r="T185" s="891"/>
      <c r="U185" s="928"/>
      <c r="V185" s="928"/>
      <c r="W185" s="928"/>
      <c r="X185" s="928"/>
      <c r="Y185" s="928"/>
      <c r="Z185" s="928"/>
      <c r="AA185" s="928"/>
      <c r="AB185" s="928"/>
      <c r="AC185" s="928"/>
      <c r="AD185" s="928"/>
      <c r="AE185" s="928"/>
      <c r="AF185" s="928"/>
      <c r="AG185" s="928"/>
      <c r="AH185" s="928"/>
      <c r="AI185" s="928"/>
      <c r="AJ185" s="928"/>
      <c r="AK185" s="928"/>
      <c r="AL185" s="928"/>
      <c r="AM185" s="928"/>
      <c r="AN185" s="928"/>
      <c r="AO185" s="928"/>
      <c r="AP185" s="928"/>
      <c r="AQ185" s="928"/>
      <c r="AR185" s="928"/>
      <c r="AS185" s="928"/>
      <c r="AT185" s="928"/>
      <c r="AU185" s="928"/>
      <c r="AV185" s="928"/>
      <c r="AW185" s="928"/>
      <c r="AX185" s="928"/>
      <c r="AY185" s="928"/>
      <c r="AZ185" s="928"/>
      <c r="BA185" s="928"/>
      <c r="BB185" s="928"/>
      <c r="BC185" s="928"/>
      <c r="BD185" s="928"/>
      <c r="BE185" s="928"/>
      <c r="BF185" s="928"/>
      <c r="BG185" s="928"/>
      <c r="BH185" s="928"/>
      <c r="BI185" s="928"/>
      <c r="BJ185" s="928"/>
      <c r="BK185" s="928"/>
      <c r="BL185" s="928"/>
      <c r="BM185" s="928"/>
      <c r="BN185" s="928"/>
      <c r="BO185" s="928"/>
      <c r="BP185" s="928"/>
      <c r="BQ185" s="928"/>
      <c r="BR185" s="928"/>
      <c r="BS185" s="928"/>
      <c r="BT185" s="928"/>
      <c r="BU185" s="928"/>
      <c r="BV185" s="928"/>
      <c r="BW185" s="928"/>
      <c r="BX185" s="928"/>
      <c r="BY185" s="928"/>
      <c r="BZ185" s="928"/>
      <c r="CA185" s="928"/>
      <c r="CB185" s="928"/>
      <c r="CC185" s="928"/>
      <c r="CD185" s="928"/>
      <c r="CE185" s="928"/>
      <c r="CF185" s="928"/>
      <c r="CG185" s="928"/>
      <c r="CH185" s="928"/>
      <c r="CI185" s="928"/>
      <c r="CJ185" s="928"/>
      <c r="CK185" s="928"/>
      <c r="CL185" s="928"/>
      <c r="CM185" s="928"/>
      <c r="CN185" s="928"/>
      <c r="CO185" s="928"/>
      <c r="CP185" s="928"/>
      <c r="CQ185" s="928"/>
      <c r="CR185" s="928"/>
      <c r="CS185" s="928"/>
      <c r="CT185" s="928"/>
      <c r="CU185" s="928"/>
      <c r="CV185" s="928"/>
      <c r="CW185" s="928"/>
      <c r="CX185" s="928"/>
      <c r="CY185" s="928"/>
      <c r="CZ185" s="928"/>
      <c r="DA185" s="928"/>
      <c r="DB185" s="928"/>
      <c r="DC185" s="928"/>
      <c r="DD185" s="928"/>
      <c r="DE185" s="928"/>
      <c r="DF185" s="928"/>
      <c r="DG185" s="928"/>
      <c r="DH185" s="928"/>
    </row>
    <row r="186" spans="1:112">
      <c r="A186" s="891" t="s">
        <v>979</v>
      </c>
      <c r="B186" s="891" t="s">
        <v>1454</v>
      </c>
      <c r="C186" s="891" t="s">
        <v>152</v>
      </c>
      <c r="D186" s="891" t="s">
        <v>979</v>
      </c>
      <c r="E186" s="891" t="s">
        <v>1454</v>
      </c>
      <c r="F186" s="891" t="s">
        <v>152</v>
      </c>
      <c r="G186" s="897">
        <v>98.46</v>
      </c>
      <c r="H186" s="897">
        <v>84.79</v>
      </c>
      <c r="I186" s="897">
        <v>71.69</v>
      </c>
      <c r="J186" s="891"/>
      <c r="K186" s="891"/>
      <c r="L186" s="891"/>
      <c r="M186" s="891"/>
      <c r="N186" s="891"/>
      <c r="O186" s="891"/>
      <c r="P186" s="891"/>
      <c r="Q186" s="891"/>
      <c r="R186" s="891"/>
      <c r="S186" s="891"/>
      <c r="T186" s="891"/>
      <c r="U186" s="928"/>
      <c r="V186" s="928"/>
      <c r="W186" s="928"/>
      <c r="X186" s="928"/>
      <c r="Y186" s="928"/>
      <c r="Z186" s="928"/>
      <c r="AA186" s="928"/>
      <c r="AB186" s="928"/>
      <c r="AC186" s="928"/>
      <c r="AD186" s="928"/>
      <c r="AE186" s="928"/>
      <c r="AF186" s="928"/>
      <c r="AG186" s="928"/>
      <c r="AH186" s="928"/>
      <c r="AI186" s="928"/>
      <c r="AJ186" s="928"/>
      <c r="AK186" s="928"/>
      <c r="AL186" s="928"/>
      <c r="AM186" s="928"/>
      <c r="AN186" s="928"/>
      <c r="AO186" s="928"/>
      <c r="AP186" s="928"/>
      <c r="AQ186" s="928"/>
      <c r="AR186" s="928"/>
      <c r="AS186" s="928"/>
      <c r="AT186" s="928"/>
      <c r="AU186" s="928"/>
      <c r="AV186" s="928"/>
      <c r="AW186" s="928"/>
      <c r="AX186" s="928"/>
      <c r="AY186" s="928"/>
      <c r="AZ186" s="928"/>
      <c r="BA186" s="928"/>
      <c r="BB186" s="928"/>
      <c r="BC186" s="928"/>
      <c r="BD186" s="928"/>
      <c r="BE186" s="928"/>
      <c r="BF186" s="928"/>
      <c r="BG186" s="928"/>
      <c r="BH186" s="928"/>
      <c r="BI186" s="928"/>
      <c r="BJ186" s="928"/>
      <c r="BK186" s="928"/>
      <c r="BL186" s="928"/>
      <c r="BM186" s="928"/>
      <c r="BN186" s="928"/>
      <c r="BO186" s="928"/>
      <c r="BP186" s="928"/>
      <c r="BQ186" s="928"/>
      <c r="BR186" s="928"/>
      <c r="BS186" s="928"/>
      <c r="BT186" s="928"/>
      <c r="BU186" s="928"/>
      <c r="BV186" s="928"/>
      <c r="BW186" s="928"/>
      <c r="BX186" s="928"/>
      <c r="BY186" s="928"/>
      <c r="BZ186" s="928"/>
      <c r="CA186" s="928"/>
      <c r="CB186" s="928"/>
      <c r="CC186" s="928"/>
      <c r="CD186" s="928"/>
      <c r="CE186" s="928"/>
      <c r="CF186" s="928"/>
      <c r="CG186" s="928"/>
      <c r="CH186" s="928"/>
      <c r="CI186" s="928"/>
      <c r="CJ186" s="928"/>
      <c r="CK186" s="928"/>
      <c r="CL186" s="928"/>
      <c r="CM186" s="928"/>
      <c r="CN186" s="928"/>
      <c r="CO186" s="928"/>
      <c r="CP186" s="928"/>
      <c r="CQ186" s="928"/>
      <c r="CR186" s="928"/>
      <c r="CS186" s="928"/>
      <c r="CT186" s="928"/>
      <c r="CU186" s="928"/>
      <c r="CV186" s="928"/>
      <c r="CW186" s="928"/>
      <c r="CX186" s="928"/>
      <c r="CY186" s="928"/>
      <c r="CZ186" s="928"/>
      <c r="DA186" s="928"/>
      <c r="DB186" s="928"/>
      <c r="DC186" s="928"/>
      <c r="DD186" s="928"/>
      <c r="DE186" s="928"/>
      <c r="DF186" s="928"/>
      <c r="DG186" s="928"/>
      <c r="DH186" s="928"/>
    </row>
    <row r="187" spans="1:112">
      <c r="A187" s="891" t="s">
        <v>980</v>
      </c>
      <c r="B187" s="891" t="s">
        <v>1457</v>
      </c>
      <c r="C187" s="891" t="s">
        <v>161</v>
      </c>
      <c r="D187" s="891" t="s">
        <v>980</v>
      </c>
      <c r="E187" s="891" t="s">
        <v>1457</v>
      </c>
      <c r="F187" s="891" t="s">
        <v>161</v>
      </c>
      <c r="G187" s="897">
        <v>50.88</v>
      </c>
      <c r="H187" s="897">
        <v>40.020000000000003</v>
      </c>
      <c r="I187" s="897">
        <v>38.270000000000003</v>
      </c>
      <c r="J187" s="891"/>
      <c r="K187" s="891"/>
      <c r="L187" s="891"/>
      <c r="M187" s="891"/>
      <c r="N187" s="891"/>
      <c r="O187" s="891"/>
      <c r="P187" s="891"/>
      <c r="Q187" s="891"/>
      <c r="R187" s="891"/>
      <c r="S187" s="891"/>
      <c r="T187" s="891"/>
      <c r="U187" s="928"/>
      <c r="V187" s="928"/>
      <c r="W187" s="928"/>
      <c r="X187" s="928"/>
      <c r="Y187" s="928"/>
      <c r="Z187" s="928"/>
      <c r="AA187" s="928"/>
      <c r="AB187" s="928"/>
      <c r="AC187" s="928"/>
      <c r="AD187" s="928"/>
      <c r="AE187" s="928"/>
      <c r="AF187" s="928"/>
      <c r="AG187" s="928"/>
      <c r="AH187" s="928"/>
      <c r="AI187" s="928"/>
      <c r="AJ187" s="928"/>
      <c r="AK187" s="928"/>
      <c r="AL187" s="928"/>
      <c r="AM187" s="928"/>
      <c r="AN187" s="928"/>
      <c r="AO187" s="928"/>
      <c r="AP187" s="928"/>
      <c r="AQ187" s="928"/>
      <c r="AR187" s="928"/>
      <c r="AS187" s="928"/>
      <c r="AT187" s="928"/>
      <c r="AU187" s="928"/>
      <c r="AV187" s="928"/>
      <c r="AW187" s="928"/>
      <c r="AX187" s="928"/>
      <c r="AY187" s="928"/>
      <c r="AZ187" s="928"/>
      <c r="BA187" s="928"/>
      <c r="BB187" s="928"/>
      <c r="BC187" s="928"/>
      <c r="BD187" s="928"/>
      <c r="BE187" s="928"/>
      <c r="BF187" s="928"/>
      <c r="BG187" s="928"/>
      <c r="BH187" s="928"/>
      <c r="BI187" s="928"/>
      <c r="BJ187" s="928"/>
      <c r="BK187" s="928"/>
      <c r="BL187" s="928"/>
      <c r="BM187" s="928"/>
      <c r="BN187" s="928"/>
      <c r="BO187" s="928"/>
      <c r="BP187" s="928"/>
      <c r="BQ187" s="928"/>
      <c r="BR187" s="928"/>
      <c r="BS187" s="928"/>
      <c r="BT187" s="928"/>
      <c r="BU187" s="928"/>
      <c r="BV187" s="928"/>
      <c r="BW187" s="928"/>
      <c r="BX187" s="928"/>
      <c r="BY187" s="928"/>
      <c r="BZ187" s="928"/>
      <c r="CA187" s="928"/>
      <c r="CB187" s="928"/>
      <c r="CC187" s="928"/>
      <c r="CD187" s="928"/>
      <c r="CE187" s="928"/>
      <c r="CF187" s="928"/>
      <c r="CG187" s="928"/>
      <c r="CH187" s="928"/>
      <c r="CI187" s="928"/>
      <c r="CJ187" s="928"/>
      <c r="CK187" s="928"/>
      <c r="CL187" s="928"/>
      <c r="CM187" s="928"/>
      <c r="CN187" s="928"/>
      <c r="CO187" s="928"/>
      <c r="CP187" s="928"/>
      <c r="CQ187" s="928"/>
      <c r="CR187" s="928"/>
      <c r="CS187" s="928"/>
      <c r="CT187" s="928"/>
      <c r="CU187" s="928"/>
      <c r="CV187" s="928"/>
      <c r="CW187" s="928"/>
      <c r="CX187" s="928"/>
      <c r="CY187" s="928"/>
      <c r="CZ187" s="928"/>
      <c r="DA187" s="928"/>
      <c r="DB187" s="928"/>
      <c r="DC187" s="928"/>
      <c r="DD187" s="928"/>
      <c r="DE187" s="928"/>
      <c r="DF187" s="928"/>
      <c r="DG187" s="928"/>
      <c r="DH187" s="928"/>
    </row>
    <row r="188" spans="1:112">
      <c r="A188" s="891" t="s">
        <v>981</v>
      </c>
      <c r="B188" s="891" t="s">
        <v>1490</v>
      </c>
      <c r="C188" s="891" t="s">
        <v>308</v>
      </c>
      <c r="D188" s="891" t="s">
        <v>981</v>
      </c>
      <c r="E188" s="891" t="s">
        <v>1490</v>
      </c>
      <c r="F188" s="891" t="s">
        <v>308</v>
      </c>
      <c r="G188" s="897">
        <v>80.25</v>
      </c>
      <c r="H188" s="897">
        <v>97.75</v>
      </c>
      <c r="I188" s="897">
        <v>62.52</v>
      </c>
      <c r="J188" s="891"/>
      <c r="K188" s="891"/>
      <c r="L188" s="891"/>
      <c r="M188" s="891"/>
      <c r="N188" s="891"/>
      <c r="O188" s="891"/>
      <c r="P188" s="891"/>
      <c r="Q188" s="891"/>
      <c r="R188" s="891"/>
      <c r="S188" s="891"/>
      <c r="T188" s="891"/>
      <c r="U188" s="928"/>
      <c r="V188" s="928"/>
      <c r="W188" s="928"/>
      <c r="X188" s="928"/>
      <c r="Y188" s="928"/>
      <c r="Z188" s="928"/>
      <c r="AA188" s="928"/>
      <c r="AB188" s="928"/>
      <c r="AC188" s="928"/>
      <c r="AD188" s="928"/>
      <c r="AE188" s="928"/>
      <c r="AF188" s="928"/>
      <c r="AG188" s="928"/>
      <c r="AH188" s="928"/>
      <c r="AI188" s="928"/>
      <c r="AJ188" s="928"/>
      <c r="AK188" s="928"/>
      <c r="AL188" s="928"/>
      <c r="AM188" s="928"/>
      <c r="AN188" s="928"/>
      <c r="AO188" s="928"/>
      <c r="AP188" s="928"/>
      <c r="AQ188" s="928"/>
      <c r="AR188" s="928"/>
      <c r="AS188" s="928"/>
      <c r="AT188" s="928"/>
      <c r="AU188" s="928"/>
      <c r="AV188" s="928"/>
      <c r="AW188" s="928"/>
      <c r="AX188" s="928"/>
      <c r="AY188" s="928"/>
      <c r="AZ188" s="928"/>
      <c r="BA188" s="928"/>
      <c r="BB188" s="928"/>
      <c r="BC188" s="928"/>
      <c r="BD188" s="928"/>
      <c r="BE188" s="928"/>
      <c r="BF188" s="928"/>
      <c r="BG188" s="928"/>
      <c r="BH188" s="928"/>
      <c r="BI188" s="928"/>
      <c r="BJ188" s="928"/>
      <c r="BK188" s="928"/>
      <c r="BL188" s="928"/>
      <c r="BM188" s="928"/>
      <c r="BN188" s="928"/>
      <c r="BO188" s="928"/>
      <c r="BP188" s="928"/>
      <c r="BQ188" s="928"/>
      <c r="BR188" s="928"/>
      <c r="BS188" s="928"/>
      <c r="BT188" s="928"/>
      <c r="BU188" s="928"/>
      <c r="BV188" s="928"/>
      <c r="BW188" s="928"/>
      <c r="BX188" s="928"/>
      <c r="BY188" s="928"/>
      <c r="BZ188" s="928"/>
      <c r="CA188" s="928"/>
      <c r="CB188" s="928"/>
      <c r="CC188" s="928"/>
      <c r="CD188" s="928"/>
      <c r="CE188" s="928"/>
      <c r="CF188" s="928"/>
      <c r="CG188" s="928"/>
      <c r="CH188" s="928"/>
      <c r="CI188" s="928"/>
      <c r="CJ188" s="928"/>
      <c r="CK188" s="928"/>
      <c r="CL188" s="928"/>
      <c r="CM188" s="928"/>
      <c r="CN188" s="928"/>
      <c r="CO188" s="928"/>
      <c r="CP188" s="928"/>
      <c r="CQ188" s="928"/>
      <c r="CR188" s="928"/>
      <c r="CS188" s="928"/>
      <c r="CT188" s="928"/>
      <c r="CU188" s="928"/>
      <c r="CV188" s="928"/>
      <c r="CW188" s="928"/>
      <c r="CX188" s="928"/>
      <c r="CY188" s="928"/>
      <c r="CZ188" s="928"/>
      <c r="DA188" s="928"/>
      <c r="DB188" s="928"/>
      <c r="DC188" s="928"/>
      <c r="DD188" s="928"/>
      <c r="DE188" s="928"/>
      <c r="DF188" s="928"/>
      <c r="DG188" s="928"/>
      <c r="DH188" s="928"/>
    </row>
    <row r="189" spans="1:112">
      <c r="A189" s="891" t="s">
        <v>982</v>
      </c>
      <c r="B189" s="891" t="s">
        <v>1457</v>
      </c>
      <c r="C189" s="891" t="s">
        <v>236</v>
      </c>
      <c r="D189" s="891" t="s">
        <v>982</v>
      </c>
      <c r="E189" s="891" t="s">
        <v>1457</v>
      </c>
      <c r="F189" s="891" t="s">
        <v>236</v>
      </c>
      <c r="G189" s="897">
        <v>104.53</v>
      </c>
      <c r="H189" s="897">
        <v>86.72</v>
      </c>
      <c r="I189" s="897">
        <v>72.489999999999995</v>
      </c>
      <c r="J189" s="891"/>
      <c r="K189" s="891"/>
      <c r="L189" s="891"/>
      <c r="M189" s="891"/>
      <c r="N189" s="891"/>
      <c r="O189" s="891"/>
      <c r="P189" s="891"/>
      <c r="Q189" s="891"/>
      <c r="R189" s="891"/>
      <c r="S189" s="891"/>
      <c r="T189" s="891"/>
      <c r="U189" s="928"/>
      <c r="V189" s="928"/>
      <c r="W189" s="928"/>
      <c r="X189" s="928"/>
      <c r="Y189" s="928"/>
      <c r="Z189" s="928"/>
      <c r="AA189" s="928"/>
      <c r="AB189" s="928"/>
      <c r="AC189" s="928"/>
      <c r="AD189" s="928"/>
      <c r="AE189" s="928"/>
      <c r="AF189" s="928"/>
      <c r="AG189" s="928"/>
      <c r="AH189" s="928"/>
      <c r="AI189" s="928"/>
      <c r="AJ189" s="928"/>
      <c r="AK189" s="928"/>
      <c r="AL189" s="928"/>
      <c r="AM189" s="928"/>
      <c r="AN189" s="928"/>
      <c r="AO189" s="928"/>
      <c r="AP189" s="928"/>
      <c r="AQ189" s="928"/>
      <c r="AR189" s="928"/>
      <c r="AS189" s="928"/>
      <c r="AT189" s="928"/>
      <c r="AU189" s="928"/>
      <c r="AV189" s="928"/>
      <c r="AW189" s="928"/>
      <c r="AX189" s="928"/>
      <c r="AY189" s="928"/>
      <c r="AZ189" s="928"/>
      <c r="BA189" s="928"/>
      <c r="BB189" s="928"/>
      <c r="BC189" s="928"/>
      <c r="BD189" s="928"/>
      <c r="BE189" s="928"/>
      <c r="BF189" s="928"/>
      <c r="BG189" s="928"/>
      <c r="BH189" s="928"/>
      <c r="BI189" s="928"/>
      <c r="BJ189" s="928"/>
      <c r="BK189" s="928"/>
      <c r="BL189" s="928"/>
      <c r="BM189" s="928"/>
      <c r="BN189" s="928"/>
      <c r="BO189" s="928"/>
      <c r="BP189" s="928"/>
      <c r="BQ189" s="928"/>
      <c r="BR189" s="928"/>
      <c r="BS189" s="928"/>
      <c r="BT189" s="928"/>
      <c r="BU189" s="928"/>
      <c r="BV189" s="928"/>
      <c r="BW189" s="928"/>
      <c r="BX189" s="928"/>
      <c r="BY189" s="928"/>
      <c r="BZ189" s="928"/>
      <c r="CA189" s="928"/>
      <c r="CB189" s="928"/>
      <c r="CC189" s="928"/>
      <c r="CD189" s="928"/>
      <c r="CE189" s="928"/>
      <c r="CF189" s="928"/>
      <c r="CG189" s="928"/>
      <c r="CH189" s="928"/>
      <c r="CI189" s="928"/>
      <c r="CJ189" s="928"/>
      <c r="CK189" s="928"/>
      <c r="CL189" s="928"/>
      <c r="CM189" s="928"/>
      <c r="CN189" s="928"/>
      <c r="CO189" s="928"/>
      <c r="CP189" s="928"/>
      <c r="CQ189" s="928"/>
      <c r="CR189" s="928"/>
      <c r="CS189" s="928"/>
      <c r="CT189" s="928"/>
      <c r="CU189" s="928"/>
      <c r="CV189" s="928"/>
      <c r="CW189" s="928"/>
      <c r="CX189" s="928"/>
      <c r="CY189" s="928"/>
      <c r="CZ189" s="928"/>
      <c r="DA189" s="928"/>
      <c r="DB189" s="928"/>
      <c r="DC189" s="928"/>
      <c r="DD189" s="928"/>
      <c r="DE189" s="928"/>
      <c r="DF189" s="928"/>
      <c r="DG189" s="928"/>
      <c r="DH189" s="928"/>
    </row>
    <row r="190" spans="1:112">
      <c r="A190" s="891" t="s">
        <v>983</v>
      </c>
      <c r="B190" s="891" t="s">
        <v>1503</v>
      </c>
      <c r="C190" s="891" t="s">
        <v>60</v>
      </c>
      <c r="D190" s="891" t="s">
        <v>983</v>
      </c>
      <c r="E190" s="891" t="s">
        <v>1503</v>
      </c>
      <c r="F190" s="891" t="s">
        <v>60</v>
      </c>
      <c r="G190" s="897">
        <v>61.99</v>
      </c>
      <c r="H190" s="897">
        <v>60.07</v>
      </c>
      <c r="I190" s="897">
        <v>52.53</v>
      </c>
      <c r="J190" s="891"/>
      <c r="K190" s="891"/>
      <c r="L190" s="891"/>
      <c r="M190" s="891"/>
      <c r="N190" s="891"/>
      <c r="O190" s="891"/>
      <c r="P190" s="891"/>
      <c r="Q190" s="891"/>
      <c r="R190" s="891"/>
      <c r="S190" s="891"/>
      <c r="T190" s="891"/>
      <c r="U190" s="928"/>
      <c r="V190" s="928"/>
      <c r="W190" s="928"/>
      <c r="X190" s="928"/>
      <c r="Y190" s="928"/>
      <c r="Z190" s="928"/>
      <c r="AA190" s="928"/>
      <c r="AB190" s="928"/>
      <c r="AC190" s="928"/>
      <c r="AD190" s="928"/>
      <c r="AE190" s="928"/>
      <c r="AF190" s="928"/>
      <c r="AG190" s="928"/>
      <c r="AH190" s="928"/>
      <c r="AI190" s="928"/>
      <c r="AJ190" s="928"/>
      <c r="AK190" s="928"/>
      <c r="AL190" s="928"/>
      <c r="AM190" s="928"/>
      <c r="AN190" s="928"/>
      <c r="AO190" s="928"/>
      <c r="AP190" s="928"/>
      <c r="AQ190" s="928"/>
      <c r="AR190" s="928"/>
      <c r="AS190" s="928"/>
      <c r="AT190" s="928"/>
      <c r="AU190" s="928"/>
      <c r="AV190" s="928"/>
      <c r="AW190" s="928"/>
      <c r="AX190" s="928"/>
      <c r="AY190" s="928"/>
      <c r="AZ190" s="928"/>
      <c r="BA190" s="928"/>
      <c r="BB190" s="928"/>
      <c r="BC190" s="928"/>
      <c r="BD190" s="928"/>
      <c r="BE190" s="928"/>
      <c r="BF190" s="928"/>
      <c r="BG190" s="928"/>
      <c r="BH190" s="928"/>
      <c r="BI190" s="928"/>
      <c r="BJ190" s="928"/>
      <c r="BK190" s="928"/>
      <c r="BL190" s="928"/>
      <c r="BM190" s="928"/>
      <c r="BN190" s="928"/>
      <c r="BO190" s="928"/>
      <c r="BP190" s="928"/>
      <c r="BQ190" s="928"/>
      <c r="BR190" s="928"/>
      <c r="BS190" s="928"/>
      <c r="BT190" s="928"/>
      <c r="BU190" s="928"/>
      <c r="BV190" s="928"/>
      <c r="BW190" s="928"/>
      <c r="BX190" s="928"/>
      <c r="BY190" s="928"/>
      <c r="BZ190" s="928"/>
      <c r="CA190" s="928"/>
      <c r="CB190" s="928"/>
      <c r="CC190" s="928"/>
      <c r="CD190" s="928"/>
      <c r="CE190" s="928"/>
      <c r="CF190" s="928"/>
      <c r="CG190" s="928"/>
      <c r="CH190" s="928"/>
      <c r="CI190" s="928"/>
      <c r="CJ190" s="928"/>
      <c r="CK190" s="928"/>
      <c r="CL190" s="928"/>
      <c r="CM190" s="928"/>
      <c r="CN190" s="928"/>
      <c r="CO190" s="928"/>
      <c r="CP190" s="928"/>
      <c r="CQ190" s="928"/>
      <c r="CR190" s="928"/>
      <c r="CS190" s="928"/>
      <c r="CT190" s="928"/>
      <c r="CU190" s="928"/>
      <c r="CV190" s="928"/>
      <c r="CW190" s="928"/>
      <c r="CX190" s="928"/>
      <c r="CY190" s="928"/>
      <c r="CZ190" s="928"/>
      <c r="DA190" s="928"/>
      <c r="DB190" s="928"/>
      <c r="DC190" s="928"/>
      <c r="DD190" s="928"/>
      <c r="DE190" s="928"/>
      <c r="DF190" s="928"/>
      <c r="DG190" s="928"/>
      <c r="DH190" s="928"/>
    </row>
    <row r="191" spans="1:112">
      <c r="A191" s="891" t="s">
        <v>984</v>
      </c>
      <c r="B191" s="891" t="s">
        <v>1525</v>
      </c>
      <c r="C191" s="891" t="s">
        <v>262</v>
      </c>
      <c r="D191" s="891" t="s">
        <v>984</v>
      </c>
      <c r="E191" s="891" t="s">
        <v>1525</v>
      </c>
      <c r="F191" s="891" t="s">
        <v>262</v>
      </c>
      <c r="G191" s="897">
        <v>90.95</v>
      </c>
      <c r="H191" s="897">
        <v>93.85</v>
      </c>
      <c r="I191" s="897">
        <v>112.47</v>
      </c>
      <c r="J191" s="891"/>
      <c r="K191" s="891"/>
      <c r="L191" s="891"/>
      <c r="M191" s="891"/>
      <c r="N191" s="891"/>
      <c r="O191" s="891"/>
      <c r="P191" s="891"/>
      <c r="Q191" s="891"/>
      <c r="R191" s="891"/>
      <c r="S191" s="891"/>
      <c r="T191" s="891"/>
      <c r="U191" s="928"/>
      <c r="V191" s="928"/>
      <c r="W191" s="928"/>
      <c r="X191" s="928"/>
      <c r="Y191" s="928"/>
      <c r="Z191" s="928"/>
      <c r="AA191" s="928"/>
      <c r="AB191" s="928"/>
      <c r="AC191" s="928"/>
      <c r="AD191" s="928"/>
      <c r="AE191" s="928"/>
      <c r="AF191" s="928"/>
      <c r="AG191" s="928"/>
      <c r="AH191" s="928"/>
      <c r="AI191" s="928"/>
      <c r="AJ191" s="928"/>
      <c r="AK191" s="928"/>
      <c r="AL191" s="928"/>
      <c r="AM191" s="928"/>
      <c r="AN191" s="928"/>
      <c r="AO191" s="928"/>
      <c r="AP191" s="928"/>
      <c r="AQ191" s="928"/>
      <c r="AR191" s="928"/>
      <c r="AS191" s="928"/>
      <c r="AT191" s="928"/>
      <c r="AU191" s="928"/>
      <c r="AV191" s="928"/>
      <c r="AW191" s="928"/>
      <c r="AX191" s="928"/>
      <c r="AY191" s="928"/>
      <c r="AZ191" s="928"/>
      <c r="BA191" s="928"/>
      <c r="BB191" s="928"/>
      <c r="BC191" s="928"/>
      <c r="BD191" s="928"/>
      <c r="BE191" s="928"/>
      <c r="BF191" s="928"/>
      <c r="BG191" s="928"/>
      <c r="BH191" s="928"/>
      <c r="BI191" s="928"/>
      <c r="BJ191" s="928"/>
      <c r="BK191" s="928"/>
      <c r="BL191" s="928"/>
      <c r="BM191" s="928"/>
      <c r="BN191" s="928"/>
      <c r="BO191" s="928"/>
      <c r="BP191" s="928"/>
      <c r="BQ191" s="928"/>
      <c r="BR191" s="928"/>
      <c r="BS191" s="928"/>
      <c r="BT191" s="928"/>
      <c r="BU191" s="928"/>
      <c r="BV191" s="928"/>
      <c r="BW191" s="928"/>
      <c r="BX191" s="928"/>
      <c r="BY191" s="928"/>
      <c r="BZ191" s="928"/>
      <c r="CA191" s="928"/>
      <c r="CB191" s="928"/>
      <c r="CC191" s="928"/>
      <c r="CD191" s="928"/>
      <c r="CE191" s="928"/>
      <c r="CF191" s="928"/>
      <c r="CG191" s="928"/>
      <c r="CH191" s="928"/>
      <c r="CI191" s="928"/>
      <c r="CJ191" s="928"/>
      <c r="CK191" s="928"/>
      <c r="CL191" s="928"/>
      <c r="CM191" s="928"/>
      <c r="CN191" s="928"/>
      <c r="CO191" s="928"/>
      <c r="CP191" s="928"/>
      <c r="CQ191" s="928"/>
      <c r="CR191" s="928"/>
      <c r="CS191" s="928"/>
      <c r="CT191" s="928"/>
      <c r="CU191" s="928"/>
      <c r="CV191" s="928"/>
      <c r="CW191" s="928"/>
      <c r="CX191" s="928"/>
      <c r="CY191" s="928"/>
      <c r="CZ191" s="928"/>
      <c r="DA191" s="928"/>
      <c r="DB191" s="928"/>
      <c r="DC191" s="928"/>
      <c r="DD191" s="928"/>
      <c r="DE191" s="928"/>
      <c r="DF191" s="928"/>
      <c r="DG191" s="928"/>
      <c r="DH191" s="928"/>
    </row>
    <row r="192" spans="1:112">
      <c r="A192" s="891" t="s">
        <v>985</v>
      </c>
      <c r="B192" s="891" t="s">
        <v>1490</v>
      </c>
      <c r="C192" s="891" t="s">
        <v>354</v>
      </c>
      <c r="D192" s="891" t="s">
        <v>985</v>
      </c>
      <c r="E192" s="891" t="s">
        <v>1490</v>
      </c>
      <c r="F192" s="891" t="s">
        <v>354</v>
      </c>
      <c r="G192" s="897">
        <v>67.77</v>
      </c>
      <c r="H192" s="897">
        <v>63.94</v>
      </c>
      <c r="I192" s="897">
        <v>62.45</v>
      </c>
      <c r="J192" s="891"/>
      <c r="K192" s="891"/>
      <c r="L192" s="891"/>
      <c r="M192" s="891"/>
      <c r="N192" s="891"/>
      <c r="O192" s="891"/>
      <c r="P192" s="891"/>
      <c r="Q192" s="891"/>
      <c r="R192" s="891"/>
      <c r="S192" s="891"/>
      <c r="T192" s="891"/>
      <c r="U192" s="928"/>
      <c r="V192" s="928"/>
      <c r="W192" s="928"/>
      <c r="X192" s="928"/>
      <c r="Y192" s="928"/>
      <c r="Z192" s="928"/>
      <c r="AA192" s="928"/>
      <c r="AB192" s="928"/>
      <c r="AC192" s="928"/>
      <c r="AD192" s="928"/>
      <c r="AE192" s="928"/>
      <c r="AF192" s="928"/>
      <c r="AG192" s="928"/>
      <c r="AH192" s="928"/>
      <c r="AI192" s="928"/>
      <c r="AJ192" s="928"/>
      <c r="AK192" s="928"/>
      <c r="AL192" s="928"/>
      <c r="AM192" s="928"/>
      <c r="AN192" s="928"/>
      <c r="AO192" s="928"/>
      <c r="AP192" s="928"/>
      <c r="AQ192" s="928"/>
      <c r="AR192" s="928"/>
      <c r="AS192" s="928"/>
      <c r="AT192" s="928"/>
      <c r="AU192" s="928"/>
      <c r="AV192" s="928"/>
      <c r="AW192" s="928"/>
      <c r="AX192" s="928"/>
      <c r="AY192" s="928"/>
      <c r="AZ192" s="928"/>
      <c r="BA192" s="928"/>
      <c r="BB192" s="928"/>
      <c r="BC192" s="928"/>
      <c r="BD192" s="928"/>
      <c r="BE192" s="928"/>
      <c r="BF192" s="928"/>
      <c r="BG192" s="928"/>
      <c r="BH192" s="928"/>
      <c r="BI192" s="928"/>
      <c r="BJ192" s="928"/>
      <c r="BK192" s="928"/>
      <c r="BL192" s="928"/>
      <c r="BM192" s="928"/>
      <c r="BN192" s="928"/>
      <c r="BO192" s="928"/>
      <c r="BP192" s="928"/>
      <c r="BQ192" s="928"/>
      <c r="BR192" s="928"/>
      <c r="BS192" s="928"/>
      <c r="BT192" s="928"/>
      <c r="BU192" s="928"/>
      <c r="BV192" s="928"/>
      <c r="BW192" s="928"/>
      <c r="BX192" s="928"/>
      <c r="BY192" s="928"/>
      <c r="BZ192" s="928"/>
      <c r="CA192" s="928"/>
      <c r="CB192" s="928"/>
      <c r="CC192" s="928"/>
      <c r="CD192" s="928"/>
      <c r="CE192" s="928"/>
      <c r="CF192" s="928"/>
      <c r="CG192" s="928"/>
      <c r="CH192" s="928"/>
      <c r="CI192" s="928"/>
      <c r="CJ192" s="928"/>
      <c r="CK192" s="928"/>
      <c r="CL192" s="928"/>
      <c r="CM192" s="928"/>
      <c r="CN192" s="928"/>
      <c r="CO192" s="928"/>
      <c r="CP192" s="928"/>
      <c r="CQ192" s="928"/>
      <c r="CR192" s="928"/>
      <c r="CS192" s="928"/>
      <c r="CT192" s="928"/>
      <c r="CU192" s="928"/>
      <c r="CV192" s="928"/>
      <c r="CW192" s="928"/>
      <c r="CX192" s="928"/>
      <c r="CY192" s="928"/>
      <c r="CZ192" s="928"/>
      <c r="DA192" s="928"/>
      <c r="DB192" s="928"/>
      <c r="DC192" s="928"/>
      <c r="DD192" s="928"/>
      <c r="DE192" s="928"/>
      <c r="DF192" s="928"/>
      <c r="DG192" s="928"/>
      <c r="DH192" s="928"/>
    </row>
    <row r="193" spans="1:112">
      <c r="A193" s="891" t="s">
        <v>986</v>
      </c>
      <c r="B193" s="891" t="s">
        <v>1526</v>
      </c>
      <c r="C193" s="891" t="s">
        <v>209</v>
      </c>
      <c r="D193" s="891" t="s">
        <v>986</v>
      </c>
      <c r="E193" s="891" t="s">
        <v>1526</v>
      </c>
      <c r="F193" s="891" t="s">
        <v>209</v>
      </c>
      <c r="G193" s="897">
        <v>44.16</v>
      </c>
      <c r="H193" s="897">
        <v>40.119999999999997</v>
      </c>
      <c r="I193" s="897">
        <v>45.78</v>
      </c>
      <c r="J193" s="891"/>
      <c r="K193" s="891"/>
      <c r="L193" s="891"/>
      <c r="M193" s="891"/>
      <c r="N193" s="891"/>
      <c r="O193" s="891"/>
      <c r="P193" s="891"/>
      <c r="Q193" s="891"/>
      <c r="R193" s="891"/>
      <c r="S193" s="891"/>
      <c r="T193" s="891"/>
      <c r="U193" s="928"/>
      <c r="V193" s="928"/>
      <c r="W193" s="928"/>
      <c r="X193" s="928"/>
      <c r="Y193" s="928"/>
      <c r="Z193" s="928"/>
      <c r="AA193" s="928"/>
      <c r="AB193" s="928"/>
      <c r="AC193" s="928"/>
      <c r="AD193" s="928"/>
      <c r="AE193" s="928"/>
      <c r="AF193" s="928"/>
      <c r="AG193" s="928"/>
      <c r="AH193" s="928"/>
      <c r="AI193" s="928"/>
      <c r="AJ193" s="928"/>
      <c r="AK193" s="928"/>
      <c r="AL193" s="928"/>
      <c r="AM193" s="928"/>
      <c r="AN193" s="928"/>
      <c r="AO193" s="928"/>
      <c r="AP193" s="928"/>
      <c r="AQ193" s="928"/>
      <c r="AR193" s="928"/>
      <c r="AS193" s="928"/>
      <c r="AT193" s="928"/>
      <c r="AU193" s="928"/>
      <c r="AV193" s="928"/>
      <c r="AW193" s="928"/>
      <c r="AX193" s="928"/>
      <c r="AY193" s="928"/>
      <c r="AZ193" s="928"/>
      <c r="BA193" s="928"/>
      <c r="BB193" s="928"/>
      <c r="BC193" s="928"/>
      <c r="BD193" s="928"/>
      <c r="BE193" s="928"/>
      <c r="BF193" s="928"/>
      <c r="BG193" s="928"/>
      <c r="BH193" s="928"/>
      <c r="BI193" s="928"/>
      <c r="BJ193" s="928"/>
      <c r="BK193" s="928"/>
      <c r="BL193" s="928"/>
      <c r="BM193" s="928"/>
      <c r="BN193" s="928"/>
      <c r="BO193" s="928"/>
      <c r="BP193" s="928"/>
      <c r="BQ193" s="928"/>
      <c r="BR193" s="928"/>
      <c r="BS193" s="928"/>
      <c r="BT193" s="928"/>
      <c r="BU193" s="928"/>
      <c r="BV193" s="928"/>
      <c r="BW193" s="928"/>
      <c r="BX193" s="928"/>
      <c r="BY193" s="928"/>
      <c r="BZ193" s="928"/>
      <c r="CA193" s="928"/>
      <c r="CB193" s="928"/>
      <c r="CC193" s="928"/>
      <c r="CD193" s="928"/>
      <c r="CE193" s="928"/>
      <c r="CF193" s="928"/>
      <c r="CG193" s="928"/>
      <c r="CH193" s="928"/>
      <c r="CI193" s="928"/>
      <c r="CJ193" s="928"/>
      <c r="CK193" s="928"/>
      <c r="CL193" s="928"/>
      <c r="CM193" s="928"/>
      <c r="CN193" s="928"/>
      <c r="CO193" s="928"/>
      <c r="CP193" s="928"/>
      <c r="CQ193" s="928"/>
      <c r="CR193" s="928"/>
      <c r="CS193" s="928"/>
      <c r="CT193" s="928"/>
      <c r="CU193" s="928"/>
      <c r="CV193" s="928"/>
      <c r="CW193" s="928"/>
      <c r="CX193" s="928"/>
      <c r="CY193" s="928"/>
      <c r="CZ193" s="928"/>
      <c r="DA193" s="928"/>
      <c r="DB193" s="928"/>
      <c r="DC193" s="928"/>
      <c r="DD193" s="928"/>
      <c r="DE193" s="928"/>
      <c r="DF193" s="928"/>
      <c r="DG193" s="928"/>
      <c r="DH193" s="928"/>
    </row>
    <row r="194" spans="1:112">
      <c r="A194" s="891" t="s">
        <v>987</v>
      </c>
      <c r="B194" s="891" t="s">
        <v>1505</v>
      </c>
      <c r="C194" s="891" t="s">
        <v>94</v>
      </c>
      <c r="D194" s="891" t="s">
        <v>987</v>
      </c>
      <c r="E194" s="891" t="s">
        <v>1505</v>
      </c>
      <c r="F194" s="891" t="s">
        <v>94</v>
      </c>
      <c r="G194" s="897">
        <v>93.86</v>
      </c>
      <c r="H194" s="897">
        <v>81.92</v>
      </c>
      <c r="I194" s="897">
        <v>77.16</v>
      </c>
      <c r="J194" s="891"/>
      <c r="K194" s="891"/>
      <c r="L194" s="891"/>
      <c r="M194" s="891"/>
      <c r="N194" s="891"/>
      <c r="O194" s="891"/>
      <c r="P194" s="891"/>
      <c r="Q194" s="891"/>
      <c r="R194" s="891"/>
      <c r="S194" s="891"/>
      <c r="T194" s="891"/>
      <c r="U194" s="928"/>
      <c r="V194" s="928"/>
      <c r="W194" s="928"/>
      <c r="X194" s="928"/>
      <c r="Y194" s="928"/>
      <c r="Z194" s="928"/>
      <c r="AA194" s="928"/>
      <c r="AB194" s="928"/>
      <c r="AC194" s="928"/>
      <c r="AD194" s="928"/>
      <c r="AE194" s="928"/>
      <c r="AF194" s="928"/>
      <c r="AG194" s="928"/>
      <c r="AH194" s="928"/>
      <c r="AI194" s="928"/>
      <c r="AJ194" s="928"/>
      <c r="AK194" s="928"/>
      <c r="AL194" s="928"/>
      <c r="AM194" s="928"/>
      <c r="AN194" s="928"/>
      <c r="AO194" s="928"/>
      <c r="AP194" s="928"/>
      <c r="AQ194" s="928"/>
      <c r="AR194" s="928"/>
      <c r="AS194" s="928"/>
      <c r="AT194" s="928"/>
      <c r="AU194" s="928"/>
      <c r="AV194" s="928"/>
      <c r="AW194" s="928"/>
      <c r="AX194" s="928"/>
      <c r="AY194" s="928"/>
      <c r="AZ194" s="928"/>
      <c r="BA194" s="928"/>
      <c r="BB194" s="928"/>
      <c r="BC194" s="928"/>
      <c r="BD194" s="928"/>
      <c r="BE194" s="928"/>
      <c r="BF194" s="928"/>
      <c r="BG194" s="928"/>
      <c r="BH194" s="928"/>
      <c r="BI194" s="928"/>
      <c r="BJ194" s="928"/>
      <c r="BK194" s="928"/>
      <c r="BL194" s="928"/>
      <c r="BM194" s="928"/>
      <c r="BN194" s="928"/>
      <c r="BO194" s="928"/>
      <c r="BP194" s="928"/>
      <c r="BQ194" s="928"/>
      <c r="BR194" s="928"/>
      <c r="BS194" s="928"/>
      <c r="BT194" s="928"/>
      <c r="BU194" s="928"/>
      <c r="BV194" s="928"/>
      <c r="BW194" s="928"/>
      <c r="BX194" s="928"/>
      <c r="BY194" s="928"/>
      <c r="BZ194" s="928"/>
      <c r="CA194" s="928"/>
      <c r="CB194" s="928"/>
      <c r="CC194" s="928"/>
      <c r="CD194" s="928"/>
      <c r="CE194" s="928"/>
      <c r="CF194" s="928"/>
      <c r="CG194" s="928"/>
      <c r="CH194" s="928"/>
      <c r="CI194" s="928"/>
      <c r="CJ194" s="928"/>
      <c r="CK194" s="928"/>
      <c r="CL194" s="928"/>
      <c r="CM194" s="928"/>
      <c r="CN194" s="928"/>
      <c r="CO194" s="928"/>
      <c r="CP194" s="928"/>
      <c r="CQ194" s="928"/>
      <c r="CR194" s="928"/>
      <c r="CS194" s="928"/>
      <c r="CT194" s="928"/>
      <c r="CU194" s="928"/>
      <c r="CV194" s="928"/>
      <c r="CW194" s="928"/>
      <c r="CX194" s="928"/>
      <c r="CY194" s="928"/>
      <c r="CZ194" s="928"/>
      <c r="DA194" s="928"/>
      <c r="DB194" s="928"/>
      <c r="DC194" s="928"/>
      <c r="DD194" s="928"/>
      <c r="DE194" s="928"/>
      <c r="DF194" s="928"/>
      <c r="DG194" s="928"/>
      <c r="DH194" s="928"/>
    </row>
    <row r="195" spans="1:112">
      <c r="A195" s="891" t="s">
        <v>988</v>
      </c>
      <c r="B195" s="891" t="s">
        <v>1482</v>
      </c>
      <c r="C195" s="891" t="s">
        <v>314</v>
      </c>
      <c r="D195" s="891" t="s">
        <v>988</v>
      </c>
      <c r="E195" s="891" t="s">
        <v>1482</v>
      </c>
      <c r="F195" s="891" t="s">
        <v>314</v>
      </c>
      <c r="G195" s="897">
        <v>94.78</v>
      </c>
      <c r="H195" s="897">
        <v>101.68</v>
      </c>
      <c r="I195" s="897">
        <v>81.099999999999994</v>
      </c>
      <c r="J195" s="891"/>
      <c r="K195" s="891"/>
      <c r="L195" s="891"/>
      <c r="M195" s="891"/>
      <c r="N195" s="891"/>
      <c r="O195" s="891"/>
      <c r="P195" s="891"/>
      <c r="Q195" s="891"/>
      <c r="R195" s="891"/>
      <c r="S195" s="891"/>
      <c r="T195" s="891"/>
      <c r="U195" s="928"/>
      <c r="V195" s="928"/>
      <c r="W195" s="928"/>
      <c r="X195" s="928"/>
      <c r="Y195" s="928"/>
      <c r="Z195" s="928"/>
      <c r="AA195" s="928"/>
      <c r="AB195" s="928"/>
      <c r="AC195" s="928"/>
      <c r="AD195" s="928"/>
      <c r="AE195" s="928"/>
      <c r="AF195" s="928"/>
      <c r="AG195" s="928"/>
      <c r="AH195" s="928"/>
      <c r="AI195" s="928"/>
      <c r="AJ195" s="928"/>
      <c r="AK195" s="928"/>
      <c r="AL195" s="928"/>
      <c r="AM195" s="928"/>
      <c r="AN195" s="928"/>
      <c r="AO195" s="928"/>
      <c r="AP195" s="928"/>
      <c r="AQ195" s="928"/>
      <c r="AR195" s="928"/>
      <c r="AS195" s="928"/>
      <c r="AT195" s="928"/>
      <c r="AU195" s="928"/>
      <c r="AV195" s="928"/>
      <c r="AW195" s="928"/>
      <c r="AX195" s="928"/>
      <c r="AY195" s="928"/>
      <c r="AZ195" s="928"/>
      <c r="BA195" s="928"/>
      <c r="BB195" s="928"/>
      <c r="BC195" s="928"/>
      <c r="BD195" s="928"/>
      <c r="BE195" s="928"/>
      <c r="BF195" s="928"/>
      <c r="BG195" s="928"/>
      <c r="BH195" s="928"/>
      <c r="BI195" s="928"/>
      <c r="BJ195" s="928"/>
      <c r="BK195" s="928"/>
      <c r="BL195" s="928"/>
      <c r="BM195" s="928"/>
      <c r="BN195" s="928"/>
      <c r="BO195" s="928"/>
      <c r="BP195" s="928"/>
      <c r="BQ195" s="928"/>
      <c r="BR195" s="928"/>
      <c r="BS195" s="928"/>
      <c r="BT195" s="928"/>
      <c r="BU195" s="928"/>
      <c r="BV195" s="928"/>
      <c r="BW195" s="928"/>
      <c r="BX195" s="928"/>
      <c r="BY195" s="928"/>
      <c r="BZ195" s="928"/>
      <c r="CA195" s="928"/>
      <c r="CB195" s="928"/>
      <c r="CC195" s="928"/>
      <c r="CD195" s="928"/>
      <c r="CE195" s="928"/>
      <c r="CF195" s="928"/>
      <c r="CG195" s="928"/>
      <c r="CH195" s="928"/>
      <c r="CI195" s="928"/>
      <c r="CJ195" s="928"/>
      <c r="CK195" s="928"/>
      <c r="CL195" s="928"/>
      <c r="CM195" s="928"/>
      <c r="CN195" s="928"/>
      <c r="CO195" s="928"/>
      <c r="CP195" s="928"/>
      <c r="CQ195" s="928"/>
      <c r="CR195" s="928"/>
      <c r="CS195" s="928"/>
      <c r="CT195" s="928"/>
      <c r="CU195" s="928"/>
      <c r="CV195" s="928"/>
      <c r="CW195" s="928"/>
      <c r="CX195" s="928"/>
      <c r="CY195" s="928"/>
      <c r="CZ195" s="928"/>
      <c r="DA195" s="928"/>
      <c r="DB195" s="928"/>
      <c r="DC195" s="928"/>
      <c r="DD195" s="928"/>
      <c r="DE195" s="928"/>
      <c r="DF195" s="928"/>
      <c r="DG195" s="928"/>
      <c r="DH195" s="928"/>
    </row>
    <row r="196" spans="1:112">
      <c r="A196" s="891" t="s">
        <v>989</v>
      </c>
      <c r="B196" s="891" t="s">
        <v>1452</v>
      </c>
      <c r="C196" s="891" t="s">
        <v>17</v>
      </c>
      <c r="D196" s="891" t="s">
        <v>989</v>
      </c>
      <c r="E196" s="891" t="s">
        <v>1452</v>
      </c>
      <c r="F196" s="891" t="s">
        <v>17</v>
      </c>
      <c r="G196" s="897">
        <v>66.930000000000007</v>
      </c>
      <c r="H196" s="897">
        <v>74.959999999999994</v>
      </c>
      <c r="I196" s="897">
        <v>133.84</v>
      </c>
      <c r="J196" s="891"/>
      <c r="K196" s="891"/>
      <c r="L196" s="891"/>
      <c r="M196" s="891"/>
      <c r="N196" s="891"/>
      <c r="O196" s="891"/>
      <c r="P196" s="891"/>
      <c r="Q196" s="891"/>
      <c r="R196" s="891"/>
      <c r="S196" s="891"/>
      <c r="T196" s="891"/>
      <c r="U196" s="928"/>
      <c r="V196" s="928"/>
      <c r="W196" s="928"/>
      <c r="X196" s="928"/>
      <c r="Y196" s="928"/>
      <c r="Z196" s="928"/>
      <c r="AA196" s="928"/>
      <c r="AB196" s="928"/>
      <c r="AC196" s="928"/>
      <c r="AD196" s="928"/>
      <c r="AE196" s="928"/>
      <c r="AF196" s="928"/>
      <c r="AG196" s="928"/>
      <c r="AH196" s="928"/>
      <c r="AI196" s="928"/>
      <c r="AJ196" s="928"/>
      <c r="AK196" s="928"/>
      <c r="AL196" s="928"/>
      <c r="AM196" s="928"/>
      <c r="AN196" s="928"/>
      <c r="AO196" s="928"/>
      <c r="AP196" s="928"/>
      <c r="AQ196" s="928"/>
      <c r="AR196" s="928"/>
      <c r="AS196" s="928"/>
      <c r="AT196" s="928"/>
      <c r="AU196" s="928"/>
      <c r="AV196" s="928"/>
      <c r="AW196" s="928"/>
      <c r="AX196" s="928"/>
      <c r="AY196" s="928"/>
      <c r="AZ196" s="928"/>
      <c r="BA196" s="928"/>
      <c r="BB196" s="928"/>
      <c r="BC196" s="928"/>
      <c r="BD196" s="928"/>
      <c r="BE196" s="928"/>
      <c r="BF196" s="928"/>
      <c r="BG196" s="928"/>
      <c r="BH196" s="928"/>
      <c r="BI196" s="928"/>
      <c r="BJ196" s="928"/>
      <c r="BK196" s="928"/>
      <c r="BL196" s="928"/>
      <c r="BM196" s="928"/>
      <c r="BN196" s="928"/>
      <c r="BO196" s="928"/>
      <c r="BP196" s="928"/>
      <c r="BQ196" s="928"/>
      <c r="BR196" s="928"/>
      <c r="BS196" s="928"/>
      <c r="BT196" s="928"/>
      <c r="BU196" s="928"/>
      <c r="BV196" s="928"/>
      <c r="BW196" s="928"/>
      <c r="BX196" s="928"/>
      <c r="BY196" s="928"/>
      <c r="BZ196" s="928"/>
      <c r="CA196" s="928"/>
      <c r="CB196" s="928"/>
      <c r="CC196" s="928"/>
      <c r="CD196" s="928"/>
      <c r="CE196" s="928"/>
      <c r="CF196" s="928"/>
      <c r="CG196" s="928"/>
      <c r="CH196" s="928"/>
      <c r="CI196" s="928"/>
      <c r="CJ196" s="928"/>
      <c r="CK196" s="928"/>
      <c r="CL196" s="928"/>
      <c r="CM196" s="928"/>
      <c r="CN196" s="928"/>
      <c r="CO196" s="928"/>
      <c r="CP196" s="928"/>
      <c r="CQ196" s="928"/>
      <c r="CR196" s="928"/>
      <c r="CS196" s="928"/>
      <c r="CT196" s="928"/>
      <c r="CU196" s="928"/>
      <c r="CV196" s="928"/>
      <c r="CW196" s="928"/>
      <c r="CX196" s="928"/>
      <c r="CY196" s="928"/>
      <c r="CZ196" s="928"/>
      <c r="DA196" s="928"/>
      <c r="DB196" s="928"/>
      <c r="DC196" s="928"/>
      <c r="DD196" s="928"/>
      <c r="DE196" s="928"/>
      <c r="DF196" s="928"/>
      <c r="DG196" s="928"/>
      <c r="DH196" s="928"/>
    </row>
    <row r="197" spans="1:112">
      <c r="A197" s="891" t="s">
        <v>990</v>
      </c>
      <c r="B197" s="891" t="s">
        <v>1506</v>
      </c>
      <c r="C197" s="891" t="s">
        <v>306</v>
      </c>
      <c r="D197" s="891" t="s">
        <v>990</v>
      </c>
      <c r="E197" s="891" t="s">
        <v>1506</v>
      </c>
      <c r="F197" s="891" t="s">
        <v>306</v>
      </c>
      <c r="G197" s="897">
        <v>43.57</v>
      </c>
      <c r="H197" s="897">
        <v>39.39</v>
      </c>
      <c r="I197" s="897">
        <v>47.17</v>
      </c>
      <c r="J197" s="891"/>
      <c r="K197" s="891"/>
      <c r="L197" s="891"/>
      <c r="M197" s="891"/>
      <c r="N197" s="891"/>
      <c r="O197" s="891"/>
      <c r="P197" s="891"/>
      <c r="Q197" s="891"/>
      <c r="R197" s="891"/>
      <c r="S197" s="891"/>
      <c r="T197" s="891"/>
      <c r="U197" s="928"/>
      <c r="V197" s="928"/>
      <c r="W197" s="928"/>
      <c r="X197" s="928"/>
      <c r="Y197" s="928"/>
      <c r="Z197" s="928"/>
      <c r="AA197" s="928"/>
      <c r="AB197" s="928"/>
      <c r="AC197" s="928"/>
      <c r="AD197" s="928"/>
      <c r="AE197" s="928"/>
      <c r="AF197" s="928"/>
      <c r="AG197" s="928"/>
      <c r="AH197" s="928"/>
      <c r="AI197" s="928"/>
      <c r="AJ197" s="928"/>
      <c r="AK197" s="928"/>
      <c r="AL197" s="928"/>
      <c r="AM197" s="928"/>
      <c r="AN197" s="928"/>
      <c r="AO197" s="928"/>
      <c r="AP197" s="928"/>
      <c r="AQ197" s="928"/>
      <c r="AR197" s="928"/>
      <c r="AS197" s="928"/>
      <c r="AT197" s="928"/>
      <c r="AU197" s="928"/>
      <c r="AV197" s="928"/>
      <c r="AW197" s="928"/>
      <c r="AX197" s="928"/>
      <c r="AY197" s="928"/>
      <c r="AZ197" s="928"/>
      <c r="BA197" s="928"/>
      <c r="BB197" s="928"/>
      <c r="BC197" s="928"/>
      <c r="BD197" s="928"/>
      <c r="BE197" s="928"/>
      <c r="BF197" s="928"/>
      <c r="BG197" s="928"/>
      <c r="BH197" s="928"/>
      <c r="BI197" s="928"/>
      <c r="BJ197" s="928"/>
      <c r="BK197" s="928"/>
      <c r="BL197" s="928"/>
      <c r="BM197" s="928"/>
      <c r="BN197" s="928"/>
      <c r="BO197" s="928"/>
      <c r="BP197" s="928"/>
      <c r="BQ197" s="928"/>
      <c r="BR197" s="928"/>
      <c r="BS197" s="928"/>
      <c r="BT197" s="928"/>
      <c r="BU197" s="928"/>
      <c r="BV197" s="928"/>
      <c r="BW197" s="928"/>
      <c r="BX197" s="928"/>
      <c r="BY197" s="928"/>
      <c r="BZ197" s="928"/>
      <c r="CA197" s="928"/>
      <c r="CB197" s="928"/>
      <c r="CC197" s="928"/>
      <c r="CD197" s="928"/>
      <c r="CE197" s="928"/>
      <c r="CF197" s="928"/>
      <c r="CG197" s="928"/>
      <c r="CH197" s="928"/>
      <c r="CI197" s="928"/>
      <c r="CJ197" s="928"/>
      <c r="CK197" s="928"/>
      <c r="CL197" s="928"/>
      <c r="CM197" s="928"/>
      <c r="CN197" s="928"/>
      <c r="CO197" s="928"/>
      <c r="CP197" s="928"/>
      <c r="CQ197" s="928"/>
      <c r="CR197" s="928"/>
      <c r="CS197" s="928"/>
      <c r="CT197" s="928"/>
      <c r="CU197" s="928"/>
      <c r="CV197" s="928"/>
      <c r="CW197" s="928"/>
      <c r="CX197" s="928"/>
      <c r="CY197" s="928"/>
      <c r="CZ197" s="928"/>
      <c r="DA197" s="928"/>
      <c r="DB197" s="928"/>
      <c r="DC197" s="928"/>
      <c r="DD197" s="928"/>
      <c r="DE197" s="928"/>
      <c r="DF197" s="928"/>
      <c r="DG197" s="928"/>
      <c r="DH197" s="928"/>
    </row>
    <row r="198" spans="1:112">
      <c r="A198" s="891" t="s">
        <v>991</v>
      </c>
      <c r="B198" s="891" t="s">
        <v>1506</v>
      </c>
      <c r="C198" s="891" t="s">
        <v>303</v>
      </c>
      <c r="D198" s="891" t="s">
        <v>991</v>
      </c>
      <c r="E198" s="891" t="s">
        <v>1506</v>
      </c>
      <c r="F198" s="891" t="s">
        <v>303</v>
      </c>
      <c r="G198" s="897">
        <v>120.98</v>
      </c>
      <c r="H198" s="897">
        <v>124.64</v>
      </c>
      <c r="I198" s="897">
        <v>139.24</v>
      </c>
      <c r="J198" s="891"/>
      <c r="K198" s="891"/>
      <c r="L198" s="891"/>
      <c r="M198" s="891"/>
      <c r="N198" s="891"/>
      <c r="O198" s="891"/>
      <c r="P198" s="891"/>
      <c r="Q198" s="891"/>
      <c r="R198" s="891"/>
      <c r="S198" s="891"/>
      <c r="T198" s="891"/>
      <c r="U198" s="928"/>
      <c r="V198" s="928"/>
      <c r="W198" s="928"/>
      <c r="X198" s="928"/>
      <c r="Y198" s="928"/>
      <c r="Z198" s="928"/>
      <c r="AA198" s="928"/>
      <c r="AB198" s="928"/>
      <c r="AC198" s="928"/>
      <c r="AD198" s="928"/>
      <c r="AE198" s="928"/>
      <c r="AF198" s="928"/>
      <c r="AG198" s="928"/>
      <c r="AH198" s="928"/>
      <c r="AI198" s="928"/>
      <c r="AJ198" s="928"/>
      <c r="AK198" s="928"/>
      <c r="AL198" s="928"/>
      <c r="AM198" s="928"/>
      <c r="AN198" s="928"/>
      <c r="AO198" s="928"/>
      <c r="AP198" s="928"/>
      <c r="AQ198" s="928"/>
      <c r="AR198" s="928"/>
      <c r="AS198" s="928"/>
      <c r="AT198" s="928"/>
      <c r="AU198" s="928"/>
      <c r="AV198" s="928"/>
      <c r="AW198" s="928"/>
      <c r="AX198" s="928"/>
      <c r="AY198" s="928"/>
      <c r="AZ198" s="928"/>
      <c r="BA198" s="928"/>
      <c r="BB198" s="928"/>
      <c r="BC198" s="928"/>
      <c r="BD198" s="928"/>
      <c r="BE198" s="928"/>
      <c r="BF198" s="928"/>
      <c r="BG198" s="928"/>
      <c r="BH198" s="928"/>
      <c r="BI198" s="928"/>
      <c r="BJ198" s="928"/>
      <c r="BK198" s="928"/>
      <c r="BL198" s="928"/>
      <c r="BM198" s="928"/>
      <c r="BN198" s="928"/>
      <c r="BO198" s="928"/>
      <c r="BP198" s="928"/>
      <c r="BQ198" s="928"/>
      <c r="BR198" s="928"/>
      <c r="BS198" s="928"/>
      <c r="BT198" s="928"/>
      <c r="BU198" s="928"/>
      <c r="BV198" s="928"/>
      <c r="BW198" s="928"/>
      <c r="BX198" s="928"/>
      <c r="BY198" s="928"/>
      <c r="BZ198" s="928"/>
      <c r="CA198" s="928"/>
      <c r="CB198" s="928"/>
      <c r="CC198" s="928"/>
      <c r="CD198" s="928"/>
      <c r="CE198" s="928"/>
      <c r="CF198" s="928"/>
      <c r="CG198" s="928"/>
      <c r="CH198" s="928"/>
      <c r="CI198" s="928"/>
      <c r="CJ198" s="928"/>
      <c r="CK198" s="928"/>
      <c r="CL198" s="928"/>
      <c r="CM198" s="928"/>
      <c r="CN198" s="928"/>
      <c r="CO198" s="928"/>
      <c r="CP198" s="928"/>
      <c r="CQ198" s="928"/>
      <c r="CR198" s="928"/>
      <c r="CS198" s="928"/>
      <c r="CT198" s="928"/>
      <c r="CU198" s="928"/>
      <c r="CV198" s="928"/>
      <c r="CW198" s="928"/>
      <c r="CX198" s="928"/>
      <c r="CY198" s="928"/>
      <c r="CZ198" s="928"/>
      <c r="DA198" s="928"/>
      <c r="DB198" s="928"/>
      <c r="DC198" s="928"/>
      <c r="DD198" s="928"/>
      <c r="DE198" s="928"/>
      <c r="DF198" s="928"/>
      <c r="DG198" s="928"/>
      <c r="DH198" s="928"/>
    </row>
    <row r="199" spans="1:112">
      <c r="A199" s="891" t="s">
        <v>992</v>
      </c>
      <c r="B199" s="891" t="s">
        <v>1454</v>
      </c>
      <c r="C199" s="891" t="s">
        <v>145</v>
      </c>
      <c r="D199" s="891" t="s">
        <v>992</v>
      </c>
      <c r="E199" s="891" t="s">
        <v>1454</v>
      </c>
      <c r="F199" s="891" t="s">
        <v>145</v>
      </c>
      <c r="G199" s="897">
        <v>101.61</v>
      </c>
      <c r="H199" s="897">
        <v>119.37</v>
      </c>
      <c r="I199" s="897">
        <v>120.62</v>
      </c>
      <c r="J199" s="891"/>
      <c r="K199" s="891"/>
      <c r="L199" s="891"/>
      <c r="M199" s="891"/>
      <c r="N199" s="891"/>
      <c r="O199" s="891"/>
      <c r="P199" s="891"/>
      <c r="Q199" s="891"/>
      <c r="R199" s="891"/>
      <c r="S199" s="891"/>
      <c r="T199" s="891"/>
      <c r="U199" s="928"/>
      <c r="V199" s="928"/>
      <c r="W199" s="928"/>
      <c r="X199" s="928"/>
      <c r="Y199" s="928"/>
      <c r="Z199" s="928"/>
      <c r="AA199" s="928"/>
      <c r="AB199" s="928"/>
      <c r="AC199" s="928"/>
      <c r="AD199" s="928"/>
      <c r="AE199" s="928"/>
      <c r="AF199" s="928"/>
      <c r="AG199" s="928"/>
      <c r="AH199" s="928"/>
      <c r="AI199" s="928"/>
      <c r="AJ199" s="928"/>
      <c r="AK199" s="928"/>
      <c r="AL199" s="928"/>
      <c r="AM199" s="928"/>
      <c r="AN199" s="928"/>
      <c r="AO199" s="928"/>
      <c r="AP199" s="928"/>
      <c r="AQ199" s="928"/>
      <c r="AR199" s="928"/>
      <c r="AS199" s="928"/>
      <c r="AT199" s="928"/>
      <c r="AU199" s="928"/>
      <c r="AV199" s="928"/>
      <c r="AW199" s="928"/>
      <c r="AX199" s="928"/>
      <c r="AY199" s="928"/>
      <c r="AZ199" s="928"/>
      <c r="BA199" s="928"/>
      <c r="BB199" s="928"/>
      <c r="BC199" s="928"/>
      <c r="BD199" s="928"/>
      <c r="BE199" s="928"/>
      <c r="BF199" s="928"/>
      <c r="BG199" s="928"/>
      <c r="BH199" s="928"/>
      <c r="BI199" s="928"/>
      <c r="BJ199" s="928"/>
      <c r="BK199" s="928"/>
      <c r="BL199" s="928"/>
      <c r="BM199" s="928"/>
      <c r="BN199" s="928"/>
      <c r="BO199" s="928"/>
      <c r="BP199" s="928"/>
      <c r="BQ199" s="928"/>
      <c r="BR199" s="928"/>
      <c r="BS199" s="928"/>
      <c r="BT199" s="928"/>
      <c r="BU199" s="928"/>
      <c r="BV199" s="928"/>
      <c r="BW199" s="928"/>
      <c r="BX199" s="928"/>
      <c r="BY199" s="928"/>
      <c r="BZ199" s="928"/>
      <c r="CA199" s="928"/>
      <c r="CB199" s="928"/>
      <c r="CC199" s="928"/>
      <c r="CD199" s="928"/>
      <c r="CE199" s="928"/>
      <c r="CF199" s="928"/>
      <c r="CG199" s="928"/>
      <c r="CH199" s="928"/>
      <c r="CI199" s="928"/>
      <c r="CJ199" s="928"/>
      <c r="CK199" s="928"/>
      <c r="CL199" s="928"/>
      <c r="CM199" s="928"/>
      <c r="CN199" s="928"/>
      <c r="CO199" s="928"/>
      <c r="CP199" s="928"/>
      <c r="CQ199" s="928"/>
      <c r="CR199" s="928"/>
      <c r="CS199" s="928"/>
      <c r="CT199" s="928"/>
      <c r="CU199" s="928"/>
      <c r="CV199" s="928"/>
      <c r="CW199" s="928"/>
      <c r="CX199" s="928"/>
      <c r="CY199" s="928"/>
      <c r="CZ199" s="928"/>
      <c r="DA199" s="928"/>
      <c r="DB199" s="928"/>
      <c r="DC199" s="928"/>
      <c r="DD199" s="928"/>
      <c r="DE199" s="928"/>
      <c r="DF199" s="928"/>
      <c r="DG199" s="928"/>
      <c r="DH199" s="928"/>
    </row>
    <row r="200" spans="1:112">
      <c r="A200" s="891" t="s">
        <v>993</v>
      </c>
      <c r="B200" s="891" t="s">
        <v>1476</v>
      </c>
      <c r="C200" s="891" t="s">
        <v>73</v>
      </c>
      <c r="D200" s="891" t="s">
        <v>993</v>
      </c>
      <c r="E200" s="891" t="s">
        <v>1476</v>
      </c>
      <c r="F200" s="891" t="s">
        <v>73</v>
      </c>
      <c r="G200" s="897">
        <v>39.659999999999997</v>
      </c>
      <c r="H200" s="897">
        <v>34.1</v>
      </c>
      <c r="I200" s="897">
        <v>27.26</v>
      </c>
      <c r="J200" s="891"/>
      <c r="K200" s="891"/>
      <c r="L200" s="891"/>
      <c r="M200" s="891"/>
      <c r="N200" s="891"/>
      <c r="O200" s="891"/>
      <c r="P200" s="891"/>
      <c r="Q200" s="891"/>
      <c r="R200" s="891"/>
      <c r="S200" s="891"/>
      <c r="T200" s="891"/>
      <c r="U200" s="928"/>
      <c r="V200" s="928"/>
      <c r="W200" s="928"/>
      <c r="X200" s="928"/>
      <c r="Y200" s="928"/>
      <c r="Z200" s="928"/>
      <c r="AA200" s="928"/>
      <c r="AB200" s="928"/>
      <c r="AC200" s="928"/>
      <c r="AD200" s="928"/>
      <c r="AE200" s="928"/>
      <c r="AF200" s="928"/>
      <c r="AG200" s="928"/>
      <c r="AH200" s="928"/>
      <c r="AI200" s="928"/>
      <c r="AJ200" s="928"/>
      <c r="AK200" s="928"/>
      <c r="AL200" s="928"/>
      <c r="AM200" s="928"/>
      <c r="AN200" s="928"/>
      <c r="AO200" s="928"/>
      <c r="AP200" s="928"/>
      <c r="AQ200" s="928"/>
      <c r="AR200" s="928"/>
      <c r="AS200" s="928"/>
      <c r="AT200" s="928"/>
      <c r="AU200" s="928"/>
      <c r="AV200" s="928"/>
      <c r="AW200" s="928"/>
      <c r="AX200" s="928"/>
      <c r="AY200" s="928"/>
      <c r="AZ200" s="928"/>
      <c r="BA200" s="928"/>
      <c r="BB200" s="928"/>
      <c r="BC200" s="928"/>
      <c r="BD200" s="928"/>
      <c r="BE200" s="928"/>
      <c r="BF200" s="928"/>
      <c r="BG200" s="928"/>
      <c r="BH200" s="928"/>
      <c r="BI200" s="928"/>
      <c r="BJ200" s="928"/>
      <c r="BK200" s="928"/>
      <c r="BL200" s="928"/>
      <c r="BM200" s="928"/>
      <c r="BN200" s="928"/>
      <c r="BO200" s="928"/>
      <c r="BP200" s="928"/>
      <c r="BQ200" s="928"/>
      <c r="BR200" s="928"/>
      <c r="BS200" s="928"/>
      <c r="BT200" s="928"/>
      <c r="BU200" s="928"/>
      <c r="BV200" s="928"/>
      <c r="BW200" s="928"/>
      <c r="BX200" s="928"/>
      <c r="BY200" s="928"/>
      <c r="BZ200" s="928"/>
      <c r="CA200" s="928"/>
      <c r="CB200" s="928"/>
      <c r="CC200" s="928"/>
      <c r="CD200" s="928"/>
      <c r="CE200" s="928"/>
      <c r="CF200" s="928"/>
      <c r="CG200" s="928"/>
      <c r="CH200" s="928"/>
      <c r="CI200" s="928"/>
      <c r="CJ200" s="928"/>
      <c r="CK200" s="928"/>
      <c r="CL200" s="928"/>
      <c r="CM200" s="928"/>
      <c r="CN200" s="928"/>
      <c r="CO200" s="928"/>
      <c r="CP200" s="928"/>
      <c r="CQ200" s="928"/>
      <c r="CR200" s="928"/>
      <c r="CS200" s="928"/>
      <c r="CT200" s="928"/>
      <c r="CU200" s="928"/>
      <c r="CV200" s="928"/>
      <c r="CW200" s="928"/>
      <c r="CX200" s="928"/>
      <c r="CY200" s="928"/>
      <c r="CZ200" s="928"/>
      <c r="DA200" s="928"/>
      <c r="DB200" s="928"/>
      <c r="DC200" s="928"/>
      <c r="DD200" s="928"/>
      <c r="DE200" s="928"/>
      <c r="DF200" s="928"/>
      <c r="DG200" s="928"/>
      <c r="DH200" s="928"/>
    </row>
    <row r="201" spans="1:112">
      <c r="A201" s="891" t="s">
        <v>994</v>
      </c>
      <c r="B201" s="891" t="s">
        <v>1454</v>
      </c>
      <c r="C201" s="891" t="s">
        <v>242</v>
      </c>
      <c r="D201" s="891" t="s">
        <v>994</v>
      </c>
      <c r="E201" s="891" t="s">
        <v>1454</v>
      </c>
      <c r="F201" s="891" t="s">
        <v>242</v>
      </c>
      <c r="G201" s="897">
        <v>104.19</v>
      </c>
      <c r="H201" s="897">
        <v>87.81</v>
      </c>
      <c r="I201" s="897">
        <v>97.22</v>
      </c>
      <c r="J201" s="891"/>
      <c r="K201" s="891"/>
      <c r="L201" s="891"/>
      <c r="M201" s="891"/>
      <c r="N201" s="891"/>
      <c r="O201" s="891"/>
      <c r="P201" s="891"/>
      <c r="Q201" s="891"/>
      <c r="R201" s="891"/>
      <c r="S201" s="891"/>
      <c r="T201" s="891"/>
      <c r="U201" s="928"/>
      <c r="V201" s="928"/>
      <c r="W201" s="928"/>
      <c r="X201" s="928"/>
      <c r="Y201" s="928"/>
      <c r="Z201" s="928"/>
      <c r="AA201" s="928"/>
      <c r="AB201" s="928"/>
      <c r="AC201" s="928"/>
      <c r="AD201" s="928"/>
      <c r="AE201" s="928"/>
      <c r="AF201" s="928"/>
      <c r="AG201" s="928"/>
      <c r="AH201" s="928"/>
      <c r="AI201" s="928"/>
      <c r="AJ201" s="928"/>
      <c r="AK201" s="928"/>
      <c r="AL201" s="928"/>
      <c r="AM201" s="928"/>
      <c r="AN201" s="928"/>
      <c r="AO201" s="928"/>
      <c r="AP201" s="928"/>
      <c r="AQ201" s="928"/>
      <c r="AR201" s="928"/>
      <c r="AS201" s="928"/>
      <c r="AT201" s="928"/>
      <c r="AU201" s="928"/>
      <c r="AV201" s="928"/>
      <c r="AW201" s="928"/>
      <c r="AX201" s="928"/>
      <c r="AY201" s="928"/>
      <c r="AZ201" s="928"/>
      <c r="BA201" s="928"/>
      <c r="BB201" s="928"/>
      <c r="BC201" s="928"/>
      <c r="BD201" s="928"/>
      <c r="BE201" s="928"/>
      <c r="BF201" s="928"/>
      <c r="BG201" s="928"/>
      <c r="BH201" s="928"/>
      <c r="BI201" s="928"/>
      <c r="BJ201" s="928"/>
      <c r="BK201" s="928"/>
      <c r="BL201" s="928"/>
      <c r="BM201" s="928"/>
      <c r="BN201" s="928"/>
      <c r="BO201" s="928"/>
      <c r="BP201" s="928"/>
      <c r="BQ201" s="928"/>
      <c r="BR201" s="928"/>
      <c r="BS201" s="928"/>
      <c r="BT201" s="928"/>
      <c r="BU201" s="928"/>
      <c r="BV201" s="928"/>
      <c r="BW201" s="928"/>
      <c r="BX201" s="928"/>
      <c r="BY201" s="928"/>
      <c r="BZ201" s="928"/>
      <c r="CA201" s="928"/>
      <c r="CB201" s="928"/>
      <c r="CC201" s="928"/>
      <c r="CD201" s="928"/>
      <c r="CE201" s="928"/>
      <c r="CF201" s="928"/>
      <c r="CG201" s="928"/>
      <c r="CH201" s="928"/>
      <c r="CI201" s="928"/>
      <c r="CJ201" s="928"/>
      <c r="CK201" s="928"/>
      <c r="CL201" s="928"/>
      <c r="CM201" s="928"/>
      <c r="CN201" s="928"/>
      <c r="CO201" s="928"/>
      <c r="CP201" s="928"/>
      <c r="CQ201" s="928"/>
      <c r="CR201" s="928"/>
      <c r="CS201" s="928"/>
      <c r="CT201" s="928"/>
      <c r="CU201" s="928"/>
      <c r="CV201" s="928"/>
      <c r="CW201" s="928"/>
      <c r="CX201" s="928"/>
      <c r="CY201" s="928"/>
      <c r="CZ201" s="928"/>
      <c r="DA201" s="928"/>
      <c r="DB201" s="928"/>
      <c r="DC201" s="928"/>
      <c r="DD201" s="928"/>
      <c r="DE201" s="928"/>
      <c r="DF201" s="928"/>
      <c r="DG201" s="928"/>
      <c r="DH201" s="928"/>
    </row>
    <row r="202" spans="1:112">
      <c r="A202" s="891" t="s">
        <v>995</v>
      </c>
      <c r="B202" s="891" t="s">
        <v>1454</v>
      </c>
      <c r="C202" s="891" t="s">
        <v>116</v>
      </c>
      <c r="D202" s="891" t="s">
        <v>995</v>
      </c>
      <c r="E202" s="891" t="s">
        <v>1454</v>
      </c>
      <c r="F202" s="891" t="s">
        <v>116</v>
      </c>
      <c r="G202" s="897">
        <v>96.99</v>
      </c>
      <c r="H202" s="897">
        <v>71.319999999999993</v>
      </c>
      <c r="I202" s="897">
        <v>136.33000000000001</v>
      </c>
      <c r="J202" s="891"/>
      <c r="K202" s="891"/>
      <c r="L202" s="891"/>
      <c r="M202" s="891"/>
      <c r="N202" s="891"/>
      <c r="O202" s="891"/>
      <c r="P202" s="891"/>
      <c r="Q202" s="891"/>
      <c r="R202" s="891"/>
      <c r="S202" s="891"/>
      <c r="T202" s="891"/>
      <c r="U202" s="928"/>
      <c r="V202" s="928"/>
      <c r="W202" s="928"/>
      <c r="X202" s="928"/>
      <c r="Y202" s="928"/>
      <c r="Z202" s="928"/>
      <c r="AA202" s="928"/>
      <c r="AB202" s="928"/>
      <c r="AC202" s="928"/>
      <c r="AD202" s="928"/>
      <c r="AE202" s="928"/>
      <c r="AF202" s="928"/>
      <c r="AG202" s="928"/>
      <c r="AH202" s="928"/>
      <c r="AI202" s="928"/>
      <c r="AJ202" s="928"/>
      <c r="AK202" s="928"/>
      <c r="AL202" s="928"/>
      <c r="AM202" s="928"/>
      <c r="AN202" s="928"/>
      <c r="AO202" s="928"/>
      <c r="AP202" s="928"/>
      <c r="AQ202" s="928"/>
      <c r="AR202" s="928"/>
      <c r="AS202" s="928"/>
      <c r="AT202" s="928"/>
      <c r="AU202" s="928"/>
      <c r="AV202" s="928"/>
      <c r="AW202" s="928"/>
      <c r="AX202" s="928"/>
      <c r="AY202" s="928"/>
      <c r="AZ202" s="928"/>
      <c r="BA202" s="928"/>
      <c r="BB202" s="928"/>
      <c r="BC202" s="928"/>
      <c r="BD202" s="928"/>
      <c r="BE202" s="928"/>
      <c r="BF202" s="928"/>
      <c r="BG202" s="928"/>
      <c r="BH202" s="928"/>
      <c r="BI202" s="928"/>
      <c r="BJ202" s="928"/>
      <c r="BK202" s="928"/>
      <c r="BL202" s="928"/>
      <c r="BM202" s="928"/>
      <c r="BN202" s="928"/>
      <c r="BO202" s="928"/>
      <c r="BP202" s="928"/>
      <c r="BQ202" s="928"/>
      <c r="BR202" s="928"/>
      <c r="BS202" s="928"/>
      <c r="BT202" s="928"/>
      <c r="BU202" s="928"/>
      <c r="BV202" s="928"/>
      <c r="BW202" s="928"/>
      <c r="BX202" s="928"/>
      <c r="BY202" s="928"/>
      <c r="BZ202" s="928"/>
      <c r="CA202" s="928"/>
      <c r="CB202" s="928"/>
      <c r="CC202" s="928"/>
      <c r="CD202" s="928"/>
      <c r="CE202" s="928"/>
      <c r="CF202" s="928"/>
      <c r="CG202" s="928"/>
      <c r="CH202" s="928"/>
      <c r="CI202" s="928"/>
      <c r="CJ202" s="928"/>
      <c r="CK202" s="928"/>
      <c r="CL202" s="928"/>
      <c r="CM202" s="928"/>
      <c r="CN202" s="928"/>
      <c r="CO202" s="928"/>
      <c r="CP202" s="928"/>
      <c r="CQ202" s="928"/>
      <c r="CR202" s="928"/>
      <c r="CS202" s="928"/>
      <c r="CT202" s="928"/>
      <c r="CU202" s="928"/>
      <c r="CV202" s="928"/>
      <c r="CW202" s="928"/>
      <c r="CX202" s="928"/>
      <c r="CY202" s="928"/>
      <c r="CZ202" s="928"/>
      <c r="DA202" s="928"/>
      <c r="DB202" s="928"/>
      <c r="DC202" s="928"/>
      <c r="DD202" s="928"/>
      <c r="DE202" s="928"/>
      <c r="DF202" s="928"/>
      <c r="DG202" s="928"/>
      <c r="DH202" s="928"/>
    </row>
    <row r="203" spans="1:112">
      <c r="A203" s="891" t="s">
        <v>996</v>
      </c>
      <c r="B203" s="891" t="s">
        <v>1527</v>
      </c>
      <c r="C203" s="891" t="s">
        <v>323</v>
      </c>
      <c r="D203" s="891" t="s">
        <v>996</v>
      </c>
      <c r="E203" s="891" t="s">
        <v>1527</v>
      </c>
      <c r="F203" s="891" t="s">
        <v>323</v>
      </c>
      <c r="G203" s="897">
        <v>68.34</v>
      </c>
      <c r="H203" s="897">
        <v>83.79</v>
      </c>
      <c r="I203" s="897">
        <v>70.37</v>
      </c>
      <c r="J203" s="891"/>
      <c r="K203" s="891"/>
      <c r="L203" s="891"/>
      <c r="M203" s="891"/>
      <c r="N203" s="891"/>
      <c r="O203" s="891"/>
      <c r="P203" s="891"/>
      <c r="Q203" s="891"/>
      <c r="R203" s="891"/>
      <c r="S203" s="891"/>
      <c r="T203" s="891"/>
      <c r="U203" s="928"/>
      <c r="V203" s="928"/>
      <c r="W203" s="928"/>
      <c r="X203" s="928"/>
      <c r="Y203" s="928"/>
      <c r="Z203" s="928"/>
      <c r="AA203" s="928"/>
      <c r="AB203" s="928"/>
      <c r="AC203" s="928"/>
      <c r="AD203" s="928"/>
      <c r="AE203" s="928"/>
      <c r="AF203" s="928"/>
      <c r="AG203" s="928"/>
      <c r="AH203" s="928"/>
      <c r="AI203" s="928"/>
      <c r="AJ203" s="928"/>
      <c r="AK203" s="928"/>
      <c r="AL203" s="928"/>
      <c r="AM203" s="928"/>
      <c r="AN203" s="928"/>
      <c r="AO203" s="928"/>
      <c r="AP203" s="928"/>
      <c r="AQ203" s="928"/>
      <c r="AR203" s="928"/>
      <c r="AS203" s="928"/>
      <c r="AT203" s="928"/>
      <c r="AU203" s="928"/>
      <c r="AV203" s="928"/>
      <c r="AW203" s="928"/>
      <c r="AX203" s="928"/>
      <c r="AY203" s="928"/>
      <c r="AZ203" s="928"/>
      <c r="BA203" s="928"/>
      <c r="BB203" s="928"/>
      <c r="BC203" s="928"/>
      <c r="BD203" s="928"/>
      <c r="BE203" s="928"/>
      <c r="BF203" s="928"/>
      <c r="BG203" s="928"/>
      <c r="BH203" s="928"/>
      <c r="BI203" s="928"/>
      <c r="BJ203" s="928"/>
      <c r="BK203" s="928"/>
      <c r="BL203" s="928"/>
      <c r="BM203" s="928"/>
      <c r="BN203" s="928"/>
      <c r="BO203" s="928"/>
      <c r="BP203" s="928"/>
      <c r="BQ203" s="928"/>
      <c r="BR203" s="928"/>
      <c r="BS203" s="928"/>
      <c r="BT203" s="928"/>
      <c r="BU203" s="928"/>
      <c r="BV203" s="928"/>
      <c r="BW203" s="928"/>
      <c r="BX203" s="928"/>
      <c r="BY203" s="928"/>
      <c r="BZ203" s="928"/>
      <c r="CA203" s="928"/>
      <c r="CB203" s="928"/>
      <c r="CC203" s="928"/>
      <c r="CD203" s="928"/>
      <c r="CE203" s="928"/>
      <c r="CF203" s="928"/>
      <c r="CG203" s="928"/>
      <c r="CH203" s="928"/>
      <c r="CI203" s="928"/>
      <c r="CJ203" s="928"/>
      <c r="CK203" s="928"/>
      <c r="CL203" s="928"/>
      <c r="CM203" s="928"/>
      <c r="CN203" s="928"/>
      <c r="CO203" s="928"/>
      <c r="CP203" s="928"/>
      <c r="CQ203" s="928"/>
      <c r="CR203" s="928"/>
      <c r="CS203" s="928"/>
      <c r="CT203" s="928"/>
      <c r="CU203" s="928"/>
      <c r="CV203" s="928"/>
      <c r="CW203" s="928"/>
      <c r="CX203" s="928"/>
      <c r="CY203" s="928"/>
      <c r="CZ203" s="928"/>
      <c r="DA203" s="928"/>
      <c r="DB203" s="928"/>
      <c r="DC203" s="928"/>
      <c r="DD203" s="928"/>
      <c r="DE203" s="928"/>
      <c r="DF203" s="928"/>
      <c r="DG203" s="928"/>
      <c r="DH203" s="928"/>
    </row>
    <row r="204" spans="1:112">
      <c r="A204" s="891" t="s">
        <v>997</v>
      </c>
      <c r="B204" s="891" t="s">
        <v>1471</v>
      </c>
      <c r="C204" s="891" t="s">
        <v>80</v>
      </c>
      <c r="D204" s="891" t="s">
        <v>997</v>
      </c>
      <c r="E204" s="891" t="s">
        <v>1471</v>
      </c>
      <c r="F204" s="891" t="s">
        <v>80</v>
      </c>
      <c r="G204" s="897">
        <v>49.25</v>
      </c>
      <c r="H204" s="897">
        <v>30.25</v>
      </c>
      <c r="I204" s="897">
        <v>25.83</v>
      </c>
      <c r="J204" s="891"/>
      <c r="K204" s="891"/>
      <c r="L204" s="891"/>
      <c r="M204" s="891"/>
      <c r="N204" s="891"/>
      <c r="O204" s="891"/>
      <c r="P204" s="891"/>
      <c r="Q204" s="891"/>
      <c r="R204" s="891"/>
      <c r="S204" s="891"/>
      <c r="T204" s="891"/>
      <c r="U204" s="928"/>
      <c r="V204" s="928"/>
      <c r="W204" s="928"/>
      <c r="X204" s="928"/>
      <c r="Y204" s="928"/>
      <c r="Z204" s="928"/>
      <c r="AA204" s="928"/>
      <c r="AB204" s="928"/>
      <c r="AC204" s="928"/>
      <c r="AD204" s="928"/>
      <c r="AE204" s="928"/>
      <c r="AF204" s="928"/>
      <c r="AG204" s="928"/>
      <c r="AH204" s="928"/>
      <c r="AI204" s="928"/>
      <c r="AJ204" s="928"/>
      <c r="AK204" s="928"/>
      <c r="AL204" s="928"/>
      <c r="AM204" s="928"/>
      <c r="AN204" s="928"/>
      <c r="AO204" s="928"/>
      <c r="AP204" s="928"/>
      <c r="AQ204" s="928"/>
      <c r="AR204" s="928"/>
      <c r="AS204" s="928"/>
      <c r="AT204" s="928"/>
      <c r="AU204" s="928"/>
      <c r="AV204" s="928"/>
      <c r="AW204" s="928"/>
      <c r="AX204" s="928"/>
      <c r="AY204" s="928"/>
      <c r="AZ204" s="928"/>
      <c r="BA204" s="928"/>
      <c r="BB204" s="928"/>
      <c r="BC204" s="928"/>
      <c r="BD204" s="928"/>
      <c r="BE204" s="928"/>
      <c r="BF204" s="928"/>
      <c r="BG204" s="928"/>
      <c r="BH204" s="928"/>
      <c r="BI204" s="928"/>
      <c r="BJ204" s="928"/>
      <c r="BK204" s="928"/>
      <c r="BL204" s="928"/>
      <c r="BM204" s="928"/>
      <c r="BN204" s="928"/>
      <c r="BO204" s="928"/>
      <c r="BP204" s="928"/>
      <c r="BQ204" s="928"/>
      <c r="BR204" s="928"/>
      <c r="BS204" s="928"/>
      <c r="BT204" s="928"/>
      <c r="BU204" s="928"/>
      <c r="BV204" s="928"/>
      <c r="BW204" s="928"/>
      <c r="BX204" s="928"/>
      <c r="BY204" s="928"/>
      <c r="BZ204" s="928"/>
      <c r="CA204" s="928"/>
      <c r="CB204" s="928"/>
      <c r="CC204" s="928"/>
      <c r="CD204" s="928"/>
      <c r="CE204" s="928"/>
      <c r="CF204" s="928"/>
      <c r="CG204" s="928"/>
      <c r="CH204" s="928"/>
      <c r="CI204" s="928"/>
      <c r="CJ204" s="928"/>
      <c r="CK204" s="928"/>
      <c r="CL204" s="928"/>
      <c r="CM204" s="928"/>
      <c r="CN204" s="928"/>
      <c r="CO204" s="928"/>
      <c r="CP204" s="928"/>
      <c r="CQ204" s="928"/>
      <c r="CR204" s="928"/>
      <c r="CS204" s="928"/>
      <c r="CT204" s="928"/>
      <c r="CU204" s="928"/>
      <c r="CV204" s="928"/>
      <c r="CW204" s="928"/>
      <c r="CX204" s="928"/>
      <c r="CY204" s="928"/>
      <c r="CZ204" s="928"/>
      <c r="DA204" s="928"/>
      <c r="DB204" s="928"/>
      <c r="DC204" s="928"/>
      <c r="DD204" s="928"/>
      <c r="DE204" s="928"/>
      <c r="DF204" s="928"/>
      <c r="DG204" s="928"/>
      <c r="DH204" s="928"/>
    </row>
    <row r="205" spans="1:112">
      <c r="A205" s="891" t="s">
        <v>998</v>
      </c>
      <c r="B205" s="891" t="s">
        <v>1506</v>
      </c>
      <c r="C205" s="891" t="s">
        <v>282</v>
      </c>
      <c r="D205" s="891" t="s">
        <v>998</v>
      </c>
      <c r="E205" s="891" t="s">
        <v>1506</v>
      </c>
      <c r="F205" s="891" t="s">
        <v>282</v>
      </c>
      <c r="G205" s="897">
        <v>50.51</v>
      </c>
      <c r="H205" s="897">
        <v>72.11</v>
      </c>
      <c r="I205" s="897">
        <v>77.78</v>
      </c>
      <c r="J205" s="891"/>
      <c r="K205" s="891"/>
      <c r="L205" s="891"/>
      <c r="M205" s="891"/>
      <c r="N205" s="891"/>
      <c r="O205" s="891"/>
      <c r="P205" s="891"/>
      <c r="Q205" s="891"/>
      <c r="R205" s="891"/>
      <c r="S205" s="891"/>
      <c r="T205" s="891"/>
      <c r="U205" s="928"/>
      <c r="V205" s="928"/>
      <c r="W205" s="928"/>
      <c r="X205" s="928"/>
      <c r="Y205" s="928"/>
      <c r="Z205" s="928"/>
      <c r="AA205" s="928"/>
      <c r="AB205" s="928"/>
      <c r="AC205" s="928"/>
      <c r="AD205" s="928"/>
      <c r="AE205" s="928"/>
      <c r="AF205" s="928"/>
      <c r="AG205" s="928"/>
      <c r="AH205" s="928"/>
      <c r="AI205" s="928"/>
      <c r="AJ205" s="928"/>
      <c r="AK205" s="928"/>
      <c r="AL205" s="928"/>
      <c r="AM205" s="928"/>
      <c r="AN205" s="928"/>
      <c r="AO205" s="928"/>
      <c r="AP205" s="928"/>
      <c r="AQ205" s="928"/>
      <c r="AR205" s="928"/>
      <c r="AS205" s="928"/>
      <c r="AT205" s="928"/>
      <c r="AU205" s="928"/>
      <c r="AV205" s="928"/>
      <c r="AW205" s="928"/>
      <c r="AX205" s="928"/>
      <c r="AY205" s="928"/>
      <c r="AZ205" s="928"/>
      <c r="BA205" s="928"/>
      <c r="BB205" s="928"/>
      <c r="BC205" s="928"/>
      <c r="BD205" s="928"/>
      <c r="BE205" s="928"/>
      <c r="BF205" s="928"/>
      <c r="BG205" s="928"/>
      <c r="BH205" s="928"/>
      <c r="BI205" s="928"/>
      <c r="BJ205" s="928"/>
      <c r="BK205" s="928"/>
      <c r="BL205" s="928"/>
      <c r="BM205" s="928"/>
      <c r="BN205" s="928"/>
      <c r="BO205" s="928"/>
      <c r="BP205" s="928"/>
      <c r="BQ205" s="928"/>
      <c r="BR205" s="928"/>
      <c r="BS205" s="928"/>
      <c r="BT205" s="928"/>
      <c r="BU205" s="928"/>
      <c r="BV205" s="928"/>
      <c r="BW205" s="928"/>
      <c r="BX205" s="928"/>
      <c r="BY205" s="928"/>
      <c r="BZ205" s="928"/>
      <c r="CA205" s="928"/>
      <c r="CB205" s="928"/>
      <c r="CC205" s="928"/>
      <c r="CD205" s="928"/>
      <c r="CE205" s="928"/>
      <c r="CF205" s="928"/>
      <c r="CG205" s="928"/>
      <c r="CH205" s="928"/>
      <c r="CI205" s="928"/>
      <c r="CJ205" s="928"/>
      <c r="CK205" s="928"/>
      <c r="CL205" s="928"/>
      <c r="CM205" s="928"/>
      <c r="CN205" s="928"/>
      <c r="CO205" s="928"/>
      <c r="CP205" s="928"/>
      <c r="CQ205" s="928"/>
      <c r="CR205" s="928"/>
      <c r="CS205" s="928"/>
      <c r="CT205" s="928"/>
      <c r="CU205" s="928"/>
      <c r="CV205" s="928"/>
      <c r="CW205" s="928"/>
      <c r="CX205" s="928"/>
      <c r="CY205" s="928"/>
      <c r="CZ205" s="928"/>
      <c r="DA205" s="928"/>
      <c r="DB205" s="928"/>
      <c r="DC205" s="928"/>
      <c r="DD205" s="928"/>
      <c r="DE205" s="928"/>
      <c r="DF205" s="928"/>
      <c r="DG205" s="928"/>
      <c r="DH205" s="928"/>
    </row>
    <row r="206" spans="1:112">
      <c r="A206" s="891" t="s">
        <v>999</v>
      </c>
      <c r="B206" s="891" t="s">
        <v>1528</v>
      </c>
      <c r="C206" s="891" t="s">
        <v>201</v>
      </c>
      <c r="D206" s="891" t="s">
        <v>999</v>
      </c>
      <c r="E206" s="891" t="s">
        <v>1528</v>
      </c>
      <c r="F206" s="891" t="s">
        <v>201</v>
      </c>
      <c r="G206" s="897">
        <v>100.05</v>
      </c>
      <c r="H206" s="897">
        <v>103.84</v>
      </c>
      <c r="I206" s="897">
        <v>93.65</v>
      </c>
      <c r="J206" s="891"/>
      <c r="K206" s="891"/>
      <c r="L206" s="891"/>
      <c r="M206" s="891"/>
      <c r="N206" s="891"/>
      <c r="O206" s="891"/>
      <c r="P206" s="891"/>
      <c r="Q206" s="891"/>
      <c r="R206" s="891"/>
      <c r="S206" s="891"/>
      <c r="T206" s="891"/>
      <c r="U206" s="928"/>
      <c r="V206" s="928"/>
      <c r="W206" s="928"/>
      <c r="X206" s="928"/>
      <c r="Y206" s="928"/>
      <c r="Z206" s="928"/>
      <c r="AA206" s="928"/>
      <c r="AB206" s="928"/>
      <c r="AC206" s="928"/>
      <c r="AD206" s="928"/>
      <c r="AE206" s="928"/>
      <c r="AF206" s="928"/>
      <c r="AG206" s="928"/>
      <c r="AH206" s="928"/>
      <c r="AI206" s="928"/>
      <c r="AJ206" s="928"/>
      <c r="AK206" s="928"/>
      <c r="AL206" s="928"/>
      <c r="AM206" s="928"/>
      <c r="AN206" s="928"/>
      <c r="AO206" s="928"/>
      <c r="AP206" s="928"/>
      <c r="AQ206" s="928"/>
      <c r="AR206" s="928"/>
      <c r="AS206" s="928"/>
      <c r="AT206" s="928"/>
      <c r="AU206" s="928"/>
      <c r="AV206" s="928"/>
      <c r="AW206" s="928"/>
      <c r="AX206" s="928"/>
      <c r="AY206" s="928"/>
      <c r="AZ206" s="928"/>
      <c r="BA206" s="928"/>
      <c r="BB206" s="928"/>
      <c r="BC206" s="928"/>
      <c r="BD206" s="928"/>
      <c r="BE206" s="928"/>
      <c r="BF206" s="928"/>
      <c r="BG206" s="928"/>
      <c r="BH206" s="928"/>
      <c r="BI206" s="928"/>
      <c r="BJ206" s="928"/>
      <c r="BK206" s="928"/>
      <c r="BL206" s="928"/>
      <c r="BM206" s="928"/>
      <c r="BN206" s="928"/>
      <c r="BO206" s="928"/>
      <c r="BP206" s="928"/>
      <c r="BQ206" s="928"/>
      <c r="BR206" s="928"/>
      <c r="BS206" s="928"/>
      <c r="BT206" s="928"/>
      <c r="BU206" s="928"/>
      <c r="BV206" s="928"/>
      <c r="BW206" s="928"/>
      <c r="BX206" s="928"/>
      <c r="BY206" s="928"/>
      <c r="BZ206" s="928"/>
      <c r="CA206" s="928"/>
      <c r="CB206" s="928"/>
      <c r="CC206" s="928"/>
      <c r="CD206" s="928"/>
      <c r="CE206" s="928"/>
      <c r="CF206" s="928"/>
      <c r="CG206" s="928"/>
      <c r="CH206" s="928"/>
      <c r="CI206" s="928"/>
      <c r="CJ206" s="928"/>
      <c r="CK206" s="928"/>
      <c r="CL206" s="928"/>
      <c r="CM206" s="928"/>
      <c r="CN206" s="928"/>
      <c r="CO206" s="928"/>
      <c r="CP206" s="928"/>
      <c r="CQ206" s="928"/>
      <c r="CR206" s="928"/>
      <c r="CS206" s="928"/>
      <c r="CT206" s="928"/>
      <c r="CU206" s="928"/>
      <c r="CV206" s="928"/>
      <c r="CW206" s="928"/>
      <c r="CX206" s="928"/>
      <c r="CY206" s="928"/>
      <c r="CZ206" s="928"/>
      <c r="DA206" s="928"/>
      <c r="DB206" s="928"/>
      <c r="DC206" s="928"/>
      <c r="DD206" s="928"/>
      <c r="DE206" s="928"/>
      <c r="DF206" s="928"/>
      <c r="DG206" s="928"/>
      <c r="DH206" s="928"/>
    </row>
    <row r="207" spans="1:112">
      <c r="A207" s="891" t="s">
        <v>1000</v>
      </c>
      <c r="B207" s="891" t="s">
        <v>1471</v>
      </c>
      <c r="C207" s="891" t="s">
        <v>143</v>
      </c>
      <c r="D207" s="891" t="s">
        <v>1000</v>
      </c>
      <c r="E207" s="891" t="s">
        <v>1471</v>
      </c>
      <c r="F207" s="891" t="s">
        <v>143</v>
      </c>
      <c r="G207" s="897">
        <v>57.96</v>
      </c>
      <c r="H207" s="897">
        <v>63.43</v>
      </c>
      <c r="I207" s="897">
        <v>58.05</v>
      </c>
      <c r="J207" s="891"/>
      <c r="K207" s="891"/>
      <c r="L207" s="891"/>
      <c r="M207" s="891"/>
      <c r="N207" s="891"/>
      <c r="O207" s="891"/>
      <c r="P207" s="891"/>
      <c r="Q207" s="891"/>
      <c r="R207" s="891"/>
      <c r="S207" s="891"/>
      <c r="T207" s="891"/>
      <c r="U207" s="928"/>
      <c r="V207" s="928"/>
      <c r="W207" s="928"/>
      <c r="X207" s="928"/>
      <c r="Y207" s="928"/>
      <c r="Z207" s="928"/>
      <c r="AA207" s="928"/>
      <c r="AB207" s="928"/>
      <c r="AC207" s="928"/>
      <c r="AD207" s="928"/>
      <c r="AE207" s="928"/>
      <c r="AF207" s="928"/>
      <c r="AG207" s="928"/>
      <c r="AH207" s="928"/>
      <c r="AI207" s="928"/>
      <c r="AJ207" s="928"/>
      <c r="AK207" s="928"/>
      <c r="AL207" s="928"/>
      <c r="AM207" s="928"/>
      <c r="AN207" s="928"/>
      <c r="AO207" s="928"/>
      <c r="AP207" s="928"/>
      <c r="AQ207" s="928"/>
      <c r="AR207" s="928"/>
      <c r="AS207" s="928"/>
      <c r="AT207" s="928"/>
      <c r="AU207" s="928"/>
      <c r="AV207" s="928"/>
      <c r="AW207" s="928"/>
      <c r="AX207" s="928"/>
      <c r="AY207" s="928"/>
      <c r="AZ207" s="928"/>
      <c r="BA207" s="928"/>
      <c r="BB207" s="928"/>
      <c r="BC207" s="928"/>
      <c r="BD207" s="928"/>
      <c r="BE207" s="928"/>
      <c r="BF207" s="928"/>
      <c r="BG207" s="928"/>
      <c r="BH207" s="928"/>
      <c r="BI207" s="928"/>
      <c r="BJ207" s="928"/>
      <c r="BK207" s="928"/>
      <c r="BL207" s="928"/>
      <c r="BM207" s="928"/>
      <c r="BN207" s="928"/>
      <c r="BO207" s="928"/>
      <c r="BP207" s="928"/>
      <c r="BQ207" s="928"/>
      <c r="BR207" s="928"/>
      <c r="BS207" s="928"/>
      <c r="BT207" s="928"/>
      <c r="BU207" s="928"/>
      <c r="BV207" s="928"/>
      <c r="BW207" s="928"/>
      <c r="BX207" s="928"/>
      <c r="BY207" s="928"/>
      <c r="BZ207" s="928"/>
      <c r="CA207" s="928"/>
      <c r="CB207" s="928"/>
      <c r="CC207" s="928"/>
      <c r="CD207" s="928"/>
      <c r="CE207" s="928"/>
      <c r="CF207" s="928"/>
      <c r="CG207" s="928"/>
      <c r="CH207" s="928"/>
      <c r="CI207" s="928"/>
      <c r="CJ207" s="928"/>
      <c r="CK207" s="928"/>
      <c r="CL207" s="928"/>
      <c r="CM207" s="928"/>
      <c r="CN207" s="928"/>
      <c r="CO207" s="928"/>
      <c r="CP207" s="928"/>
      <c r="CQ207" s="928"/>
      <c r="CR207" s="928"/>
      <c r="CS207" s="928"/>
      <c r="CT207" s="928"/>
      <c r="CU207" s="928"/>
      <c r="CV207" s="928"/>
      <c r="CW207" s="928"/>
      <c r="CX207" s="928"/>
      <c r="CY207" s="928"/>
      <c r="CZ207" s="928"/>
      <c r="DA207" s="928"/>
      <c r="DB207" s="928"/>
      <c r="DC207" s="928"/>
      <c r="DD207" s="928"/>
      <c r="DE207" s="928"/>
      <c r="DF207" s="928"/>
      <c r="DG207" s="928"/>
      <c r="DH207" s="928"/>
    </row>
    <row r="208" spans="1:112">
      <c r="A208" s="891" t="s">
        <v>1001</v>
      </c>
      <c r="B208" s="891" t="s">
        <v>1529</v>
      </c>
      <c r="C208" s="891" t="s">
        <v>183</v>
      </c>
      <c r="D208" s="891" t="s">
        <v>1001</v>
      </c>
      <c r="E208" s="891" t="s">
        <v>1529</v>
      </c>
      <c r="F208" s="891" t="s">
        <v>183</v>
      </c>
      <c r="G208" s="897">
        <v>47.14</v>
      </c>
      <c r="H208" s="897">
        <v>25.49</v>
      </c>
      <c r="I208" s="897">
        <v>25.75</v>
      </c>
      <c r="J208" s="891"/>
      <c r="K208" s="891"/>
      <c r="L208" s="891"/>
      <c r="M208" s="891"/>
      <c r="N208" s="891"/>
      <c r="O208" s="891"/>
      <c r="P208" s="891"/>
      <c r="Q208" s="891"/>
      <c r="R208" s="891"/>
      <c r="S208" s="891"/>
      <c r="T208" s="891"/>
      <c r="U208" s="928"/>
      <c r="V208" s="928"/>
      <c r="W208" s="928"/>
      <c r="X208" s="928"/>
      <c r="Y208" s="928"/>
      <c r="Z208" s="928"/>
      <c r="AA208" s="928"/>
      <c r="AB208" s="928"/>
      <c r="AC208" s="928"/>
      <c r="AD208" s="928"/>
      <c r="AE208" s="928"/>
      <c r="AF208" s="928"/>
      <c r="AG208" s="928"/>
      <c r="AH208" s="928"/>
      <c r="AI208" s="928"/>
      <c r="AJ208" s="928"/>
      <c r="AK208" s="928"/>
      <c r="AL208" s="928"/>
      <c r="AM208" s="928"/>
      <c r="AN208" s="928"/>
      <c r="AO208" s="928"/>
      <c r="AP208" s="928"/>
      <c r="AQ208" s="928"/>
      <c r="AR208" s="928"/>
      <c r="AS208" s="928"/>
      <c r="AT208" s="928"/>
      <c r="AU208" s="928"/>
      <c r="AV208" s="928"/>
      <c r="AW208" s="928"/>
      <c r="AX208" s="928"/>
      <c r="AY208" s="928"/>
      <c r="AZ208" s="928"/>
      <c r="BA208" s="928"/>
      <c r="BB208" s="928"/>
      <c r="BC208" s="928"/>
      <c r="BD208" s="928"/>
      <c r="BE208" s="928"/>
      <c r="BF208" s="928"/>
      <c r="BG208" s="928"/>
      <c r="BH208" s="928"/>
      <c r="BI208" s="928"/>
      <c r="BJ208" s="928"/>
      <c r="BK208" s="928"/>
      <c r="BL208" s="928"/>
      <c r="BM208" s="928"/>
      <c r="BN208" s="928"/>
      <c r="BO208" s="928"/>
      <c r="BP208" s="928"/>
      <c r="BQ208" s="928"/>
      <c r="BR208" s="928"/>
      <c r="BS208" s="928"/>
      <c r="BT208" s="928"/>
      <c r="BU208" s="928"/>
      <c r="BV208" s="928"/>
      <c r="BW208" s="928"/>
      <c r="BX208" s="928"/>
      <c r="BY208" s="928"/>
      <c r="BZ208" s="928"/>
      <c r="CA208" s="928"/>
      <c r="CB208" s="928"/>
      <c r="CC208" s="928"/>
      <c r="CD208" s="928"/>
      <c r="CE208" s="928"/>
      <c r="CF208" s="928"/>
      <c r="CG208" s="928"/>
      <c r="CH208" s="928"/>
      <c r="CI208" s="928"/>
      <c r="CJ208" s="928"/>
      <c r="CK208" s="928"/>
      <c r="CL208" s="928"/>
      <c r="CM208" s="928"/>
      <c r="CN208" s="928"/>
      <c r="CO208" s="928"/>
      <c r="CP208" s="928"/>
      <c r="CQ208" s="928"/>
      <c r="CR208" s="928"/>
      <c r="CS208" s="928"/>
      <c r="CT208" s="928"/>
      <c r="CU208" s="928"/>
      <c r="CV208" s="928"/>
      <c r="CW208" s="928"/>
      <c r="CX208" s="928"/>
      <c r="CY208" s="928"/>
      <c r="CZ208" s="928"/>
      <c r="DA208" s="928"/>
      <c r="DB208" s="928"/>
      <c r="DC208" s="928"/>
      <c r="DD208" s="928"/>
      <c r="DE208" s="928"/>
      <c r="DF208" s="928"/>
      <c r="DG208" s="928"/>
      <c r="DH208" s="928"/>
    </row>
    <row r="209" spans="1:112">
      <c r="A209" s="891" t="s">
        <v>1002</v>
      </c>
      <c r="B209" s="891" t="s">
        <v>1453</v>
      </c>
      <c r="C209" s="891" t="s">
        <v>375</v>
      </c>
      <c r="D209" s="891" t="s">
        <v>1002</v>
      </c>
      <c r="E209" s="891" t="s">
        <v>1453</v>
      </c>
      <c r="F209" s="891" t="s">
        <v>375</v>
      </c>
      <c r="G209" s="897">
        <v>66.400000000000006</v>
      </c>
      <c r="H209" s="897">
        <v>51.98</v>
      </c>
      <c r="I209" s="897">
        <v>62.42</v>
      </c>
      <c r="J209" s="891"/>
      <c r="K209" s="891"/>
      <c r="L209" s="891"/>
      <c r="M209" s="891"/>
      <c r="N209" s="891"/>
      <c r="O209" s="891"/>
      <c r="P209" s="891"/>
      <c r="Q209" s="891"/>
      <c r="R209" s="891"/>
      <c r="S209" s="891"/>
      <c r="T209" s="891"/>
      <c r="U209" s="928"/>
      <c r="V209" s="928"/>
      <c r="W209" s="928"/>
      <c r="X209" s="928"/>
      <c r="Y209" s="928"/>
      <c r="Z209" s="928"/>
      <c r="AA209" s="928"/>
      <c r="AB209" s="928"/>
      <c r="AC209" s="928"/>
      <c r="AD209" s="928"/>
      <c r="AE209" s="928"/>
      <c r="AF209" s="928"/>
      <c r="AG209" s="928"/>
      <c r="AH209" s="928"/>
      <c r="AI209" s="928"/>
      <c r="AJ209" s="928"/>
      <c r="AK209" s="928"/>
      <c r="AL209" s="928"/>
      <c r="AM209" s="928"/>
      <c r="AN209" s="928"/>
      <c r="AO209" s="928"/>
      <c r="AP209" s="928"/>
      <c r="AQ209" s="928"/>
      <c r="AR209" s="928"/>
      <c r="AS209" s="928"/>
      <c r="AT209" s="928"/>
      <c r="AU209" s="928"/>
      <c r="AV209" s="928"/>
      <c r="AW209" s="928"/>
      <c r="AX209" s="928"/>
      <c r="AY209" s="928"/>
      <c r="AZ209" s="928"/>
      <c r="BA209" s="928"/>
      <c r="BB209" s="928"/>
      <c r="BC209" s="928"/>
      <c r="BD209" s="928"/>
      <c r="BE209" s="928"/>
      <c r="BF209" s="928"/>
      <c r="BG209" s="928"/>
      <c r="BH209" s="928"/>
      <c r="BI209" s="928"/>
      <c r="BJ209" s="928"/>
      <c r="BK209" s="928"/>
      <c r="BL209" s="928"/>
      <c r="BM209" s="928"/>
      <c r="BN209" s="928"/>
      <c r="BO209" s="928"/>
      <c r="BP209" s="928"/>
      <c r="BQ209" s="928"/>
      <c r="BR209" s="928"/>
      <c r="BS209" s="928"/>
      <c r="BT209" s="928"/>
      <c r="BU209" s="928"/>
      <c r="BV209" s="928"/>
      <c r="BW209" s="928"/>
      <c r="BX209" s="928"/>
      <c r="BY209" s="928"/>
      <c r="BZ209" s="928"/>
      <c r="CA209" s="928"/>
      <c r="CB209" s="928"/>
      <c r="CC209" s="928"/>
      <c r="CD209" s="928"/>
      <c r="CE209" s="928"/>
      <c r="CF209" s="928"/>
      <c r="CG209" s="928"/>
      <c r="CH209" s="928"/>
      <c r="CI209" s="928"/>
      <c r="CJ209" s="928"/>
      <c r="CK209" s="928"/>
      <c r="CL209" s="928"/>
      <c r="CM209" s="928"/>
      <c r="CN209" s="928"/>
      <c r="CO209" s="928"/>
      <c r="CP209" s="928"/>
      <c r="CQ209" s="928"/>
      <c r="CR209" s="928"/>
      <c r="CS209" s="928"/>
      <c r="CT209" s="928"/>
      <c r="CU209" s="928"/>
      <c r="CV209" s="928"/>
      <c r="CW209" s="928"/>
      <c r="CX209" s="928"/>
      <c r="CY209" s="928"/>
      <c r="CZ209" s="928"/>
      <c r="DA209" s="928"/>
      <c r="DB209" s="928"/>
      <c r="DC209" s="928"/>
      <c r="DD209" s="928"/>
      <c r="DE209" s="928"/>
      <c r="DF209" s="928"/>
      <c r="DG209" s="928"/>
      <c r="DH209" s="928"/>
    </row>
    <row r="210" spans="1:112">
      <c r="A210" s="891" t="s">
        <v>1003</v>
      </c>
      <c r="B210" s="891" t="s">
        <v>1478</v>
      </c>
      <c r="C210" s="891" t="s">
        <v>87</v>
      </c>
      <c r="D210" s="891" t="s">
        <v>1003</v>
      </c>
      <c r="E210" s="891" t="s">
        <v>1478</v>
      </c>
      <c r="F210" s="891" t="s">
        <v>87</v>
      </c>
      <c r="G210" s="897">
        <v>98.88</v>
      </c>
      <c r="H210" s="897">
        <v>96.05</v>
      </c>
      <c r="I210" s="897">
        <v>82.3</v>
      </c>
      <c r="J210" s="891"/>
      <c r="K210" s="891"/>
      <c r="L210" s="891"/>
      <c r="M210" s="891"/>
      <c r="N210" s="891"/>
      <c r="O210" s="891"/>
      <c r="P210" s="891"/>
      <c r="Q210" s="891"/>
      <c r="R210" s="891"/>
      <c r="S210" s="891"/>
      <c r="T210" s="891"/>
      <c r="U210" s="928"/>
      <c r="V210" s="928"/>
      <c r="W210" s="928"/>
      <c r="X210" s="928"/>
      <c r="Y210" s="928"/>
      <c r="Z210" s="928"/>
      <c r="AA210" s="928"/>
      <c r="AB210" s="928"/>
      <c r="AC210" s="928"/>
      <c r="AD210" s="928"/>
      <c r="AE210" s="928"/>
      <c r="AF210" s="928"/>
      <c r="AG210" s="928"/>
      <c r="AH210" s="928"/>
      <c r="AI210" s="928"/>
      <c r="AJ210" s="928"/>
      <c r="AK210" s="928"/>
      <c r="AL210" s="928"/>
      <c r="AM210" s="928"/>
      <c r="AN210" s="928"/>
      <c r="AO210" s="928"/>
      <c r="AP210" s="928"/>
      <c r="AQ210" s="928"/>
      <c r="AR210" s="928"/>
      <c r="AS210" s="928"/>
      <c r="AT210" s="928"/>
      <c r="AU210" s="928"/>
      <c r="AV210" s="928"/>
      <c r="AW210" s="928"/>
      <c r="AX210" s="928"/>
      <c r="AY210" s="928"/>
      <c r="AZ210" s="928"/>
      <c r="BA210" s="928"/>
      <c r="BB210" s="928"/>
      <c r="BC210" s="928"/>
      <c r="BD210" s="928"/>
      <c r="BE210" s="928"/>
      <c r="BF210" s="928"/>
      <c r="BG210" s="928"/>
      <c r="BH210" s="928"/>
      <c r="BI210" s="928"/>
      <c r="BJ210" s="928"/>
      <c r="BK210" s="928"/>
      <c r="BL210" s="928"/>
      <c r="BM210" s="928"/>
      <c r="BN210" s="928"/>
      <c r="BO210" s="928"/>
      <c r="BP210" s="928"/>
      <c r="BQ210" s="928"/>
      <c r="BR210" s="928"/>
      <c r="BS210" s="928"/>
      <c r="BT210" s="928"/>
      <c r="BU210" s="928"/>
      <c r="BV210" s="928"/>
      <c r="BW210" s="928"/>
      <c r="BX210" s="928"/>
      <c r="BY210" s="928"/>
      <c r="BZ210" s="928"/>
      <c r="CA210" s="928"/>
      <c r="CB210" s="928"/>
      <c r="CC210" s="928"/>
      <c r="CD210" s="928"/>
      <c r="CE210" s="928"/>
      <c r="CF210" s="928"/>
      <c r="CG210" s="928"/>
      <c r="CH210" s="928"/>
      <c r="CI210" s="928"/>
      <c r="CJ210" s="928"/>
      <c r="CK210" s="928"/>
      <c r="CL210" s="928"/>
      <c r="CM210" s="928"/>
      <c r="CN210" s="928"/>
      <c r="CO210" s="928"/>
      <c r="CP210" s="928"/>
      <c r="CQ210" s="928"/>
      <c r="CR210" s="928"/>
      <c r="CS210" s="928"/>
      <c r="CT210" s="928"/>
      <c r="CU210" s="928"/>
      <c r="CV210" s="928"/>
      <c r="CW210" s="928"/>
      <c r="CX210" s="928"/>
      <c r="CY210" s="928"/>
      <c r="CZ210" s="928"/>
      <c r="DA210" s="928"/>
      <c r="DB210" s="928"/>
      <c r="DC210" s="928"/>
      <c r="DD210" s="928"/>
      <c r="DE210" s="928"/>
      <c r="DF210" s="928"/>
      <c r="DG210" s="928"/>
      <c r="DH210" s="928"/>
    </row>
    <row r="211" spans="1:112">
      <c r="A211" s="891" t="s">
        <v>1004</v>
      </c>
      <c r="B211" s="891" t="s">
        <v>747</v>
      </c>
      <c r="C211" s="891" t="s">
        <v>268</v>
      </c>
      <c r="D211" s="891" t="s">
        <v>1004</v>
      </c>
      <c r="E211" s="891" t="s">
        <v>747</v>
      </c>
      <c r="F211" s="891" t="s">
        <v>268</v>
      </c>
      <c r="G211" s="897">
        <v>47.68</v>
      </c>
      <c r="H211" s="897">
        <v>36.53</v>
      </c>
      <c r="I211" s="897">
        <v>40.43</v>
      </c>
      <c r="J211" s="891"/>
      <c r="K211" s="891"/>
      <c r="L211" s="891"/>
      <c r="M211" s="891"/>
      <c r="N211" s="891"/>
      <c r="O211" s="891"/>
      <c r="P211" s="891"/>
      <c r="Q211" s="891"/>
      <c r="R211" s="891"/>
      <c r="S211" s="891"/>
      <c r="T211" s="891"/>
      <c r="U211" s="928"/>
      <c r="V211" s="928"/>
      <c r="W211" s="928"/>
      <c r="X211" s="928"/>
      <c r="Y211" s="928"/>
      <c r="Z211" s="928"/>
      <c r="AA211" s="928"/>
      <c r="AB211" s="928"/>
      <c r="AC211" s="928"/>
      <c r="AD211" s="928"/>
      <c r="AE211" s="928"/>
      <c r="AF211" s="928"/>
      <c r="AG211" s="928"/>
      <c r="AH211" s="928"/>
      <c r="AI211" s="928"/>
      <c r="AJ211" s="928"/>
      <c r="AK211" s="928"/>
      <c r="AL211" s="928"/>
      <c r="AM211" s="928"/>
      <c r="AN211" s="928"/>
      <c r="AO211" s="928"/>
      <c r="AP211" s="928"/>
      <c r="AQ211" s="928"/>
      <c r="AR211" s="928"/>
      <c r="AS211" s="928"/>
      <c r="AT211" s="928"/>
      <c r="AU211" s="928"/>
      <c r="AV211" s="928"/>
      <c r="AW211" s="928"/>
      <c r="AX211" s="928"/>
      <c r="AY211" s="928"/>
      <c r="AZ211" s="928"/>
      <c r="BA211" s="928"/>
      <c r="BB211" s="928"/>
      <c r="BC211" s="928"/>
      <c r="BD211" s="928"/>
      <c r="BE211" s="928"/>
      <c r="BF211" s="928"/>
      <c r="BG211" s="928"/>
      <c r="BH211" s="928"/>
      <c r="BI211" s="928"/>
      <c r="BJ211" s="928"/>
      <c r="BK211" s="928"/>
      <c r="BL211" s="928"/>
      <c r="BM211" s="928"/>
      <c r="BN211" s="928"/>
      <c r="BO211" s="928"/>
      <c r="BP211" s="928"/>
      <c r="BQ211" s="928"/>
      <c r="BR211" s="928"/>
      <c r="BS211" s="928"/>
      <c r="BT211" s="928"/>
      <c r="BU211" s="928"/>
      <c r="BV211" s="928"/>
      <c r="BW211" s="928"/>
      <c r="BX211" s="928"/>
      <c r="BY211" s="928"/>
      <c r="BZ211" s="928"/>
      <c r="CA211" s="928"/>
      <c r="CB211" s="928"/>
      <c r="CC211" s="928"/>
      <c r="CD211" s="928"/>
      <c r="CE211" s="928"/>
      <c r="CF211" s="928"/>
      <c r="CG211" s="928"/>
      <c r="CH211" s="928"/>
      <c r="CI211" s="928"/>
      <c r="CJ211" s="928"/>
      <c r="CK211" s="928"/>
      <c r="CL211" s="928"/>
      <c r="CM211" s="928"/>
      <c r="CN211" s="928"/>
      <c r="CO211" s="928"/>
      <c r="CP211" s="928"/>
      <c r="CQ211" s="928"/>
      <c r="CR211" s="928"/>
      <c r="CS211" s="928"/>
      <c r="CT211" s="928"/>
      <c r="CU211" s="928"/>
      <c r="CV211" s="928"/>
      <c r="CW211" s="928"/>
      <c r="CX211" s="928"/>
      <c r="CY211" s="928"/>
      <c r="CZ211" s="928"/>
      <c r="DA211" s="928"/>
      <c r="DB211" s="928"/>
      <c r="DC211" s="928"/>
      <c r="DD211" s="928"/>
      <c r="DE211" s="928"/>
      <c r="DF211" s="928"/>
      <c r="DG211" s="928"/>
      <c r="DH211" s="928"/>
    </row>
    <row r="212" spans="1:112">
      <c r="A212" s="891" t="s">
        <v>1005</v>
      </c>
      <c r="B212" s="891" t="s">
        <v>1453</v>
      </c>
      <c r="C212" s="891" t="s">
        <v>393</v>
      </c>
      <c r="D212" s="891" t="s">
        <v>1005</v>
      </c>
      <c r="E212" s="891" t="s">
        <v>1453</v>
      </c>
      <c r="F212" s="891" t="s">
        <v>393</v>
      </c>
      <c r="G212" s="897">
        <v>114.91</v>
      </c>
      <c r="H212" s="897">
        <v>95.77</v>
      </c>
      <c r="I212" s="897">
        <v>104.48</v>
      </c>
      <c r="J212" s="891"/>
      <c r="K212" s="891"/>
      <c r="L212" s="891"/>
      <c r="M212" s="891"/>
      <c r="N212" s="891"/>
      <c r="O212" s="891"/>
      <c r="P212" s="891"/>
      <c r="Q212" s="891"/>
      <c r="R212" s="891"/>
      <c r="S212" s="891"/>
      <c r="T212" s="891"/>
      <c r="U212" s="928"/>
      <c r="V212" s="928"/>
      <c r="W212" s="928"/>
      <c r="X212" s="928"/>
      <c r="Y212" s="928"/>
      <c r="Z212" s="928"/>
      <c r="AA212" s="928"/>
      <c r="AB212" s="928"/>
      <c r="AC212" s="928"/>
      <c r="AD212" s="928"/>
      <c r="AE212" s="928"/>
      <c r="AF212" s="928"/>
      <c r="AG212" s="928"/>
      <c r="AH212" s="928"/>
      <c r="AI212" s="928"/>
      <c r="AJ212" s="928"/>
      <c r="AK212" s="928"/>
      <c r="AL212" s="928"/>
      <c r="AM212" s="928"/>
      <c r="AN212" s="928"/>
      <c r="AO212" s="928"/>
      <c r="AP212" s="928"/>
      <c r="AQ212" s="928"/>
      <c r="AR212" s="928"/>
      <c r="AS212" s="928"/>
      <c r="AT212" s="928"/>
      <c r="AU212" s="928"/>
      <c r="AV212" s="928"/>
      <c r="AW212" s="928"/>
      <c r="AX212" s="928"/>
      <c r="AY212" s="928"/>
      <c r="AZ212" s="928"/>
      <c r="BA212" s="928"/>
      <c r="BB212" s="928"/>
      <c r="BC212" s="928"/>
      <c r="BD212" s="928"/>
      <c r="BE212" s="928"/>
      <c r="BF212" s="928"/>
      <c r="BG212" s="928"/>
      <c r="BH212" s="928"/>
      <c r="BI212" s="928"/>
      <c r="BJ212" s="928"/>
      <c r="BK212" s="928"/>
      <c r="BL212" s="928"/>
      <c r="BM212" s="928"/>
      <c r="BN212" s="928"/>
      <c r="BO212" s="928"/>
      <c r="BP212" s="928"/>
      <c r="BQ212" s="928"/>
      <c r="BR212" s="928"/>
      <c r="BS212" s="928"/>
      <c r="BT212" s="928"/>
      <c r="BU212" s="928"/>
      <c r="BV212" s="928"/>
      <c r="BW212" s="928"/>
      <c r="BX212" s="928"/>
      <c r="BY212" s="928"/>
      <c r="BZ212" s="928"/>
      <c r="CA212" s="928"/>
      <c r="CB212" s="928"/>
      <c r="CC212" s="928"/>
      <c r="CD212" s="928"/>
      <c r="CE212" s="928"/>
      <c r="CF212" s="928"/>
      <c r="CG212" s="928"/>
      <c r="CH212" s="928"/>
      <c r="CI212" s="928"/>
      <c r="CJ212" s="928"/>
      <c r="CK212" s="928"/>
      <c r="CL212" s="928"/>
      <c r="CM212" s="928"/>
      <c r="CN212" s="928"/>
      <c r="CO212" s="928"/>
      <c r="CP212" s="928"/>
      <c r="CQ212" s="928"/>
      <c r="CR212" s="928"/>
      <c r="CS212" s="928"/>
      <c r="CT212" s="928"/>
      <c r="CU212" s="928"/>
      <c r="CV212" s="928"/>
      <c r="CW212" s="928"/>
      <c r="CX212" s="928"/>
      <c r="CY212" s="928"/>
      <c r="CZ212" s="928"/>
      <c r="DA212" s="928"/>
      <c r="DB212" s="928"/>
      <c r="DC212" s="928"/>
      <c r="DD212" s="928"/>
      <c r="DE212" s="928"/>
      <c r="DF212" s="928"/>
      <c r="DG212" s="928"/>
      <c r="DH212" s="928"/>
    </row>
    <row r="213" spans="1:112">
      <c r="A213" s="891" t="s">
        <v>1006</v>
      </c>
      <c r="B213" s="891" t="s">
        <v>1530</v>
      </c>
      <c r="C213" s="891" t="s">
        <v>276</v>
      </c>
      <c r="D213" s="891" t="s">
        <v>1006</v>
      </c>
      <c r="E213" s="891" t="s">
        <v>1530</v>
      </c>
      <c r="F213" s="891" t="s">
        <v>276</v>
      </c>
      <c r="G213" s="897">
        <v>54.56</v>
      </c>
      <c r="H213" s="897">
        <v>37.130000000000003</v>
      </c>
      <c r="I213" s="897">
        <v>41.21</v>
      </c>
      <c r="J213" s="891"/>
      <c r="K213" s="891"/>
      <c r="L213" s="891"/>
      <c r="M213" s="891"/>
      <c r="N213" s="891"/>
      <c r="O213" s="891"/>
      <c r="P213" s="891"/>
      <c r="Q213" s="891"/>
      <c r="R213" s="891"/>
      <c r="S213" s="891"/>
      <c r="T213" s="891"/>
      <c r="U213" s="928"/>
      <c r="V213" s="928"/>
      <c r="W213" s="928"/>
      <c r="X213" s="928"/>
      <c r="Y213" s="928"/>
      <c r="Z213" s="928"/>
      <c r="AA213" s="928"/>
      <c r="AB213" s="928"/>
      <c r="AC213" s="928"/>
      <c r="AD213" s="928"/>
      <c r="AE213" s="928"/>
      <c r="AF213" s="928"/>
      <c r="AG213" s="928"/>
      <c r="AH213" s="928"/>
      <c r="AI213" s="928"/>
      <c r="AJ213" s="928"/>
      <c r="AK213" s="928"/>
      <c r="AL213" s="928"/>
      <c r="AM213" s="928"/>
      <c r="AN213" s="928"/>
      <c r="AO213" s="928"/>
      <c r="AP213" s="928"/>
      <c r="AQ213" s="928"/>
      <c r="AR213" s="928"/>
      <c r="AS213" s="928"/>
      <c r="AT213" s="928"/>
      <c r="AU213" s="928"/>
      <c r="AV213" s="928"/>
      <c r="AW213" s="928"/>
      <c r="AX213" s="928"/>
      <c r="AY213" s="928"/>
      <c r="AZ213" s="928"/>
      <c r="BA213" s="928"/>
      <c r="BB213" s="928"/>
      <c r="BC213" s="928"/>
      <c r="BD213" s="928"/>
      <c r="BE213" s="928"/>
      <c r="BF213" s="928"/>
      <c r="BG213" s="928"/>
      <c r="BH213" s="928"/>
      <c r="BI213" s="928"/>
      <c r="BJ213" s="928"/>
      <c r="BK213" s="928"/>
      <c r="BL213" s="928"/>
      <c r="BM213" s="928"/>
      <c r="BN213" s="928"/>
      <c r="BO213" s="928"/>
      <c r="BP213" s="928"/>
      <c r="BQ213" s="928"/>
      <c r="BR213" s="928"/>
      <c r="BS213" s="928"/>
      <c r="BT213" s="928"/>
      <c r="BU213" s="928"/>
      <c r="BV213" s="928"/>
      <c r="BW213" s="928"/>
      <c r="BX213" s="928"/>
      <c r="BY213" s="928"/>
      <c r="BZ213" s="928"/>
      <c r="CA213" s="928"/>
      <c r="CB213" s="928"/>
      <c r="CC213" s="928"/>
      <c r="CD213" s="928"/>
      <c r="CE213" s="928"/>
      <c r="CF213" s="928"/>
      <c r="CG213" s="928"/>
      <c r="CH213" s="928"/>
      <c r="CI213" s="928"/>
      <c r="CJ213" s="928"/>
      <c r="CK213" s="928"/>
      <c r="CL213" s="928"/>
      <c r="CM213" s="928"/>
      <c r="CN213" s="928"/>
      <c r="CO213" s="928"/>
      <c r="CP213" s="928"/>
      <c r="CQ213" s="928"/>
      <c r="CR213" s="928"/>
      <c r="CS213" s="928"/>
      <c r="CT213" s="928"/>
      <c r="CU213" s="928"/>
      <c r="CV213" s="928"/>
      <c r="CW213" s="928"/>
      <c r="CX213" s="928"/>
      <c r="CY213" s="928"/>
      <c r="CZ213" s="928"/>
      <c r="DA213" s="928"/>
      <c r="DB213" s="928"/>
      <c r="DC213" s="928"/>
      <c r="DD213" s="928"/>
      <c r="DE213" s="928"/>
      <c r="DF213" s="928"/>
      <c r="DG213" s="928"/>
      <c r="DH213" s="928"/>
    </row>
    <row r="214" spans="1:112">
      <c r="A214" s="891" t="s">
        <v>1007</v>
      </c>
      <c r="B214" s="891" t="s">
        <v>1505</v>
      </c>
      <c r="C214" s="891" t="s">
        <v>103</v>
      </c>
      <c r="D214" s="891" t="s">
        <v>1007</v>
      </c>
      <c r="E214" s="891" t="s">
        <v>1505</v>
      </c>
      <c r="F214" s="891" t="s">
        <v>103</v>
      </c>
      <c r="G214" s="897">
        <v>52.42</v>
      </c>
      <c r="H214" s="897">
        <v>40.42</v>
      </c>
      <c r="I214" s="897">
        <v>54.02</v>
      </c>
      <c r="J214" s="891"/>
      <c r="K214" s="891"/>
      <c r="L214" s="891"/>
      <c r="M214" s="891"/>
      <c r="N214" s="891"/>
      <c r="O214" s="891"/>
      <c r="P214" s="891"/>
      <c r="Q214" s="891"/>
      <c r="R214" s="891"/>
      <c r="S214" s="891"/>
      <c r="T214" s="891"/>
      <c r="U214" s="928"/>
      <c r="V214" s="928"/>
      <c r="W214" s="928"/>
      <c r="X214" s="928"/>
      <c r="Y214" s="928"/>
      <c r="Z214" s="928"/>
      <c r="AA214" s="928"/>
      <c r="AB214" s="928"/>
      <c r="AC214" s="928"/>
      <c r="AD214" s="928"/>
      <c r="AE214" s="928"/>
      <c r="AF214" s="928"/>
      <c r="AG214" s="928"/>
      <c r="AH214" s="928"/>
      <c r="AI214" s="928"/>
      <c r="AJ214" s="928"/>
      <c r="AK214" s="928"/>
      <c r="AL214" s="928"/>
      <c r="AM214" s="928"/>
      <c r="AN214" s="928"/>
      <c r="AO214" s="928"/>
      <c r="AP214" s="928"/>
      <c r="AQ214" s="928"/>
      <c r="AR214" s="928"/>
      <c r="AS214" s="928"/>
      <c r="AT214" s="928"/>
      <c r="AU214" s="928"/>
      <c r="AV214" s="928"/>
      <c r="AW214" s="928"/>
      <c r="AX214" s="928"/>
      <c r="AY214" s="928"/>
      <c r="AZ214" s="928"/>
      <c r="BA214" s="928"/>
      <c r="BB214" s="928"/>
      <c r="BC214" s="928"/>
      <c r="BD214" s="928"/>
      <c r="BE214" s="928"/>
      <c r="BF214" s="928"/>
      <c r="BG214" s="928"/>
      <c r="BH214" s="928"/>
      <c r="BI214" s="928"/>
      <c r="BJ214" s="928"/>
      <c r="BK214" s="928"/>
      <c r="BL214" s="928"/>
      <c r="BM214" s="928"/>
      <c r="BN214" s="928"/>
      <c r="BO214" s="928"/>
      <c r="BP214" s="928"/>
      <c r="BQ214" s="928"/>
      <c r="BR214" s="928"/>
      <c r="BS214" s="928"/>
      <c r="BT214" s="928"/>
      <c r="BU214" s="928"/>
      <c r="BV214" s="928"/>
      <c r="BW214" s="928"/>
      <c r="BX214" s="928"/>
      <c r="BY214" s="928"/>
      <c r="BZ214" s="928"/>
      <c r="CA214" s="928"/>
      <c r="CB214" s="928"/>
      <c r="CC214" s="928"/>
      <c r="CD214" s="928"/>
      <c r="CE214" s="928"/>
      <c r="CF214" s="928"/>
      <c r="CG214" s="928"/>
      <c r="CH214" s="928"/>
      <c r="CI214" s="928"/>
      <c r="CJ214" s="928"/>
      <c r="CK214" s="928"/>
      <c r="CL214" s="928"/>
      <c r="CM214" s="928"/>
      <c r="CN214" s="928"/>
      <c r="CO214" s="928"/>
      <c r="CP214" s="928"/>
      <c r="CQ214" s="928"/>
      <c r="CR214" s="928"/>
      <c r="CS214" s="928"/>
      <c r="CT214" s="928"/>
      <c r="CU214" s="928"/>
      <c r="CV214" s="928"/>
      <c r="CW214" s="928"/>
      <c r="CX214" s="928"/>
      <c r="CY214" s="928"/>
      <c r="CZ214" s="928"/>
      <c r="DA214" s="928"/>
      <c r="DB214" s="928"/>
      <c r="DC214" s="928"/>
      <c r="DD214" s="928"/>
      <c r="DE214" s="928"/>
      <c r="DF214" s="928"/>
      <c r="DG214" s="928"/>
      <c r="DH214" s="928"/>
    </row>
    <row r="215" spans="1:112">
      <c r="A215" s="891" t="s">
        <v>1008</v>
      </c>
      <c r="B215" s="891" t="s">
        <v>1476</v>
      </c>
      <c r="C215" s="891" t="s">
        <v>134</v>
      </c>
      <c r="D215" s="891" t="s">
        <v>1008</v>
      </c>
      <c r="E215" s="891" t="s">
        <v>1476</v>
      </c>
      <c r="F215" s="891" t="s">
        <v>134</v>
      </c>
      <c r="G215" s="897">
        <v>90.57</v>
      </c>
      <c r="H215" s="897">
        <v>83.02</v>
      </c>
      <c r="I215" s="897">
        <v>108.1</v>
      </c>
      <c r="J215" s="891"/>
      <c r="K215" s="891"/>
      <c r="L215" s="891"/>
      <c r="M215" s="891"/>
      <c r="N215" s="891"/>
      <c r="O215" s="891"/>
      <c r="P215" s="891"/>
      <c r="Q215" s="891"/>
      <c r="R215" s="891"/>
      <c r="S215" s="891"/>
      <c r="T215" s="891"/>
      <c r="U215" s="928"/>
      <c r="V215" s="928"/>
      <c r="W215" s="928"/>
      <c r="X215" s="928"/>
      <c r="Y215" s="928"/>
      <c r="Z215" s="928"/>
      <c r="AA215" s="928"/>
      <c r="AB215" s="928"/>
      <c r="AC215" s="928"/>
      <c r="AD215" s="928"/>
      <c r="AE215" s="928"/>
      <c r="AF215" s="928"/>
      <c r="AG215" s="928"/>
      <c r="AH215" s="928"/>
      <c r="AI215" s="928"/>
      <c r="AJ215" s="928"/>
      <c r="AK215" s="928"/>
      <c r="AL215" s="928"/>
      <c r="AM215" s="928"/>
      <c r="AN215" s="928"/>
      <c r="AO215" s="928"/>
      <c r="AP215" s="928"/>
      <c r="AQ215" s="928"/>
      <c r="AR215" s="928"/>
      <c r="AS215" s="928"/>
      <c r="AT215" s="928"/>
      <c r="AU215" s="928"/>
      <c r="AV215" s="928"/>
      <c r="AW215" s="928"/>
      <c r="AX215" s="928"/>
      <c r="AY215" s="928"/>
      <c r="AZ215" s="928"/>
      <c r="BA215" s="928"/>
      <c r="BB215" s="928"/>
      <c r="BC215" s="928"/>
      <c r="BD215" s="928"/>
      <c r="BE215" s="928"/>
      <c r="BF215" s="928"/>
      <c r="BG215" s="928"/>
      <c r="BH215" s="928"/>
      <c r="BI215" s="928"/>
      <c r="BJ215" s="928"/>
      <c r="BK215" s="928"/>
      <c r="BL215" s="928"/>
      <c r="BM215" s="928"/>
      <c r="BN215" s="928"/>
      <c r="BO215" s="928"/>
      <c r="BP215" s="928"/>
      <c r="BQ215" s="928"/>
      <c r="BR215" s="928"/>
      <c r="BS215" s="928"/>
      <c r="BT215" s="928"/>
      <c r="BU215" s="928"/>
      <c r="BV215" s="928"/>
      <c r="BW215" s="928"/>
      <c r="BX215" s="928"/>
      <c r="BY215" s="928"/>
      <c r="BZ215" s="928"/>
      <c r="CA215" s="928"/>
      <c r="CB215" s="928"/>
      <c r="CC215" s="928"/>
      <c r="CD215" s="928"/>
      <c r="CE215" s="928"/>
      <c r="CF215" s="928"/>
      <c r="CG215" s="928"/>
      <c r="CH215" s="928"/>
      <c r="CI215" s="928"/>
      <c r="CJ215" s="928"/>
      <c r="CK215" s="928"/>
      <c r="CL215" s="928"/>
      <c r="CM215" s="928"/>
      <c r="CN215" s="928"/>
      <c r="CO215" s="928"/>
      <c r="CP215" s="928"/>
      <c r="CQ215" s="928"/>
      <c r="CR215" s="928"/>
      <c r="CS215" s="928"/>
      <c r="CT215" s="928"/>
      <c r="CU215" s="928"/>
      <c r="CV215" s="928"/>
      <c r="CW215" s="928"/>
      <c r="CX215" s="928"/>
      <c r="CY215" s="928"/>
      <c r="CZ215" s="928"/>
      <c r="DA215" s="928"/>
      <c r="DB215" s="928"/>
      <c r="DC215" s="928"/>
      <c r="DD215" s="928"/>
      <c r="DE215" s="928"/>
      <c r="DF215" s="928"/>
      <c r="DG215" s="928"/>
      <c r="DH215" s="928"/>
    </row>
    <row r="216" spans="1:112">
      <c r="A216" s="891" t="s">
        <v>1009</v>
      </c>
      <c r="B216" s="891" t="s">
        <v>1454</v>
      </c>
      <c r="C216" s="891" t="s">
        <v>195</v>
      </c>
      <c r="D216" s="891" t="s">
        <v>1009</v>
      </c>
      <c r="E216" s="891" t="s">
        <v>1454</v>
      </c>
      <c r="F216" s="891" t="s">
        <v>195</v>
      </c>
      <c r="G216" s="897">
        <v>86.23</v>
      </c>
      <c r="H216" s="897">
        <v>117.08</v>
      </c>
      <c r="I216" s="897">
        <v>69.88</v>
      </c>
      <c r="J216" s="891"/>
      <c r="K216" s="891"/>
      <c r="L216" s="891"/>
      <c r="M216" s="891"/>
      <c r="N216" s="891"/>
      <c r="O216" s="891"/>
      <c r="P216" s="891"/>
      <c r="Q216" s="891"/>
      <c r="R216" s="891"/>
      <c r="S216" s="891"/>
      <c r="T216" s="891"/>
      <c r="U216" s="928"/>
      <c r="V216" s="928"/>
      <c r="W216" s="928"/>
      <c r="X216" s="928"/>
      <c r="Y216" s="928"/>
      <c r="Z216" s="928"/>
      <c r="AA216" s="928"/>
      <c r="AB216" s="928"/>
      <c r="AC216" s="928"/>
      <c r="AD216" s="928"/>
      <c r="AE216" s="928"/>
      <c r="AF216" s="928"/>
      <c r="AG216" s="928"/>
      <c r="AH216" s="928"/>
      <c r="AI216" s="928"/>
      <c r="AJ216" s="928"/>
      <c r="AK216" s="928"/>
      <c r="AL216" s="928"/>
      <c r="AM216" s="928"/>
      <c r="AN216" s="928"/>
      <c r="AO216" s="928"/>
      <c r="AP216" s="928"/>
      <c r="AQ216" s="928"/>
      <c r="AR216" s="928"/>
      <c r="AS216" s="928"/>
      <c r="AT216" s="928"/>
      <c r="AU216" s="928"/>
      <c r="AV216" s="928"/>
      <c r="AW216" s="928"/>
      <c r="AX216" s="928"/>
      <c r="AY216" s="928"/>
      <c r="AZ216" s="928"/>
      <c r="BA216" s="928"/>
      <c r="BB216" s="928"/>
      <c r="BC216" s="928"/>
      <c r="BD216" s="928"/>
      <c r="BE216" s="928"/>
      <c r="BF216" s="928"/>
      <c r="BG216" s="928"/>
      <c r="BH216" s="928"/>
      <c r="BI216" s="928"/>
      <c r="BJ216" s="928"/>
      <c r="BK216" s="928"/>
      <c r="BL216" s="928"/>
      <c r="BM216" s="928"/>
      <c r="BN216" s="928"/>
      <c r="BO216" s="928"/>
      <c r="BP216" s="928"/>
      <c r="BQ216" s="928"/>
      <c r="BR216" s="928"/>
      <c r="BS216" s="928"/>
      <c r="BT216" s="928"/>
      <c r="BU216" s="928"/>
      <c r="BV216" s="928"/>
      <c r="BW216" s="928"/>
      <c r="BX216" s="928"/>
      <c r="BY216" s="928"/>
      <c r="BZ216" s="928"/>
      <c r="CA216" s="928"/>
      <c r="CB216" s="928"/>
      <c r="CC216" s="928"/>
      <c r="CD216" s="928"/>
      <c r="CE216" s="928"/>
      <c r="CF216" s="928"/>
      <c r="CG216" s="928"/>
      <c r="CH216" s="928"/>
      <c r="CI216" s="928"/>
      <c r="CJ216" s="928"/>
      <c r="CK216" s="928"/>
      <c r="CL216" s="928"/>
      <c r="CM216" s="928"/>
      <c r="CN216" s="928"/>
      <c r="CO216" s="928"/>
      <c r="CP216" s="928"/>
      <c r="CQ216" s="928"/>
      <c r="CR216" s="928"/>
      <c r="CS216" s="928"/>
      <c r="CT216" s="928"/>
      <c r="CU216" s="928"/>
      <c r="CV216" s="928"/>
      <c r="CW216" s="928"/>
      <c r="CX216" s="928"/>
      <c r="CY216" s="928"/>
      <c r="CZ216" s="928"/>
      <c r="DA216" s="928"/>
      <c r="DB216" s="928"/>
      <c r="DC216" s="928"/>
      <c r="DD216" s="928"/>
      <c r="DE216" s="928"/>
      <c r="DF216" s="928"/>
      <c r="DG216" s="928"/>
      <c r="DH216" s="928"/>
    </row>
    <row r="217" spans="1:112">
      <c r="A217" s="891" t="s">
        <v>1010</v>
      </c>
      <c r="B217" s="891" t="s">
        <v>1453</v>
      </c>
      <c r="C217" s="891" t="s">
        <v>391</v>
      </c>
      <c r="D217" s="891" t="s">
        <v>1010</v>
      </c>
      <c r="E217" s="891" t="s">
        <v>1453</v>
      </c>
      <c r="F217" s="891" t="s">
        <v>391</v>
      </c>
      <c r="G217" s="897">
        <v>66.63</v>
      </c>
      <c r="H217" s="897">
        <v>61.72</v>
      </c>
      <c r="I217" s="897">
        <v>154.38999999999999</v>
      </c>
      <c r="J217" s="891"/>
      <c r="K217" s="891"/>
      <c r="L217" s="891"/>
      <c r="M217" s="891"/>
      <c r="N217" s="891"/>
      <c r="O217" s="891"/>
      <c r="P217" s="891"/>
      <c r="Q217" s="891"/>
      <c r="R217" s="891"/>
      <c r="S217" s="891"/>
      <c r="T217" s="891"/>
      <c r="U217" s="928"/>
      <c r="V217" s="928"/>
      <c r="W217" s="928"/>
      <c r="X217" s="928"/>
      <c r="Y217" s="928"/>
      <c r="Z217" s="928"/>
      <c r="AA217" s="928"/>
      <c r="AB217" s="928"/>
      <c r="AC217" s="928"/>
      <c r="AD217" s="928"/>
      <c r="AE217" s="928"/>
      <c r="AF217" s="928"/>
      <c r="AG217" s="928"/>
      <c r="AH217" s="928"/>
      <c r="AI217" s="928"/>
      <c r="AJ217" s="928"/>
      <c r="AK217" s="928"/>
      <c r="AL217" s="928"/>
      <c r="AM217" s="928"/>
      <c r="AN217" s="928"/>
      <c r="AO217" s="928"/>
      <c r="AP217" s="928"/>
      <c r="AQ217" s="928"/>
      <c r="AR217" s="928"/>
      <c r="AS217" s="928"/>
      <c r="AT217" s="928"/>
      <c r="AU217" s="928"/>
      <c r="AV217" s="928"/>
      <c r="AW217" s="928"/>
      <c r="AX217" s="928"/>
      <c r="AY217" s="928"/>
      <c r="AZ217" s="928"/>
      <c r="BA217" s="928"/>
      <c r="BB217" s="928"/>
      <c r="BC217" s="928"/>
      <c r="BD217" s="928"/>
      <c r="BE217" s="928"/>
      <c r="BF217" s="928"/>
      <c r="BG217" s="928"/>
      <c r="BH217" s="928"/>
      <c r="BI217" s="928"/>
      <c r="BJ217" s="928"/>
      <c r="BK217" s="928"/>
      <c r="BL217" s="928"/>
      <c r="BM217" s="928"/>
      <c r="BN217" s="928"/>
      <c r="BO217" s="928"/>
      <c r="BP217" s="928"/>
      <c r="BQ217" s="928"/>
      <c r="BR217" s="928"/>
      <c r="BS217" s="928"/>
      <c r="BT217" s="928"/>
      <c r="BU217" s="928"/>
      <c r="BV217" s="928"/>
      <c r="BW217" s="928"/>
      <c r="BX217" s="928"/>
      <c r="BY217" s="928"/>
      <c r="BZ217" s="928"/>
      <c r="CA217" s="928"/>
      <c r="CB217" s="928"/>
      <c r="CC217" s="928"/>
      <c r="CD217" s="928"/>
      <c r="CE217" s="928"/>
      <c r="CF217" s="928"/>
      <c r="CG217" s="928"/>
      <c r="CH217" s="928"/>
      <c r="CI217" s="928"/>
      <c r="CJ217" s="928"/>
      <c r="CK217" s="928"/>
      <c r="CL217" s="928"/>
      <c r="CM217" s="928"/>
      <c r="CN217" s="928"/>
      <c r="CO217" s="928"/>
      <c r="CP217" s="928"/>
      <c r="CQ217" s="928"/>
      <c r="CR217" s="928"/>
      <c r="CS217" s="928"/>
      <c r="CT217" s="928"/>
      <c r="CU217" s="928"/>
      <c r="CV217" s="928"/>
      <c r="CW217" s="928"/>
      <c r="CX217" s="928"/>
      <c r="CY217" s="928"/>
      <c r="CZ217" s="928"/>
      <c r="DA217" s="928"/>
      <c r="DB217" s="928"/>
      <c r="DC217" s="928"/>
      <c r="DD217" s="928"/>
      <c r="DE217" s="928"/>
      <c r="DF217" s="928"/>
      <c r="DG217" s="928"/>
      <c r="DH217" s="928"/>
    </row>
    <row r="218" spans="1:112">
      <c r="A218" s="891" t="s">
        <v>1011</v>
      </c>
      <c r="B218" s="891" t="s">
        <v>1453</v>
      </c>
      <c r="C218" s="891" t="s">
        <v>381</v>
      </c>
      <c r="D218" s="891" t="s">
        <v>1011</v>
      </c>
      <c r="E218" s="891" t="s">
        <v>1453</v>
      </c>
      <c r="F218" s="891" t="s">
        <v>381</v>
      </c>
      <c r="G218" s="897">
        <v>103.2</v>
      </c>
      <c r="H218" s="897">
        <v>72.89</v>
      </c>
      <c r="I218" s="897">
        <v>128.69</v>
      </c>
      <c r="J218" s="891"/>
      <c r="K218" s="891"/>
      <c r="L218" s="891"/>
      <c r="M218" s="891"/>
      <c r="N218" s="891"/>
      <c r="O218" s="891"/>
      <c r="P218" s="891"/>
      <c r="Q218" s="891"/>
      <c r="R218" s="891"/>
      <c r="S218" s="891"/>
      <c r="T218" s="891"/>
      <c r="U218" s="928"/>
      <c r="V218" s="928"/>
      <c r="W218" s="928"/>
      <c r="X218" s="928"/>
      <c r="Y218" s="928"/>
      <c r="Z218" s="928"/>
      <c r="AA218" s="928"/>
      <c r="AB218" s="928"/>
      <c r="AC218" s="928"/>
      <c r="AD218" s="928"/>
      <c r="AE218" s="928"/>
      <c r="AF218" s="928"/>
      <c r="AG218" s="928"/>
      <c r="AH218" s="928"/>
      <c r="AI218" s="928"/>
      <c r="AJ218" s="928"/>
      <c r="AK218" s="928"/>
      <c r="AL218" s="928"/>
      <c r="AM218" s="928"/>
      <c r="AN218" s="928"/>
      <c r="AO218" s="928"/>
      <c r="AP218" s="928"/>
      <c r="AQ218" s="928"/>
      <c r="AR218" s="928"/>
      <c r="AS218" s="928"/>
      <c r="AT218" s="928"/>
      <c r="AU218" s="928"/>
      <c r="AV218" s="928"/>
      <c r="AW218" s="928"/>
      <c r="AX218" s="928"/>
      <c r="AY218" s="928"/>
      <c r="AZ218" s="928"/>
      <c r="BA218" s="928"/>
      <c r="BB218" s="928"/>
      <c r="BC218" s="928"/>
      <c r="BD218" s="928"/>
      <c r="BE218" s="928"/>
      <c r="BF218" s="928"/>
      <c r="BG218" s="928"/>
      <c r="BH218" s="928"/>
      <c r="BI218" s="928"/>
      <c r="BJ218" s="928"/>
      <c r="BK218" s="928"/>
      <c r="BL218" s="928"/>
      <c r="BM218" s="928"/>
      <c r="BN218" s="928"/>
      <c r="BO218" s="928"/>
      <c r="BP218" s="928"/>
      <c r="BQ218" s="928"/>
      <c r="BR218" s="928"/>
      <c r="BS218" s="928"/>
      <c r="BT218" s="928"/>
      <c r="BU218" s="928"/>
      <c r="BV218" s="928"/>
      <c r="BW218" s="928"/>
      <c r="BX218" s="928"/>
      <c r="BY218" s="928"/>
      <c r="BZ218" s="928"/>
      <c r="CA218" s="928"/>
      <c r="CB218" s="928"/>
      <c r="CC218" s="928"/>
      <c r="CD218" s="928"/>
      <c r="CE218" s="928"/>
      <c r="CF218" s="928"/>
      <c r="CG218" s="928"/>
      <c r="CH218" s="928"/>
      <c r="CI218" s="928"/>
      <c r="CJ218" s="928"/>
      <c r="CK218" s="928"/>
      <c r="CL218" s="928"/>
      <c r="CM218" s="928"/>
      <c r="CN218" s="928"/>
      <c r="CO218" s="928"/>
      <c r="CP218" s="928"/>
      <c r="CQ218" s="928"/>
      <c r="CR218" s="928"/>
      <c r="CS218" s="928"/>
      <c r="CT218" s="928"/>
      <c r="CU218" s="928"/>
      <c r="CV218" s="928"/>
      <c r="CW218" s="928"/>
      <c r="CX218" s="928"/>
      <c r="CY218" s="928"/>
      <c r="CZ218" s="928"/>
      <c r="DA218" s="928"/>
      <c r="DB218" s="928"/>
      <c r="DC218" s="928"/>
      <c r="DD218" s="928"/>
      <c r="DE218" s="928"/>
      <c r="DF218" s="928"/>
      <c r="DG218" s="928"/>
      <c r="DH218" s="928"/>
    </row>
    <row r="219" spans="1:112">
      <c r="A219" s="891" t="s">
        <v>1012</v>
      </c>
      <c r="B219" s="891" t="s">
        <v>1454</v>
      </c>
      <c r="C219" s="891" t="s">
        <v>168</v>
      </c>
      <c r="D219" s="891" t="s">
        <v>1012</v>
      </c>
      <c r="E219" s="891" t="s">
        <v>1454</v>
      </c>
      <c r="F219" s="891" t="s">
        <v>168</v>
      </c>
      <c r="G219" s="897">
        <v>46.66</v>
      </c>
      <c r="H219" s="897">
        <v>53.66</v>
      </c>
      <c r="I219" s="897">
        <v>36.1</v>
      </c>
      <c r="J219" s="891"/>
      <c r="K219" s="891"/>
      <c r="L219" s="891"/>
      <c r="M219" s="891"/>
      <c r="N219" s="891"/>
      <c r="O219" s="891"/>
      <c r="P219" s="891"/>
      <c r="Q219" s="891"/>
      <c r="R219" s="891"/>
      <c r="S219" s="891"/>
      <c r="T219" s="891"/>
      <c r="U219" s="928"/>
      <c r="V219" s="928"/>
      <c r="W219" s="928"/>
      <c r="X219" s="928"/>
      <c r="Y219" s="928"/>
      <c r="Z219" s="928"/>
      <c r="AA219" s="928"/>
      <c r="AB219" s="928"/>
      <c r="AC219" s="928"/>
      <c r="AD219" s="928"/>
      <c r="AE219" s="928"/>
      <c r="AF219" s="928"/>
      <c r="AG219" s="928"/>
      <c r="AH219" s="928"/>
      <c r="AI219" s="928"/>
      <c r="AJ219" s="928"/>
      <c r="AK219" s="928"/>
      <c r="AL219" s="928"/>
      <c r="AM219" s="928"/>
      <c r="AN219" s="928"/>
      <c r="AO219" s="928"/>
      <c r="AP219" s="928"/>
      <c r="AQ219" s="928"/>
      <c r="AR219" s="928"/>
      <c r="AS219" s="928"/>
      <c r="AT219" s="928"/>
      <c r="AU219" s="928"/>
      <c r="AV219" s="928"/>
      <c r="AW219" s="928"/>
      <c r="AX219" s="928"/>
      <c r="AY219" s="928"/>
      <c r="AZ219" s="928"/>
      <c r="BA219" s="928"/>
      <c r="BB219" s="928"/>
      <c r="BC219" s="928"/>
      <c r="BD219" s="928"/>
      <c r="BE219" s="928"/>
      <c r="BF219" s="928"/>
      <c r="BG219" s="928"/>
      <c r="BH219" s="928"/>
      <c r="BI219" s="928"/>
      <c r="BJ219" s="928"/>
      <c r="BK219" s="928"/>
      <c r="BL219" s="928"/>
      <c r="BM219" s="928"/>
      <c r="BN219" s="928"/>
      <c r="BO219" s="928"/>
      <c r="BP219" s="928"/>
      <c r="BQ219" s="928"/>
      <c r="BR219" s="928"/>
      <c r="BS219" s="928"/>
      <c r="BT219" s="928"/>
      <c r="BU219" s="928"/>
      <c r="BV219" s="928"/>
      <c r="BW219" s="928"/>
      <c r="BX219" s="928"/>
      <c r="BY219" s="928"/>
      <c r="BZ219" s="928"/>
      <c r="CA219" s="928"/>
      <c r="CB219" s="928"/>
      <c r="CC219" s="928"/>
      <c r="CD219" s="928"/>
      <c r="CE219" s="928"/>
      <c r="CF219" s="928"/>
      <c r="CG219" s="928"/>
      <c r="CH219" s="928"/>
      <c r="CI219" s="928"/>
      <c r="CJ219" s="928"/>
      <c r="CK219" s="928"/>
      <c r="CL219" s="928"/>
      <c r="CM219" s="928"/>
      <c r="CN219" s="928"/>
      <c r="CO219" s="928"/>
      <c r="CP219" s="928"/>
      <c r="CQ219" s="928"/>
      <c r="CR219" s="928"/>
      <c r="CS219" s="928"/>
      <c r="CT219" s="928"/>
      <c r="CU219" s="928"/>
      <c r="CV219" s="928"/>
      <c r="CW219" s="928"/>
      <c r="CX219" s="928"/>
      <c r="CY219" s="928"/>
      <c r="CZ219" s="928"/>
      <c r="DA219" s="928"/>
      <c r="DB219" s="928"/>
      <c r="DC219" s="928"/>
      <c r="DD219" s="928"/>
      <c r="DE219" s="928"/>
      <c r="DF219" s="928"/>
      <c r="DG219" s="928"/>
      <c r="DH219" s="928"/>
    </row>
    <row r="220" spans="1:112">
      <c r="A220" s="891" t="s">
        <v>1013</v>
      </c>
      <c r="B220" s="891" t="s">
        <v>1454</v>
      </c>
      <c r="C220" s="891" t="s">
        <v>79</v>
      </c>
      <c r="D220" s="891" t="s">
        <v>1013</v>
      </c>
      <c r="E220" s="891" t="s">
        <v>1454</v>
      </c>
      <c r="F220" s="891" t="s">
        <v>79</v>
      </c>
      <c r="G220" s="897">
        <v>103.42</v>
      </c>
      <c r="H220" s="897">
        <v>81.180000000000007</v>
      </c>
      <c r="I220" s="897">
        <v>116.14</v>
      </c>
      <c r="J220" s="891"/>
      <c r="K220" s="891"/>
      <c r="L220" s="891"/>
      <c r="M220" s="891"/>
      <c r="N220" s="891"/>
      <c r="O220" s="891"/>
      <c r="P220" s="891"/>
      <c r="Q220" s="891"/>
      <c r="R220" s="891"/>
      <c r="S220" s="891"/>
      <c r="T220" s="891"/>
      <c r="U220" s="928"/>
      <c r="V220" s="928"/>
      <c r="W220" s="928"/>
      <c r="X220" s="928"/>
      <c r="Y220" s="928"/>
      <c r="Z220" s="928"/>
      <c r="AA220" s="928"/>
      <c r="AB220" s="928"/>
      <c r="AC220" s="928"/>
      <c r="AD220" s="928"/>
      <c r="AE220" s="928"/>
      <c r="AF220" s="928"/>
      <c r="AG220" s="928"/>
      <c r="AH220" s="928"/>
      <c r="AI220" s="928"/>
      <c r="AJ220" s="928"/>
      <c r="AK220" s="928"/>
      <c r="AL220" s="928"/>
      <c r="AM220" s="928"/>
      <c r="AN220" s="928"/>
      <c r="AO220" s="928"/>
      <c r="AP220" s="928"/>
      <c r="AQ220" s="928"/>
      <c r="AR220" s="928"/>
      <c r="AS220" s="928"/>
      <c r="AT220" s="928"/>
      <c r="AU220" s="928"/>
      <c r="AV220" s="928"/>
      <c r="AW220" s="928"/>
      <c r="AX220" s="928"/>
      <c r="AY220" s="928"/>
      <c r="AZ220" s="928"/>
      <c r="BA220" s="928"/>
      <c r="BB220" s="928"/>
      <c r="BC220" s="928"/>
      <c r="BD220" s="928"/>
      <c r="BE220" s="928"/>
      <c r="BF220" s="928"/>
      <c r="BG220" s="928"/>
      <c r="BH220" s="928"/>
      <c r="BI220" s="928"/>
      <c r="BJ220" s="928"/>
      <c r="BK220" s="928"/>
      <c r="BL220" s="928"/>
      <c r="BM220" s="928"/>
      <c r="BN220" s="928"/>
      <c r="BO220" s="928"/>
      <c r="BP220" s="928"/>
      <c r="BQ220" s="928"/>
      <c r="BR220" s="928"/>
      <c r="BS220" s="928"/>
      <c r="BT220" s="928"/>
      <c r="BU220" s="928"/>
      <c r="BV220" s="928"/>
      <c r="BW220" s="928"/>
      <c r="BX220" s="928"/>
      <c r="BY220" s="928"/>
      <c r="BZ220" s="928"/>
      <c r="CA220" s="928"/>
      <c r="CB220" s="928"/>
      <c r="CC220" s="928"/>
      <c r="CD220" s="928"/>
      <c r="CE220" s="928"/>
      <c r="CF220" s="928"/>
      <c r="CG220" s="928"/>
      <c r="CH220" s="928"/>
      <c r="CI220" s="928"/>
      <c r="CJ220" s="928"/>
      <c r="CK220" s="928"/>
      <c r="CL220" s="928"/>
      <c r="CM220" s="928"/>
      <c r="CN220" s="928"/>
      <c r="CO220" s="928"/>
      <c r="CP220" s="928"/>
      <c r="CQ220" s="928"/>
      <c r="CR220" s="928"/>
      <c r="CS220" s="928"/>
      <c r="CT220" s="928"/>
      <c r="CU220" s="928"/>
      <c r="CV220" s="928"/>
      <c r="CW220" s="928"/>
      <c r="CX220" s="928"/>
      <c r="CY220" s="928"/>
      <c r="CZ220" s="928"/>
      <c r="DA220" s="928"/>
      <c r="DB220" s="928"/>
      <c r="DC220" s="928"/>
      <c r="DD220" s="928"/>
      <c r="DE220" s="928"/>
      <c r="DF220" s="928"/>
      <c r="DG220" s="928"/>
      <c r="DH220" s="928"/>
    </row>
    <row r="221" spans="1:112">
      <c r="A221" s="891" t="s">
        <v>1531</v>
      </c>
      <c r="B221" s="891" t="s">
        <v>1447</v>
      </c>
      <c r="C221" s="891" t="s">
        <v>105</v>
      </c>
      <c r="D221" s="891" t="s">
        <v>1531</v>
      </c>
      <c r="E221" s="891" t="s">
        <v>1447</v>
      </c>
      <c r="F221" s="891" t="s">
        <v>105</v>
      </c>
      <c r="G221" s="897">
        <v>56.33</v>
      </c>
      <c r="H221" s="897">
        <v>42.46</v>
      </c>
      <c r="I221" s="897">
        <v>80.790000000000006</v>
      </c>
      <c r="J221" s="891"/>
      <c r="K221" s="891"/>
      <c r="L221" s="891"/>
      <c r="M221" s="891"/>
      <c r="N221" s="891"/>
      <c r="O221" s="891"/>
      <c r="P221" s="891"/>
      <c r="Q221" s="891"/>
      <c r="R221" s="891"/>
      <c r="S221" s="891"/>
      <c r="T221" s="891"/>
      <c r="U221" s="928"/>
      <c r="V221" s="928"/>
      <c r="W221" s="928"/>
      <c r="X221" s="928"/>
      <c r="Y221" s="928"/>
      <c r="Z221" s="928"/>
      <c r="AA221" s="928"/>
      <c r="AB221" s="928"/>
      <c r="AC221" s="928"/>
      <c r="AD221" s="928"/>
      <c r="AE221" s="928"/>
      <c r="AF221" s="928"/>
      <c r="AG221" s="928"/>
      <c r="AH221" s="928"/>
      <c r="AI221" s="928"/>
      <c r="AJ221" s="928"/>
      <c r="AK221" s="928"/>
      <c r="AL221" s="928"/>
      <c r="AM221" s="928"/>
      <c r="AN221" s="928"/>
      <c r="AO221" s="928"/>
      <c r="AP221" s="928"/>
      <c r="AQ221" s="928"/>
      <c r="AR221" s="928"/>
      <c r="AS221" s="928"/>
      <c r="AT221" s="928"/>
      <c r="AU221" s="928"/>
      <c r="AV221" s="928"/>
      <c r="AW221" s="928"/>
      <c r="AX221" s="928"/>
      <c r="AY221" s="928"/>
      <c r="AZ221" s="928"/>
      <c r="BA221" s="928"/>
      <c r="BB221" s="928"/>
      <c r="BC221" s="928"/>
      <c r="BD221" s="928"/>
      <c r="BE221" s="928"/>
      <c r="BF221" s="928"/>
      <c r="BG221" s="928"/>
      <c r="BH221" s="928"/>
      <c r="BI221" s="928"/>
      <c r="BJ221" s="928"/>
      <c r="BK221" s="928"/>
      <c r="BL221" s="928"/>
      <c r="BM221" s="928"/>
      <c r="BN221" s="928"/>
      <c r="BO221" s="928"/>
      <c r="BP221" s="928"/>
      <c r="BQ221" s="928"/>
      <c r="BR221" s="928"/>
      <c r="BS221" s="928"/>
      <c r="BT221" s="928"/>
      <c r="BU221" s="928"/>
      <c r="BV221" s="928"/>
      <c r="BW221" s="928"/>
      <c r="BX221" s="928"/>
      <c r="BY221" s="928"/>
      <c r="BZ221" s="928"/>
      <c r="CA221" s="928"/>
      <c r="CB221" s="928"/>
      <c r="CC221" s="928"/>
      <c r="CD221" s="928"/>
      <c r="CE221" s="928"/>
      <c r="CF221" s="928"/>
      <c r="CG221" s="928"/>
      <c r="CH221" s="928"/>
      <c r="CI221" s="928"/>
      <c r="CJ221" s="928"/>
      <c r="CK221" s="928"/>
      <c r="CL221" s="928"/>
      <c r="CM221" s="928"/>
      <c r="CN221" s="928"/>
      <c r="CO221" s="928"/>
      <c r="CP221" s="928"/>
      <c r="CQ221" s="928"/>
      <c r="CR221" s="928"/>
      <c r="CS221" s="928"/>
      <c r="CT221" s="928"/>
      <c r="CU221" s="928"/>
      <c r="CV221" s="928"/>
      <c r="CW221" s="928"/>
      <c r="CX221" s="928"/>
      <c r="CY221" s="928"/>
      <c r="CZ221" s="928"/>
      <c r="DA221" s="928"/>
      <c r="DB221" s="928"/>
      <c r="DC221" s="928"/>
      <c r="DD221" s="928"/>
      <c r="DE221" s="928"/>
      <c r="DF221" s="928"/>
      <c r="DG221" s="928"/>
      <c r="DH221" s="928"/>
    </row>
    <row r="222" spans="1:112">
      <c r="A222" s="891" t="s">
        <v>1016</v>
      </c>
      <c r="B222" s="891" t="s">
        <v>1505</v>
      </c>
      <c r="C222" s="891" t="s">
        <v>44</v>
      </c>
      <c r="D222" s="891" t="s">
        <v>1016</v>
      </c>
      <c r="E222" s="891" t="s">
        <v>1505</v>
      </c>
      <c r="F222" s="891" t="s">
        <v>44</v>
      </c>
      <c r="G222" s="897">
        <v>70.03</v>
      </c>
      <c r="H222" s="897">
        <v>59.82</v>
      </c>
      <c r="I222" s="897">
        <v>43.99</v>
      </c>
      <c r="J222" s="891"/>
      <c r="K222" s="891"/>
      <c r="L222" s="891"/>
      <c r="M222" s="891"/>
      <c r="N222" s="891"/>
      <c r="O222" s="891"/>
      <c r="P222" s="891"/>
      <c r="Q222" s="891"/>
      <c r="R222" s="891"/>
      <c r="S222" s="891"/>
      <c r="T222" s="891"/>
      <c r="U222" s="928"/>
      <c r="V222" s="928"/>
      <c r="W222" s="928"/>
      <c r="X222" s="928"/>
      <c r="Y222" s="928"/>
      <c r="Z222" s="928"/>
      <c r="AA222" s="928"/>
      <c r="AB222" s="928"/>
      <c r="AC222" s="928"/>
      <c r="AD222" s="928"/>
      <c r="AE222" s="928"/>
      <c r="AF222" s="928"/>
      <c r="AG222" s="928"/>
      <c r="AH222" s="928"/>
      <c r="AI222" s="928"/>
      <c r="AJ222" s="928"/>
      <c r="AK222" s="928"/>
      <c r="AL222" s="928"/>
      <c r="AM222" s="928"/>
      <c r="AN222" s="928"/>
      <c r="AO222" s="928"/>
      <c r="AP222" s="928"/>
      <c r="AQ222" s="928"/>
      <c r="AR222" s="928"/>
      <c r="AS222" s="928"/>
      <c r="AT222" s="928"/>
      <c r="AU222" s="928"/>
      <c r="AV222" s="928"/>
      <c r="AW222" s="928"/>
      <c r="AX222" s="928"/>
      <c r="AY222" s="928"/>
      <c r="AZ222" s="928"/>
      <c r="BA222" s="928"/>
      <c r="BB222" s="928"/>
      <c r="BC222" s="928"/>
      <c r="BD222" s="928"/>
      <c r="BE222" s="928"/>
      <c r="BF222" s="928"/>
      <c r="BG222" s="928"/>
      <c r="BH222" s="928"/>
      <c r="BI222" s="928"/>
      <c r="BJ222" s="928"/>
      <c r="BK222" s="928"/>
      <c r="BL222" s="928"/>
      <c r="BM222" s="928"/>
      <c r="BN222" s="928"/>
      <c r="BO222" s="928"/>
      <c r="BP222" s="928"/>
      <c r="BQ222" s="928"/>
      <c r="BR222" s="928"/>
      <c r="BS222" s="928"/>
      <c r="BT222" s="928"/>
      <c r="BU222" s="928"/>
      <c r="BV222" s="928"/>
      <c r="BW222" s="928"/>
      <c r="BX222" s="928"/>
      <c r="BY222" s="928"/>
      <c r="BZ222" s="928"/>
      <c r="CA222" s="928"/>
      <c r="CB222" s="928"/>
      <c r="CC222" s="928"/>
      <c r="CD222" s="928"/>
      <c r="CE222" s="928"/>
      <c r="CF222" s="928"/>
      <c r="CG222" s="928"/>
      <c r="CH222" s="928"/>
      <c r="CI222" s="928"/>
      <c r="CJ222" s="928"/>
      <c r="CK222" s="928"/>
      <c r="CL222" s="928"/>
      <c r="CM222" s="928"/>
      <c r="CN222" s="928"/>
      <c r="CO222" s="928"/>
      <c r="CP222" s="928"/>
      <c r="CQ222" s="928"/>
      <c r="CR222" s="928"/>
      <c r="CS222" s="928"/>
      <c r="CT222" s="928"/>
      <c r="CU222" s="928"/>
      <c r="CV222" s="928"/>
      <c r="CW222" s="928"/>
      <c r="CX222" s="928"/>
      <c r="CY222" s="928"/>
      <c r="CZ222" s="928"/>
      <c r="DA222" s="928"/>
      <c r="DB222" s="928"/>
      <c r="DC222" s="928"/>
      <c r="DD222" s="928"/>
      <c r="DE222" s="928"/>
      <c r="DF222" s="928"/>
      <c r="DG222" s="928"/>
      <c r="DH222" s="928"/>
    </row>
    <row r="223" spans="1:112">
      <c r="A223" s="891" t="s">
        <v>1017</v>
      </c>
      <c r="B223" s="891" t="s">
        <v>1523</v>
      </c>
      <c r="C223" s="891" t="s">
        <v>86</v>
      </c>
      <c r="D223" s="891" t="s">
        <v>1017</v>
      </c>
      <c r="E223" s="891" t="s">
        <v>1523</v>
      </c>
      <c r="F223" s="891" t="s">
        <v>86</v>
      </c>
      <c r="G223" s="897">
        <v>93.16</v>
      </c>
      <c r="H223" s="897">
        <v>80.33</v>
      </c>
      <c r="I223" s="897">
        <v>112.92</v>
      </c>
      <c r="J223" s="891"/>
      <c r="K223" s="891"/>
      <c r="L223" s="891"/>
      <c r="M223" s="891"/>
      <c r="N223" s="891"/>
      <c r="O223" s="891"/>
      <c r="P223" s="891"/>
      <c r="Q223" s="891"/>
      <c r="R223" s="891"/>
      <c r="S223" s="891"/>
      <c r="T223" s="891"/>
      <c r="U223" s="928"/>
      <c r="V223" s="928"/>
      <c r="W223" s="928"/>
      <c r="X223" s="928"/>
      <c r="Y223" s="928"/>
      <c r="Z223" s="928"/>
      <c r="AA223" s="928"/>
      <c r="AB223" s="928"/>
      <c r="AC223" s="928"/>
      <c r="AD223" s="928"/>
      <c r="AE223" s="928"/>
      <c r="AF223" s="928"/>
      <c r="AG223" s="928"/>
      <c r="AH223" s="928"/>
      <c r="AI223" s="928"/>
      <c r="AJ223" s="928"/>
      <c r="AK223" s="928"/>
      <c r="AL223" s="928"/>
      <c r="AM223" s="928"/>
      <c r="AN223" s="928"/>
      <c r="AO223" s="928"/>
      <c r="AP223" s="928"/>
      <c r="AQ223" s="928"/>
      <c r="AR223" s="928"/>
      <c r="AS223" s="928"/>
      <c r="AT223" s="928"/>
      <c r="AU223" s="928"/>
      <c r="AV223" s="928"/>
      <c r="AW223" s="928"/>
      <c r="AX223" s="928"/>
      <c r="AY223" s="928"/>
      <c r="AZ223" s="928"/>
      <c r="BA223" s="928"/>
      <c r="BB223" s="928"/>
      <c r="BC223" s="928"/>
      <c r="BD223" s="928"/>
      <c r="BE223" s="928"/>
      <c r="BF223" s="928"/>
      <c r="BG223" s="928"/>
      <c r="BH223" s="928"/>
      <c r="BI223" s="928"/>
      <c r="BJ223" s="928"/>
      <c r="BK223" s="928"/>
      <c r="BL223" s="928"/>
      <c r="BM223" s="928"/>
      <c r="BN223" s="928"/>
      <c r="BO223" s="928"/>
      <c r="BP223" s="928"/>
      <c r="BQ223" s="928"/>
      <c r="BR223" s="928"/>
      <c r="BS223" s="928"/>
      <c r="BT223" s="928"/>
      <c r="BU223" s="928"/>
      <c r="BV223" s="928"/>
      <c r="BW223" s="928"/>
      <c r="BX223" s="928"/>
      <c r="BY223" s="928"/>
      <c r="BZ223" s="928"/>
      <c r="CA223" s="928"/>
      <c r="CB223" s="928"/>
      <c r="CC223" s="928"/>
      <c r="CD223" s="928"/>
      <c r="CE223" s="928"/>
      <c r="CF223" s="928"/>
      <c r="CG223" s="928"/>
      <c r="CH223" s="928"/>
      <c r="CI223" s="928"/>
      <c r="CJ223" s="928"/>
      <c r="CK223" s="928"/>
      <c r="CL223" s="928"/>
      <c r="CM223" s="928"/>
      <c r="CN223" s="928"/>
      <c r="CO223" s="928"/>
      <c r="CP223" s="928"/>
      <c r="CQ223" s="928"/>
      <c r="CR223" s="928"/>
      <c r="CS223" s="928"/>
      <c r="CT223" s="928"/>
      <c r="CU223" s="928"/>
      <c r="CV223" s="928"/>
      <c r="CW223" s="928"/>
      <c r="CX223" s="928"/>
      <c r="CY223" s="928"/>
      <c r="CZ223" s="928"/>
      <c r="DA223" s="928"/>
      <c r="DB223" s="928"/>
      <c r="DC223" s="928"/>
      <c r="DD223" s="928"/>
      <c r="DE223" s="928"/>
      <c r="DF223" s="928"/>
      <c r="DG223" s="928"/>
      <c r="DH223" s="928"/>
    </row>
    <row r="224" spans="1:112">
      <c r="A224" s="891" t="s">
        <v>1018</v>
      </c>
      <c r="B224" s="891" t="s">
        <v>1474</v>
      </c>
      <c r="C224" s="891" t="s">
        <v>352</v>
      </c>
      <c r="D224" s="891" t="s">
        <v>1018</v>
      </c>
      <c r="E224" s="891" t="s">
        <v>1474</v>
      </c>
      <c r="F224" s="891" t="s">
        <v>352</v>
      </c>
      <c r="G224" s="897">
        <v>57.41</v>
      </c>
      <c r="H224" s="897">
        <v>92.13</v>
      </c>
      <c r="I224" s="897">
        <v>50.83</v>
      </c>
      <c r="J224" s="891"/>
      <c r="K224" s="891"/>
      <c r="L224" s="891"/>
      <c r="M224" s="891"/>
      <c r="N224" s="891"/>
      <c r="O224" s="891"/>
      <c r="P224" s="891"/>
      <c r="Q224" s="891"/>
      <c r="R224" s="891"/>
      <c r="S224" s="891"/>
      <c r="T224" s="891"/>
      <c r="U224" s="928"/>
      <c r="V224" s="928"/>
      <c r="W224" s="928"/>
      <c r="X224" s="928"/>
      <c r="Y224" s="928"/>
      <c r="Z224" s="928"/>
      <c r="AA224" s="928"/>
      <c r="AB224" s="928"/>
      <c r="AC224" s="928"/>
      <c r="AD224" s="928"/>
      <c r="AE224" s="928"/>
      <c r="AF224" s="928"/>
      <c r="AG224" s="928"/>
      <c r="AH224" s="928"/>
      <c r="AI224" s="928"/>
      <c r="AJ224" s="928"/>
      <c r="AK224" s="928"/>
      <c r="AL224" s="928"/>
      <c r="AM224" s="928"/>
      <c r="AN224" s="928"/>
      <c r="AO224" s="928"/>
      <c r="AP224" s="928"/>
      <c r="AQ224" s="928"/>
      <c r="AR224" s="928"/>
      <c r="AS224" s="928"/>
      <c r="AT224" s="928"/>
      <c r="AU224" s="928"/>
      <c r="AV224" s="928"/>
      <c r="AW224" s="928"/>
      <c r="AX224" s="928"/>
      <c r="AY224" s="928"/>
      <c r="AZ224" s="928"/>
      <c r="BA224" s="928"/>
      <c r="BB224" s="928"/>
      <c r="BC224" s="928"/>
      <c r="BD224" s="928"/>
      <c r="BE224" s="928"/>
      <c r="BF224" s="928"/>
      <c r="BG224" s="928"/>
      <c r="BH224" s="928"/>
      <c r="BI224" s="928"/>
      <c r="BJ224" s="928"/>
      <c r="BK224" s="928"/>
      <c r="BL224" s="928"/>
      <c r="BM224" s="928"/>
      <c r="BN224" s="928"/>
      <c r="BO224" s="928"/>
      <c r="BP224" s="928"/>
      <c r="BQ224" s="928"/>
      <c r="BR224" s="928"/>
      <c r="BS224" s="928"/>
      <c r="BT224" s="928"/>
      <c r="BU224" s="928"/>
      <c r="BV224" s="928"/>
      <c r="BW224" s="928"/>
      <c r="BX224" s="928"/>
      <c r="BY224" s="928"/>
      <c r="BZ224" s="928"/>
      <c r="CA224" s="928"/>
      <c r="CB224" s="928"/>
      <c r="CC224" s="928"/>
      <c r="CD224" s="928"/>
      <c r="CE224" s="928"/>
      <c r="CF224" s="928"/>
      <c r="CG224" s="928"/>
      <c r="CH224" s="928"/>
      <c r="CI224" s="928"/>
      <c r="CJ224" s="928"/>
      <c r="CK224" s="928"/>
      <c r="CL224" s="928"/>
      <c r="CM224" s="928"/>
      <c r="CN224" s="928"/>
      <c r="CO224" s="928"/>
      <c r="CP224" s="928"/>
      <c r="CQ224" s="928"/>
      <c r="CR224" s="928"/>
      <c r="CS224" s="928"/>
      <c r="CT224" s="928"/>
      <c r="CU224" s="928"/>
      <c r="CV224" s="928"/>
      <c r="CW224" s="928"/>
      <c r="CX224" s="928"/>
      <c r="CY224" s="928"/>
      <c r="CZ224" s="928"/>
      <c r="DA224" s="928"/>
      <c r="DB224" s="928"/>
      <c r="DC224" s="928"/>
      <c r="DD224" s="928"/>
      <c r="DE224" s="928"/>
      <c r="DF224" s="928"/>
      <c r="DG224" s="928"/>
      <c r="DH224" s="928"/>
    </row>
    <row r="225" spans="1:112">
      <c r="A225" s="891" t="s">
        <v>1020</v>
      </c>
      <c r="B225" s="891" t="s">
        <v>1453</v>
      </c>
      <c r="C225" s="891" t="s">
        <v>379</v>
      </c>
      <c r="D225" s="891" t="s">
        <v>1020</v>
      </c>
      <c r="E225" s="891" t="s">
        <v>1453</v>
      </c>
      <c r="F225" s="891" t="s">
        <v>379</v>
      </c>
      <c r="G225" s="897">
        <v>33.92</v>
      </c>
      <c r="H225" s="897">
        <v>22.77</v>
      </c>
      <c r="I225" s="897">
        <v>44.34</v>
      </c>
      <c r="J225" s="891"/>
      <c r="K225" s="891"/>
      <c r="L225" s="891"/>
      <c r="M225" s="891"/>
      <c r="N225" s="891"/>
      <c r="O225" s="891"/>
      <c r="P225" s="891"/>
      <c r="Q225" s="891"/>
      <c r="R225" s="891"/>
      <c r="S225" s="891"/>
      <c r="T225" s="891"/>
      <c r="U225" s="928"/>
      <c r="V225" s="928"/>
      <c r="W225" s="928"/>
      <c r="X225" s="928"/>
      <c r="Y225" s="928"/>
      <c r="Z225" s="928"/>
      <c r="AA225" s="928"/>
      <c r="AB225" s="928"/>
      <c r="AC225" s="928"/>
      <c r="AD225" s="928"/>
      <c r="AE225" s="928"/>
      <c r="AF225" s="928"/>
      <c r="AG225" s="928"/>
      <c r="AH225" s="928"/>
      <c r="AI225" s="928"/>
      <c r="AJ225" s="928"/>
      <c r="AK225" s="928"/>
      <c r="AL225" s="928"/>
      <c r="AM225" s="928"/>
      <c r="AN225" s="928"/>
      <c r="AO225" s="928"/>
      <c r="AP225" s="928"/>
      <c r="AQ225" s="928"/>
      <c r="AR225" s="928"/>
      <c r="AS225" s="928"/>
      <c r="AT225" s="928"/>
      <c r="AU225" s="928"/>
      <c r="AV225" s="928"/>
      <c r="AW225" s="928"/>
      <c r="AX225" s="928"/>
      <c r="AY225" s="928"/>
      <c r="AZ225" s="928"/>
      <c r="BA225" s="928"/>
      <c r="BB225" s="928"/>
      <c r="BC225" s="928"/>
      <c r="BD225" s="928"/>
      <c r="BE225" s="928"/>
      <c r="BF225" s="928"/>
      <c r="BG225" s="928"/>
      <c r="BH225" s="928"/>
      <c r="BI225" s="928"/>
      <c r="BJ225" s="928"/>
      <c r="BK225" s="928"/>
      <c r="BL225" s="928"/>
      <c r="BM225" s="928"/>
      <c r="BN225" s="928"/>
      <c r="BO225" s="928"/>
      <c r="BP225" s="928"/>
      <c r="BQ225" s="928"/>
      <c r="BR225" s="928"/>
      <c r="BS225" s="928"/>
      <c r="BT225" s="928"/>
      <c r="BU225" s="928"/>
      <c r="BV225" s="928"/>
      <c r="BW225" s="928"/>
      <c r="BX225" s="928"/>
      <c r="BY225" s="928"/>
      <c r="BZ225" s="928"/>
      <c r="CA225" s="928"/>
      <c r="CB225" s="928"/>
      <c r="CC225" s="928"/>
      <c r="CD225" s="928"/>
      <c r="CE225" s="928"/>
      <c r="CF225" s="928"/>
      <c r="CG225" s="928"/>
      <c r="CH225" s="928"/>
      <c r="CI225" s="928"/>
      <c r="CJ225" s="928"/>
      <c r="CK225" s="928"/>
      <c r="CL225" s="928"/>
      <c r="CM225" s="928"/>
      <c r="CN225" s="928"/>
      <c r="CO225" s="928"/>
      <c r="CP225" s="928"/>
      <c r="CQ225" s="928"/>
      <c r="CR225" s="928"/>
      <c r="CS225" s="928"/>
      <c r="CT225" s="928"/>
      <c r="CU225" s="928"/>
      <c r="CV225" s="928"/>
      <c r="CW225" s="928"/>
      <c r="CX225" s="928"/>
      <c r="CY225" s="928"/>
      <c r="CZ225" s="928"/>
      <c r="DA225" s="928"/>
      <c r="DB225" s="928"/>
      <c r="DC225" s="928"/>
      <c r="DD225" s="928"/>
      <c r="DE225" s="928"/>
      <c r="DF225" s="928"/>
      <c r="DG225" s="928"/>
      <c r="DH225" s="928"/>
    </row>
    <row r="226" spans="1:112">
      <c r="A226" s="891" t="s">
        <v>1021</v>
      </c>
      <c r="B226" s="891" t="s">
        <v>1447</v>
      </c>
      <c r="C226" s="891" t="s">
        <v>113</v>
      </c>
      <c r="D226" s="891" t="s">
        <v>1021</v>
      </c>
      <c r="E226" s="891" t="s">
        <v>1447</v>
      </c>
      <c r="F226" s="891" t="s">
        <v>113</v>
      </c>
      <c r="G226" s="897">
        <v>88.92</v>
      </c>
      <c r="H226" s="897">
        <v>87.86</v>
      </c>
      <c r="I226" s="897">
        <v>106.15</v>
      </c>
      <c r="J226" s="891"/>
      <c r="K226" s="891"/>
      <c r="L226" s="891"/>
      <c r="M226" s="891"/>
      <c r="N226" s="891"/>
      <c r="O226" s="891"/>
      <c r="P226" s="891"/>
      <c r="Q226" s="891"/>
      <c r="R226" s="891"/>
      <c r="S226" s="891"/>
      <c r="T226" s="891"/>
      <c r="U226" s="928"/>
      <c r="V226" s="928"/>
      <c r="W226" s="928"/>
      <c r="X226" s="928"/>
      <c r="Y226" s="928"/>
      <c r="Z226" s="928"/>
      <c r="AA226" s="928"/>
      <c r="AB226" s="928"/>
      <c r="AC226" s="928"/>
      <c r="AD226" s="928"/>
      <c r="AE226" s="928"/>
      <c r="AF226" s="928"/>
      <c r="AG226" s="928"/>
      <c r="AH226" s="928"/>
      <c r="AI226" s="928"/>
      <c r="AJ226" s="928"/>
      <c r="AK226" s="928"/>
      <c r="AL226" s="928"/>
      <c r="AM226" s="928"/>
      <c r="AN226" s="928"/>
      <c r="AO226" s="928"/>
      <c r="AP226" s="928"/>
      <c r="AQ226" s="928"/>
      <c r="AR226" s="928"/>
      <c r="AS226" s="928"/>
      <c r="AT226" s="928"/>
      <c r="AU226" s="928"/>
      <c r="AV226" s="928"/>
      <c r="AW226" s="928"/>
      <c r="AX226" s="928"/>
      <c r="AY226" s="928"/>
      <c r="AZ226" s="928"/>
      <c r="BA226" s="928"/>
      <c r="BB226" s="928"/>
      <c r="BC226" s="928"/>
      <c r="BD226" s="928"/>
      <c r="BE226" s="928"/>
      <c r="BF226" s="928"/>
      <c r="BG226" s="928"/>
      <c r="BH226" s="928"/>
      <c r="BI226" s="928"/>
      <c r="BJ226" s="928"/>
      <c r="BK226" s="928"/>
      <c r="BL226" s="928"/>
      <c r="BM226" s="928"/>
      <c r="BN226" s="928"/>
      <c r="BO226" s="928"/>
      <c r="BP226" s="928"/>
      <c r="BQ226" s="928"/>
      <c r="BR226" s="928"/>
      <c r="BS226" s="928"/>
      <c r="BT226" s="928"/>
      <c r="BU226" s="928"/>
      <c r="BV226" s="928"/>
      <c r="BW226" s="928"/>
      <c r="BX226" s="928"/>
      <c r="BY226" s="928"/>
      <c r="BZ226" s="928"/>
      <c r="CA226" s="928"/>
      <c r="CB226" s="928"/>
      <c r="CC226" s="928"/>
      <c r="CD226" s="928"/>
      <c r="CE226" s="928"/>
      <c r="CF226" s="928"/>
      <c r="CG226" s="928"/>
      <c r="CH226" s="928"/>
      <c r="CI226" s="928"/>
      <c r="CJ226" s="928"/>
      <c r="CK226" s="928"/>
      <c r="CL226" s="928"/>
      <c r="CM226" s="928"/>
      <c r="CN226" s="928"/>
      <c r="CO226" s="928"/>
      <c r="CP226" s="928"/>
      <c r="CQ226" s="928"/>
      <c r="CR226" s="928"/>
      <c r="CS226" s="928"/>
      <c r="CT226" s="928"/>
      <c r="CU226" s="928"/>
      <c r="CV226" s="928"/>
      <c r="CW226" s="928"/>
      <c r="CX226" s="928"/>
      <c r="CY226" s="928"/>
      <c r="CZ226" s="928"/>
      <c r="DA226" s="928"/>
      <c r="DB226" s="928"/>
      <c r="DC226" s="928"/>
      <c r="DD226" s="928"/>
      <c r="DE226" s="928"/>
      <c r="DF226" s="928"/>
      <c r="DG226" s="928"/>
      <c r="DH226" s="928"/>
    </row>
    <row r="227" spans="1:112">
      <c r="A227" s="891" t="s">
        <v>1022</v>
      </c>
      <c r="B227" s="891" t="s">
        <v>1474</v>
      </c>
      <c r="C227" s="891" t="s">
        <v>311</v>
      </c>
      <c r="D227" s="891" t="s">
        <v>1022</v>
      </c>
      <c r="E227" s="891" t="s">
        <v>1474</v>
      </c>
      <c r="F227" s="891" t="s">
        <v>311</v>
      </c>
      <c r="G227" s="897">
        <v>58.61</v>
      </c>
      <c r="H227" s="897">
        <v>43.58</v>
      </c>
      <c r="I227" s="897">
        <v>132.75</v>
      </c>
      <c r="J227" s="891"/>
      <c r="K227" s="891"/>
      <c r="L227" s="891"/>
      <c r="M227" s="891"/>
      <c r="N227" s="891"/>
      <c r="O227" s="891"/>
      <c r="P227" s="891"/>
      <c r="Q227" s="891"/>
      <c r="R227" s="891"/>
      <c r="S227" s="891"/>
      <c r="T227" s="891"/>
      <c r="U227" s="928"/>
      <c r="V227" s="928"/>
      <c r="W227" s="928"/>
      <c r="X227" s="928"/>
      <c r="Y227" s="928"/>
      <c r="Z227" s="928"/>
      <c r="AA227" s="928"/>
      <c r="AB227" s="928"/>
      <c r="AC227" s="928"/>
      <c r="AD227" s="928"/>
      <c r="AE227" s="928"/>
      <c r="AF227" s="928"/>
      <c r="AG227" s="928"/>
      <c r="AH227" s="928"/>
      <c r="AI227" s="928"/>
      <c r="AJ227" s="928"/>
      <c r="AK227" s="928"/>
      <c r="AL227" s="928"/>
      <c r="AM227" s="928"/>
      <c r="AN227" s="928"/>
      <c r="AO227" s="928"/>
      <c r="AP227" s="928"/>
      <c r="AQ227" s="928"/>
      <c r="AR227" s="928"/>
      <c r="AS227" s="928"/>
      <c r="AT227" s="928"/>
      <c r="AU227" s="928"/>
      <c r="AV227" s="928"/>
      <c r="AW227" s="928"/>
      <c r="AX227" s="928"/>
      <c r="AY227" s="928"/>
      <c r="AZ227" s="928"/>
      <c r="BA227" s="928"/>
      <c r="BB227" s="928"/>
      <c r="BC227" s="928"/>
      <c r="BD227" s="928"/>
      <c r="BE227" s="928"/>
      <c r="BF227" s="928"/>
      <c r="BG227" s="928"/>
      <c r="BH227" s="928"/>
      <c r="BI227" s="928"/>
      <c r="BJ227" s="928"/>
      <c r="BK227" s="928"/>
      <c r="BL227" s="928"/>
      <c r="BM227" s="928"/>
      <c r="BN227" s="928"/>
      <c r="BO227" s="928"/>
      <c r="BP227" s="928"/>
      <c r="BQ227" s="928"/>
      <c r="BR227" s="928"/>
      <c r="BS227" s="928"/>
      <c r="BT227" s="928"/>
      <c r="BU227" s="928"/>
      <c r="BV227" s="928"/>
      <c r="BW227" s="928"/>
      <c r="BX227" s="928"/>
      <c r="BY227" s="928"/>
      <c r="BZ227" s="928"/>
      <c r="CA227" s="928"/>
      <c r="CB227" s="928"/>
      <c r="CC227" s="928"/>
      <c r="CD227" s="928"/>
      <c r="CE227" s="928"/>
      <c r="CF227" s="928"/>
      <c r="CG227" s="928"/>
      <c r="CH227" s="928"/>
      <c r="CI227" s="928"/>
      <c r="CJ227" s="928"/>
      <c r="CK227" s="928"/>
      <c r="CL227" s="928"/>
      <c r="CM227" s="928"/>
      <c r="CN227" s="928"/>
      <c r="CO227" s="928"/>
      <c r="CP227" s="928"/>
      <c r="CQ227" s="928"/>
      <c r="CR227" s="928"/>
      <c r="CS227" s="928"/>
      <c r="CT227" s="928"/>
      <c r="CU227" s="928"/>
      <c r="CV227" s="928"/>
      <c r="CW227" s="928"/>
      <c r="CX227" s="928"/>
      <c r="CY227" s="928"/>
      <c r="CZ227" s="928"/>
      <c r="DA227" s="928"/>
      <c r="DB227" s="928"/>
      <c r="DC227" s="928"/>
      <c r="DD227" s="928"/>
      <c r="DE227" s="928"/>
      <c r="DF227" s="928"/>
      <c r="DG227" s="928"/>
      <c r="DH227" s="928"/>
    </row>
    <row r="228" spans="1:112">
      <c r="A228" s="891" t="s">
        <v>1023</v>
      </c>
      <c r="B228" s="891" t="s">
        <v>1529</v>
      </c>
      <c r="C228" s="891" t="s">
        <v>271</v>
      </c>
      <c r="D228" s="891" t="s">
        <v>1023</v>
      </c>
      <c r="E228" s="891" t="s">
        <v>1529</v>
      </c>
      <c r="F228" s="891" t="s">
        <v>271</v>
      </c>
      <c r="G228" s="897">
        <v>25.89</v>
      </c>
      <c r="H228" s="897">
        <v>16.760000000000002</v>
      </c>
      <c r="I228" s="897">
        <v>77.86</v>
      </c>
      <c r="J228" s="891"/>
      <c r="K228" s="891"/>
      <c r="L228" s="891"/>
      <c r="M228" s="891"/>
      <c r="N228" s="891"/>
      <c r="O228" s="891"/>
      <c r="P228" s="891"/>
      <c r="Q228" s="891"/>
      <c r="R228" s="891"/>
      <c r="S228" s="891"/>
      <c r="T228" s="891"/>
      <c r="U228" s="928"/>
      <c r="V228" s="928"/>
      <c r="W228" s="928"/>
      <c r="X228" s="928"/>
      <c r="Y228" s="928"/>
      <c r="Z228" s="928"/>
      <c r="AA228" s="928"/>
      <c r="AB228" s="928"/>
      <c r="AC228" s="928"/>
      <c r="AD228" s="928"/>
      <c r="AE228" s="928"/>
      <c r="AF228" s="928"/>
      <c r="AG228" s="928"/>
      <c r="AH228" s="928"/>
      <c r="AI228" s="928"/>
      <c r="AJ228" s="928"/>
      <c r="AK228" s="928"/>
      <c r="AL228" s="928"/>
      <c r="AM228" s="928"/>
      <c r="AN228" s="928"/>
      <c r="AO228" s="928"/>
      <c r="AP228" s="928"/>
      <c r="AQ228" s="928"/>
      <c r="AR228" s="928"/>
      <c r="AS228" s="928"/>
      <c r="AT228" s="928"/>
      <c r="AU228" s="928"/>
      <c r="AV228" s="928"/>
      <c r="AW228" s="928"/>
      <c r="AX228" s="928"/>
      <c r="AY228" s="928"/>
      <c r="AZ228" s="928"/>
      <c r="BA228" s="928"/>
      <c r="BB228" s="928"/>
      <c r="BC228" s="928"/>
      <c r="BD228" s="928"/>
      <c r="BE228" s="928"/>
      <c r="BF228" s="928"/>
      <c r="BG228" s="928"/>
      <c r="BH228" s="928"/>
      <c r="BI228" s="928"/>
      <c r="BJ228" s="928"/>
      <c r="BK228" s="928"/>
      <c r="BL228" s="928"/>
      <c r="BM228" s="928"/>
      <c r="BN228" s="928"/>
      <c r="BO228" s="928"/>
      <c r="BP228" s="928"/>
      <c r="BQ228" s="928"/>
      <c r="BR228" s="928"/>
      <c r="BS228" s="928"/>
      <c r="BT228" s="928"/>
      <c r="BU228" s="928"/>
      <c r="BV228" s="928"/>
      <c r="BW228" s="928"/>
      <c r="BX228" s="928"/>
      <c r="BY228" s="928"/>
      <c r="BZ228" s="928"/>
      <c r="CA228" s="928"/>
      <c r="CB228" s="928"/>
      <c r="CC228" s="928"/>
      <c r="CD228" s="928"/>
      <c r="CE228" s="928"/>
      <c r="CF228" s="928"/>
      <c r="CG228" s="928"/>
      <c r="CH228" s="928"/>
      <c r="CI228" s="928"/>
      <c r="CJ228" s="928"/>
      <c r="CK228" s="928"/>
      <c r="CL228" s="928"/>
      <c r="CM228" s="928"/>
      <c r="CN228" s="928"/>
      <c r="CO228" s="928"/>
      <c r="CP228" s="928"/>
      <c r="CQ228" s="928"/>
      <c r="CR228" s="928"/>
      <c r="CS228" s="928"/>
      <c r="CT228" s="928"/>
      <c r="CU228" s="928"/>
      <c r="CV228" s="928"/>
      <c r="CW228" s="928"/>
      <c r="CX228" s="928"/>
      <c r="CY228" s="928"/>
      <c r="CZ228" s="928"/>
      <c r="DA228" s="928"/>
      <c r="DB228" s="928"/>
      <c r="DC228" s="928"/>
      <c r="DD228" s="928"/>
      <c r="DE228" s="928"/>
      <c r="DF228" s="928"/>
      <c r="DG228" s="928"/>
      <c r="DH228" s="928"/>
    </row>
    <row r="229" spans="1:112">
      <c r="A229" s="891" t="s">
        <v>1024</v>
      </c>
      <c r="B229" s="891" t="s">
        <v>1478</v>
      </c>
      <c r="C229" s="891" t="s">
        <v>166</v>
      </c>
      <c r="D229" s="891" t="s">
        <v>1024</v>
      </c>
      <c r="E229" s="891" t="s">
        <v>1478</v>
      </c>
      <c r="F229" s="891" t="s">
        <v>166</v>
      </c>
      <c r="G229" s="897">
        <v>62.59</v>
      </c>
      <c r="H229" s="897">
        <v>36.159999999999997</v>
      </c>
      <c r="I229" s="897">
        <v>24.89</v>
      </c>
      <c r="J229" s="891"/>
      <c r="K229" s="891"/>
      <c r="L229" s="891"/>
      <c r="M229" s="891"/>
      <c r="N229" s="891"/>
      <c r="O229" s="891"/>
      <c r="P229" s="891"/>
      <c r="Q229" s="891"/>
      <c r="R229" s="891"/>
      <c r="S229" s="891"/>
      <c r="T229" s="891"/>
      <c r="U229" s="928"/>
      <c r="V229" s="928"/>
      <c r="W229" s="928"/>
      <c r="X229" s="928"/>
      <c r="Y229" s="928"/>
      <c r="Z229" s="928"/>
      <c r="AA229" s="928"/>
      <c r="AB229" s="928"/>
      <c r="AC229" s="928"/>
      <c r="AD229" s="928"/>
      <c r="AE229" s="928"/>
      <c r="AF229" s="928"/>
      <c r="AG229" s="928"/>
      <c r="AH229" s="928"/>
      <c r="AI229" s="928"/>
      <c r="AJ229" s="928"/>
      <c r="AK229" s="928"/>
      <c r="AL229" s="928"/>
      <c r="AM229" s="928"/>
      <c r="AN229" s="928"/>
      <c r="AO229" s="928"/>
      <c r="AP229" s="928"/>
      <c r="AQ229" s="928"/>
      <c r="AR229" s="928"/>
      <c r="AS229" s="928"/>
      <c r="AT229" s="928"/>
      <c r="AU229" s="928"/>
      <c r="AV229" s="928"/>
      <c r="AW229" s="928"/>
      <c r="AX229" s="928"/>
      <c r="AY229" s="928"/>
      <c r="AZ229" s="928"/>
      <c r="BA229" s="928"/>
      <c r="BB229" s="928"/>
      <c r="BC229" s="928"/>
      <c r="BD229" s="928"/>
      <c r="BE229" s="928"/>
      <c r="BF229" s="928"/>
      <c r="BG229" s="928"/>
      <c r="BH229" s="928"/>
      <c r="BI229" s="928"/>
      <c r="BJ229" s="928"/>
      <c r="BK229" s="928"/>
      <c r="BL229" s="928"/>
      <c r="BM229" s="928"/>
      <c r="BN229" s="928"/>
      <c r="BO229" s="928"/>
      <c r="BP229" s="928"/>
      <c r="BQ229" s="928"/>
      <c r="BR229" s="928"/>
      <c r="BS229" s="928"/>
      <c r="BT229" s="928"/>
      <c r="BU229" s="928"/>
      <c r="BV229" s="928"/>
      <c r="BW229" s="928"/>
      <c r="BX229" s="928"/>
      <c r="BY229" s="928"/>
      <c r="BZ229" s="928"/>
      <c r="CA229" s="928"/>
      <c r="CB229" s="928"/>
      <c r="CC229" s="928"/>
      <c r="CD229" s="928"/>
      <c r="CE229" s="928"/>
      <c r="CF229" s="928"/>
      <c r="CG229" s="928"/>
      <c r="CH229" s="928"/>
      <c r="CI229" s="928"/>
      <c r="CJ229" s="928"/>
      <c r="CK229" s="928"/>
      <c r="CL229" s="928"/>
      <c r="CM229" s="928"/>
      <c r="CN229" s="928"/>
      <c r="CO229" s="928"/>
      <c r="CP229" s="928"/>
      <c r="CQ229" s="928"/>
      <c r="CR229" s="928"/>
      <c r="CS229" s="928"/>
      <c r="CT229" s="928"/>
      <c r="CU229" s="928"/>
      <c r="CV229" s="928"/>
      <c r="CW229" s="928"/>
      <c r="CX229" s="928"/>
      <c r="CY229" s="928"/>
      <c r="CZ229" s="928"/>
      <c r="DA229" s="928"/>
      <c r="DB229" s="928"/>
      <c r="DC229" s="928"/>
      <c r="DD229" s="928"/>
      <c r="DE229" s="928"/>
      <c r="DF229" s="928"/>
      <c r="DG229" s="928"/>
      <c r="DH229" s="928"/>
    </row>
    <row r="230" spans="1:112">
      <c r="A230" s="891" t="s">
        <v>1532</v>
      </c>
      <c r="B230" s="891" t="s">
        <v>1454</v>
      </c>
      <c r="C230" s="891" t="s">
        <v>1533</v>
      </c>
      <c r="D230" s="891" t="s">
        <v>1532</v>
      </c>
      <c r="E230" s="891" t="s">
        <v>1454</v>
      </c>
      <c r="F230" s="891" t="s">
        <v>1533</v>
      </c>
      <c r="G230" s="897">
        <v>82</v>
      </c>
      <c r="H230" s="897">
        <v>94.83</v>
      </c>
      <c r="I230" s="897">
        <v>105.3</v>
      </c>
      <c r="J230" s="891"/>
      <c r="K230" s="891"/>
      <c r="L230" s="891"/>
      <c r="M230" s="891"/>
      <c r="N230" s="891"/>
      <c r="O230" s="891"/>
      <c r="P230" s="891"/>
      <c r="Q230" s="891"/>
      <c r="R230" s="891"/>
      <c r="S230" s="891"/>
      <c r="T230" s="891"/>
      <c r="U230" s="928"/>
      <c r="V230" s="928"/>
      <c r="W230" s="928"/>
      <c r="X230" s="928"/>
      <c r="Y230" s="928"/>
      <c r="Z230" s="928"/>
      <c r="AA230" s="928"/>
      <c r="AB230" s="928"/>
      <c r="AC230" s="928"/>
      <c r="AD230" s="928"/>
      <c r="AE230" s="928"/>
      <c r="AF230" s="928"/>
      <c r="AG230" s="928"/>
      <c r="AH230" s="928"/>
      <c r="AI230" s="928"/>
      <c r="AJ230" s="928"/>
      <c r="AK230" s="928"/>
      <c r="AL230" s="928"/>
      <c r="AM230" s="928"/>
      <c r="AN230" s="928"/>
      <c r="AO230" s="928"/>
      <c r="AP230" s="928"/>
      <c r="AQ230" s="928"/>
      <c r="AR230" s="928"/>
      <c r="AS230" s="928"/>
      <c r="AT230" s="928"/>
      <c r="AU230" s="928"/>
      <c r="AV230" s="928"/>
      <c r="AW230" s="928"/>
      <c r="AX230" s="928"/>
      <c r="AY230" s="928"/>
      <c r="AZ230" s="928"/>
      <c r="BA230" s="928"/>
      <c r="BB230" s="928"/>
      <c r="BC230" s="928"/>
      <c r="BD230" s="928"/>
      <c r="BE230" s="928"/>
      <c r="BF230" s="928"/>
      <c r="BG230" s="928"/>
      <c r="BH230" s="928"/>
      <c r="BI230" s="928"/>
      <c r="BJ230" s="928"/>
      <c r="BK230" s="928"/>
      <c r="BL230" s="928"/>
      <c r="BM230" s="928"/>
      <c r="BN230" s="928"/>
      <c r="BO230" s="928"/>
      <c r="BP230" s="928"/>
      <c r="BQ230" s="928"/>
      <c r="BR230" s="928"/>
      <c r="BS230" s="928"/>
      <c r="BT230" s="928"/>
      <c r="BU230" s="928"/>
      <c r="BV230" s="928"/>
      <c r="BW230" s="928"/>
      <c r="BX230" s="928"/>
      <c r="BY230" s="928"/>
      <c r="BZ230" s="928"/>
      <c r="CA230" s="928"/>
      <c r="CB230" s="928"/>
      <c r="CC230" s="928"/>
      <c r="CD230" s="928"/>
      <c r="CE230" s="928"/>
      <c r="CF230" s="928"/>
      <c r="CG230" s="928"/>
      <c r="CH230" s="928"/>
      <c r="CI230" s="928"/>
      <c r="CJ230" s="928"/>
      <c r="CK230" s="928"/>
      <c r="CL230" s="928"/>
      <c r="CM230" s="928"/>
      <c r="CN230" s="928"/>
      <c r="CO230" s="928"/>
      <c r="CP230" s="928"/>
      <c r="CQ230" s="928"/>
      <c r="CR230" s="928"/>
      <c r="CS230" s="928"/>
      <c r="CT230" s="928"/>
      <c r="CU230" s="928"/>
      <c r="CV230" s="928"/>
      <c r="CW230" s="928"/>
      <c r="CX230" s="928"/>
      <c r="CY230" s="928"/>
      <c r="CZ230" s="928"/>
      <c r="DA230" s="928"/>
      <c r="DB230" s="928"/>
      <c r="DC230" s="928"/>
      <c r="DD230" s="928"/>
      <c r="DE230" s="928"/>
      <c r="DF230" s="928"/>
      <c r="DG230" s="928"/>
      <c r="DH230" s="928"/>
    </row>
    <row r="231" spans="1:112">
      <c r="A231" s="891" t="s">
        <v>1025</v>
      </c>
      <c r="B231" s="891" t="s">
        <v>1446</v>
      </c>
      <c r="C231" s="891" t="s">
        <v>23</v>
      </c>
      <c r="D231" s="891" t="s">
        <v>1025</v>
      </c>
      <c r="E231" s="891" t="s">
        <v>1446</v>
      </c>
      <c r="F231" s="891" t="s">
        <v>23</v>
      </c>
      <c r="G231" s="897">
        <v>78.33</v>
      </c>
      <c r="H231" s="897">
        <v>94.64</v>
      </c>
      <c r="I231" s="897">
        <v>75.34</v>
      </c>
      <c r="J231" s="891"/>
      <c r="K231" s="891"/>
      <c r="L231" s="891"/>
      <c r="M231" s="891"/>
      <c r="N231" s="891"/>
      <c r="O231" s="891"/>
      <c r="P231" s="891"/>
      <c r="Q231" s="891"/>
      <c r="R231" s="891"/>
      <c r="S231" s="891"/>
      <c r="T231" s="891"/>
      <c r="U231" s="928"/>
      <c r="V231" s="928"/>
      <c r="W231" s="928"/>
      <c r="X231" s="928"/>
      <c r="Y231" s="928"/>
      <c r="Z231" s="928"/>
      <c r="AA231" s="928"/>
      <c r="AB231" s="928"/>
      <c r="AC231" s="928"/>
      <c r="AD231" s="928"/>
      <c r="AE231" s="928"/>
      <c r="AF231" s="928"/>
      <c r="AG231" s="928"/>
      <c r="AH231" s="928"/>
      <c r="AI231" s="928"/>
      <c r="AJ231" s="928"/>
      <c r="AK231" s="928"/>
      <c r="AL231" s="928"/>
      <c r="AM231" s="928"/>
      <c r="AN231" s="928"/>
      <c r="AO231" s="928"/>
      <c r="AP231" s="928"/>
      <c r="AQ231" s="928"/>
      <c r="AR231" s="928"/>
      <c r="AS231" s="928"/>
      <c r="AT231" s="928"/>
      <c r="AU231" s="928"/>
      <c r="AV231" s="928"/>
      <c r="AW231" s="928"/>
      <c r="AX231" s="928"/>
      <c r="AY231" s="928"/>
      <c r="AZ231" s="928"/>
      <c r="BA231" s="928"/>
      <c r="BB231" s="928"/>
      <c r="BC231" s="928"/>
      <c r="BD231" s="928"/>
      <c r="BE231" s="928"/>
      <c r="BF231" s="928"/>
      <c r="BG231" s="928"/>
      <c r="BH231" s="928"/>
      <c r="BI231" s="928"/>
      <c r="BJ231" s="928"/>
      <c r="BK231" s="928"/>
      <c r="BL231" s="928"/>
      <c r="BM231" s="928"/>
      <c r="BN231" s="928"/>
      <c r="BO231" s="928"/>
      <c r="BP231" s="928"/>
      <c r="BQ231" s="928"/>
      <c r="BR231" s="928"/>
      <c r="BS231" s="928"/>
      <c r="BT231" s="928"/>
      <c r="BU231" s="928"/>
      <c r="BV231" s="928"/>
      <c r="BW231" s="928"/>
      <c r="BX231" s="928"/>
      <c r="BY231" s="928"/>
      <c r="BZ231" s="928"/>
      <c r="CA231" s="928"/>
      <c r="CB231" s="928"/>
      <c r="CC231" s="928"/>
      <c r="CD231" s="928"/>
      <c r="CE231" s="928"/>
      <c r="CF231" s="928"/>
      <c r="CG231" s="928"/>
      <c r="CH231" s="928"/>
      <c r="CI231" s="928"/>
      <c r="CJ231" s="928"/>
      <c r="CK231" s="928"/>
      <c r="CL231" s="928"/>
      <c r="CM231" s="928"/>
      <c r="CN231" s="928"/>
      <c r="CO231" s="928"/>
      <c r="CP231" s="928"/>
      <c r="CQ231" s="928"/>
      <c r="CR231" s="928"/>
      <c r="CS231" s="928"/>
      <c r="CT231" s="928"/>
      <c r="CU231" s="928"/>
      <c r="CV231" s="928"/>
      <c r="CW231" s="928"/>
      <c r="CX231" s="928"/>
      <c r="CY231" s="928"/>
      <c r="CZ231" s="928"/>
      <c r="DA231" s="928"/>
      <c r="DB231" s="928"/>
      <c r="DC231" s="928"/>
      <c r="DD231" s="928"/>
      <c r="DE231" s="928"/>
      <c r="DF231" s="928"/>
      <c r="DG231" s="928"/>
      <c r="DH231" s="928"/>
    </row>
    <row r="232" spans="1:112">
      <c r="A232" s="891" t="s">
        <v>1026</v>
      </c>
      <c r="B232" s="891" t="s">
        <v>1498</v>
      </c>
      <c r="C232" s="891" t="s">
        <v>333</v>
      </c>
      <c r="D232" s="891" t="s">
        <v>1026</v>
      </c>
      <c r="E232" s="891" t="s">
        <v>1498</v>
      </c>
      <c r="F232" s="891" t="s">
        <v>333</v>
      </c>
      <c r="G232" s="897">
        <v>76.319999999999993</v>
      </c>
      <c r="H232" s="897">
        <v>60.49</v>
      </c>
      <c r="I232" s="897">
        <v>152.13</v>
      </c>
      <c r="J232" s="891"/>
      <c r="K232" s="891"/>
      <c r="L232" s="891"/>
      <c r="M232" s="891"/>
      <c r="N232" s="891"/>
      <c r="O232" s="891"/>
      <c r="P232" s="891"/>
      <c r="Q232" s="891"/>
      <c r="R232" s="891"/>
      <c r="S232" s="891"/>
      <c r="T232" s="891"/>
      <c r="U232" s="928"/>
      <c r="V232" s="928"/>
      <c r="W232" s="928"/>
      <c r="X232" s="928"/>
      <c r="Y232" s="928"/>
      <c r="Z232" s="928"/>
      <c r="AA232" s="928"/>
      <c r="AB232" s="928"/>
      <c r="AC232" s="928"/>
      <c r="AD232" s="928"/>
      <c r="AE232" s="928"/>
      <c r="AF232" s="928"/>
      <c r="AG232" s="928"/>
      <c r="AH232" s="928"/>
      <c r="AI232" s="928"/>
      <c r="AJ232" s="928"/>
      <c r="AK232" s="928"/>
      <c r="AL232" s="928"/>
      <c r="AM232" s="928"/>
      <c r="AN232" s="928"/>
      <c r="AO232" s="928"/>
      <c r="AP232" s="928"/>
      <c r="AQ232" s="928"/>
      <c r="AR232" s="928"/>
      <c r="AS232" s="928"/>
      <c r="AT232" s="928"/>
      <c r="AU232" s="928"/>
      <c r="AV232" s="928"/>
      <c r="AW232" s="928"/>
      <c r="AX232" s="928"/>
      <c r="AY232" s="928"/>
      <c r="AZ232" s="928"/>
      <c r="BA232" s="928"/>
      <c r="BB232" s="928"/>
      <c r="BC232" s="928"/>
      <c r="BD232" s="928"/>
      <c r="BE232" s="928"/>
      <c r="BF232" s="928"/>
      <c r="BG232" s="928"/>
      <c r="BH232" s="928"/>
      <c r="BI232" s="928"/>
      <c r="BJ232" s="928"/>
      <c r="BK232" s="928"/>
      <c r="BL232" s="928"/>
      <c r="BM232" s="928"/>
      <c r="BN232" s="928"/>
      <c r="BO232" s="928"/>
      <c r="BP232" s="928"/>
      <c r="BQ232" s="928"/>
      <c r="BR232" s="928"/>
      <c r="BS232" s="928"/>
      <c r="BT232" s="928"/>
      <c r="BU232" s="928"/>
      <c r="BV232" s="928"/>
      <c r="BW232" s="928"/>
      <c r="BX232" s="928"/>
      <c r="BY232" s="928"/>
      <c r="BZ232" s="928"/>
      <c r="CA232" s="928"/>
      <c r="CB232" s="928"/>
      <c r="CC232" s="928"/>
      <c r="CD232" s="928"/>
      <c r="CE232" s="928"/>
      <c r="CF232" s="928"/>
      <c r="CG232" s="928"/>
      <c r="CH232" s="928"/>
      <c r="CI232" s="928"/>
      <c r="CJ232" s="928"/>
      <c r="CK232" s="928"/>
      <c r="CL232" s="928"/>
      <c r="CM232" s="928"/>
      <c r="CN232" s="928"/>
      <c r="CO232" s="928"/>
      <c r="CP232" s="928"/>
      <c r="CQ232" s="928"/>
      <c r="CR232" s="928"/>
      <c r="CS232" s="928"/>
      <c r="CT232" s="928"/>
      <c r="CU232" s="928"/>
      <c r="CV232" s="928"/>
      <c r="CW232" s="928"/>
      <c r="CX232" s="928"/>
      <c r="CY232" s="928"/>
      <c r="CZ232" s="928"/>
      <c r="DA232" s="928"/>
      <c r="DB232" s="928"/>
      <c r="DC232" s="928"/>
      <c r="DD232" s="928"/>
      <c r="DE232" s="928"/>
      <c r="DF232" s="928"/>
      <c r="DG232" s="928"/>
      <c r="DH232" s="928"/>
    </row>
    <row r="233" spans="1:112">
      <c r="A233" s="891" t="s">
        <v>1027</v>
      </c>
      <c r="B233" s="891" t="s">
        <v>1454</v>
      </c>
      <c r="C233" s="891" t="s">
        <v>215</v>
      </c>
      <c r="D233" s="891" t="s">
        <v>1027</v>
      </c>
      <c r="E233" s="891" t="s">
        <v>1454</v>
      </c>
      <c r="F233" s="891" t="s">
        <v>215</v>
      </c>
      <c r="G233" s="897">
        <v>31.44</v>
      </c>
      <c r="H233" s="897">
        <v>15.06</v>
      </c>
      <c r="I233" s="897">
        <v>45.66</v>
      </c>
      <c r="J233" s="891"/>
      <c r="K233" s="891"/>
      <c r="L233" s="891"/>
      <c r="M233" s="891"/>
      <c r="N233" s="891"/>
      <c r="O233" s="891"/>
      <c r="P233" s="891"/>
      <c r="Q233" s="891"/>
      <c r="R233" s="891"/>
      <c r="S233" s="891"/>
      <c r="T233" s="891"/>
      <c r="U233" s="928"/>
      <c r="V233" s="928"/>
      <c r="W233" s="928"/>
      <c r="X233" s="928"/>
      <c r="Y233" s="928"/>
      <c r="Z233" s="928"/>
      <c r="AA233" s="928"/>
      <c r="AB233" s="928"/>
      <c r="AC233" s="928"/>
      <c r="AD233" s="928"/>
      <c r="AE233" s="928"/>
      <c r="AF233" s="928"/>
      <c r="AG233" s="928"/>
      <c r="AH233" s="928"/>
      <c r="AI233" s="928"/>
      <c r="AJ233" s="928"/>
      <c r="AK233" s="928"/>
      <c r="AL233" s="928"/>
      <c r="AM233" s="928"/>
      <c r="AN233" s="928"/>
      <c r="AO233" s="928"/>
      <c r="AP233" s="928"/>
      <c r="AQ233" s="928"/>
      <c r="AR233" s="928"/>
      <c r="AS233" s="928"/>
      <c r="AT233" s="928"/>
      <c r="AU233" s="928"/>
      <c r="AV233" s="928"/>
      <c r="AW233" s="928"/>
      <c r="AX233" s="928"/>
      <c r="AY233" s="928"/>
      <c r="AZ233" s="928"/>
      <c r="BA233" s="928"/>
      <c r="BB233" s="928"/>
      <c r="BC233" s="928"/>
      <c r="BD233" s="928"/>
      <c r="BE233" s="928"/>
      <c r="BF233" s="928"/>
      <c r="BG233" s="928"/>
      <c r="BH233" s="928"/>
      <c r="BI233" s="928"/>
      <c r="BJ233" s="928"/>
      <c r="BK233" s="928"/>
      <c r="BL233" s="928"/>
      <c r="BM233" s="928"/>
      <c r="BN233" s="928"/>
      <c r="BO233" s="928"/>
      <c r="BP233" s="928"/>
      <c r="BQ233" s="928"/>
      <c r="BR233" s="928"/>
      <c r="BS233" s="928"/>
      <c r="BT233" s="928"/>
      <c r="BU233" s="928"/>
      <c r="BV233" s="928"/>
      <c r="BW233" s="928"/>
      <c r="BX233" s="928"/>
      <c r="BY233" s="928"/>
      <c r="BZ233" s="928"/>
      <c r="CA233" s="928"/>
      <c r="CB233" s="928"/>
      <c r="CC233" s="928"/>
      <c r="CD233" s="928"/>
      <c r="CE233" s="928"/>
      <c r="CF233" s="928"/>
      <c r="CG233" s="928"/>
      <c r="CH233" s="928"/>
      <c r="CI233" s="928"/>
      <c r="CJ233" s="928"/>
      <c r="CK233" s="928"/>
      <c r="CL233" s="928"/>
      <c r="CM233" s="928"/>
      <c r="CN233" s="928"/>
      <c r="CO233" s="928"/>
      <c r="CP233" s="928"/>
      <c r="CQ233" s="928"/>
      <c r="CR233" s="928"/>
      <c r="CS233" s="928"/>
      <c r="CT233" s="928"/>
      <c r="CU233" s="928"/>
      <c r="CV233" s="928"/>
      <c r="CW233" s="928"/>
      <c r="CX233" s="928"/>
      <c r="CY233" s="928"/>
      <c r="CZ233" s="928"/>
      <c r="DA233" s="928"/>
      <c r="DB233" s="928"/>
      <c r="DC233" s="928"/>
      <c r="DD233" s="928"/>
      <c r="DE233" s="928"/>
      <c r="DF233" s="928"/>
      <c r="DG233" s="928"/>
      <c r="DH233" s="928"/>
    </row>
    <row r="234" spans="1:112">
      <c r="A234" s="891" t="s">
        <v>1028</v>
      </c>
      <c r="B234" s="891" t="s">
        <v>1483</v>
      </c>
      <c r="C234" s="891" t="s">
        <v>342</v>
      </c>
      <c r="D234" s="891" t="s">
        <v>1028</v>
      </c>
      <c r="E234" s="891" t="s">
        <v>1483</v>
      </c>
      <c r="F234" s="891" t="s">
        <v>342</v>
      </c>
      <c r="G234" s="897">
        <v>31.1</v>
      </c>
      <c r="H234" s="897">
        <v>17.72</v>
      </c>
      <c r="I234" s="897">
        <v>81.42</v>
      </c>
      <c r="J234" s="891"/>
      <c r="K234" s="891"/>
      <c r="L234" s="891"/>
      <c r="M234" s="891"/>
      <c r="N234" s="891"/>
      <c r="O234" s="891"/>
      <c r="P234" s="891"/>
      <c r="Q234" s="891"/>
      <c r="R234" s="891"/>
      <c r="S234" s="891"/>
      <c r="T234" s="891"/>
      <c r="U234" s="928"/>
      <c r="V234" s="928"/>
      <c r="W234" s="928"/>
      <c r="X234" s="928"/>
      <c r="Y234" s="928"/>
      <c r="Z234" s="928"/>
      <c r="AA234" s="928"/>
      <c r="AB234" s="928"/>
      <c r="AC234" s="928"/>
      <c r="AD234" s="928"/>
      <c r="AE234" s="928"/>
      <c r="AF234" s="928"/>
      <c r="AG234" s="928"/>
      <c r="AH234" s="928"/>
      <c r="AI234" s="928"/>
      <c r="AJ234" s="928"/>
      <c r="AK234" s="928"/>
      <c r="AL234" s="928"/>
      <c r="AM234" s="928"/>
      <c r="AN234" s="928"/>
      <c r="AO234" s="928"/>
      <c r="AP234" s="928"/>
      <c r="AQ234" s="928"/>
      <c r="AR234" s="928"/>
      <c r="AS234" s="928"/>
      <c r="AT234" s="928"/>
      <c r="AU234" s="928"/>
      <c r="AV234" s="928"/>
      <c r="AW234" s="928"/>
      <c r="AX234" s="928"/>
      <c r="AY234" s="928"/>
      <c r="AZ234" s="928"/>
      <c r="BA234" s="928"/>
      <c r="BB234" s="928"/>
      <c r="BC234" s="928"/>
      <c r="BD234" s="928"/>
      <c r="BE234" s="928"/>
      <c r="BF234" s="928"/>
      <c r="BG234" s="928"/>
      <c r="BH234" s="928"/>
      <c r="BI234" s="928"/>
      <c r="BJ234" s="928"/>
      <c r="BK234" s="928"/>
      <c r="BL234" s="928"/>
      <c r="BM234" s="928"/>
      <c r="BN234" s="928"/>
      <c r="BO234" s="928"/>
      <c r="BP234" s="928"/>
      <c r="BQ234" s="928"/>
      <c r="BR234" s="928"/>
      <c r="BS234" s="928"/>
      <c r="BT234" s="928"/>
      <c r="BU234" s="928"/>
      <c r="BV234" s="928"/>
      <c r="BW234" s="928"/>
      <c r="BX234" s="928"/>
      <c r="BY234" s="928"/>
      <c r="BZ234" s="928"/>
      <c r="CA234" s="928"/>
      <c r="CB234" s="928"/>
      <c r="CC234" s="928"/>
      <c r="CD234" s="928"/>
      <c r="CE234" s="928"/>
      <c r="CF234" s="928"/>
      <c r="CG234" s="928"/>
      <c r="CH234" s="928"/>
      <c r="CI234" s="928"/>
      <c r="CJ234" s="928"/>
      <c r="CK234" s="928"/>
      <c r="CL234" s="928"/>
      <c r="CM234" s="928"/>
      <c r="CN234" s="928"/>
      <c r="CO234" s="928"/>
      <c r="CP234" s="928"/>
      <c r="CQ234" s="928"/>
      <c r="CR234" s="928"/>
      <c r="CS234" s="928"/>
      <c r="CT234" s="928"/>
      <c r="CU234" s="928"/>
      <c r="CV234" s="928"/>
      <c r="CW234" s="928"/>
      <c r="CX234" s="928"/>
      <c r="CY234" s="928"/>
      <c r="CZ234" s="928"/>
      <c r="DA234" s="928"/>
      <c r="DB234" s="928"/>
      <c r="DC234" s="928"/>
      <c r="DD234" s="928"/>
      <c r="DE234" s="928"/>
      <c r="DF234" s="928"/>
      <c r="DG234" s="928"/>
      <c r="DH234" s="928"/>
    </row>
    <row r="235" spans="1:112">
      <c r="A235" s="891" t="s">
        <v>1029</v>
      </c>
      <c r="B235" s="891" t="s">
        <v>1454</v>
      </c>
      <c r="C235" s="891" t="s">
        <v>172</v>
      </c>
      <c r="D235" s="891" t="s">
        <v>1029</v>
      </c>
      <c r="E235" s="891" t="s">
        <v>1454</v>
      </c>
      <c r="F235" s="891" t="s">
        <v>172</v>
      </c>
      <c r="G235" s="897">
        <v>89.37</v>
      </c>
      <c r="H235" s="897">
        <v>65.569999999999993</v>
      </c>
      <c r="I235" s="897">
        <v>119.34</v>
      </c>
      <c r="J235" s="891"/>
      <c r="K235" s="891"/>
      <c r="L235" s="891"/>
      <c r="M235" s="891"/>
      <c r="N235" s="891"/>
      <c r="O235" s="891"/>
      <c r="P235" s="891"/>
      <c r="Q235" s="891"/>
      <c r="R235" s="891"/>
      <c r="S235" s="891"/>
      <c r="T235" s="891"/>
      <c r="U235" s="928"/>
      <c r="V235" s="928"/>
      <c r="W235" s="928"/>
      <c r="X235" s="928"/>
      <c r="Y235" s="928"/>
      <c r="Z235" s="928"/>
      <c r="AA235" s="928"/>
      <c r="AB235" s="928"/>
      <c r="AC235" s="928"/>
      <c r="AD235" s="928"/>
      <c r="AE235" s="928"/>
      <c r="AF235" s="928"/>
      <c r="AG235" s="928"/>
      <c r="AH235" s="928"/>
      <c r="AI235" s="928"/>
      <c r="AJ235" s="928"/>
      <c r="AK235" s="928"/>
      <c r="AL235" s="928"/>
      <c r="AM235" s="928"/>
      <c r="AN235" s="928"/>
      <c r="AO235" s="928"/>
      <c r="AP235" s="928"/>
      <c r="AQ235" s="928"/>
      <c r="AR235" s="928"/>
      <c r="AS235" s="928"/>
      <c r="AT235" s="928"/>
      <c r="AU235" s="928"/>
      <c r="AV235" s="928"/>
      <c r="AW235" s="928"/>
      <c r="AX235" s="928"/>
      <c r="AY235" s="928"/>
      <c r="AZ235" s="928"/>
      <c r="BA235" s="928"/>
      <c r="BB235" s="928"/>
      <c r="BC235" s="928"/>
      <c r="BD235" s="928"/>
      <c r="BE235" s="928"/>
      <c r="BF235" s="928"/>
      <c r="BG235" s="928"/>
      <c r="BH235" s="928"/>
      <c r="BI235" s="928"/>
      <c r="BJ235" s="928"/>
      <c r="BK235" s="928"/>
      <c r="BL235" s="928"/>
      <c r="BM235" s="928"/>
      <c r="BN235" s="928"/>
      <c r="BO235" s="928"/>
      <c r="BP235" s="928"/>
      <c r="BQ235" s="928"/>
      <c r="BR235" s="928"/>
      <c r="BS235" s="928"/>
      <c r="BT235" s="928"/>
      <c r="BU235" s="928"/>
      <c r="BV235" s="928"/>
      <c r="BW235" s="928"/>
      <c r="BX235" s="928"/>
      <c r="BY235" s="928"/>
      <c r="BZ235" s="928"/>
      <c r="CA235" s="928"/>
      <c r="CB235" s="928"/>
      <c r="CC235" s="928"/>
      <c r="CD235" s="928"/>
      <c r="CE235" s="928"/>
      <c r="CF235" s="928"/>
      <c r="CG235" s="928"/>
      <c r="CH235" s="928"/>
      <c r="CI235" s="928"/>
      <c r="CJ235" s="928"/>
      <c r="CK235" s="928"/>
      <c r="CL235" s="928"/>
      <c r="CM235" s="928"/>
      <c r="CN235" s="928"/>
      <c r="CO235" s="928"/>
      <c r="CP235" s="928"/>
      <c r="CQ235" s="928"/>
      <c r="CR235" s="928"/>
      <c r="CS235" s="928"/>
      <c r="CT235" s="928"/>
      <c r="CU235" s="928"/>
      <c r="CV235" s="928"/>
      <c r="CW235" s="928"/>
      <c r="CX235" s="928"/>
      <c r="CY235" s="928"/>
      <c r="CZ235" s="928"/>
      <c r="DA235" s="928"/>
      <c r="DB235" s="928"/>
      <c r="DC235" s="928"/>
      <c r="DD235" s="928"/>
      <c r="DE235" s="928"/>
      <c r="DF235" s="928"/>
      <c r="DG235" s="928"/>
      <c r="DH235" s="928"/>
    </row>
    <row r="236" spans="1:112">
      <c r="A236" s="891" t="s">
        <v>1030</v>
      </c>
      <c r="B236" s="891" t="s">
        <v>1534</v>
      </c>
      <c r="C236" s="891" t="s">
        <v>40</v>
      </c>
      <c r="D236" s="891" t="s">
        <v>1030</v>
      </c>
      <c r="E236" s="891" t="s">
        <v>1534</v>
      </c>
      <c r="F236" s="891" t="s">
        <v>40</v>
      </c>
      <c r="G236" s="897">
        <v>100</v>
      </c>
      <c r="H236" s="897">
        <v>100</v>
      </c>
      <c r="I236" s="897">
        <v>100</v>
      </c>
      <c r="J236" s="891"/>
      <c r="K236" s="891"/>
      <c r="L236" s="891"/>
      <c r="M236" s="891"/>
      <c r="N236" s="891"/>
      <c r="O236" s="891"/>
      <c r="P236" s="891"/>
      <c r="Q236" s="891"/>
      <c r="R236" s="891"/>
      <c r="S236" s="891"/>
      <c r="T236" s="891"/>
      <c r="U236" s="928"/>
      <c r="V236" s="928"/>
      <c r="W236" s="928"/>
      <c r="X236" s="928"/>
      <c r="Y236" s="928"/>
      <c r="Z236" s="928"/>
      <c r="AA236" s="928"/>
      <c r="AB236" s="928"/>
      <c r="AC236" s="928"/>
      <c r="AD236" s="928"/>
      <c r="AE236" s="928"/>
      <c r="AF236" s="928"/>
      <c r="AG236" s="928"/>
      <c r="AH236" s="928"/>
      <c r="AI236" s="928"/>
      <c r="AJ236" s="928"/>
      <c r="AK236" s="928"/>
      <c r="AL236" s="928"/>
      <c r="AM236" s="928"/>
      <c r="AN236" s="928"/>
      <c r="AO236" s="928"/>
      <c r="AP236" s="928"/>
      <c r="AQ236" s="928"/>
      <c r="AR236" s="928"/>
      <c r="AS236" s="928"/>
      <c r="AT236" s="928"/>
      <c r="AU236" s="928"/>
      <c r="AV236" s="928"/>
      <c r="AW236" s="928"/>
      <c r="AX236" s="928"/>
      <c r="AY236" s="928"/>
      <c r="AZ236" s="928"/>
      <c r="BA236" s="928"/>
      <c r="BB236" s="928"/>
      <c r="BC236" s="928"/>
      <c r="BD236" s="928"/>
      <c r="BE236" s="928"/>
      <c r="BF236" s="928"/>
      <c r="BG236" s="928"/>
      <c r="BH236" s="928"/>
      <c r="BI236" s="928"/>
      <c r="BJ236" s="928"/>
      <c r="BK236" s="928"/>
      <c r="BL236" s="928"/>
      <c r="BM236" s="928"/>
      <c r="BN236" s="928"/>
      <c r="BO236" s="928"/>
      <c r="BP236" s="928"/>
      <c r="BQ236" s="928"/>
      <c r="BR236" s="928"/>
      <c r="BS236" s="928"/>
      <c r="BT236" s="928"/>
      <c r="BU236" s="928"/>
      <c r="BV236" s="928"/>
      <c r="BW236" s="928"/>
      <c r="BX236" s="928"/>
      <c r="BY236" s="928"/>
      <c r="BZ236" s="928"/>
      <c r="CA236" s="928"/>
      <c r="CB236" s="928"/>
      <c r="CC236" s="928"/>
      <c r="CD236" s="928"/>
      <c r="CE236" s="928"/>
      <c r="CF236" s="928"/>
      <c r="CG236" s="928"/>
      <c r="CH236" s="928"/>
      <c r="CI236" s="928"/>
      <c r="CJ236" s="928"/>
      <c r="CK236" s="928"/>
      <c r="CL236" s="928"/>
      <c r="CM236" s="928"/>
      <c r="CN236" s="928"/>
      <c r="CO236" s="928"/>
      <c r="CP236" s="928"/>
      <c r="CQ236" s="928"/>
      <c r="CR236" s="928"/>
      <c r="CS236" s="928"/>
      <c r="CT236" s="928"/>
      <c r="CU236" s="928"/>
      <c r="CV236" s="928"/>
      <c r="CW236" s="928"/>
      <c r="CX236" s="928"/>
      <c r="CY236" s="928"/>
      <c r="CZ236" s="928"/>
      <c r="DA236" s="928"/>
      <c r="DB236" s="928"/>
      <c r="DC236" s="928"/>
      <c r="DD236" s="928"/>
      <c r="DE236" s="928"/>
      <c r="DF236" s="928"/>
      <c r="DG236" s="928"/>
      <c r="DH236" s="928"/>
    </row>
    <row r="237" spans="1:112">
      <c r="A237" s="891" t="s">
        <v>1031</v>
      </c>
      <c r="B237" s="891" t="s">
        <v>1535</v>
      </c>
      <c r="C237" s="891" t="s">
        <v>234</v>
      </c>
      <c r="D237" s="891" t="s">
        <v>1031</v>
      </c>
      <c r="E237" s="891" t="s">
        <v>1535</v>
      </c>
      <c r="F237" s="891" t="s">
        <v>234</v>
      </c>
      <c r="G237" s="897">
        <v>71.540000000000006</v>
      </c>
      <c r="H237" s="897">
        <v>84.53</v>
      </c>
      <c r="I237" s="897">
        <v>148.30000000000001</v>
      </c>
      <c r="J237" s="891"/>
      <c r="K237" s="891"/>
      <c r="L237" s="891"/>
      <c r="M237" s="891"/>
      <c r="N237" s="891"/>
      <c r="O237" s="891"/>
      <c r="P237" s="891"/>
      <c r="Q237" s="891"/>
      <c r="R237" s="891"/>
      <c r="S237" s="891"/>
      <c r="T237" s="891"/>
      <c r="U237" s="928"/>
      <c r="V237" s="928"/>
      <c r="W237" s="928"/>
      <c r="X237" s="928"/>
      <c r="Y237" s="928"/>
      <c r="Z237" s="928"/>
      <c r="AA237" s="928"/>
      <c r="AB237" s="928"/>
      <c r="AC237" s="928"/>
      <c r="AD237" s="928"/>
      <c r="AE237" s="928"/>
      <c r="AF237" s="928"/>
      <c r="AG237" s="928"/>
      <c r="AH237" s="928"/>
      <c r="AI237" s="928"/>
      <c r="AJ237" s="928"/>
      <c r="AK237" s="928"/>
      <c r="AL237" s="928"/>
      <c r="AM237" s="928"/>
      <c r="AN237" s="928"/>
      <c r="AO237" s="928"/>
      <c r="AP237" s="928"/>
      <c r="AQ237" s="928"/>
      <c r="AR237" s="928"/>
      <c r="AS237" s="928"/>
      <c r="AT237" s="928"/>
      <c r="AU237" s="928"/>
      <c r="AV237" s="928"/>
      <c r="AW237" s="928"/>
      <c r="AX237" s="928"/>
      <c r="AY237" s="928"/>
      <c r="AZ237" s="928"/>
      <c r="BA237" s="928"/>
      <c r="BB237" s="928"/>
      <c r="BC237" s="928"/>
      <c r="BD237" s="928"/>
      <c r="BE237" s="928"/>
      <c r="BF237" s="928"/>
      <c r="BG237" s="928"/>
      <c r="BH237" s="928"/>
      <c r="BI237" s="928"/>
      <c r="BJ237" s="928"/>
      <c r="BK237" s="928"/>
      <c r="BL237" s="928"/>
      <c r="BM237" s="928"/>
      <c r="BN237" s="928"/>
      <c r="BO237" s="928"/>
      <c r="BP237" s="928"/>
      <c r="BQ237" s="928"/>
      <c r="BR237" s="928"/>
      <c r="BS237" s="928"/>
      <c r="BT237" s="928"/>
      <c r="BU237" s="928"/>
      <c r="BV237" s="928"/>
      <c r="BW237" s="928"/>
      <c r="BX237" s="928"/>
      <c r="BY237" s="928"/>
      <c r="BZ237" s="928"/>
      <c r="CA237" s="928"/>
      <c r="CB237" s="928"/>
      <c r="CC237" s="928"/>
      <c r="CD237" s="928"/>
      <c r="CE237" s="928"/>
      <c r="CF237" s="928"/>
      <c r="CG237" s="928"/>
      <c r="CH237" s="928"/>
      <c r="CI237" s="928"/>
      <c r="CJ237" s="928"/>
      <c r="CK237" s="928"/>
      <c r="CL237" s="928"/>
      <c r="CM237" s="928"/>
      <c r="CN237" s="928"/>
      <c r="CO237" s="928"/>
      <c r="CP237" s="928"/>
      <c r="CQ237" s="928"/>
      <c r="CR237" s="928"/>
      <c r="CS237" s="928"/>
      <c r="CT237" s="928"/>
      <c r="CU237" s="928"/>
      <c r="CV237" s="928"/>
      <c r="CW237" s="928"/>
      <c r="CX237" s="928"/>
      <c r="CY237" s="928"/>
      <c r="CZ237" s="928"/>
      <c r="DA237" s="928"/>
      <c r="DB237" s="928"/>
      <c r="DC237" s="928"/>
      <c r="DD237" s="928"/>
      <c r="DE237" s="928"/>
      <c r="DF237" s="928"/>
      <c r="DG237" s="928"/>
      <c r="DH237" s="928"/>
    </row>
    <row r="238" spans="1:112">
      <c r="A238" s="891" t="s">
        <v>1032</v>
      </c>
      <c r="B238" s="891" t="s">
        <v>1477</v>
      </c>
      <c r="C238" s="891" t="s">
        <v>7</v>
      </c>
      <c r="D238" s="891" t="s">
        <v>1032</v>
      </c>
      <c r="E238" s="891" t="s">
        <v>1477</v>
      </c>
      <c r="F238" s="891" t="s">
        <v>7</v>
      </c>
      <c r="G238" s="897">
        <v>86.82</v>
      </c>
      <c r="H238" s="897">
        <v>82.58</v>
      </c>
      <c r="I238" s="897">
        <v>109.95</v>
      </c>
      <c r="J238" s="891"/>
      <c r="K238" s="891"/>
      <c r="L238" s="891"/>
      <c r="M238" s="891"/>
      <c r="N238" s="891"/>
      <c r="O238" s="891"/>
      <c r="P238" s="891"/>
      <c r="Q238" s="891"/>
      <c r="R238" s="891"/>
      <c r="S238" s="891"/>
      <c r="T238" s="891"/>
      <c r="U238" s="928"/>
      <c r="V238" s="928"/>
      <c r="W238" s="928"/>
      <c r="X238" s="928"/>
      <c r="Y238" s="928"/>
      <c r="Z238" s="928"/>
      <c r="AA238" s="928"/>
      <c r="AB238" s="928"/>
      <c r="AC238" s="928"/>
      <c r="AD238" s="928"/>
      <c r="AE238" s="928"/>
      <c r="AF238" s="928"/>
      <c r="AG238" s="928"/>
      <c r="AH238" s="928"/>
      <c r="AI238" s="928"/>
      <c r="AJ238" s="928"/>
      <c r="AK238" s="928"/>
      <c r="AL238" s="928"/>
      <c r="AM238" s="928"/>
      <c r="AN238" s="928"/>
      <c r="AO238" s="928"/>
      <c r="AP238" s="928"/>
      <c r="AQ238" s="928"/>
      <c r="AR238" s="928"/>
      <c r="AS238" s="928"/>
      <c r="AT238" s="928"/>
      <c r="AU238" s="928"/>
      <c r="AV238" s="928"/>
      <c r="AW238" s="928"/>
      <c r="AX238" s="928"/>
      <c r="AY238" s="928"/>
      <c r="AZ238" s="928"/>
      <c r="BA238" s="928"/>
      <c r="BB238" s="928"/>
      <c r="BC238" s="928"/>
      <c r="BD238" s="928"/>
      <c r="BE238" s="928"/>
      <c r="BF238" s="928"/>
      <c r="BG238" s="928"/>
      <c r="BH238" s="928"/>
      <c r="BI238" s="928"/>
      <c r="BJ238" s="928"/>
      <c r="BK238" s="928"/>
      <c r="BL238" s="928"/>
      <c r="BM238" s="928"/>
      <c r="BN238" s="928"/>
      <c r="BO238" s="928"/>
      <c r="BP238" s="928"/>
      <c r="BQ238" s="928"/>
      <c r="BR238" s="928"/>
      <c r="BS238" s="928"/>
      <c r="BT238" s="928"/>
      <c r="BU238" s="928"/>
      <c r="BV238" s="928"/>
      <c r="BW238" s="928"/>
      <c r="BX238" s="928"/>
      <c r="BY238" s="928"/>
      <c r="BZ238" s="928"/>
      <c r="CA238" s="928"/>
      <c r="CB238" s="928"/>
      <c r="CC238" s="928"/>
      <c r="CD238" s="928"/>
      <c r="CE238" s="928"/>
      <c r="CF238" s="928"/>
      <c r="CG238" s="928"/>
      <c r="CH238" s="928"/>
      <c r="CI238" s="928"/>
      <c r="CJ238" s="928"/>
      <c r="CK238" s="928"/>
      <c r="CL238" s="928"/>
      <c r="CM238" s="928"/>
      <c r="CN238" s="928"/>
      <c r="CO238" s="928"/>
      <c r="CP238" s="928"/>
      <c r="CQ238" s="928"/>
      <c r="CR238" s="928"/>
      <c r="CS238" s="928"/>
      <c r="CT238" s="928"/>
      <c r="CU238" s="928"/>
      <c r="CV238" s="928"/>
      <c r="CW238" s="928"/>
      <c r="CX238" s="928"/>
      <c r="CY238" s="928"/>
      <c r="CZ238" s="928"/>
      <c r="DA238" s="928"/>
      <c r="DB238" s="928"/>
      <c r="DC238" s="928"/>
      <c r="DD238" s="928"/>
      <c r="DE238" s="928"/>
      <c r="DF238" s="928"/>
      <c r="DG238" s="928"/>
      <c r="DH238" s="928"/>
    </row>
    <row r="239" spans="1:112">
      <c r="A239" s="891" t="s">
        <v>1033</v>
      </c>
      <c r="B239" s="891" t="s">
        <v>1485</v>
      </c>
      <c r="C239" s="891" t="s">
        <v>283</v>
      </c>
      <c r="D239" s="891" t="s">
        <v>1033</v>
      </c>
      <c r="E239" s="891" t="s">
        <v>1485</v>
      </c>
      <c r="F239" s="891" t="s">
        <v>283</v>
      </c>
      <c r="G239" s="897">
        <v>124.5</v>
      </c>
      <c r="H239" s="897">
        <v>85.94</v>
      </c>
      <c r="I239" s="897">
        <v>99.71</v>
      </c>
      <c r="J239" s="891"/>
      <c r="K239" s="891"/>
      <c r="L239" s="891"/>
      <c r="M239" s="891"/>
      <c r="N239" s="891"/>
      <c r="O239" s="891"/>
      <c r="P239" s="891"/>
      <c r="Q239" s="891"/>
      <c r="R239" s="891"/>
      <c r="S239" s="891"/>
      <c r="T239" s="891"/>
      <c r="U239" s="928"/>
      <c r="V239" s="928"/>
      <c r="W239" s="928"/>
      <c r="X239" s="928"/>
      <c r="Y239" s="928"/>
      <c r="Z239" s="928"/>
      <c r="AA239" s="928"/>
      <c r="AB239" s="928"/>
      <c r="AC239" s="928"/>
      <c r="AD239" s="928"/>
      <c r="AE239" s="928"/>
      <c r="AF239" s="928"/>
      <c r="AG239" s="928"/>
      <c r="AH239" s="928"/>
      <c r="AI239" s="928"/>
      <c r="AJ239" s="928"/>
      <c r="AK239" s="928"/>
      <c r="AL239" s="928"/>
      <c r="AM239" s="928"/>
      <c r="AN239" s="928"/>
      <c r="AO239" s="928"/>
      <c r="AP239" s="928"/>
      <c r="AQ239" s="928"/>
      <c r="AR239" s="928"/>
      <c r="AS239" s="928"/>
      <c r="AT239" s="928"/>
      <c r="AU239" s="928"/>
      <c r="AV239" s="928"/>
      <c r="AW239" s="928"/>
      <c r="AX239" s="928"/>
      <c r="AY239" s="928"/>
      <c r="AZ239" s="928"/>
      <c r="BA239" s="928"/>
      <c r="BB239" s="928"/>
      <c r="BC239" s="928"/>
      <c r="BD239" s="928"/>
      <c r="BE239" s="928"/>
      <c r="BF239" s="928"/>
      <c r="BG239" s="928"/>
      <c r="BH239" s="928"/>
      <c r="BI239" s="928"/>
      <c r="BJ239" s="928"/>
      <c r="BK239" s="928"/>
      <c r="BL239" s="928"/>
      <c r="BM239" s="928"/>
      <c r="BN239" s="928"/>
      <c r="BO239" s="928"/>
      <c r="BP239" s="928"/>
      <c r="BQ239" s="928"/>
      <c r="BR239" s="928"/>
      <c r="BS239" s="928"/>
      <c r="BT239" s="928"/>
      <c r="BU239" s="928"/>
      <c r="BV239" s="928"/>
      <c r="BW239" s="928"/>
      <c r="BX239" s="928"/>
      <c r="BY239" s="928"/>
      <c r="BZ239" s="928"/>
      <c r="CA239" s="928"/>
      <c r="CB239" s="928"/>
      <c r="CC239" s="928"/>
      <c r="CD239" s="928"/>
      <c r="CE239" s="928"/>
      <c r="CF239" s="928"/>
      <c r="CG239" s="928"/>
      <c r="CH239" s="928"/>
      <c r="CI239" s="928"/>
      <c r="CJ239" s="928"/>
      <c r="CK239" s="928"/>
      <c r="CL239" s="928"/>
      <c r="CM239" s="928"/>
      <c r="CN239" s="928"/>
      <c r="CO239" s="928"/>
      <c r="CP239" s="928"/>
      <c r="CQ239" s="928"/>
      <c r="CR239" s="928"/>
      <c r="CS239" s="928"/>
      <c r="CT239" s="928"/>
      <c r="CU239" s="928"/>
      <c r="CV239" s="928"/>
      <c r="CW239" s="928"/>
      <c r="CX239" s="928"/>
      <c r="CY239" s="928"/>
      <c r="CZ239" s="928"/>
      <c r="DA239" s="928"/>
      <c r="DB239" s="928"/>
      <c r="DC239" s="928"/>
      <c r="DD239" s="928"/>
      <c r="DE239" s="928"/>
      <c r="DF239" s="928"/>
      <c r="DG239" s="928"/>
      <c r="DH239" s="928"/>
    </row>
    <row r="240" spans="1:112">
      <c r="A240" s="891" t="s">
        <v>1034</v>
      </c>
      <c r="B240" s="891" t="s">
        <v>1471</v>
      </c>
      <c r="C240" s="891" t="s">
        <v>104</v>
      </c>
      <c r="D240" s="891" t="s">
        <v>1034</v>
      </c>
      <c r="E240" s="891" t="s">
        <v>1471</v>
      </c>
      <c r="F240" s="891" t="s">
        <v>104</v>
      </c>
      <c r="G240" s="897">
        <v>87.82</v>
      </c>
      <c r="H240" s="897">
        <v>97.82</v>
      </c>
      <c r="I240" s="897">
        <v>65.55</v>
      </c>
      <c r="J240" s="891"/>
      <c r="K240" s="891"/>
      <c r="L240" s="891"/>
      <c r="M240" s="891"/>
      <c r="N240" s="891"/>
      <c r="O240" s="891"/>
      <c r="P240" s="891"/>
      <c r="Q240" s="891"/>
      <c r="R240" s="891"/>
      <c r="S240" s="891"/>
      <c r="T240" s="891"/>
      <c r="U240" s="928"/>
      <c r="V240" s="928"/>
      <c r="W240" s="928"/>
      <c r="X240" s="928"/>
      <c r="Y240" s="928"/>
      <c r="Z240" s="928"/>
      <c r="AA240" s="928"/>
      <c r="AB240" s="928"/>
      <c r="AC240" s="928"/>
      <c r="AD240" s="928"/>
      <c r="AE240" s="928"/>
      <c r="AF240" s="928"/>
      <c r="AG240" s="928"/>
      <c r="AH240" s="928"/>
      <c r="AI240" s="928"/>
      <c r="AJ240" s="928"/>
      <c r="AK240" s="928"/>
      <c r="AL240" s="928"/>
      <c r="AM240" s="928"/>
      <c r="AN240" s="928"/>
      <c r="AO240" s="928"/>
      <c r="AP240" s="928"/>
      <c r="AQ240" s="928"/>
      <c r="AR240" s="928"/>
      <c r="AS240" s="928"/>
      <c r="AT240" s="928"/>
      <c r="AU240" s="928"/>
      <c r="AV240" s="928"/>
      <c r="AW240" s="928"/>
      <c r="AX240" s="928"/>
      <c r="AY240" s="928"/>
      <c r="AZ240" s="928"/>
      <c r="BA240" s="928"/>
      <c r="BB240" s="928"/>
      <c r="BC240" s="928"/>
      <c r="BD240" s="928"/>
      <c r="BE240" s="928"/>
      <c r="BF240" s="928"/>
      <c r="BG240" s="928"/>
      <c r="BH240" s="928"/>
      <c r="BI240" s="928"/>
      <c r="BJ240" s="928"/>
      <c r="BK240" s="928"/>
      <c r="BL240" s="928"/>
      <c r="BM240" s="928"/>
      <c r="BN240" s="928"/>
      <c r="BO240" s="928"/>
      <c r="BP240" s="928"/>
      <c r="BQ240" s="928"/>
      <c r="BR240" s="928"/>
      <c r="BS240" s="928"/>
      <c r="BT240" s="928"/>
      <c r="BU240" s="928"/>
      <c r="BV240" s="928"/>
      <c r="BW240" s="928"/>
      <c r="BX240" s="928"/>
      <c r="BY240" s="928"/>
      <c r="BZ240" s="928"/>
      <c r="CA240" s="928"/>
      <c r="CB240" s="928"/>
      <c r="CC240" s="928"/>
      <c r="CD240" s="928"/>
      <c r="CE240" s="928"/>
      <c r="CF240" s="928"/>
      <c r="CG240" s="928"/>
      <c r="CH240" s="928"/>
      <c r="CI240" s="928"/>
      <c r="CJ240" s="928"/>
      <c r="CK240" s="928"/>
      <c r="CL240" s="928"/>
      <c r="CM240" s="928"/>
      <c r="CN240" s="928"/>
      <c r="CO240" s="928"/>
      <c r="CP240" s="928"/>
      <c r="CQ240" s="928"/>
      <c r="CR240" s="928"/>
      <c r="CS240" s="928"/>
      <c r="CT240" s="928"/>
      <c r="CU240" s="928"/>
      <c r="CV240" s="928"/>
      <c r="CW240" s="928"/>
      <c r="CX240" s="928"/>
      <c r="CY240" s="928"/>
      <c r="CZ240" s="928"/>
      <c r="DA240" s="928"/>
      <c r="DB240" s="928"/>
      <c r="DC240" s="928"/>
      <c r="DD240" s="928"/>
      <c r="DE240" s="928"/>
      <c r="DF240" s="928"/>
      <c r="DG240" s="928"/>
      <c r="DH240" s="928"/>
    </row>
    <row r="241" spans="1:112">
      <c r="A241" s="891" t="s">
        <v>1035</v>
      </c>
      <c r="B241" s="891" t="s">
        <v>1447</v>
      </c>
      <c r="C241" s="891" t="s">
        <v>48</v>
      </c>
      <c r="D241" s="891" t="s">
        <v>1035</v>
      </c>
      <c r="E241" s="891" t="s">
        <v>1447</v>
      </c>
      <c r="F241" s="891" t="s">
        <v>48</v>
      </c>
      <c r="G241" s="897">
        <v>40.51</v>
      </c>
      <c r="H241" s="897">
        <v>32.06</v>
      </c>
      <c r="I241" s="897">
        <v>31.42</v>
      </c>
      <c r="J241" s="891"/>
      <c r="K241" s="891"/>
      <c r="L241" s="891"/>
      <c r="M241" s="891"/>
      <c r="N241" s="891"/>
      <c r="O241" s="891"/>
      <c r="P241" s="891"/>
      <c r="Q241" s="891"/>
      <c r="R241" s="891"/>
      <c r="S241" s="891"/>
      <c r="T241" s="891"/>
      <c r="U241" s="928"/>
      <c r="V241" s="928"/>
      <c r="W241" s="928"/>
      <c r="X241" s="928"/>
      <c r="Y241" s="928"/>
      <c r="Z241" s="928"/>
      <c r="AA241" s="928"/>
      <c r="AB241" s="928"/>
      <c r="AC241" s="928"/>
      <c r="AD241" s="928"/>
      <c r="AE241" s="928"/>
      <c r="AF241" s="928"/>
      <c r="AG241" s="928"/>
      <c r="AH241" s="928"/>
      <c r="AI241" s="928"/>
      <c r="AJ241" s="928"/>
      <c r="AK241" s="928"/>
      <c r="AL241" s="928"/>
      <c r="AM241" s="928"/>
      <c r="AN241" s="928"/>
      <c r="AO241" s="928"/>
      <c r="AP241" s="928"/>
      <c r="AQ241" s="928"/>
      <c r="AR241" s="928"/>
      <c r="AS241" s="928"/>
      <c r="AT241" s="928"/>
      <c r="AU241" s="928"/>
      <c r="AV241" s="928"/>
      <c r="AW241" s="928"/>
      <c r="AX241" s="928"/>
      <c r="AY241" s="928"/>
      <c r="AZ241" s="928"/>
      <c r="BA241" s="928"/>
      <c r="BB241" s="928"/>
      <c r="BC241" s="928"/>
      <c r="BD241" s="928"/>
      <c r="BE241" s="928"/>
      <c r="BF241" s="928"/>
      <c r="BG241" s="928"/>
      <c r="BH241" s="928"/>
      <c r="BI241" s="928"/>
      <c r="BJ241" s="928"/>
      <c r="BK241" s="928"/>
      <c r="BL241" s="928"/>
      <c r="BM241" s="928"/>
      <c r="BN241" s="928"/>
      <c r="BO241" s="928"/>
      <c r="BP241" s="928"/>
      <c r="BQ241" s="928"/>
      <c r="BR241" s="928"/>
      <c r="BS241" s="928"/>
      <c r="BT241" s="928"/>
      <c r="BU241" s="928"/>
      <c r="BV241" s="928"/>
      <c r="BW241" s="928"/>
      <c r="BX241" s="928"/>
      <c r="BY241" s="928"/>
      <c r="BZ241" s="928"/>
      <c r="CA241" s="928"/>
      <c r="CB241" s="928"/>
      <c r="CC241" s="928"/>
      <c r="CD241" s="928"/>
      <c r="CE241" s="928"/>
      <c r="CF241" s="928"/>
      <c r="CG241" s="928"/>
      <c r="CH241" s="928"/>
      <c r="CI241" s="928"/>
      <c r="CJ241" s="928"/>
      <c r="CK241" s="928"/>
      <c r="CL241" s="928"/>
      <c r="CM241" s="928"/>
      <c r="CN241" s="928"/>
      <c r="CO241" s="928"/>
      <c r="CP241" s="928"/>
      <c r="CQ241" s="928"/>
      <c r="CR241" s="928"/>
      <c r="CS241" s="928"/>
      <c r="CT241" s="928"/>
      <c r="CU241" s="928"/>
      <c r="CV241" s="928"/>
      <c r="CW241" s="928"/>
      <c r="CX241" s="928"/>
      <c r="CY241" s="928"/>
      <c r="CZ241" s="928"/>
      <c r="DA241" s="928"/>
      <c r="DB241" s="928"/>
      <c r="DC241" s="928"/>
      <c r="DD241" s="928"/>
      <c r="DE241" s="928"/>
      <c r="DF241" s="928"/>
      <c r="DG241" s="928"/>
      <c r="DH241" s="928"/>
    </row>
    <row r="242" spans="1:112">
      <c r="A242" s="891" t="s">
        <v>1036</v>
      </c>
      <c r="B242" s="891" t="s">
        <v>1476</v>
      </c>
      <c r="C242" s="891" t="s">
        <v>76</v>
      </c>
      <c r="D242" s="891" t="s">
        <v>1036</v>
      </c>
      <c r="E242" s="891" t="s">
        <v>1476</v>
      </c>
      <c r="F242" s="891" t="s">
        <v>76</v>
      </c>
      <c r="G242" s="897">
        <v>52.24</v>
      </c>
      <c r="H242" s="897">
        <v>45.22</v>
      </c>
      <c r="I242" s="897">
        <v>28.87</v>
      </c>
      <c r="J242" s="891"/>
      <c r="K242" s="891"/>
      <c r="L242" s="891"/>
      <c r="M242" s="891"/>
      <c r="N242" s="891"/>
      <c r="O242" s="891"/>
      <c r="P242" s="891"/>
      <c r="Q242" s="891"/>
      <c r="R242" s="891"/>
      <c r="S242" s="891"/>
      <c r="T242" s="891"/>
      <c r="U242" s="928"/>
      <c r="V242" s="928"/>
      <c r="W242" s="928"/>
      <c r="X242" s="928"/>
      <c r="Y242" s="928"/>
      <c r="Z242" s="928"/>
      <c r="AA242" s="928"/>
      <c r="AB242" s="928"/>
      <c r="AC242" s="928"/>
      <c r="AD242" s="928"/>
      <c r="AE242" s="928"/>
      <c r="AF242" s="928"/>
      <c r="AG242" s="928"/>
      <c r="AH242" s="928"/>
      <c r="AI242" s="928"/>
      <c r="AJ242" s="928"/>
      <c r="AK242" s="928"/>
      <c r="AL242" s="928"/>
      <c r="AM242" s="928"/>
      <c r="AN242" s="928"/>
      <c r="AO242" s="928"/>
      <c r="AP242" s="928"/>
      <c r="AQ242" s="928"/>
      <c r="AR242" s="928"/>
      <c r="AS242" s="928"/>
      <c r="AT242" s="928"/>
      <c r="AU242" s="928"/>
      <c r="AV242" s="928"/>
      <c r="AW242" s="928"/>
      <c r="AX242" s="928"/>
      <c r="AY242" s="928"/>
      <c r="AZ242" s="928"/>
      <c r="BA242" s="928"/>
      <c r="BB242" s="928"/>
      <c r="BC242" s="928"/>
      <c r="BD242" s="928"/>
      <c r="BE242" s="928"/>
      <c r="BF242" s="928"/>
      <c r="BG242" s="928"/>
      <c r="BH242" s="928"/>
      <c r="BI242" s="928"/>
      <c r="BJ242" s="928"/>
      <c r="BK242" s="928"/>
      <c r="BL242" s="928"/>
      <c r="BM242" s="928"/>
      <c r="BN242" s="928"/>
      <c r="BO242" s="928"/>
      <c r="BP242" s="928"/>
      <c r="BQ242" s="928"/>
      <c r="BR242" s="928"/>
      <c r="BS242" s="928"/>
      <c r="BT242" s="928"/>
      <c r="BU242" s="928"/>
      <c r="BV242" s="928"/>
      <c r="BW242" s="928"/>
      <c r="BX242" s="928"/>
      <c r="BY242" s="928"/>
      <c r="BZ242" s="928"/>
      <c r="CA242" s="928"/>
      <c r="CB242" s="928"/>
      <c r="CC242" s="928"/>
      <c r="CD242" s="928"/>
      <c r="CE242" s="928"/>
      <c r="CF242" s="928"/>
      <c r="CG242" s="928"/>
      <c r="CH242" s="928"/>
      <c r="CI242" s="928"/>
      <c r="CJ242" s="928"/>
      <c r="CK242" s="928"/>
      <c r="CL242" s="928"/>
      <c r="CM242" s="928"/>
      <c r="CN242" s="928"/>
      <c r="CO242" s="928"/>
      <c r="CP242" s="928"/>
      <c r="CQ242" s="928"/>
      <c r="CR242" s="928"/>
      <c r="CS242" s="928"/>
      <c r="CT242" s="928"/>
      <c r="CU242" s="928"/>
      <c r="CV242" s="928"/>
      <c r="CW242" s="928"/>
      <c r="CX242" s="928"/>
      <c r="CY242" s="928"/>
      <c r="CZ242" s="928"/>
      <c r="DA242" s="928"/>
      <c r="DB242" s="928"/>
      <c r="DC242" s="928"/>
      <c r="DD242" s="928"/>
      <c r="DE242" s="928"/>
      <c r="DF242" s="928"/>
      <c r="DG242" s="928"/>
      <c r="DH242" s="928"/>
    </row>
    <row r="243" spans="1:112">
      <c r="A243" s="891" t="s">
        <v>1038</v>
      </c>
      <c r="B243" s="891" t="s">
        <v>1536</v>
      </c>
      <c r="C243" s="891" t="s">
        <v>290</v>
      </c>
      <c r="D243" s="891" t="s">
        <v>1038</v>
      </c>
      <c r="E243" s="891" t="s">
        <v>1536</v>
      </c>
      <c r="F243" s="891" t="s">
        <v>290</v>
      </c>
      <c r="G243" s="897">
        <v>29.99</v>
      </c>
      <c r="H243" s="897">
        <v>24.37</v>
      </c>
      <c r="I243" s="897">
        <v>84.84</v>
      </c>
      <c r="J243" s="891"/>
      <c r="K243" s="891"/>
      <c r="L243" s="891"/>
      <c r="M243" s="891"/>
      <c r="N243" s="891"/>
      <c r="O243" s="891"/>
      <c r="P243" s="891"/>
      <c r="Q243" s="891"/>
      <c r="R243" s="891"/>
      <c r="S243" s="891"/>
      <c r="T243" s="891"/>
      <c r="U243" s="928"/>
      <c r="V243" s="928"/>
      <c r="W243" s="928"/>
      <c r="X243" s="928"/>
      <c r="Y243" s="928"/>
      <c r="Z243" s="928"/>
      <c r="AA243" s="928"/>
      <c r="AB243" s="928"/>
      <c r="AC243" s="928"/>
      <c r="AD243" s="928"/>
      <c r="AE243" s="928"/>
      <c r="AF243" s="928"/>
      <c r="AG243" s="928"/>
      <c r="AH243" s="928"/>
      <c r="AI243" s="928"/>
      <c r="AJ243" s="928"/>
      <c r="AK243" s="928"/>
      <c r="AL243" s="928"/>
      <c r="AM243" s="928"/>
      <c r="AN243" s="928"/>
      <c r="AO243" s="928"/>
      <c r="AP243" s="928"/>
      <c r="AQ243" s="928"/>
      <c r="AR243" s="928"/>
      <c r="AS243" s="928"/>
      <c r="AT243" s="928"/>
      <c r="AU243" s="928"/>
      <c r="AV243" s="928"/>
      <c r="AW243" s="928"/>
      <c r="AX243" s="928"/>
      <c r="AY243" s="928"/>
      <c r="AZ243" s="928"/>
      <c r="BA243" s="928"/>
      <c r="BB243" s="928"/>
      <c r="BC243" s="928"/>
      <c r="BD243" s="928"/>
      <c r="BE243" s="928"/>
      <c r="BF243" s="928"/>
      <c r="BG243" s="928"/>
      <c r="BH243" s="928"/>
      <c r="BI243" s="928"/>
      <c r="BJ243" s="928"/>
      <c r="BK243" s="928"/>
      <c r="BL243" s="928"/>
      <c r="BM243" s="928"/>
      <c r="BN243" s="928"/>
      <c r="BO243" s="928"/>
      <c r="BP243" s="928"/>
      <c r="BQ243" s="928"/>
      <c r="BR243" s="928"/>
      <c r="BS243" s="928"/>
      <c r="BT243" s="928"/>
      <c r="BU243" s="928"/>
      <c r="BV243" s="928"/>
      <c r="BW243" s="928"/>
      <c r="BX243" s="928"/>
      <c r="BY243" s="928"/>
      <c r="BZ243" s="928"/>
      <c r="CA243" s="928"/>
      <c r="CB243" s="928"/>
      <c r="CC243" s="928"/>
      <c r="CD243" s="928"/>
      <c r="CE243" s="928"/>
      <c r="CF243" s="928"/>
      <c r="CG243" s="928"/>
      <c r="CH243" s="928"/>
      <c r="CI243" s="928"/>
      <c r="CJ243" s="928"/>
      <c r="CK243" s="928"/>
      <c r="CL243" s="928"/>
      <c r="CM243" s="928"/>
      <c r="CN243" s="928"/>
      <c r="CO243" s="928"/>
      <c r="CP243" s="928"/>
      <c r="CQ243" s="928"/>
      <c r="CR243" s="928"/>
      <c r="CS243" s="928"/>
      <c r="CT243" s="928"/>
      <c r="CU243" s="928"/>
      <c r="CV243" s="928"/>
      <c r="CW243" s="928"/>
      <c r="CX243" s="928"/>
      <c r="CY243" s="928"/>
      <c r="CZ243" s="928"/>
      <c r="DA243" s="928"/>
      <c r="DB243" s="928"/>
      <c r="DC243" s="928"/>
      <c r="DD243" s="928"/>
      <c r="DE243" s="928"/>
      <c r="DF243" s="928"/>
      <c r="DG243" s="928"/>
      <c r="DH243" s="928"/>
    </row>
    <row r="244" spans="1:112">
      <c r="A244" s="891" t="s">
        <v>1039</v>
      </c>
      <c r="B244" s="891" t="s">
        <v>1505</v>
      </c>
      <c r="C244" s="891" t="s">
        <v>13</v>
      </c>
      <c r="D244" s="891" t="s">
        <v>1039</v>
      </c>
      <c r="E244" s="891" t="s">
        <v>1505</v>
      </c>
      <c r="F244" s="891" t="s">
        <v>13</v>
      </c>
      <c r="G244" s="897">
        <v>89.52</v>
      </c>
      <c r="H244" s="897">
        <v>88.18</v>
      </c>
      <c r="I244" s="897">
        <v>116.86</v>
      </c>
      <c r="J244" s="891"/>
      <c r="K244" s="891"/>
      <c r="L244" s="891"/>
      <c r="M244" s="891"/>
      <c r="N244" s="891"/>
      <c r="O244" s="891"/>
      <c r="P244" s="891"/>
      <c r="Q244" s="891"/>
      <c r="R244" s="891"/>
      <c r="S244" s="891"/>
      <c r="T244" s="891"/>
      <c r="U244" s="928"/>
      <c r="V244" s="928"/>
      <c r="W244" s="928"/>
      <c r="X244" s="928"/>
      <c r="Y244" s="928"/>
      <c r="Z244" s="928"/>
      <c r="AA244" s="928"/>
      <c r="AB244" s="928"/>
      <c r="AC244" s="928"/>
      <c r="AD244" s="928"/>
      <c r="AE244" s="928"/>
      <c r="AF244" s="928"/>
      <c r="AG244" s="928"/>
      <c r="AH244" s="928"/>
      <c r="AI244" s="928"/>
      <c r="AJ244" s="928"/>
      <c r="AK244" s="928"/>
      <c r="AL244" s="928"/>
      <c r="AM244" s="928"/>
      <c r="AN244" s="928"/>
      <c r="AO244" s="928"/>
      <c r="AP244" s="928"/>
      <c r="AQ244" s="928"/>
      <c r="AR244" s="928"/>
      <c r="AS244" s="928"/>
      <c r="AT244" s="928"/>
      <c r="AU244" s="928"/>
      <c r="AV244" s="928"/>
      <c r="AW244" s="928"/>
      <c r="AX244" s="928"/>
      <c r="AY244" s="928"/>
      <c r="AZ244" s="928"/>
      <c r="BA244" s="928"/>
      <c r="BB244" s="928"/>
      <c r="BC244" s="928"/>
      <c r="BD244" s="928"/>
      <c r="BE244" s="928"/>
      <c r="BF244" s="928"/>
      <c r="BG244" s="928"/>
      <c r="BH244" s="928"/>
      <c r="BI244" s="928"/>
      <c r="BJ244" s="928"/>
      <c r="BK244" s="928"/>
      <c r="BL244" s="928"/>
      <c r="BM244" s="928"/>
      <c r="BN244" s="928"/>
      <c r="BO244" s="928"/>
      <c r="BP244" s="928"/>
      <c r="BQ244" s="928"/>
      <c r="BR244" s="928"/>
      <c r="BS244" s="928"/>
      <c r="BT244" s="928"/>
      <c r="BU244" s="928"/>
      <c r="BV244" s="928"/>
      <c r="BW244" s="928"/>
      <c r="BX244" s="928"/>
      <c r="BY244" s="928"/>
      <c r="BZ244" s="928"/>
      <c r="CA244" s="928"/>
      <c r="CB244" s="928"/>
      <c r="CC244" s="928"/>
      <c r="CD244" s="928"/>
      <c r="CE244" s="928"/>
      <c r="CF244" s="928"/>
      <c r="CG244" s="928"/>
      <c r="CH244" s="928"/>
      <c r="CI244" s="928"/>
      <c r="CJ244" s="928"/>
      <c r="CK244" s="928"/>
      <c r="CL244" s="928"/>
      <c r="CM244" s="928"/>
      <c r="CN244" s="928"/>
      <c r="CO244" s="928"/>
      <c r="CP244" s="928"/>
      <c r="CQ244" s="928"/>
      <c r="CR244" s="928"/>
      <c r="CS244" s="928"/>
      <c r="CT244" s="928"/>
      <c r="CU244" s="928"/>
      <c r="CV244" s="928"/>
      <c r="CW244" s="928"/>
      <c r="CX244" s="928"/>
      <c r="CY244" s="928"/>
      <c r="CZ244" s="928"/>
      <c r="DA244" s="928"/>
      <c r="DB244" s="928"/>
      <c r="DC244" s="928"/>
      <c r="DD244" s="928"/>
      <c r="DE244" s="928"/>
      <c r="DF244" s="928"/>
      <c r="DG244" s="928"/>
      <c r="DH244" s="928"/>
    </row>
    <row r="245" spans="1:112">
      <c r="A245" s="891" t="s">
        <v>1040</v>
      </c>
      <c r="B245" s="891" t="s">
        <v>1463</v>
      </c>
      <c r="C245" s="891" t="s">
        <v>151</v>
      </c>
      <c r="D245" s="891" t="s">
        <v>1040</v>
      </c>
      <c r="E245" s="891" t="s">
        <v>1463</v>
      </c>
      <c r="F245" s="891" t="s">
        <v>151</v>
      </c>
      <c r="G245" s="897">
        <v>44.37</v>
      </c>
      <c r="H245" s="897">
        <v>35.57</v>
      </c>
      <c r="I245" s="897">
        <v>37.69</v>
      </c>
      <c r="J245" s="891"/>
      <c r="K245" s="891"/>
      <c r="L245" s="891"/>
      <c r="M245" s="891"/>
      <c r="N245" s="891"/>
      <c r="O245" s="891"/>
      <c r="P245" s="891"/>
      <c r="Q245" s="891"/>
      <c r="R245" s="891"/>
      <c r="S245" s="891"/>
      <c r="T245" s="891"/>
      <c r="U245" s="928"/>
      <c r="V245" s="928"/>
      <c r="W245" s="928"/>
      <c r="X245" s="928"/>
      <c r="Y245" s="928"/>
      <c r="Z245" s="928"/>
      <c r="AA245" s="928"/>
      <c r="AB245" s="928"/>
      <c r="AC245" s="928"/>
      <c r="AD245" s="928"/>
      <c r="AE245" s="928"/>
      <c r="AF245" s="928"/>
      <c r="AG245" s="928"/>
      <c r="AH245" s="928"/>
      <c r="AI245" s="928"/>
      <c r="AJ245" s="928"/>
      <c r="AK245" s="928"/>
      <c r="AL245" s="928"/>
      <c r="AM245" s="928"/>
      <c r="AN245" s="928"/>
      <c r="AO245" s="928"/>
      <c r="AP245" s="928"/>
      <c r="AQ245" s="928"/>
      <c r="AR245" s="928"/>
      <c r="AS245" s="928"/>
      <c r="AT245" s="928"/>
      <c r="AU245" s="928"/>
      <c r="AV245" s="928"/>
      <c r="AW245" s="928"/>
      <c r="AX245" s="928"/>
      <c r="AY245" s="928"/>
      <c r="AZ245" s="928"/>
      <c r="BA245" s="928"/>
      <c r="BB245" s="928"/>
      <c r="BC245" s="928"/>
      <c r="BD245" s="928"/>
      <c r="BE245" s="928"/>
      <c r="BF245" s="928"/>
      <c r="BG245" s="928"/>
      <c r="BH245" s="928"/>
      <c r="BI245" s="928"/>
      <c r="BJ245" s="928"/>
      <c r="BK245" s="928"/>
      <c r="BL245" s="928"/>
      <c r="BM245" s="928"/>
      <c r="BN245" s="928"/>
      <c r="BO245" s="928"/>
      <c r="BP245" s="928"/>
      <c r="BQ245" s="928"/>
      <c r="BR245" s="928"/>
      <c r="BS245" s="928"/>
      <c r="BT245" s="928"/>
      <c r="BU245" s="928"/>
      <c r="BV245" s="928"/>
      <c r="BW245" s="928"/>
      <c r="BX245" s="928"/>
      <c r="BY245" s="928"/>
      <c r="BZ245" s="928"/>
      <c r="CA245" s="928"/>
      <c r="CB245" s="928"/>
      <c r="CC245" s="928"/>
      <c r="CD245" s="928"/>
      <c r="CE245" s="928"/>
      <c r="CF245" s="928"/>
      <c r="CG245" s="928"/>
      <c r="CH245" s="928"/>
      <c r="CI245" s="928"/>
      <c r="CJ245" s="928"/>
      <c r="CK245" s="928"/>
      <c r="CL245" s="928"/>
      <c r="CM245" s="928"/>
      <c r="CN245" s="928"/>
      <c r="CO245" s="928"/>
      <c r="CP245" s="928"/>
      <c r="CQ245" s="928"/>
      <c r="CR245" s="928"/>
      <c r="CS245" s="928"/>
      <c r="CT245" s="928"/>
      <c r="CU245" s="928"/>
      <c r="CV245" s="928"/>
      <c r="CW245" s="928"/>
      <c r="CX245" s="928"/>
      <c r="CY245" s="928"/>
      <c r="CZ245" s="928"/>
      <c r="DA245" s="928"/>
      <c r="DB245" s="928"/>
      <c r="DC245" s="928"/>
      <c r="DD245" s="928"/>
      <c r="DE245" s="928"/>
      <c r="DF245" s="928"/>
      <c r="DG245" s="928"/>
      <c r="DH245" s="928"/>
    </row>
    <row r="246" spans="1:112">
      <c r="A246" s="891" t="s">
        <v>1041</v>
      </c>
      <c r="B246" s="891" t="s">
        <v>1468</v>
      </c>
      <c r="C246" s="891" t="s">
        <v>358</v>
      </c>
      <c r="D246" s="891" t="s">
        <v>1041</v>
      </c>
      <c r="E246" s="891" t="s">
        <v>1468</v>
      </c>
      <c r="F246" s="891" t="s">
        <v>358</v>
      </c>
      <c r="G246" s="897">
        <v>52.64</v>
      </c>
      <c r="H246" s="897">
        <v>60.85</v>
      </c>
      <c r="I246" s="897">
        <v>37.1</v>
      </c>
      <c r="J246" s="891"/>
      <c r="K246" s="891"/>
      <c r="L246" s="891"/>
      <c r="M246" s="891"/>
      <c r="N246" s="891"/>
      <c r="O246" s="891"/>
      <c r="P246" s="891"/>
      <c r="Q246" s="891"/>
      <c r="R246" s="891"/>
      <c r="S246" s="891"/>
      <c r="T246" s="891"/>
      <c r="U246" s="928"/>
      <c r="V246" s="928"/>
      <c r="W246" s="928"/>
      <c r="X246" s="928"/>
      <c r="Y246" s="928"/>
      <c r="Z246" s="928"/>
      <c r="AA246" s="928"/>
      <c r="AB246" s="928"/>
      <c r="AC246" s="928"/>
      <c r="AD246" s="928"/>
      <c r="AE246" s="928"/>
      <c r="AF246" s="928"/>
      <c r="AG246" s="928"/>
      <c r="AH246" s="928"/>
      <c r="AI246" s="928"/>
      <c r="AJ246" s="928"/>
      <c r="AK246" s="928"/>
      <c r="AL246" s="928"/>
      <c r="AM246" s="928"/>
      <c r="AN246" s="928"/>
      <c r="AO246" s="928"/>
      <c r="AP246" s="928"/>
      <c r="AQ246" s="928"/>
      <c r="AR246" s="928"/>
      <c r="AS246" s="928"/>
      <c r="AT246" s="928"/>
      <c r="AU246" s="928"/>
      <c r="AV246" s="928"/>
      <c r="AW246" s="928"/>
      <c r="AX246" s="928"/>
      <c r="AY246" s="928"/>
      <c r="AZ246" s="928"/>
      <c r="BA246" s="928"/>
      <c r="BB246" s="928"/>
      <c r="BC246" s="928"/>
      <c r="BD246" s="928"/>
      <c r="BE246" s="928"/>
      <c r="BF246" s="928"/>
      <c r="BG246" s="928"/>
      <c r="BH246" s="928"/>
      <c r="BI246" s="928"/>
      <c r="BJ246" s="928"/>
      <c r="BK246" s="928"/>
      <c r="BL246" s="928"/>
      <c r="BM246" s="928"/>
      <c r="BN246" s="928"/>
      <c r="BO246" s="928"/>
      <c r="BP246" s="928"/>
      <c r="BQ246" s="928"/>
      <c r="BR246" s="928"/>
      <c r="BS246" s="928"/>
      <c r="BT246" s="928"/>
      <c r="BU246" s="928"/>
      <c r="BV246" s="928"/>
      <c r="BW246" s="928"/>
      <c r="BX246" s="928"/>
      <c r="BY246" s="928"/>
      <c r="BZ246" s="928"/>
      <c r="CA246" s="928"/>
      <c r="CB246" s="928"/>
      <c r="CC246" s="928"/>
      <c r="CD246" s="928"/>
      <c r="CE246" s="928"/>
      <c r="CF246" s="928"/>
      <c r="CG246" s="928"/>
      <c r="CH246" s="928"/>
      <c r="CI246" s="928"/>
      <c r="CJ246" s="928"/>
      <c r="CK246" s="928"/>
      <c r="CL246" s="928"/>
      <c r="CM246" s="928"/>
      <c r="CN246" s="928"/>
      <c r="CO246" s="928"/>
      <c r="CP246" s="928"/>
      <c r="CQ246" s="928"/>
      <c r="CR246" s="928"/>
      <c r="CS246" s="928"/>
      <c r="CT246" s="928"/>
      <c r="CU246" s="928"/>
      <c r="CV246" s="928"/>
      <c r="CW246" s="928"/>
      <c r="CX246" s="928"/>
      <c r="CY246" s="928"/>
      <c r="CZ246" s="928"/>
      <c r="DA246" s="928"/>
      <c r="DB246" s="928"/>
      <c r="DC246" s="928"/>
      <c r="DD246" s="928"/>
      <c r="DE246" s="928"/>
      <c r="DF246" s="928"/>
      <c r="DG246" s="928"/>
      <c r="DH246" s="928"/>
    </row>
    <row r="247" spans="1:112">
      <c r="A247" s="891" t="s">
        <v>1042</v>
      </c>
      <c r="B247" s="891" t="s">
        <v>1515</v>
      </c>
      <c r="C247" s="891" t="s">
        <v>338</v>
      </c>
      <c r="D247" s="891" t="s">
        <v>1042</v>
      </c>
      <c r="E247" s="891" t="s">
        <v>1515</v>
      </c>
      <c r="F247" s="891" t="s">
        <v>338</v>
      </c>
      <c r="G247" s="897">
        <v>75.17</v>
      </c>
      <c r="H247" s="897">
        <v>76.67</v>
      </c>
      <c r="I247" s="897">
        <v>128.62</v>
      </c>
      <c r="J247" s="891"/>
      <c r="K247" s="891"/>
      <c r="L247" s="891"/>
      <c r="M247" s="891"/>
      <c r="N247" s="891"/>
      <c r="O247" s="891"/>
      <c r="P247" s="891"/>
      <c r="Q247" s="891"/>
      <c r="R247" s="891"/>
      <c r="S247" s="891"/>
      <c r="T247" s="891"/>
      <c r="U247" s="928"/>
      <c r="V247" s="928"/>
      <c r="W247" s="928"/>
      <c r="X247" s="928"/>
      <c r="Y247" s="928"/>
      <c r="Z247" s="928"/>
      <c r="AA247" s="928"/>
      <c r="AB247" s="928"/>
      <c r="AC247" s="928"/>
      <c r="AD247" s="928"/>
      <c r="AE247" s="928"/>
      <c r="AF247" s="928"/>
      <c r="AG247" s="928"/>
      <c r="AH247" s="928"/>
      <c r="AI247" s="928"/>
      <c r="AJ247" s="928"/>
      <c r="AK247" s="928"/>
      <c r="AL247" s="928"/>
      <c r="AM247" s="928"/>
      <c r="AN247" s="928"/>
      <c r="AO247" s="928"/>
      <c r="AP247" s="928"/>
      <c r="AQ247" s="928"/>
      <c r="AR247" s="928"/>
      <c r="AS247" s="928"/>
      <c r="AT247" s="928"/>
      <c r="AU247" s="928"/>
      <c r="AV247" s="928"/>
      <c r="AW247" s="928"/>
      <c r="AX247" s="928"/>
      <c r="AY247" s="928"/>
      <c r="AZ247" s="928"/>
      <c r="BA247" s="928"/>
      <c r="BB247" s="928"/>
      <c r="BC247" s="928"/>
      <c r="BD247" s="928"/>
      <c r="BE247" s="928"/>
      <c r="BF247" s="928"/>
      <c r="BG247" s="928"/>
      <c r="BH247" s="928"/>
      <c r="BI247" s="928"/>
      <c r="BJ247" s="928"/>
      <c r="BK247" s="928"/>
      <c r="BL247" s="928"/>
      <c r="BM247" s="928"/>
      <c r="BN247" s="928"/>
      <c r="BO247" s="928"/>
      <c r="BP247" s="928"/>
      <c r="BQ247" s="928"/>
      <c r="BR247" s="928"/>
      <c r="BS247" s="928"/>
      <c r="BT247" s="928"/>
      <c r="BU247" s="928"/>
      <c r="BV247" s="928"/>
      <c r="BW247" s="928"/>
      <c r="BX247" s="928"/>
      <c r="BY247" s="928"/>
      <c r="BZ247" s="928"/>
      <c r="CA247" s="928"/>
      <c r="CB247" s="928"/>
      <c r="CC247" s="928"/>
      <c r="CD247" s="928"/>
      <c r="CE247" s="928"/>
      <c r="CF247" s="928"/>
      <c r="CG247" s="928"/>
      <c r="CH247" s="928"/>
      <c r="CI247" s="928"/>
      <c r="CJ247" s="928"/>
      <c r="CK247" s="928"/>
      <c r="CL247" s="928"/>
      <c r="CM247" s="928"/>
      <c r="CN247" s="928"/>
      <c r="CO247" s="928"/>
      <c r="CP247" s="928"/>
      <c r="CQ247" s="928"/>
      <c r="CR247" s="928"/>
      <c r="CS247" s="928"/>
      <c r="CT247" s="928"/>
      <c r="CU247" s="928"/>
      <c r="CV247" s="928"/>
      <c r="CW247" s="928"/>
      <c r="CX247" s="928"/>
      <c r="CY247" s="928"/>
      <c r="CZ247" s="928"/>
      <c r="DA247" s="928"/>
      <c r="DB247" s="928"/>
      <c r="DC247" s="928"/>
      <c r="DD247" s="928"/>
      <c r="DE247" s="928"/>
      <c r="DF247" s="928"/>
      <c r="DG247" s="928"/>
      <c r="DH247" s="928"/>
    </row>
    <row r="248" spans="1:112">
      <c r="A248" s="891" t="s">
        <v>1044</v>
      </c>
      <c r="B248" s="891" t="s">
        <v>1452</v>
      </c>
      <c r="C248" s="891" t="s">
        <v>10</v>
      </c>
      <c r="D248" s="891" t="s">
        <v>1044</v>
      </c>
      <c r="E248" s="891" t="s">
        <v>1452</v>
      </c>
      <c r="F248" s="891" t="s">
        <v>10</v>
      </c>
      <c r="G248" s="897">
        <v>42.83</v>
      </c>
      <c r="H248" s="897">
        <v>45.51</v>
      </c>
      <c r="I248" s="897">
        <v>33.049999999999997</v>
      </c>
      <c r="J248" s="891"/>
      <c r="K248" s="891"/>
      <c r="L248" s="891"/>
      <c r="M248" s="891"/>
      <c r="N248" s="891"/>
      <c r="O248" s="891"/>
      <c r="P248" s="891"/>
      <c r="Q248" s="891"/>
      <c r="R248" s="891"/>
      <c r="S248" s="891"/>
      <c r="T248" s="891"/>
      <c r="U248" s="928"/>
      <c r="V248" s="928"/>
      <c r="W248" s="928"/>
      <c r="X248" s="928"/>
      <c r="Y248" s="928"/>
      <c r="Z248" s="928"/>
      <c r="AA248" s="928"/>
      <c r="AB248" s="928"/>
      <c r="AC248" s="928"/>
      <c r="AD248" s="928"/>
      <c r="AE248" s="928"/>
      <c r="AF248" s="928"/>
      <c r="AG248" s="928"/>
      <c r="AH248" s="928"/>
      <c r="AI248" s="928"/>
      <c r="AJ248" s="928"/>
      <c r="AK248" s="928"/>
      <c r="AL248" s="928"/>
      <c r="AM248" s="928"/>
      <c r="AN248" s="928"/>
      <c r="AO248" s="928"/>
      <c r="AP248" s="928"/>
      <c r="AQ248" s="928"/>
      <c r="AR248" s="928"/>
      <c r="AS248" s="928"/>
      <c r="AT248" s="928"/>
      <c r="AU248" s="928"/>
      <c r="AV248" s="928"/>
      <c r="AW248" s="928"/>
      <c r="AX248" s="928"/>
      <c r="AY248" s="928"/>
      <c r="AZ248" s="928"/>
      <c r="BA248" s="928"/>
      <c r="BB248" s="928"/>
      <c r="BC248" s="928"/>
      <c r="BD248" s="928"/>
      <c r="BE248" s="928"/>
      <c r="BF248" s="928"/>
      <c r="BG248" s="928"/>
      <c r="BH248" s="928"/>
      <c r="BI248" s="928"/>
      <c r="BJ248" s="928"/>
      <c r="BK248" s="928"/>
      <c r="BL248" s="928"/>
      <c r="BM248" s="928"/>
      <c r="BN248" s="928"/>
      <c r="BO248" s="928"/>
      <c r="BP248" s="928"/>
      <c r="BQ248" s="928"/>
      <c r="BR248" s="928"/>
      <c r="BS248" s="928"/>
      <c r="BT248" s="928"/>
      <c r="BU248" s="928"/>
      <c r="BV248" s="928"/>
      <c r="BW248" s="928"/>
      <c r="BX248" s="928"/>
      <c r="BY248" s="928"/>
      <c r="BZ248" s="928"/>
      <c r="CA248" s="928"/>
      <c r="CB248" s="928"/>
      <c r="CC248" s="928"/>
      <c r="CD248" s="928"/>
      <c r="CE248" s="928"/>
      <c r="CF248" s="928"/>
      <c r="CG248" s="928"/>
      <c r="CH248" s="928"/>
      <c r="CI248" s="928"/>
      <c r="CJ248" s="928"/>
      <c r="CK248" s="928"/>
      <c r="CL248" s="928"/>
      <c r="CM248" s="928"/>
      <c r="CN248" s="928"/>
      <c r="CO248" s="928"/>
      <c r="CP248" s="928"/>
      <c r="CQ248" s="928"/>
      <c r="CR248" s="928"/>
      <c r="CS248" s="928"/>
      <c r="CT248" s="928"/>
      <c r="CU248" s="928"/>
      <c r="CV248" s="928"/>
      <c r="CW248" s="928"/>
      <c r="CX248" s="928"/>
      <c r="CY248" s="928"/>
      <c r="CZ248" s="928"/>
      <c r="DA248" s="928"/>
      <c r="DB248" s="928"/>
      <c r="DC248" s="928"/>
      <c r="DD248" s="928"/>
      <c r="DE248" s="928"/>
      <c r="DF248" s="928"/>
      <c r="DG248" s="928"/>
      <c r="DH248" s="928"/>
    </row>
    <row r="249" spans="1:112">
      <c r="A249" s="891" t="s">
        <v>1045</v>
      </c>
      <c r="B249" s="891" t="s">
        <v>1515</v>
      </c>
      <c r="C249" s="891" t="s">
        <v>275</v>
      </c>
      <c r="D249" s="891" t="s">
        <v>1045</v>
      </c>
      <c r="E249" s="891" t="s">
        <v>1515</v>
      </c>
      <c r="F249" s="891" t="s">
        <v>275</v>
      </c>
      <c r="G249" s="897">
        <v>80.05</v>
      </c>
      <c r="H249" s="897">
        <v>56.14</v>
      </c>
      <c r="I249" s="897">
        <v>129.54</v>
      </c>
      <c r="J249" s="891"/>
      <c r="K249" s="891"/>
      <c r="L249" s="891"/>
      <c r="M249" s="891"/>
      <c r="N249" s="891"/>
      <c r="O249" s="891"/>
      <c r="P249" s="891"/>
      <c r="Q249" s="891"/>
      <c r="R249" s="891"/>
      <c r="S249" s="891"/>
      <c r="T249" s="891"/>
      <c r="U249" s="928"/>
      <c r="V249" s="928"/>
      <c r="W249" s="928"/>
      <c r="X249" s="928"/>
      <c r="Y249" s="928"/>
      <c r="Z249" s="928"/>
      <c r="AA249" s="928"/>
      <c r="AB249" s="928"/>
      <c r="AC249" s="928"/>
      <c r="AD249" s="928"/>
      <c r="AE249" s="928"/>
      <c r="AF249" s="928"/>
      <c r="AG249" s="928"/>
      <c r="AH249" s="928"/>
      <c r="AI249" s="928"/>
      <c r="AJ249" s="928"/>
      <c r="AK249" s="928"/>
      <c r="AL249" s="928"/>
      <c r="AM249" s="928"/>
      <c r="AN249" s="928"/>
      <c r="AO249" s="928"/>
      <c r="AP249" s="928"/>
      <c r="AQ249" s="928"/>
      <c r="AR249" s="928"/>
      <c r="AS249" s="928"/>
      <c r="AT249" s="928"/>
      <c r="AU249" s="928"/>
      <c r="AV249" s="928"/>
      <c r="AW249" s="928"/>
      <c r="AX249" s="928"/>
      <c r="AY249" s="928"/>
      <c r="AZ249" s="928"/>
      <c r="BA249" s="928"/>
      <c r="BB249" s="928"/>
      <c r="BC249" s="928"/>
      <c r="BD249" s="928"/>
      <c r="BE249" s="928"/>
      <c r="BF249" s="928"/>
      <c r="BG249" s="928"/>
      <c r="BH249" s="928"/>
      <c r="BI249" s="928"/>
      <c r="BJ249" s="928"/>
      <c r="BK249" s="928"/>
      <c r="BL249" s="928"/>
      <c r="BM249" s="928"/>
      <c r="BN249" s="928"/>
      <c r="BO249" s="928"/>
      <c r="BP249" s="928"/>
      <c r="BQ249" s="928"/>
      <c r="BR249" s="928"/>
      <c r="BS249" s="928"/>
      <c r="BT249" s="928"/>
      <c r="BU249" s="928"/>
      <c r="BV249" s="928"/>
      <c r="BW249" s="928"/>
      <c r="BX249" s="928"/>
      <c r="BY249" s="928"/>
      <c r="BZ249" s="928"/>
      <c r="CA249" s="928"/>
      <c r="CB249" s="928"/>
      <c r="CC249" s="928"/>
      <c r="CD249" s="928"/>
      <c r="CE249" s="928"/>
      <c r="CF249" s="928"/>
      <c r="CG249" s="928"/>
      <c r="CH249" s="928"/>
      <c r="CI249" s="928"/>
      <c r="CJ249" s="928"/>
      <c r="CK249" s="928"/>
      <c r="CL249" s="928"/>
      <c r="CM249" s="928"/>
      <c r="CN249" s="928"/>
      <c r="CO249" s="928"/>
      <c r="CP249" s="928"/>
      <c r="CQ249" s="928"/>
      <c r="CR249" s="928"/>
      <c r="CS249" s="928"/>
      <c r="CT249" s="928"/>
      <c r="CU249" s="928"/>
      <c r="CV249" s="928"/>
      <c r="CW249" s="928"/>
      <c r="CX249" s="928"/>
      <c r="CY249" s="928"/>
      <c r="CZ249" s="928"/>
      <c r="DA249" s="928"/>
      <c r="DB249" s="928"/>
      <c r="DC249" s="928"/>
      <c r="DD249" s="928"/>
      <c r="DE249" s="928"/>
      <c r="DF249" s="928"/>
      <c r="DG249" s="928"/>
      <c r="DH249" s="928"/>
    </row>
    <row r="250" spans="1:112">
      <c r="A250" s="891" t="s">
        <v>1046</v>
      </c>
      <c r="B250" s="891" t="s">
        <v>1454</v>
      </c>
      <c r="C250" s="891" t="s">
        <v>141</v>
      </c>
      <c r="D250" s="891" t="s">
        <v>1046</v>
      </c>
      <c r="E250" s="891" t="s">
        <v>1454</v>
      </c>
      <c r="F250" s="891" t="s">
        <v>141</v>
      </c>
      <c r="G250" s="897">
        <v>48.23</v>
      </c>
      <c r="H250" s="897">
        <v>32.19</v>
      </c>
      <c r="I250" s="897">
        <v>39.18</v>
      </c>
      <c r="J250" s="891"/>
      <c r="K250" s="891"/>
      <c r="L250" s="891"/>
      <c r="M250" s="891"/>
      <c r="N250" s="891"/>
      <c r="O250" s="891"/>
      <c r="P250" s="891"/>
      <c r="Q250" s="891"/>
      <c r="R250" s="891"/>
      <c r="S250" s="891"/>
      <c r="T250" s="891"/>
      <c r="U250" s="928"/>
      <c r="V250" s="928"/>
      <c r="W250" s="928"/>
      <c r="X250" s="928"/>
      <c r="Y250" s="928"/>
      <c r="Z250" s="928"/>
      <c r="AA250" s="928"/>
      <c r="AB250" s="928"/>
      <c r="AC250" s="928"/>
      <c r="AD250" s="928"/>
      <c r="AE250" s="928"/>
      <c r="AF250" s="928"/>
      <c r="AG250" s="928"/>
      <c r="AH250" s="928"/>
      <c r="AI250" s="928"/>
      <c r="AJ250" s="928"/>
      <c r="AK250" s="928"/>
      <c r="AL250" s="928"/>
      <c r="AM250" s="928"/>
      <c r="AN250" s="928"/>
      <c r="AO250" s="928"/>
      <c r="AP250" s="928"/>
      <c r="AQ250" s="928"/>
      <c r="AR250" s="928"/>
      <c r="AS250" s="928"/>
      <c r="AT250" s="928"/>
      <c r="AU250" s="928"/>
      <c r="AV250" s="928"/>
      <c r="AW250" s="928"/>
      <c r="AX250" s="928"/>
      <c r="AY250" s="928"/>
      <c r="AZ250" s="928"/>
      <c r="BA250" s="928"/>
      <c r="BB250" s="928"/>
      <c r="BC250" s="928"/>
      <c r="BD250" s="928"/>
      <c r="BE250" s="928"/>
      <c r="BF250" s="928"/>
      <c r="BG250" s="928"/>
      <c r="BH250" s="928"/>
      <c r="BI250" s="928"/>
      <c r="BJ250" s="928"/>
      <c r="BK250" s="928"/>
      <c r="BL250" s="928"/>
      <c r="BM250" s="928"/>
      <c r="BN250" s="928"/>
      <c r="BO250" s="928"/>
      <c r="BP250" s="928"/>
      <c r="BQ250" s="928"/>
      <c r="BR250" s="928"/>
      <c r="BS250" s="928"/>
      <c r="BT250" s="928"/>
      <c r="BU250" s="928"/>
      <c r="BV250" s="928"/>
      <c r="BW250" s="928"/>
      <c r="BX250" s="928"/>
      <c r="BY250" s="928"/>
      <c r="BZ250" s="928"/>
      <c r="CA250" s="928"/>
      <c r="CB250" s="928"/>
      <c r="CC250" s="928"/>
      <c r="CD250" s="928"/>
      <c r="CE250" s="928"/>
      <c r="CF250" s="928"/>
      <c r="CG250" s="928"/>
      <c r="CH250" s="928"/>
      <c r="CI250" s="928"/>
      <c r="CJ250" s="928"/>
      <c r="CK250" s="928"/>
      <c r="CL250" s="928"/>
      <c r="CM250" s="928"/>
      <c r="CN250" s="928"/>
      <c r="CO250" s="928"/>
      <c r="CP250" s="928"/>
      <c r="CQ250" s="928"/>
      <c r="CR250" s="928"/>
      <c r="CS250" s="928"/>
      <c r="CT250" s="928"/>
      <c r="CU250" s="928"/>
      <c r="CV250" s="928"/>
      <c r="CW250" s="928"/>
      <c r="CX250" s="928"/>
      <c r="CY250" s="928"/>
      <c r="CZ250" s="928"/>
      <c r="DA250" s="928"/>
      <c r="DB250" s="928"/>
      <c r="DC250" s="928"/>
      <c r="DD250" s="928"/>
      <c r="DE250" s="928"/>
      <c r="DF250" s="928"/>
      <c r="DG250" s="928"/>
      <c r="DH250" s="928"/>
    </row>
    <row r="251" spans="1:112">
      <c r="A251" s="891" t="s">
        <v>1537</v>
      </c>
      <c r="B251" s="891" t="s">
        <v>1538</v>
      </c>
      <c r="C251" s="891" t="s">
        <v>1539</v>
      </c>
      <c r="D251" s="891" t="s">
        <v>1537</v>
      </c>
      <c r="E251" s="891" t="s">
        <v>1538</v>
      </c>
      <c r="F251" s="891" t="s">
        <v>1539</v>
      </c>
      <c r="G251" s="897">
        <v>86.32</v>
      </c>
      <c r="H251" s="897">
        <v>62.89</v>
      </c>
      <c r="I251" s="897">
        <v>109.01</v>
      </c>
      <c r="J251" s="891"/>
      <c r="K251" s="891"/>
      <c r="L251" s="891"/>
      <c r="M251" s="891"/>
      <c r="N251" s="891"/>
      <c r="O251" s="891"/>
      <c r="P251" s="891"/>
      <c r="Q251" s="891"/>
      <c r="R251" s="891"/>
      <c r="S251" s="891"/>
      <c r="T251" s="891"/>
      <c r="U251" s="928"/>
      <c r="V251" s="928"/>
      <c r="W251" s="928"/>
      <c r="X251" s="928"/>
      <c r="Y251" s="928"/>
      <c r="Z251" s="928"/>
      <c r="AA251" s="928"/>
      <c r="AB251" s="928"/>
      <c r="AC251" s="928"/>
      <c r="AD251" s="928"/>
      <c r="AE251" s="928"/>
      <c r="AF251" s="928"/>
      <c r="AG251" s="928"/>
      <c r="AH251" s="928"/>
      <c r="AI251" s="928"/>
      <c r="AJ251" s="928"/>
      <c r="AK251" s="928"/>
      <c r="AL251" s="928"/>
      <c r="AM251" s="928"/>
      <c r="AN251" s="928"/>
      <c r="AO251" s="928"/>
      <c r="AP251" s="928"/>
      <c r="AQ251" s="928"/>
      <c r="AR251" s="928"/>
      <c r="AS251" s="928"/>
      <c r="AT251" s="928"/>
      <c r="AU251" s="928"/>
      <c r="AV251" s="928"/>
      <c r="AW251" s="928"/>
      <c r="AX251" s="928"/>
      <c r="AY251" s="928"/>
      <c r="AZ251" s="928"/>
      <c r="BA251" s="928"/>
      <c r="BB251" s="928"/>
      <c r="BC251" s="928"/>
      <c r="BD251" s="928"/>
      <c r="BE251" s="928"/>
      <c r="BF251" s="928"/>
      <c r="BG251" s="928"/>
      <c r="BH251" s="928"/>
      <c r="BI251" s="928"/>
      <c r="BJ251" s="928"/>
      <c r="BK251" s="928"/>
      <c r="BL251" s="928"/>
      <c r="BM251" s="928"/>
      <c r="BN251" s="928"/>
      <c r="BO251" s="928"/>
      <c r="BP251" s="928"/>
      <c r="BQ251" s="928"/>
      <c r="BR251" s="928"/>
      <c r="BS251" s="928"/>
      <c r="BT251" s="928"/>
      <c r="BU251" s="928"/>
      <c r="BV251" s="928"/>
      <c r="BW251" s="928"/>
      <c r="BX251" s="928"/>
      <c r="BY251" s="928"/>
      <c r="BZ251" s="928"/>
      <c r="CA251" s="928"/>
      <c r="CB251" s="928"/>
      <c r="CC251" s="928"/>
      <c r="CD251" s="928"/>
      <c r="CE251" s="928"/>
      <c r="CF251" s="928"/>
      <c r="CG251" s="928"/>
      <c r="CH251" s="928"/>
      <c r="CI251" s="928"/>
      <c r="CJ251" s="928"/>
      <c r="CK251" s="928"/>
      <c r="CL251" s="928"/>
      <c r="CM251" s="928"/>
      <c r="CN251" s="928"/>
      <c r="CO251" s="928"/>
      <c r="CP251" s="928"/>
      <c r="CQ251" s="928"/>
      <c r="CR251" s="928"/>
      <c r="CS251" s="928"/>
      <c r="CT251" s="928"/>
      <c r="CU251" s="928"/>
      <c r="CV251" s="928"/>
      <c r="CW251" s="928"/>
      <c r="CX251" s="928"/>
      <c r="CY251" s="928"/>
      <c r="CZ251" s="928"/>
      <c r="DA251" s="928"/>
      <c r="DB251" s="928"/>
      <c r="DC251" s="928"/>
      <c r="DD251" s="928"/>
      <c r="DE251" s="928"/>
      <c r="DF251" s="928"/>
      <c r="DG251" s="928"/>
      <c r="DH251" s="928"/>
    </row>
    <row r="252" spans="1:112">
      <c r="A252" s="891" t="s">
        <v>1048</v>
      </c>
      <c r="B252" s="891" t="s">
        <v>1454</v>
      </c>
      <c r="C252" s="891" t="s">
        <v>206</v>
      </c>
      <c r="D252" s="891" t="s">
        <v>1048</v>
      </c>
      <c r="E252" s="891" t="s">
        <v>1454</v>
      </c>
      <c r="F252" s="891" t="s">
        <v>206</v>
      </c>
      <c r="G252" s="897">
        <v>102.33</v>
      </c>
      <c r="H252" s="897">
        <v>63.05</v>
      </c>
      <c r="I252" s="897">
        <v>110.71</v>
      </c>
      <c r="J252" s="891"/>
      <c r="K252" s="891"/>
      <c r="L252" s="891"/>
      <c r="M252" s="891"/>
      <c r="N252" s="891"/>
      <c r="O252" s="891"/>
      <c r="P252" s="891"/>
      <c r="Q252" s="891"/>
      <c r="R252" s="891"/>
      <c r="S252" s="891"/>
      <c r="T252" s="891"/>
      <c r="U252" s="928"/>
      <c r="V252" s="928"/>
      <c r="W252" s="928"/>
      <c r="X252" s="928"/>
      <c r="Y252" s="928"/>
      <c r="Z252" s="928"/>
      <c r="AA252" s="928"/>
      <c r="AB252" s="928"/>
      <c r="AC252" s="928"/>
      <c r="AD252" s="928"/>
      <c r="AE252" s="928"/>
      <c r="AF252" s="928"/>
      <c r="AG252" s="928"/>
      <c r="AH252" s="928"/>
      <c r="AI252" s="928"/>
      <c r="AJ252" s="928"/>
      <c r="AK252" s="928"/>
      <c r="AL252" s="928"/>
      <c r="AM252" s="928"/>
      <c r="AN252" s="928"/>
      <c r="AO252" s="928"/>
      <c r="AP252" s="928"/>
      <c r="AQ252" s="928"/>
      <c r="AR252" s="928"/>
      <c r="AS252" s="928"/>
      <c r="AT252" s="928"/>
      <c r="AU252" s="928"/>
      <c r="AV252" s="928"/>
      <c r="AW252" s="928"/>
      <c r="AX252" s="928"/>
      <c r="AY252" s="928"/>
      <c r="AZ252" s="928"/>
      <c r="BA252" s="928"/>
      <c r="BB252" s="928"/>
      <c r="BC252" s="928"/>
      <c r="BD252" s="928"/>
      <c r="BE252" s="928"/>
      <c r="BF252" s="928"/>
      <c r="BG252" s="928"/>
      <c r="BH252" s="928"/>
      <c r="BI252" s="928"/>
      <c r="BJ252" s="928"/>
      <c r="BK252" s="928"/>
      <c r="BL252" s="928"/>
      <c r="BM252" s="928"/>
      <c r="BN252" s="928"/>
      <c r="BO252" s="928"/>
      <c r="BP252" s="928"/>
      <c r="BQ252" s="928"/>
      <c r="BR252" s="928"/>
      <c r="BS252" s="928"/>
      <c r="BT252" s="928"/>
      <c r="BU252" s="928"/>
      <c r="BV252" s="928"/>
      <c r="BW252" s="928"/>
      <c r="BX252" s="928"/>
      <c r="BY252" s="928"/>
      <c r="BZ252" s="928"/>
      <c r="CA252" s="928"/>
      <c r="CB252" s="928"/>
      <c r="CC252" s="928"/>
      <c r="CD252" s="928"/>
      <c r="CE252" s="928"/>
      <c r="CF252" s="928"/>
      <c r="CG252" s="928"/>
      <c r="CH252" s="928"/>
      <c r="CI252" s="928"/>
      <c r="CJ252" s="928"/>
      <c r="CK252" s="928"/>
      <c r="CL252" s="928"/>
      <c r="CM252" s="928"/>
      <c r="CN252" s="928"/>
      <c r="CO252" s="928"/>
      <c r="CP252" s="928"/>
      <c r="CQ252" s="928"/>
      <c r="CR252" s="928"/>
      <c r="CS252" s="928"/>
      <c r="CT252" s="928"/>
      <c r="CU252" s="928"/>
      <c r="CV252" s="928"/>
      <c r="CW252" s="928"/>
      <c r="CX252" s="928"/>
      <c r="CY252" s="928"/>
      <c r="CZ252" s="928"/>
      <c r="DA252" s="928"/>
      <c r="DB252" s="928"/>
      <c r="DC252" s="928"/>
      <c r="DD252" s="928"/>
      <c r="DE252" s="928"/>
      <c r="DF252" s="928"/>
      <c r="DG252" s="928"/>
      <c r="DH252" s="928"/>
    </row>
    <row r="253" spans="1:112">
      <c r="A253" s="891" t="s">
        <v>1049</v>
      </c>
      <c r="B253" s="891" t="s">
        <v>1454</v>
      </c>
      <c r="C253" s="891" t="s">
        <v>175</v>
      </c>
      <c r="D253" s="891" t="s">
        <v>1049</v>
      </c>
      <c r="E253" s="891" t="s">
        <v>1454</v>
      </c>
      <c r="F253" s="891" t="s">
        <v>175</v>
      </c>
      <c r="G253" s="897">
        <v>59.65</v>
      </c>
      <c r="H253" s="897">
        <v>42.06</v>
      </c>
      <c r="I253" s="897">
        <v>53.85</v>
      </c>
      <c r="J253" s="891"/>
      <c r="K253" s="891"/>
      <c r="L253" s="891"/>
      <c r="M253" s="891"/>
      <c r="N253" s="891"/>
      <c r="O253" s="891"/>
      <c r="P253" s="891"/>
      <c r="Q253" s="891"/>
      <c r="R253" s="891"/>
      <c r="S253" s="891"/>
      <c r="T253" s="891"/>
      <c r="U253" s="928"/>
      <c r="V253" s="928"/>
      <c r="W253" s="928"/>
      <c r="X253" s="928"/>
      <c r="Y253" s="928"/>
      <c r="Z253" s="928"/>
      <c r="AA253" s="928"/>
      <c r="AB253" s="928"/>
      <c r="AC253" s="928"/>
      <c r="AD253" s="928"/>
      <c r="AE253" s="928"/>
      <c r="AF253" s="928"/>
      <c r="AG253" s="928"/>
      <c r="AH253" s="928"/>
      <c r="AI253" s="928"/>
      <c r="AJ253" s="928"/>
      <c r="AK253" s="928"/>
      <c r="AL253" s="928"/>
      <c r="AM253" s="928"/>
      <c r="AN253" s="928"/>
      <c r="AO253" s="928"/>
      <c r="AP253" s="928"/>
      <c r="AQ253" s="928"/>
      <c r="AR253" s="928"/>
      <c r="AS253" s="928"/>
      <c r="AT253" s="928"/>
      <c r="AU253" s="928"/>
      <c r="AV253" s="928"/>
      <c r="AW253" s="928"/>
      <c r="AX253" s="928"/>
      <c r="AY253" s="928"/>
      <c r="AZ253" s="928"/>
      <c r="BA253" s="928"/>
      <c r="BB253" s="928"/>
      <c r="BC253" s="928"/>
      <c r="BD253" s="928"/>
      <c r="BE253" s="928"/>
      <c r="BF253" s="928"/>
      <c r="BG253" s="928"/>
      <c r="BH253" s="928"/>
      <c r="BI253" s="928"/>
      <c r="BJ253" s="928"/>
      <c r="BK253" s="928"/>
      <c r="BL253" s="928"/>
      <c r="BM253" s="928"/>
      <c r="BN253" s="928"/>
      <c r="BO253" s="928"/>
      <c r="BP253" s="928"/>
      <c r="BQ253" s="928"/>
      <c r="BR253" s="928"/>
      <c r="BS253" s="928"/>
      <c r="BT253" s="928"/>
      <c r="BU253" s="928"/>
      <c r="BV253" s="928"/>
      <c r="BW253" s="928"/>
      <c r="BX253" s="928"/>
      <c r="BY253" s="928"/>
      <c r="BZ253" s="928"/>
      <c r="CA253" s="928"/>
      <c r="CB253" s="928"/>
      <c r="CC253" s="928"/>
      <c r="CD253" s="928"/>
      <c r="CE253" s="928"/>
      <c r="CF253" s="928"/>
      <c r="CG253" s="928"/>
      <c r="CH253" s="928"/>
      <c r="CI253" s="928"/>
      <c r="CJ253" s="928"/>
      <c r="CK253" s="928"/>
      <c r="CL253" s="928"/>
      <c r="CM253" s="928"/>
      <c r="CN253" s="928"/>
      <c r="CO253" s="928"/>
      <c r="CP253" s="928"/>
      <c r="CQ253" s="928"/>
      <c r="CR253" s="928"/>
      <c r="CS253" s="928"/>
      <c r="CT253" s="928"/>
      <c r="CU253" s="928"/>
      <c r="CV253" s="928"/>
      <c r="CW253" s="928"/>
      <c r="CX253" s="928"/>
      <c r="CY253" s="928"/>
      <c r="CZ253" s="928"/>
      <c r="DA253" s="928"/>
      <c r="DB253" s="928"/>
      <c r="DC253" s="928"/>
      <c r="DD253" s="928"/>
      <c r="DE253" s="928"/>
      <c r="DF253" s="928"/>
      <c r="DG253" s="928"/>
      <c r="DH253" s="928"/>
    </row>
    <row r="254" spans="1:112">
      <c r="A254" s="891" t="s">
        <v>1050</v>
      </c>
      <c r="B254" s="891" t="s">
        <v>1540</v>
      </c>
      <c r="C254" s="891" t="s">
        <v>343</v>
      </c>
      <c r="D254" s="891" t="s">
        <v>1050</v>
      </c>
      <c r="E254" s="891" t="s">
        <v>1540</v>
      </c>
      <c r="F254" s="891" t="s">
        <v>343</v>
      </c>
      <c r="G254" s="897">
        <v>137.34</v>
      </c>
      <c r="H254" s="897">
        <v>167.01</v>
      </c>
      <c r="I254" s="897">
        <v>95.68</v>
      </c>
      <c r="J254" s="891"/>
      <c r="K254" s="891"/>
      <c r="L254" s="891"/>
      <c r="M254" s="891"/>
      <c r="N254" s="891"/>
      <c r="O254" s="891"/>
      <c r="P254" s="891"/>
      <c r="Q254" s="891"/>
      <c r="R254" s="891"/>
      <c r="S254" s="891"/>
      <c r="T254" s="891"/>
      <c r="U254" s="928"/>
      <c r="V254" s="928"/>
      <c r="W254" s="928"/>
      <c r="X254" s="928"/>
      <c r="Y254" s="928"/>
      <c r="Z254" s="928"/>
      <c r="AA254" s="928"/>
      <c r="AB254" s="928"/>
      <c r="AC254" s="928"/>
      <c r="AD254" s="928"/>
      <c r="AE254" s="928"/>
      <c r="AF254" s="928"/>
      <c r="AG254" s="928"/>
      <c r="AH254" s="928"/>
      <c r="AI254" s="928"/>
      <c r="AJ254" s="928"/>
      <c r="AK254" s="928"/>
      <c r="AL254" s="928"/>
      <c r="AM254" s="928"/>
      <c r="AN254" s="928"/>
      <c r="AO254" s="928"/>
      <c r="AP254" s="928"/>
      <c r="AQ254" s="928"/>
      <c r="AR254" s="928"/>
      <c r="AS254" s="928"/>
      <c r="AT254" s="928"/>
      <c r="AU254" s="928"/>
      <c r="AV254" s="928"/>
      <c r="AW254" s="928"/>
      <c r="AX254" s="928"/>
      <c r="AY254" s="928"/>
      <c r="AZ254" s="928"/>
      <c r="BA254" s="928"/>
      <c r="BB254" s="928"/>
      <c r="BC254" s="928"/>
      <c r="BD254" s="928"/>
      <c r="BE254" s="928"/>
      <c r="BF254" s="928"/>
      <c r="BG254" s="928"/>
      <c r="BH254" s="928"/>
      <c r="BI254" s="928"/>
      <c r="BJ254" s="928"/>
      <c r="BK254" s="928"/>
      <c r="BL254" s="928"/>
      <c r="BM254" s="928"/>
      <c r="BN254" s="928"/>
      <c r="BO254" s="928"/>
      <c r="BP254" s="928"/>
      <c r="BQ254" s="928"/>
      <c r="BR254" s="928"/>
      <c r="BS254" s="928"/>
      <c r="BT254" s="928"/>
      <c r="BU254" s="928"/>
      <c r="BV254" s="928"/>
      <c r="BW254" s="928"/>
      <c r="BX254" s="928"/>
      <c r="BY254" s="928"/>
      <c r="BZ254" s="928"/>
      <c r="CA254" s="928"/>
      <c r="CB254" s="928"/>
      <c r="CC254" s="928"/>
      <c r="CD254" s="928"/>
      <c r="CE254" s="928"/>
      <c r="CF254" s="928"/>
      <c r="CG254" s="928"/>
      <c r="CH254" s="928"/>
      <c r="CI254" s="928"/>
      <c r="CJ254" s="928"/>
      <c r="CK254" s="928"/>
      <c r="CL254" s="928"/>
      <c r="CM254" s="928"/>
      <c r="CN254" s="928"/>
      <c r="CO254" s="928"/>
      <c r="CP254" s="928"/>
      <c r="CQ254" s="928"/>
      <c r="CR254" s="928"/>
      <c r="CS254" s="928"/>
      <c r="CT254" s="928"/>
      <c r="CU254" s="928"/>
      <c r="CV254" s="928"/>
      <c r="CW254" s="928"/>
      <c r="CX254" s="928"/>
      <c r="CY254" s="928"/>
      <c r="CZ254" s="928"/>
      <c r="DA254" s="928"/>
      <c r="DB254" s="928"/>
      <c r="DC254" s="928"/>
      <c r="DD254" s="928"/>
      <c r="DE254" s="928"/>
      <c r="DF254" s="928"/>
      <c r="DG254" s="928"/>
      <c r="DH254" s="928"/>
    </row>
    <row r="255" spans="1:112">
      <c r="A255" s="891" t="s">
        <v>1051</v>
      </c>
      <c r="B255" s="891" t="s">
        <v>1541</v>
      </c>
      <c r="C255" s="891" t="s">
        <v>243</v>
      </c>
      <c r="D255" s="891" t="s">
        <v>1051</v>
      </c>
      <c r="E255" s="891" t="s">
        <v>1541</v>
      </c>
      <c r="F255" s="891" t="s">
        <v>243</v>
      </c>
      <c r="G255" s="897">
        <v>50.75</v>
      </c>
      <c r="H255" s="897">
        <v>38.479999999999997</v>
      </c>
      <c r="I255" s="897">
        <v>67.010000000000005</v>
      </c>
      <c r="J255" s="891"/>
      <c r="K255" s="891"/>
      <c r="L255" s="891"/>
      <c r="M255" s="891"/>
      <c r="N255" s="891"/>
      <c r="O255" s="891"/>
      <c r="P255" s="891"/>
      <c r="Q255" s="891"/>
      <c r="R255" s="891"/>
      <c r="S255" s="891"/>
      <c r="T255" s="891"/>
      <c r="U255" s="928"/>
      <c r="V255" s="928"/>
      <c r="W255" s="928"/>
      <c r="X255" s="928"/>
      <c r="Y255" s="928"/>
      <c r="Z255" s="928"/>
      <c r="AA255" s="928"/>
      <c r="AB255" s="928"/>
      <c r="AC255" s="928"/>
      <c r="AD255" s="928"/>
      <c r="AE255" s="928"/>
      <c r="AF255" s="928"/>
      <c r="AG255" s="928"/>
      <c r="AH255" s="928"/>
      <c r="AI255" s="928"/>
      <c r="AJ255" s="928"/>
      <c r="AK255" s="928"/>
      <c r="AL255" s="928"/>
      <c r="AM255" s="928"/>
      <c r="AN255" s="928"/>
      <c r="AO255" s="928"/>
      <c r="AP255" s="928"/>
      <c r="AQ255" s="928"/>
      <c r="AR255" s="928"/>
      <c r="AS255" s="928"/>
      <c r="AT255" s="928"/>
      <c r="AU255" s="928"/>
      <c r="AV255" s="928"/>
      <c r="AW255" s="928"/>
      <c r="AX255" s="928"/>
      <c r="AY255" s="928"/>
      <c r="AZ255" s="928"/>
      <c r="BA255" s="928"/>
      <c r="BB255" s="928"/>
      <c r="BC255" s="928"/>
      <c r="BD255" s="928"/>
      <c r="BE255" s="928"/>
      <c r="BF255" s="928"/>
      <c r="BG255" s="928"/>
      <c r="BH255" s="928"/>
      <c r="BI255" s="928"/>
      <c r="BJ255" s="928"/>
      <c r="BK255" s="928"/>
      <c r="BL255" s="928"/>
      <c r="BM255" s="928"/>
      <c r="BN255" s="928"/>
      <c r="BO255" s="928"/>
      <c r="BP255" s="928"/>
      <c r="BQ255" s="928"/>
      <c r="BR255" s="928"/>
      <c r="BS255" s="928"/>
      <c r="BT255" s="928"/>
      <c r="BU255" s="928"/>
      <c r="BV255" s="928"/>
      <c r="BW255" s="928"/>
      <c r="BX255" s="928"/>
      <c r="BY255" s="928"/>
      <c r="BZ255" s="928"/>
      <c r="CA255" s="928"/>
      <c r="CB255" s="928"/>
      <c r="CC255" s="928"/>
      <c r="CD255" s="928"/>
      <c r="CE255" s="928"/>
      <c r="CF255" s="928"/>
      <c r="CG255" s="928"/>
      <c r="CH255" s="928"/>
      <c r="CI255" s="928"/>
      <c r="CJ255" s="928"/>
      <c r="CK255" s="928"/>
      <c r="CL255" s="928"/>
      <c r="CM255" s="928"/>
      <c r="CN255" s="928"/>
      <c r="CO255" s="928"/>
      <c r="CP255" s="928"/>
      <c r="CQ255" s="928"/>
      <c r="CR255" s="928"/>
      <c r="CS255" s="928"/>
      <c r="CT255" s="928"/>
      <c r="CU255" s="928"/>
      <c r="CV255" s="928"/>
      <c r="CW255" s="928"/>
      <c r="CX255" s="928"/>
      <c r="CY255" s="928"/>
      <c r="CZ255" s="928"/>
      <c r="DA255" s="928"/>
      <c r="DB255" s="928"/>
      <c r="DC255" s="928"/>
      <c r="DD255" s="928"/>
      <c r="DE255" s="928"/>
      <c r="DF255" s="928"/>
      <c r="DG255" s="928"/>
      <c r="DH255" s="928"/>
    </row>
    <row r="256" spans="1:112">
      <c r="A256" s="891" t="s">
        <v>1057</v>
      </c>
      <c r="B256" s="891" t="s">
        <v>1485</v>
      </c>
      <c r="C256" s="891" t="s">
        <v>248</v>
      </c>
      <c r="D256" s="891" t="s">
        <v>1057</v>
      </c>
      <c r="E256" s="891" t="s">
        <v>1485</v>
      </c>
      <c r="F256" s="891" t="s">
        <v>248</v>
      </c>
      <c r="G256" s="897">
        <v>104.51</v>
      </c>
      <c r="H256" s="897">
        <v>81.81</v>
      </c>
      <c r="I256" s="897">
        <v>163.77000000000001</v>
      </c>
      <c r="J256" s="891"/>
      <c r="K256" s="891"/>
      <c r="L256" s="891"/>
      <c r="M256" s="891"/>
      <c r="N256" s="891"/>
      <c r="O256" s="891"/>
      <c r="P256" s="891"/>
      <c r="Q256" s="891"/>
      <c r="R256" s="891"/>
      <c r="S256" s="891"/>
      <c r="T256" s="891"/>
      <c r="U256" s="928"/>
      <c r="V256" s="928"/>
      <c r="W256" s="928"/>
      <c r="X256" s="928"/>
      <c r="Y256" s="928"/>
      <c r="Z256" s="928"/>
      <c r="AA256" s="928"/>
      <c r="AB256" s="928"/>
      <c r="AC256" s="928"/>
      <c r="AD256" s="928"/>
      <c r="AE256" s="928"/>
      <c r="AF256" s="928"/>
      <c r="AG256" s="928"/>
      <c r="AH256" s="928"/>
      <c r="AI256" s="928"/>
      <c r="AJ256" s="928"/>
      <c r="AK256" s="928"/>
      <c r="AL256" s="928"/>
      <c r="AM256" s="928"/>
      <c r="AN256" s="928"/>
      <c r="AO256" s="928"/>
      <c r="AP256" s="928"/>
      <c r="AQ256" s="928"/>
      <c r="AR256" s="928"/>
      <c r="AS256" s="928"/>
      <c r="AT256" s="928"/>
      <c r="AU256" s="928"/>
      <c r="AV256" s="928"/>
      <c r="AW256" s="928"/>
      <c r="AX256" s="928"/>
      <c r="AY256" s="928"/>
      <c r="AZ256" s="928"/>
      <c r="BA256" s="928"/>
      <c r="BB256" s="928"/>
      <c r="BC256" s="928"/>
      <c r="BD256" s="928"/>
      <c r="BE256" s="928"/>
      <c r="BF256" s="928"/>
      <c r="BG256" s="928"/>
      <c r="BH256" s="928"/>
      <c r="BI256" s="928"/>
      <c r="BJ256" s="928"/>
      <c r="BK256" s="928"/>
      <c r="BL256" s="928"/>
      <c r="BM256" s="928"/>
      <c r="BN256" s="928"/>
      <c r="BO256" s="928"/>
      <c r="BP256" s="928"/>
      <c r="BQ256" s="928"/>
      <c r="BR256" s="928"/>
      <c r="BS256" s="928"/>
      <c r="BT256" s="928"/>
      <c r="BU256" s="928"/>
      <c r="BV256" s="928"/>
      <c r="BW256" s="928"/>
      <c r="BX256" s="928"/>
      <c r="BY256" s="928"/>
      <c r="BZ256" s="928"/>
      <c r="CA256" s="928"/>
      <c r="CB256" s="928"/>
      <c r="CC256" s="928"/>
      <c r="CD256" s="928"/>
      <c r="CE256" s="928"/>
      <c r="CF256" s="928"/>
      <c r="CG256" s="928"/>
      <c r="CH256" s="928"/>
      <c r="CI256" s="928"/>
      <c r="CJ256" s="928"/>
      <c r="CK256" s="928"/>
      <c r="CL256" s="928"/>
      <c r="CM256" s="928"/>
      <c r="CN256" s="928"/>
      <c r="CO256" s="928"/>
      <c r="CP256" s="928"/>
      <c r="CQ256" s="928"/>
      <c r="CR256" s="928"/>
      <c r="CS256" s="928"/>
      <c r="CT256" s="928"/>
      <c r="CU256" s="928"/>
      <c r="CV256" s="928"/>
      <c r="CW256" s="928"/>
      <c r="CX256" s="928"/>
      <c r="CY256" s="928"/>
      <c r="CZ256" s="928"/>
      <c r="DA256" s="928"/>
      <c r="DB256" s="928"/>
      <c r="DC256" s="928"/>
      <c r="DD256" s="928"/>
      <c r="DE256" s="928"/>
      <c r="DF256" s="928"/>
      <c r="DG256" s="928"/>
      <c r="DH256" s="928"/>
    </row>
    <row r="257" spans="1:112">
      <c r="A257" s="891" t="s">
        <v>1058</v>
      </c>
      <c r="B257" s="891" t="s">
        <v>1489</v>
      </c>
      <c r="C257" s="891" t="s">
        <v>299</v>
      </c>
      <c r="D257" s="891" t="s">
        <v>1058</v>
      </c>
      <c r="E257" s="891" t="s">
        <v>1489</v>
      </c>
      <c r="F257" s="891" t="s">
        <v>299</v>
      </c>
      <c r="G257" s="897">
        <v>113.75</v>
      </c>
      <c r="H257" s="897">
        <v>100.68</v>
      </c>
      <c r="I257" s="897">
        <v>99.9</v>
      </c>
      <c r="J257" s="891"/>
      <c r="K257" s="891"/>
      <c r="L257" s="891"/>
      <c r="M257" s="891"/>
      <c r="N257" s="891"/>
      <c r="O257" s="891"/>
      <c r="P257" s="891"/>
      <c r="Q257" s="891"/>
      <c r="R257" s="891"/>
      <c r="S257" s="891"/>
      <c r="T257" s="891"/>
      <c r="U257" s="928"/>
      <c r="V257" s="928"/>
      <c r="W257" s="928"/>
      <c r="X257" s="928"/>
      <c r="Y257" s="928"/>
      <c r="Z257" s="928"/>
      <c r="AA257" s="928"/>
      <c r="AB257" s="928"/>
      <c r="AC257" s="928"/>
      <c r="AD257" s="928"/>
      <c r="AE257" s="928"/>
      <c r="AF257" s="928"/>
      <c r="AG257" s="928"/>
      <c r="AH257" s="928"/>
      <c r="AI257" s="928"/>
      <c r="AJ257" s="928"/>
      <c r="AK257" s="928"/>
      <c r="AL257" s="928"/>
      <c r="AM257" s="928"/>
      <c r="AN257" s="928"/>
      <c r="AO257" s="928"/>
      <c r="AP257" s="928"/>
      <c r="AQ257" s="928"/>
      <c r="AR257" s="928"/>
      <c r="AS257" s="928"/>
      <c r="AT257" s="928"/>
      <c r="AU257" s="928"/>
      <c r="AV257" s="928"/>
      <c r="AW257" s="928"/>
      <c r="AX257" s="928"/>
      <c r="AY257" s="928"/>
      <c r="AZ257" s="928"/>
      <c r="BA257" s="928"/>
      <c r="BB257" s="928"/>
      <c r="BC257" s="928"/>
      <c r="BD257" s="928"/>
      <c r="BE257" s="928"/>
      <c r="BF257" s="928"/>
      <c r="BG257" s="928"/>
      <c r="BH257" s="928"/>
      <c r="BI257" s="928"/>
      <c r="BJ257" s="928"/>
      <c r="BK257" s="928"/>
      <c r="BL257" s="928"/>
      <c r="BM257" s="928"/>
      <c r="BN257" s="928"/>
      <c r="BO257" s="928"/>
      <c r="BP257" s="928"/>
      <c r="BQ257" s="928"/>
      <c r="BR257" s="928"/>
      <c r="BS257" s="928"/>
      <c r="BT257" s="928"/>
      <c r="BU257" s="928"/>
      <c r="BV257" s="928"/>
      <c r="BW257" s="928"/>
      <c r="BX257" s="928"/>
      <c r="BY257" s="928"/>
      <c r="BZ257" s="928"/>
      <c r="CA257" s="928"/>
      <c r="CB257" s="928"/>
      <c r="CC257" s="928"/>
      <c r="CD257" s="928"/>
      <c r="CE257" s="928"/>
      <c r="CF257" s="928"/>
      <c r="CG257" s="928"/>
      <c r="CH257" s="928"/>
      <c r="CI257" s="928"/>
      <c r="CJ257" s="928"/>
      <c r="CK257" s="928"/>
      <c r="CL257" s="928"/>
      <c r="CM257" s="928"/>
      <c r="CN257" s="928"/>
      <c r="CO257" s="928"/>
      <c r="CP257" s="928"/>
      <c r="CQ257" s="928"/>
      <c r="CR257" s="928"/>
      <c r="CS257" s="928"/>
      <c r="CT257" s="928"/>
      <c r="CU257" s="928"/>
      <c r="CV257" s="928"/>
      <c r="CW257" s="928"/>
      <c r="CX257" s="928"/>
      <c r="CY257" s="928"/>
      <c r="CZ257" s="928"/>
      <c r="DA257" s="928"/>
      <c r="DB257" s="928"/>
      <c r="DC257" s="928"/>
      <c r="DD257" s="928"/>
      <c r="DE257" s="928"/>
      <c r="DF257" s="928"/>
      <c r="DG257" s="928"/>
      <c r="DH257" s="928"/>
    </row>
    <row r="258" spans="1:112">
      <c r="A258" s="891" t="s">
        <v>1059</v>
      </c>
      <c r="B258" s="891" t="s">
        <v>1506</v>
      </c>
      <c r="C258" s="891" t="s">
        <v>355</v>
      </c>
      <c r="D258" s="891" t="s">
        <v>1059</v>
      </c>
      <c r="E258" s="891" t="s">
        <v>1506</v>
      </c>
      <c r="F258" s="891" t="s">
        <v>355</v>
      </c>
      <c r="G258" s="897">
        <v>89.82</v>
      </c>
      <c r="H258" s="897">
        <v>101.17</v>
      </c>
      <c r="I258" s="897">
        <v>66.05</v>
      </c>
      <c r="J258" s="891"/>
      <c r="K258" s="891"/>
      <c r="L258" s="891"/>
      <c r="M258" s="891"/>
      <c r="N258" s="891"/>
      <c r="O258" s="891"/>
      <c r="P258" s="891"/>
      <c r="Q258" s="891"/>
      <c r="R258" s="891"/>
      <c r="S258" s="891"/>
      <c r="T258" s="891"/>
      <c r="U258" s="928"/>
      <c r="V258" s="928"/>
      <c r="W258" s="928"/>
      <c r="X258" s="928"/>
      <c r="Y258" s="928"/>
      <c r="Z258" s="928"/>
      <c r="AA258" s="928"/>
      <c r="AB258" s="928"/>
      <c r="AC258" s="928"/>
      <c r="AD258" s="928"/>
      <c r="AE258" s="928"/>
      <c r="AF258" s="928"/>
      <c r="AG258" s="928"/>
      <c r="AH258" s="928"/>
      <c r="AI258" s="928"/>
      <c r="AJ258" s="928"/>
      <c r="AK258" s="928"/>
      <c r="AL258" s="928"/>
      <c r="AM258" s="928"/>
      <c r="AN258" s="928"/>
      <c r="AO258" s="928"/>
      <c r="AP258" s="928"/>
      <c r="AQ258" s="928"/>
      <c r="AR258" s="928"/>
      <c r="AS258" s="928"/>
      <c r="AT258" s="928"/>
      <c r="AU258" s="928"/>
      <c r="AV258" s="928"/>
      <c r="AW258" s="928"/>
      <c r="AX258" s="928"/>
      <c r="AY258" s="928"/>
      <c r="AZ258" s="928"/>
      <c r="BA258" s="928"/>
      <c r="BB258" s="928"/>
      <c r="BC258" s="928"/>
      <c r="BD258" s="928"/>
      <c r="BE258" s="928"/>
      <c r="BF258" s="928"/>
      <c r="BG258" s="928"/>
      <c r="BH258" s="928"/>
      <c r="BI258" s="928"/>
      <c r="BJ258" s="928"/>
      <c r="BK258" s="928"/>
      <c r="BL258" s="928"/>
      <c r="BM258" s="928"/>
      <c r="BN258" s="928"/>
      <c r="BO258" s="928"/>
      <c r="BP258" s="928"/>
      <c r="BQ258" s="928"/>
      <c r="BR258" s="928"/>
      <c r="BS258" s="928"/>
      <c r="BT258" s="928"/>
      <c r="BU258" s="928"/>
      <c r="BV258" s="928"/>
      <c r="BW258" s="928"/>
      <c r="BX258" s="928"/>
      <c r="BY258" s="928"/>
      <c r="BZ258" s="928"/>
      <c r="CA258" s="928"/>
      <c r="CB258" s="928"/>
      <c r="CC258" s="928"/>
      <c r="CD258" s="928"/>
      <c r="CE258" s="928"/>
      <c r="CF258" s="928"/>
      <c r="CG258" s="928"/>
      <c r="CH258" s="928"/>
      <c r="CI258" s="928"/>
      <c r="CJ258" s="928"/>
      <c r="CK258" s="928"/>
      <c r="CL258" s="928"/>
      <c r="CM258" s="928"/>
      <c r="CN258" s="928"/>
      <c r="CO258" s="928"/>
      <c r="CP258" s="928"/>
      <c r="CQ258" s="928"/>
      <c r="CR258" s="928"/>
      <c r="CS258" s="928"/>
      <c r="CT258" s="928"/>
      <c r="CU258" s="928"/>
      <c r="CV258" s="928"/>
      <c r="CW258" s="928"/>
      <c r="CX258" s="928"/>
      <c r="CY258" s="928"/>
      <c r="CZ258" s="928"/>
      <c r="DA258" s="928"/>
      <c r="DB258" s="928"/>
      <c r="DC258" s="928"/>
      <c r="DD258" s="928"/>
      <c r="DE258" s="928"/>
      <c r="DF258" s="928"/>
      <c r="DG258" s="928"/>
      <c r="DH258" s="928"/>
    </row>
    <row r="259" spans="1:112">
      <c r="A259" s="891" t="s">
        <v>1060</v>
      </c>
      <c r="B259" s="891" t="s">
        <v>1453</v>
      </c>
      <c r="C259" s="891" t="s">
        <v>382</v>
      </c>
      <c r="D259" s="891" t="s">
        <v>1060</v>
      </c>
      <c r="E259" s="891" t="s">
        <v>1453</v>
      </c>
      <c r="F259" s="891" t="s">
        <v>382</v>
      </c>
      <c r="G259" s="897">
        <v>61.53</v>
      </c>
      <c r="H259" s="897">
        <v>75.17</v>
      </c>
      <c r="I259" s="897">
        <v>94.75</v>
      </c>
      <c r="J259" s="891"/>
      <c r="K259" s="891"/>
      <c r="L259" s="891"/>
      <c r="M259" s="891"/>
      <c r="N259" s="891"/>
      <c r="O259" s="891"/>
      <c r="P259" s="891"/>
      <c r="Q259" s="891"/>
      <c r="R259" s="891"/>
      <c r="S259" s="891"/>
      <c r="T259" s="891"/>
      <c r="U259" s="928"/>
      <c r="V259" s="928"/>
      <c r="W259" s="928"/>
      <c r="X259" s="928"/>
      <c r="Y259" s="928"/>
      <c r="Z259" s="928"/>
      <c r="AA259" s="928"/>
      <c r="AB259" s="928"/>
      <c r="AC259" s="928"/>
      <c r="AD259" s="928"/>
      <c r="AE259" s="928"/>
      <c r="AF259" s="928"/>
      <c r="AG259" s="928"/>
      <c r="AH259" s="928"/>
      <c r="AI259" s="928"/>
      <c r="AJ259" s="928"/>
      <c r="AK259" s="928"/>
      <c r="AL259" s="928"/>
      <c r="AM259" s="928"/>
      <c r="AN259" s="928"/>
      <c r="AO259" s="928"/>
      <c r="AP259" s="928"/>
      <c r="AQ259" s="928"/>
      <c r="AR259" s="928"/>
      <c r="AS259" s="928"/>
      <c r="AT259" s="928"/>
      <c r="AU259" s="928"/>
      <c r="AV259" s="928"/>
      <c r="AW259" s="928"/>
      <c r="AX259" s="928"/>
      <c r="AY259" s="928"/>
      <c r="AZ259" s="928"/>
      <c r="BA259" s="928"/>
      <c r="BB259" s="928"/>
      <c r="BC259" s="928"/>
      <c r="BD259" s="928"/>
      <c r="BE259" s="928"/>
      <c r="BF259" s="928"/>
      <c r="BG259" s="928"/>
      <c r="BH259" s="928"/>
      <c r="BI259" s="928"/>
      <c r="BJ259" s="928"/>
      <c r="BK259" s="928"/>
      <c r="BL259" s="928"/>
      <c r="BM259" s="928"/>
      <c r="BN259" s="928"/>
      <c r="BO259" s="928"/>
      <c r="BP259" s="928"/>
      <c r="BQ259" s="928"/>
      <c r="BR259" s="928"/>
      <c r="BS259" s="928"/>
      <c r="BT259" s="928"/>
      <c r="BU259" s="928"/>
      <c r="BV259" s="928"/>
      <c r="BW259" s="928"/>
      <c r="BX259" s="928"/>
      <c r="BY259" s="928"/>
      <c r="BZ259" s="928"/>
      <c r="CA259" s="928"/>
      <c r="CB259" s="928"/>
      <c r="CC259" s="928"/>
      <c r="CD259" s="928"/>
      <c r="CE259" s="928"/>
      <c r="CF259" s="928"/>
      <c r="CG259" s="928"/>
      <c r="CH259" s="928"/>
      <c r="CI259" s="928"/>
      <c r="CJ259" s="928"/>
      <c r="CK259" s="928"/>
      <c r="CL259" s="928"/>
      <c r="CM259" s="928"/>
      <c r="CN259" s="928"/>
      <c r="CO259" s="928"/>
      <c r="CP259" s="928"/>
      <c r="CQ259" s="928"/>
      <c r="CR259" s="928"/>
      <c r="CS259" s="928"/>
      <c r="CT259" s="928"/>
      <c r="CU259" s="928"/>
      <c r="CV259" s="928"/>
      <c r="CW259" s="928"/>
      <c r="CX259" s="928"/>
      <c r="CY259" s="928"/>
      <c r="CZ259" s="928"/>
      <c r="DA259" s="928"/>
      <c r="DB259" s="928"/>
      <c r="DC259" s="928"/>
      <c r="DD259" s="928"/>
      <c r="DE259" s="928"/>
      <c r="DF259" s="928"/>
      <c r="DG259" s="928"/>
      <c r="DH259" s="928"/>
    </row>
    <row r="260" spans="1:112">
      <c r="A260" s="891" t="s">
        <v>1062</v>
      </c>
      <c r="B260" s="891" t="s">
        <v>1471</v>
      </c>
      <c r="C260" s="891" t="s">
        <v>99</v>
      </c>
      <c r="D260" s="891" t="s">
        <v>1062</v>
      </c>
      <c r="E260" s="891" t="s">
        <v>1471</v>
      </c>
      <c r="F260" s="891" t="s">
        <v>99</v>
      </c>
      <c r="G260" s="897">
        <v>60.93</v>
      </c>
      <c r="H260" s="897">
        <v>46.92</v>
      </c>
      <c r="I260" s="897">
        <v>47.04</v>
      </c>
      <c r="J260" s="891"/>
      <c r="K260" s="891"/>
      <c r="L260" s="891"/>
      <c r="M260" s="891"/>
      <c r="N260" s="891"/>
      <c r="O260" s="891"/>
      <c r="P260" s="891"/>
      <c r="Q260" s="891"/>
      <c r="R260" s="891"/>
      <c r="S260" s="891"/>
      <c r="T260" s="891"/>
      <c r="U260" s="928"/>
      <c r="V260" s="928"/>
      <c r="W260" s="928"/>
      <c r="X260" s="928"/>
      <c r="Y260" s="928"/>
      <c r="Z260" s="928"/>
      <c r="AA260" s="928"/>
      <c r="AB260" s="928"/>
      <c r="AC260" s="928"/>
      <c r="AD260" s="928"/>
      <c r="AE260" s="928"/>
      <c r="AF260" s="928"/>
      <c r="AG260" s="928"/>
      <c r="AH260" s="928"/>
      <c r="AI260" s="928"/>
      <c r="AJ260" s="928"/>
      <c r="AK260" s="928"/>
      <c r="AL260" s="928"/>
      <c r="AM260" s="928"/>
      <c r="AN260" s="928"/>
      <c r="AO260" s="928"/>
      <c r="AP260" s="928"/>
      <c r="AQ260" s="928"/>
      <c r="AR260" s="928"/>
      <c r="AS260" s="928"/>
      <c r="AT260" s="928"/>
      <c r="AU260" s="928"/>
      <c r="AV260" s="928"/>
      <c r="AW260" s="928"/>
      <c r="AX260" s="928"/>
      <c r="AY260" s="928"/>
      <c r="AZ260" s="928"/>
      <c r="BA260" s="928"/>
      <c r="BB260" s="928"/>
      <c r="BC260" s="928"/>
      <c r="BD260" s="928"/>
      <c r="BE260" s="928"/>
      <c r="BF260" s="928"/>
      <c r="BG260" s="928"/>
      <c r="BH260" s="928"/>
      <c r="BI260" s="928"/>
      <c r="BJ260" s="928"/>
      <c r="BK260" s="928"/>
      <c r="BL260" s="928"/>
      <c r="BM260" s="928"/>
      <c r="BN260" s="928"/>
      <c r="BO260" s="928"/>
      <c r="BP260" s="928"/>
      <c r="BQ260" s="928"/>
      <c r="BR260" s="928"/>
      <c r="BS260" s="928"/>
      <c r="BT260" s="928"/>
      <c r="BU260" s="928"/>
      <c r="BV260" s="928"/>
      <c r="BW260" s="928"/>
      <c r="BX260" s="928"/>
      <c r="BY260" s="928"/>
      <c r="BZ260" s="928"/>
      <c r="CA260" s="928"/>
      <c r="CB260" s="928"/>
      <c r="CC260" s="928"/>
      <c r="CD260" s="928"/>
      <c r="CE260" s="928"/>
      <c r="CF260" s="928"/>
      <c r="CG260" s="928"/>
      <c r="CH260" s="928"/>
      <c r="CI260" s="928"/>
      <c r="CJ260" s="928"/>
      <c r="CK260" s="928"/>
      <c r="CL260" s="928"/>
      <c r="CM260" s="928"/>
      <c r="CN260" s="928"/>
      <c r="CO260" s="928"/>
      <c r="CP260" s="928"/>
      <c r="CQ260" s="928"/>
      <c r="CR260" s="928"/>
      <c r="CS260" s="928"/>
      <c r="CT260" s="928"/>
      <c r="CU260" s="928"/>
      <c r="CV260" s="928"/>
      <c r="CW260" s="928"/>
      <c r="CX260" s="928"/>
      <c r="CY260" s="928"/>
      <c r="CZ260" s="928"/>
      <c r="DA260" s="928"/>
      <c r="DB260" s="928"/>
      <c r="DC260" s="928"/>
      <c r="DD260" s="928"/>
      <c r="DE260" s="928"/>
      <c r="DF260" s="928"/>
      <c r="DG260" s="928"/>
      <c r="DH260" s="928"/>
    </row>
    <row r="261" spans="1:112">
      <c r="A261" s="891" t="s">
        <v>1542</v>
      </c>
      <c r="B261" s="891" t="s">
        <v>1506</v>
      </c>
      <c r="C261" s="891" t="s">
        <v>1543</v>
      </c>
      <c r="D261" s="891" t="s">
        <v>1542</v>
      </c>
      <c r="E261" s="891" t="s">
        <v>1506</v>
      </c>
      <c r="F261" s="891" t="s">
        <v>1543</v>
      </c>
      <c r="G261" s="897">
        <v>119.64</v>
      </c>
      <c r="H261" s="897">
        <v>103.23</v>
      </c>
      <c r="I261" s="897">
        <v>88.81</v>
      </c>
      <c r="J261" s="891"/>
      <c r="K261" s="891"/>
      <c r="L261" s="891"/>
      <c r="M261" s="891"/>
      <c r="N261" s="891"/>
      <c r="O261" s="891"/>
      <c r="P261" s="891"/>
      <c r="Q261" s="891"/>
      <c r="R261" s="891"/>
      <c r="S261" s="891"/>
      <c r="T261" s="891"/>
      <c r="U261" s="928"/>
      <c r="V261" s="928"/>
      <c r="W261" s="928"/>
      <c r="X261" s="928"/>
      <c r="Y261" s="928"/>
      <c r="Z261" s="928"/>
      <c r="AA261" s="928"/>
      <c r="AB261" s="928"/>
      <c r="AC261" s="928"/>
      <c r="AD261" s="928"/>
      <c r="AE261" s="928"/>
      <c r="AF261" s="928"/>
      <c r="AG261" s="928"/>
      <c r="AH261" s="928"/>
      <c r="AI261" s="928"/>
      <c r="AJ261" s="928"/>
      <c r="AK261" s="928"/>
      <c r="AL261" s="928"/>
      <c r="AM261" s="928"/>
      <c r="AN261" s="928"/>
      <c r="AO261" s="928"/>
      <c r="AP261" s="928"/>
      <c r="AQ261" s="928"/>
      <c r="AR261" s="928"/>
      <c r="AS261" s="928"/>
      <c r="AT261" s="928"/>
      <c r="AU261" s="928"/>
      <c r="AV261" s="928"/>
      <c r="AW261" s="928"/>
      <c r="AX261" s="928"/>
      <c r="AY261" s="928"/>
      <c r="AZ261" s="928"/>
      <c r="BA261" s="928"/>
      <c r="BB261" s="928"/>
      <c r="BC261" s="928"/>
      <c r="BD261" s="928"/>
      <c r="BE261" s="928"/>
      <c r="BF261" s="928"/>
      <c r="BG261" s="928"/>
      <c r="BH261" s="928"/>
      <c r="BI261" s="928"/>
      <c r="BJ261" s="928"/>
      <c r="BK261" s="928"/>
      <c r="BL261" s="928"/>
      <c r="BM261" s="928"/>
      <c r="BN261" s="928"/>
      <c r="BO261" s="928"/>
      <c r="BP261" s="928"/>
      <c r="BQ261" s="928"/>
      <c r="BR261" s="928"/>
      <c r="BS261" s="928"/>
      <c r="BT261" s="928"/>
      <c r="BU261" s="928"/>
      <c r="BV261" s="928"/>
      <c r="BW261" s="928"/>
      <c r="BX261" s="928"/>
      <c r="BY261" s="928"/>
      <c r="BZ261" s="928"/>
      <c r="CA261" s="928"/>
      <c r="CB261" s="928"/>
      <c r="CC261" s="928"/>
      <c r="CD261" s="928"/>
      <c r="CE261" s="928"/>
      <c r="CF261" s="928"/>
      <c r="CG261" s="928"/>
      <c r="CH261" s="928"/>
      <c r="CI261" s="928"/>
      <c r="CJ261" s="928"/>
      <c r="CK261" s="928"/>
      <c r="CL261" s="928"/>
      <c r="CM261" s="928"/>
      <c r="CN261" s="928"/>
      <c r="CO261" s="928"/>
      <c r="CP261" s="928"/>
      <c r="CQ261" s="928"/>
      <c r="CR261" s="928"/>
      <c r="CS261" s="928"/>
      <c r="CT261" s="928"/>
      <c r="CU261" s="928"/>
      <c r="CV261" s="928"/>
      <c r="CW261" s="928"/>
      <c r="CX261" s="928"/>
      <c r="CY261" s="928"/>
      <c r="CZ261" s="928"/>
      <c r="DA261" s="928"/>
      <c r="DB261" s="928"/>
      <c r="DC261" s="928"/>
      <c r="DD261" s="928"/>
      <c r="DE261" s="928"/>
      <c r="DF261" s="928"/>
      <c r="DG261" s="928"/>
      <c r="DH261" s="928"/>
    </row>
    <row r="262" spans="1:112">
      <c r="A262" s="891" t="s">
        <v>1063</v>
      </c>
      <c r="B262" s="891" t="s">
        <v>1490</v>
      </c>
      <c r="C262" s="891" t="s">
        <v>325</v>
      </c>
      <c r="D262" s="891" t="s">
        <v>1063</v>
      </c>
      <c r="E262" s="891" t="s">
        <v>1490</v>
      </c>
      <c r="F262" s="891" t="s">
        <v>325</v>
      </c>
      <c r="G262" s="897">
        <v>72.31</v>
      </c>
      <c r="H262" s="897">
        <v>66.55</v>
      </c>
      <c r="I262" s="897">
        <v>43.22</v>
      </c>
      <c r="J262" s="891"/>
      <c r="K262" s="891"/>
      <c r="L262" s="891"/>
      <c r="M262" s="891"/>
      <c r="N262" s="891"/>
      <c r="O262" s="891"/>
      <c r="P262" s="891"/>
      <c r="Q262" s="891"/>
      <c r="R262" s="891"/>
      <c r="S262" s="891"/>
      <c r="T262" s="891"/>
      <c r="U262" s="928"/>
      <c r="V262" s="928"/>
      <c r="W262" s="928"/>
      <c r="X262" s="928"/>
      <c r="Y262" s="928"/>
      <c r="Z262" s="928"/>
      <c r="AA262" s="928"/>
      <c r="AB262" s="928"/>
      <c r="AC262" s="928"/>
      <c r="AD262" s="928"/>
      <c r="AE262" s="928"/>
      <c r="AF262" s="928"/>
      <c r="AG262" s="928"/>
      <c r="AH262" s="928"/>
      <c r="AI262" s="928"/>
      <c r="AJ262" s="928"/>
      <c r="AK262" s="928"/>
      <c r="AL262" s="928"/>
      <c r="AM262" s="928"/>
      <c r="AN262" s="928"/>
      <c r="AO262" s="928"/>
      <c r="AP262" s="928"/>
      <c r="AQ262" s="928"/>
      <c r="AR262" s="928"/>
      <c r="AS262" s="928"/>
      <c r="AT262" s="928"/>
      <c r="AU262" s="928"/>
      <c r="AV262" s="928"/>
      <c r="AW262" s="928"/>
      <c r="AX262" s="928"/>
      <c r="AY262" s="928"/>
      <c r="AZ262" s="928"/>
      <c r="BA262" s="928"/>
      <c r="BB262" s="928"/>
      <c r="BC262" s="928"/>
      <c r="BD262" s="928"/>
      <c r="BE262" s="928"/>
      <c r="BF262" s="928"/>
      <c r="BG262" s="928"/>
      <c r="BH262" s="928"/>
      <c r="BI262" s="928"/>
      <c r="BJ262" s="928"/>
      <c r="BK262" s="928"/>
      <c r="BL262" s="928"/>
      <c r="BM262" s="928"/>
      <c r="BN262" s="928"/>
      <c r="BO262" s="928"/>
      <c r="BP262" s="928"/>
      <c r="BQ262" s="928"/>
      <c r="BR262" s="928"/>
      <c r="BS262" s="928"/>
      <c r="BT262" s="928"/>
      <c r="BU262" s="928"/>
      <c r="BV262" s="928"/>
      <c r="BW262" s="928"/>
      <c r="BX262" s="928"/>
      <c r="BY262" s="928"/>
      <c r="BZ262" s="928"/>
      <c r="CA262" s="928"/>
      <c r="CB262" s="928"/>
      <c r="CC262" s="928"/>
      <c r="CD262" s="928"/>
      <c r="CE262" s="928"/>
      <c r="CF262" s="928"/>
      <c r="CG262" s="928"/>
      <c r="CH262" s="928"/>
      <c r="CI262" s="928"/>
      <c r="CJ262" s="928"/>
      <c r="CK262" s="928"/>
      <c r="CL262" s="928"/>
      <c r="CM262" s="928"/>
      <c r="CN262" s="928"/>
      <c r="CO262" s="928"/>
      <c r="CP262" s="928"/>
      <c r="CQ262" s="928"/>
      <c r="CR262" s="928"/>
      <c r="CS262" s="928"/>
      <c r="CT262" s="928"/>
      <c r="CU262" s="928"/>
      <c r="CV262" s="928"/>
      <c r="CW262" s="928"/>
      <c r="CX262" s="928"/>
      <c r="CY262" s="928"/>
      <c r="CZ262" s="928"/>
      <c r="DA262" s="928"/>
      <c r="DB262" s="928"/>
      <c r="DC262" s="928"/>
      <c r="DD262" s="928"/>
      <c r="DE262" s="928"/>
      <c r="DF262" s="928"/>
      <c r="DG262" s="928"/>
      <c r="DH262" s="928"/>
    </row>
    <row r="263" spans="1:112">
      <c r="A263" s="891" t="s">
        <v>1064</v>
      </c>
      <c r="B263" s="891" t="s">
        <v>1544</v>
      </c>
      <c r="C263" s="891" t="s">
        <v>345</v>
      </c>
      <c r="D263" s="891" t="s">
        <v>1064</v>
      </c>
      <c r="E263" s="891" t="s">
        <v>1544</v>
      </c>
      <c r="F263" s="891" t="s">
        <v>345</v>
      </c>
      <c r="G263" s="897">
        <v>52.35</v>
      </c>
      <c r="H263" s="897">
        <v>25.6</v>
      </c>
      <c r="I263" s="897">
        <v>37.18</v>
      </c>
      <c r="J263" s="891"/>
      <c r="K263" s="891"/>
      <c r="L263" s="891"/>
      <c r="M263" s="891"/>
      <c r="N263" s="891"/>
      <c r="O263" s="891"/>
      <c r="P263" s="891"/>
      <c r="Q263" s="891"/>
      <c r="R263" s="891"/>
      <c r="S263" s="891"/>
      <c r="T263" s="891"/>
      <c r="U263" s="928"/>
      <c r="V263" s="928"/>
      <c r="W263" s="928"/>
      <c r="X263" s="928"/>
      <c r="Y263" s="928"/>
      <c r="Z263" s="928"/>
      <c r="AA263" s="928"/>
      <c r="AB263" s="928"/>
      <c r="AC263" s="928"/>
      <c r="AD263" s="928"/>
      <c r="AE263" s="928"/>
      <c r="AF263" s="928"/>
      <c r="AG263" s="928"/>
      <c r="AH263" s="928"/>
      <c r="AI263" s="928"/>
      <c r="AJ263" s="928"/>
      <c r="AK263" s="928"/>
      <c r="AL263" s="928"/>
      <c r="AM263" s="928"/>
      <c r="AN263" s="928"/>
      <c r="AO263" s="928"/>
      <c r="AP263" s="928"/>
      <c r="AQ263" s="928"/>
      <c r="AR263" s="928"/>
      <c r="AS263" s="928"/>
      <c r="AT263" s="928"/>
      <c r="AU263" s="928"/>
      <c r="AV263" s="928"/>
      <c r="AW263" s="928"/>
      <c r="AX263" s="928"/>
      <c r="AY263" s="928"/>
      <c r="AZ263" s="928"/>
      <c r="BA263" s="928"/>
      <c r="BB263" s="928"/>
      <c r="BC263" s="928"/>
      <c r="BD263" s="928"/>
      <c r="BE263" s="928"/>
      <c r="BF263" s="928"/>
      <c r="BG263" s="928"/>
      <c r="BH263" s="928"/>
      <c r="BI263" s="928"/>
      <c r="BJ263" s="928"/>
      <c r="BK263" s="928"/>
      <c r="BL263" s="928"/>
      <c r="BM263" s="928"/>
      <c r="BN263" s="928"/>
      <c r="BO263" s="928"/>
      <c r="BP263" s="928"/>
      <c r="BQ263" s="928"/>
      <c r="BR263" s="928"/>
      <c r="BS263" s="928"/>
      <c r="BT263" s="928"/>
      <c r="BU263" s="928"/>
      <c r="BV263" s="928"/>
      <c r="BW263" s="928"/>
      <c r="BX263" s="928"/>
      <c r="BY263" s="928"/>
      <c r="BZ263" s="928"/>
      <c r="CA263" s="928"/>
      <c r="CB263" s="928"/>
      <c r="CC263" s="928"/>
      <c r="CD263" s="928"/>
      <c r="CE263" s="928"/>
      <c r="CF263" s="928"/>
      <c r="CG263" s="928"/>
      <c r="CH263" s="928"/>
      <c r="CI263" s="928"/>
      <c r="CJ263" s="928"/>
      <c r="CK263" s="928"/>
      <c r="CL263" s="928"/>
      <c r="CM263" s="928"/>
      <c r="CN263" s="928"/>
      <c r="CO263" s="928"/>
      <c r="CP263" s="928"/>
      <c r="CQ263" s="928"/>
      <c r="CR263" s="928"/>
      <c r="CS263" s="928"/>
      <c r="CT263" s="928"/>
      <c r="CU263" s="928"/>
      <c r="CV263" s="928"/>
      <c r="CW263" s="928"/>
      <c r="CX263" s="928"/>
      <c r="CY263" s="928"/>
      <c r="CZ263" s="928"/>
      <c r="DA263" s="928"/>
      <c r="DB263" s="928"/>
      <c r="DC263" s="928"/>
      <c r="DD263" s="928"/>
      <c r="DE263" s="928"/>
      <c r="DF263" s="928"/>
      <c r="DG263" s="928"/>
      <c r="DH263" s="928"/>
    </row>
    <row r="264" spans="1:112">
      <c r="A264" s="891" t="s">
        <v>1065</v>
      </c>
      <c r="B264" s="891" t="s">
        <v>1454</v>
      </c>
      <c r="C264" s="891" t="s">
        <v>181</v>
      </c>
      <c r="D264" s="891" t="s">
        <v>1065</v>
      </c>
      <c r="E264" s="891" t="s">
        <v>1454</v>
      </c>
      <c r="F264" s="891" t="s">
        <v>181</v>
      </c>
      <c r="G264" s="897">
        <v>49.02</v>
      </c>
      <c r="H264" s="897">
        <v>27.58</v>
      </c>
      <c r="I264" s="897">
        <v>78.02</v>
      </c>
      <c r="J264" s="891"/>
      <c r="K264" s="891"/>
      <c r="L264" s="891"/>
      <c r="M264" s="891"/>
      <c r="N264" s="891"/>
      <c r="O264" s="891"/>
      <c r="P264" s="891"/>
      <c r="Q264" s="891"/>
      <c r="R264" s="891"/>
      <c r="S264" s="891"/>
      <c r="T264" s="891"/>
      <c r="U264" s="928"/>
      <c r="V264" s="928"/>
      <c r="W264" s="928"/>
      <c r="X264" s="928"/>
      <c r="Y264" s="928"/>
      <c r="Z264" s="928"/>
      <c r="AA264" s="928"/>
      <c r="AB264" s="928"/>
      <c r="AC264" s="928"/>
      <c r="AD264" s="928"/>
      <c r="AE264" s="928"/>
      <c r="AF264" s="928"/>
      <c r="AG264" s="928"/>
      <c r="AH264" s="928"/>
      <c r="AI264" s="928"/>
      <c r="AJ264" s="928"/>
      <c r="AK264" s="928"/>
      <c r="AL264" s="928"/>
      <c r="AM264" s="928"/>
      <c r="AN264" s="928"/>
      <c r="AO264" s="928"/>
      <c r="AP264" s="928"/>
      <c r="AQ264" s="928"/>
      <c r="AR264" s="928"/>
      <c r="AS264" s="928"/>
      <c r="AT264" s="928"/>
      <c r="AU264" s="928"/>
      <c r="AV264" s="928"/>
      <c r="AW264" s="928"/>
      <c r="AX264" s="928"/>
      <c r="AY264" s="928"/>
      <c r="AZ264" s="928"/>
      <c r="BA264" s="928"/>
      <c r="BB264" s="928"/>
      <c r="BC264" s="928"/>
      <c r="BD264" s="928"/>
      <c r="BE264" s="928"/>
      <c r="BF264" s="928"/>
      <c r="BG264" s="928"/>
      <c r="BH264" s="928"/>
      <c r="BI264" s="928"/>
      <c r="BJ264" s="928"/>
      <c r="BK264" s="928"/>
      <c r="BL264" s="928"/>
      <c r="BM264" s="928"/>
      <c r="BN264" s="928"/>
      <c r="BO264" s="928"/>
      <c r="BP264" s="928"/>
      <c r="BQ264" s="928"/>
      <c r="BR264" s="928"/>
      <c r="BS264" s="928"/>
      <c r="BT264" s="928"/>
      <c r="BU264" s="928"/>
      <c r="BV264" s="928"/>
      <c r="BW264" s="928"/>
      <c r="BX264" s="928"/>
      <c r="BY264" s="928"/>
      <c r="BZ264" s="928"/>
      <c r="CA264" s="928"/>
      <c r="CB264" s="928"/>
      <c r="CC264" s="928"/>
      <c r="CD264" s="928"/>
      <c r="CE264" s="928"/>
      <c r="CF264" s="928"/>
      <c r="CG264" s="928"/>
      <c r="CH264" s="928"/>
      <c r="CI264" s="928"/>
      <c r="CJ264" s="928"/>
      <c r="CK264" s="928"/>
      <c r="CL264" s="928"/>
      <c r="CM264" s="928"/>
      <c r="CN264" s="928"/>
      <c r="CO264" s="928"/>
      <c r="CP264" s="928"/>
      <c r="CQ264" s="928"/>
      <c r="CR264" s="928"/>
      <c r="CS264" s="928"/>
      <c r="CT264" s="928"/>
      <c r="CU264" s="928"/>
      <c r="CV264" s="928"/>
      <c r="CW264" s="928"/>
      <c r="CX264" s="928"/>
      <c r="CY264" s="928"/>
      <c r="CZ264" s="928"/>
      <c r="DA264" s="928"/>
      <c r="DB264" s="928"/>
      <c r="DC264" s="928"/>
      <c r="DD264" s="928"/>
      <c r="DE264" s="928"/>
      <c r="DF264" s="928"/>
      <c r="DG264" s="928"/>
      <c r="DH264" s="928"/>
    </row>
    <row r="265" spans="1:112">
      <c r="A265" s="891" t="s">
        <v>1066</v>
      </c>
      <c r="B265" s="891" t="s">
        <v>1475</v>
      </c>
      <c r="C265" s="891" t="s">
        <v>260</v>
      </c>
      <c r="D265" s="891" t="s">
        <v>1066</v>
      </c>
      <c r="E265" s="891" t="s">
        <v>1475</v>
      </c>
      <c r="F265" s="891" t="s">
        <v>260</v>
      </c>
      <c r="G265" s="897">
        <v>55.83</v>
      </c>
      <c r="H265" s="897">
        <v>61.03</v>
      </c>
      <c r="I265" s="897">
        <v>28.37</v>
      </c>
      <c r="J265" s="891"/>
      <c r="K265" s="891"/>
      <c r="L265" s="891"/>
      <c r="M265" s="891"/>
      <c r="N265" s="891"/>
      <c r="O265" s="891"/>
      <c r="P265" s="891"/>
      <c r="Q265" s="891"/>
      <c r="R265" s="891"/>
      <c r="S265" s="891"/>
      <c r="T265" s="891"/>
      <c r="U265" s="928"/>
      <c r="V265" s="928"/>
      <c r="W265" s="928"/>
      <c r="X265" s="928"/>
      <c r="Y265" s="928"/>
      <c r="Z265" s="928"/>
      <c r="AA265" s="928"/>
      <c r="AB265" s="928"/>
      <c r="AC265" s="928"/>
      <c r="AD265" s="928"/>
      <c r="AE265" s="928"/>
      <c r="AF265" s="928"/>
      <c r="AG265" s="928"/>
      <c r="AH265" s="928"/>
      <c r="AI265" s="928"/>
      <c r="AJ265" s="928"/>
      <c r="AK265" s="928"/>
      <c r="AL265" s="928"/>
      <c r="AM265" s="928"/>
      <c r="AN265" s="928"/>
      <c r="AO265" s="928"/>
      <c r="AP265" s="928"/>
      <c r="AQ265" s="928"/>
      <c r="AR265" s="928"/>
      <c r="AS265" s="928"/>
      <c r="AT265" s="928"/>
      <c r="AU265" s="928"/>
      <c r="AV265" s="928"/>
      <c r="AW265" s="928"/>
      <c r="AX265" s="928"/>
      <c r="AY265" s="928"/>
      <c r="AZ265" s="928"/>
      <c r="BA265" s="928"/>
      <c r="BB265" s="928"/>
      <c r="BC265" s="928"/>
      <c r="BD265" s="928"/>
      <c r="BE265" s="928"/>
      <c r="BF265" s="928"/>
      <c r="BG265" s="928"/>
      <c r="BH265" s="928"/>
      <c r="BI265" s="928"/>
      <c r="BJ265" s="928"/>
      <c r="BK265" s="928"/>
      <c r="BL265" s="928"/>
      <c r="BM265" s="928"/>
      <c r="BN265" s="928"/>
      <c r="BO265" s="928"/>
      <c r="BP265" s="928"/>
      <c r="BQ265" s="928"/>
      <c r="BR265" s="928"/>
      <c r="BS265" s="928"/>
      <c r="BT265" s="928"/>
      <c r="BU265" s="928"/>
      <c r="BV265" s="928"/>
      <c r="BW265" s="928"/>
      <c r="BX265" s="928"/>
      <c r="BY265" s="928"/>
      <c r="BZ265" s="928"/>
      <c r="CA265" s="928"/>
      <c r="CB265" s="928"/>
      <c r="CC265" s="928"/>
      <c r="CD265" s="928"/>
      <c r="CE265" s="928"/>
      <c r="CF265" s="928"/>
      <c r="CG265" s="928"/>
      <c r="CH265" s="928"/>
      <c r="CI265" s="928"/>
      <c r="CJ265" s="928"/>
      <c r="CK265" s="928"/>
      <c r="CL265" s="928"/>
      <c r="CM265" s="928"/>
      <c r="CN265" s="928"/>
      <c r="CO265" s="928"/>
      <c r="CP265" s="928"/>
      <c r="CQ265" s="928"/>
      <c r="CR265" s="928"/>
      <c r="CS265" s="928"/>
      <c r="CT265" s="928"/>
      <c r="CU265" s="928"/>
      <c r="CV265" s="928"/>
      <c r="CW265" s="928"/>
      <c r="CX265" s="928"/>
      <c r="CY265" s="928"/>
      <c r="CZ265" s="928"/>
      <c r="DA265" s="928"/>
      <c r="DB265" s="928"/>
      <c r="DC265" s="928"/>
      <c r="DD265" s="928"/>
      <c r="DE265" s="928"/>
      <c r="DF265" s="928"/>
      <c r="DG265" s="928"/>
      <c r="DH265" s="928"/>
    </row>
    <row r="266" spans="1:112">
      <c r="A266" s="891" t="s">
        <v>1067</v>
      </c>
      <c r="B266" s="891" t="s">
        <v>1471</v>
      </c>
      <c r="C266" s="891" t="s">
        <v>81</v>
      </c>
      <c r="D266" s="891" t="s">
        <v>1067</v>
      </c>
      <c r="E266" s="891" t="s">
        <v>1471</v>
      </c>
      <c r="F266" s="891" t="s">
        <v>81</v>
      </c>
      <c r="G266" s="897">
        <v>120.43</v>
      </c>
      <c r="H266" s="897">
        <v>121.77</v>
      </c>
      <c r="I266" s="897">
        <v>105.82</v>
      </c>
      <c r="J266" s="891"/>
      <c r="K266" s="891"/>
      <c r="L266" s="891"/>
      <c r="M266" s="891"/>
      <c r="N266" s="891"/>
      <c r="O266" s="891"/>
      <c r="P266" s="891"/>
      <c r="Q266" s="891"/>
      <c r="R266" s="891"/>
      <c r="S266" s="891"/>
      <c r="T266" s="891"/>
      <c r="U266" s="928"/>
      <c r="V266" s="928"/>
      <c r="W266" s="928"/>
      <c r="X266" s="928"/>
      <c r="Y266" s="928"/>
      <c r="Z266" s="928"/>
      <c r="AA266" s="928"/>
      <c r="AB266" s="928"/>
      <c r="AC266" s="928"/>
      <c r="AD266" s="928"/>
      <c r="AE266" s="928"/>
      <c r="AF266" s="928"/>
      <c r="AG266" s="928"/>
      <c r="AH266" s="928"/>
      <c r="AI266" s="928"/>
      <c r="AJ266" s="928"/>
      <c r="AK266" s="928"/>
      <c r="AL266" s="928"/>
      <c r="AM266" s="928"/>
      <c r="AN266" s="928"/>
      <c r="AO266" s="928"/>
      <c r="AP266" s="928"/>
      <c r="AQ266" s="928"/>
      <c r="AR266" s="928"/>
      <c r="AS266" s="928"/>
      <c r="AT266" s="928"/>
      <c r="AU266" s="928"/>
      <c r="AV266" s="928"/>
      <c r="AW266" s="928"/>
      <c r="AX266" s="928"/>
      <c r="AY266" s="928"/>
      <c r="AZ266" s="928"/>
      <c r="BA266" s="928"/>
      <c r="BB266" s="928"/>
      <c r="BC266" s="928"/>
      <c r="BD266" s="928"/>
      <c r="BE266" s="928"/>
      <c r="BF266" s="928"/>
      <c r="BG266" s="928"/>
      <c r="BH266" s="928"/>
      <c r="BI266" s="928"/>
      <c r="BJ266" s="928"/>
      <c r="BK266" s="928"/>
      <c r="BL266" s="928"/>
      <c r="BM266" s="928"/>
      <c r="BN266" s="928"/>
      <c r="BO266" s="928"/>
      <c r="BP266" s="928"/>
      <c r="BQ266" s="928"/>
      <c r="BR266" s="928"/>
      <c r="BS266" s="928"/>
      <c r="BT266" s="928"/>
      <c r="BU266" s="928"/>
      <c r="BV266" s="928"/>
      <c r="BW266" s="928"/>
      <c r="BX266" s="928"/>
      <c r="BY266" s="928"/>
      <c r="BZ266" s="928"/>
      <c r="CA266" s="928"/>
      <c r="CB266" s="928"/>
      <c r="CC266" s="928"/>
      <c r="CD266" s="928"/>
      <c r="CE266" s="928"/>
      <c r="CF266" s="928"/>
      <c r="CG266" s="928"/>
      <c r="CH266" s="928"/>
      <c r="CI266" s="928"/>
      <c r="CJ266" s="928"/>
      <c r="CK266" s="928"/>
      <c r="CL266" s="928"/>
      <c r="CM266" s="928"/>
      <c r="CN266" s="928"/>
      <c r="CO266" s="928"/>
      <c r="CP266" s="928"/>
      <c r="CQ266" s="928"/>
      <c r="CR266" s="928"/>
      <c r="CS266" s="928"/>
      <c r="CT266" s="928"/>
      <c r="CU266" s="928"/>
      <c r="CV266" s="928"/>
      <c r="CW266" s="928"/>
      <c r="CX266" s="928"/>
      <c r="CY266" s="928"/>
      <c r="CZ266" s="928"/>
      <c r="DA266" s="928"/>
      <c r="DB266" s="928"/>
      <c r="DC266" s="928"/>
      <c r="DD266" s="928"/>
      <c r="DE266" s="928"/>
      <c r="DF266" s="928"/>
      <c r="DG266" s="928"/>
      <c r="DH266" s="928"/>
    </row>
    <row r="267" spans="1:112">
      <c r="A267" s="891" t="s">
        <v>1068</v>
      </c>
      <c r="B267" s="891" t="s">
        <v>1454</v>
      </c>
      <c r="C267" s="891" t="s">
        <v>171</v>
      </c>
      <c r="D267" s="891" t="s">
        <v>1068</v>
      </c>
      <c r="E267" s="891" t="s">
        <v>1454</v>
      </c>
      <c r="F267" s="891" t="s">
        <v>171</v>
      </c>
      <c r="G267" s="897">
        <v>60.75</v>
      </c>
      <c r="H267" s="897">
        <v>31.05</v>
      </c>
      <c r="I267" s="897">
        <v>65.64</v>
      </c>
      <c r="J267" s="891"/>
      <c r="K267" s="891"/>
      <c r="L267" s="891"/>
      <c r="M267" s="891"/>
      <c r="N267" s="891"/>
      <c r="O267" s="891"/>
      <c r="P267" s="891"/>
      <c r="Q267" s="891"/>
      <c r="R267" s="891"/>
      <c r="S267" s="891"/>
      <c r="T267" s="891"/>
      <c r="U267" s="928"/>
      <c r="V267" s="928"/>
      <c r="W267" s="928"/>
      <c r="X267" s="928"/>
      <c r="Y267" s="928"/>
      <c r="Z267" s="928"/>
      <c r="AA267" s="928"/>
      <c r="AB267" s="928"/>
      <c r="AC267" s="928"/>
      <c r="AD267" s="928"/>
      <c r="AE267" s="928"/>
      <c r="AF267" s="928"/>
      <c r="AG267" s="928"/>
      <c r="AH267" s="928"/>
      <c r="AI267" s="928"/>
      <c r="AJ267" s="928"/>
      <c r="AK267" s="928"/>
      <c r="AL267" s="928"/>
      <c r="AM267" s="928"/>
      <c r="AN267" s="928"/>
      <c r="AO267" s="928"/>
      <c r="AP267" s="928"/>
      <c r="AQ267" s="928"/>
      <c r="AR267" s="928"/>
      <c r="AS267" s="928"/>
      <c r="AT267" s="928"/>
      <c r="AU267" s="928"/>
      <c r="AV267" s="928"/>
      <c r="AW267" s="928"/>
      <c r="AX267" s="928"/>
      <c r="AY267" s="928"/>
      <c r="AZ267" s="928"/>
      <c r="BA267" s="928"/>
      <c r="BB267" s="928"/>
      <c r="BC267" s="928"/>
      <c r="BD267" s="928"/>
      <c r="BE267" s="928"/>
      <c r="BF267" s="928"/>
      <c r="BG267" s="928"/>
      <c r="BH267" s="928"/>
      <c r="BI267" s="928"/>
      <c r="BJ267" s="928"/>
      <c r="BK267" s="928"/>
      <c r="BL267" s="928"/>
      <c r="BM267" s="928"/>
      <c r="BN267" s="928"/>
      <c r="BO267" s="928"/>
      <c r="BP267" s="928"/>
      <c r="BQ267" s="928"/>
      <c r="BR267" s="928"/>
      <c r="BS267" s="928"/>
      <c r="BT267" s="928"/>
      <c r="BU267" s="928"/>
      <c r="BV267" s="928"/>
      <c r="BW267" s="928"/>
      <c r="BX267" s="928"/>
      <c r="BY267" s="928"/>
      <c r="BZ267" s="928"/>
      <c r="CA267" s="928"/>
      <c r="CB267" s="928"/>
      <c r="CC267" s="928"/>
      <c r="CD267" s="928"/>
      <c r="CE267" s="928"/>
      <c r="CF267" s="928"/>
      <c r="CG267" s="928"/>
      <c r="CH267" s="928"/>
      <c r="CI267" s="928"/>
      <c r="CJ267" s="928"/>
      <c r="CK267" s="928"/>
      <c r="CL267" s="928"/>
      <c r="CM267" s="928"/>
      <c r="CN267" s="928"/>
      <c r="CO267" s="928"/>
      <c r="CP267" s="928"/>
      <c r="CQ267" s="928"/>
      <c r="CR267" s="928"/>
      <c r="CS267" s="928"/>
      <c r="CT267" s="928"/>
      <c r="CU267" s="928"/>
      <c r="CV267" s="928"/>
      <c r="CW267" s="928"/>
      <c r="CX267" s="928"/>
      <c r="CY267" s="928"/>
      <c r="CZ267" s="928"/>
      <c r="DA267" s="928"/>
      <c r="DB267" s="928"/>
      <c r="DC267" s="928"/>
      <c r="DD267" s="928"/>
      <c r="DE267" s="928"/>
      <c r="DF267" s="928"/>
      <c r="DG267" s="928"/>
      <c r="DH267" s="928"/>
    </row>
    <row r="268" spans="1:112">
      <c r="A268" s="891" t="s">
        <v>1069</v>
      </c>
      <c r="B268" s="891" t="s">
        <v>1545</v>
      </c>
      <c r="C268" s="891" t="s">
        <v>37</v>
      </c>
      <c r="D268" s="891" t="s">
        <v>1069</v>
      </c>
      <c r="E268" s="891" t="s">
        <v>1545</v>
      </c>
      <c r="F268" s="891" t="s">
        <v>37</v>
      </c>
      <c r="G268" s="897">
        <v>93.02</v>
      </c>
      <c r="H268" s="897">
        <v>73.78</v>
      </c>
      <c r="I268" s="897">
        <v>124.32</v>
      </c>
      <c r="J268" s="891"/>
      <c r="K268" s="891"/>
      <c r="L268" s="891"/>
      <c r="M268" s="891"/>
      <c r="N268" s="891"/>
      <c r="O268" s="891"/>
      <c r="P268" s="891"/>
      <c r="Q268" s="891"/>
      <c r="R268" s="891"/>
      <c r="S268" s="891"/>
      <c r="T268" s="891"/>
      <c r="U268" s="928"/>
      <c r="V268" s="928"/>
      <c r="W268" s="928"/>
      <c r="X268" s="928"/>
      <c r="Y268" s="928"/>
      <c r="Z268" s="928"/>
      <c r="AA268" s="928"/>
      <c r="AB268" s="928"/>
      <c r="AC268" s="928"/>
      <c r="AD268" s="928"/>
      <c r="AE268" s="928"/>
      <c r="AF268" s="928"/>
      <c r="AG268" s="928"/>
      <c r="AH268" s="928"/>
      <c r="AI268" s="928"/>
      <c r="AJ268" s="928"/>
      <c r="AK268" s="928"/>
      <c r="AL268" s="928"/>
      <c r="AM268" s="928"/>
      <c r="AN268" s="928"/>
      <c r="AO268" s="928"/>
      <c r="AP268" s="928"/>
      <c r="AQ268" s="928"/>
      <c r="AR268" s="928"/>
      <c r="AS268" s="928"/>
      <c r="AT268" s="928"/>
      <c r="AU268" s="928"/>
      <c r="AV268" s="928"/>
      <c r="AW268" s="928"/>
      <c r="AX268" s="928"/>
      <c r="AY268" s="928"/>
      <c r="AZ268" s="928"/>
      <c r="BA268" s="928"/>
      <c r="BB268" s="928"/>
      <c r="BC268" s="928"/>
      <c r="BD268" s="928"/>
      <c r="BE268" s="928"/>
      <c r="BF268" s="928"/>
      <c r="BG268" s="928"/>
      <c r="BH268" s="928"/>
      <c r="BI268" s="928"/>
      <c r="BJ268" s="928"/>
      <c r="BK268" s="928"/>
      <c r="BL268" s="928"/>
      <c r="BM268" s="928"/>
      <c r="BN268" s="928"/>
      <c r="BO268" s="928"/>
      <c r="BP268" s="928"/>
      <c r="BQ268" s="928"/>
      <c r="BR268" s="928"/>
      <c r="BS268" s="928"/>
      <c r="BT268" s="928"/>
      <c r="BU268" s="928"/>
      <c r="BV268" s="928"/>
      <c r="BW268" s="928"/>
      <c r="BX268" s="928"/>
      <c r="BY268" s="928"/>
      <c r="BZ268" s="928"/>
      <c r="CA268" s="928"/>
      <c r="CB268" s="928"/>
      <c r="CC268" s="928"/>
      <c r="CD268" s="928"/>
      <c r="CE268" s="928"/>
      <c r="CF268" s="928"/>
      <c r="CG268" s="928"/>
      <c r="CH268" s="928"/>
      <c r="CI268" s="928"/>
      <c r="CJ268" s="928"/>
      <c r="CK268" s="928"/>
      <c r="CL268" s="928"/>
      <c r="CM268" s="928"/>
      <c r="CN268" s="928"/>
      <c r="CO268" s="928"/>
      <c r="CP268" s="928"/>
      <c r="CQ268" s="928"/>
      <c r="CR268" s="928"/>
      <c r="CS268" s="928"/>
      <c r="CT268" s="928"/>
      <c r="CU268" s="928"/>
      <c r="CV268" s="928"/>
      <c r="CW268" s="928"/>
      <c r="CX268" s="928"/>
      <c r="CY268" s="928"/>
      <c r="CZ268" s="928"/>
      <c r="DA268" s="928"/>
      <c r="DB268" s="928"/>
      <c r="DC268" s="928"/>
      <c r="DD268" s="928"/>
      <c r="DE268" s="928"/>
      <c r="DF268" s="928"/>
      <c r="DG268" s="928"/>
      <c r="DH268" s="928"/>
    </row>
    <row r="269" spans="1:112">
      <c r="A269" s="891" t="s">
        <v>1070</v>
      </c>
      <c r="B269" s="891" t="s">
        <v>1454</v>
      </c>
      <c r="C269" s="891" t="s">
        <v>117</v>
      </c>
      <c r="D269" s="891" t="s">
        <v>1070</v>
      </c>
      <c r="E269" s="891" t="s">
        <v>1454</v>
      </c>
      <c r="F269" s="891" t="s">
        <v>117</v>
      </c>
      <c r="G269" s="897">
        <v>67.72</v>
      </c>
      <c r="H269" s="897">
        <v>25.94</v>
      </c>
      <c r="I269" s="897">
        <v>22.35</v>
      </c>
      <c r="J269" s="891"/>
      <c r="K269" s="891"/>
      <c r="L269" s="891"/>
      <c r="M269" s="891"/>
      <c r="N269" s="891"/>
      <c r="O269" s="891"/>
      <c r="P269" s="891"/>
      <c r="Q269" s="891"/>
      <c r="R269" s="891"/>
      <c r="S269" s="891"/>
      <c r="T269" s="891"/>
      <c r="U269" s="928"/>
      <c r="V269" s="928"/>
      <c r="W269" s="928"/>
      <c r="X269" s="928"/>
      <c r="Y269" s="928"/>
      <c r="Z269" s="928"/>
      <c r="AA269" s="928"/>
      <c r="AB269" s="928"/>
      <c r="AC269" s="928"/>
      <c r="AD269" s="928"/>
      <c r="AE269" s="928"/>
      <c r="AF269" s="928"/>
      <c r="AG269" s="928"/>
      <c r="AH269" s="928"/>
      <c r="AI269" s="928"/>
      <c r="AJ269" s="928"/>
      <c r="AK269" s="928"/>
      <c r="AL269" s="928"/>
      <c r="AM269" s="928"/>
      <c r="AN269" s="928"/>
      <c r="AO269" s="928"/>
      <c r="AP269" s="928"/>
      <c r="AQ269" s="928"/>
      <c r="AR269" s="928"/>
      <c r="AS269" s="928"/>
      <c r="AT269" s="928"/>
      <c r="AU269" s="928"/>
      <c r="AV269" s="928"/>
      <c r="AW269" s="928"/>
      <c r="AX269" s="928"/>
      <c r="AY269" s="928"/>
      <c r="AZ269" s="928"/>
      <c r="BA269" s="928"/>
      <c r="BB269" s="928"/>
      <c r="BC269" s="928"/>
      <c r="BD269" s="928"/>
      <c r="BE269" s="928"/>
      <c r="BF269" s="928"/>
      <c r="BG269" s="928"/>
      <c r="BH269" s="928"/>
      <c r="BI269" s="928"/>
      <c r="BJ269" s="928"/>
      <c r="BK269" s="928"/>
      <c r="BL269" s="928"/>
      <c r="BM269" s="928"/>
      <c r="BN269" s="928"/>
      <c r="BO269" s="928"/>
      <c r="BP269" s="928"/>
      <c r="BQ269" s="928"/>
      <c r="BR269" s="928"/>
      <c r="BS269" s="928"/>
      <c r="BT269" s="928"/>
      <c r="BU269" s="928"/>
      <c r="BV269" s="928"/>
      <c r="BW269" s="928"/>
      <c r="BX269" s="928"/>
      <c r="BY269" s="928"/>
      <c r="BZ269" s="928"/>
      <c r="CA269" s="928"/>
      <c r="CB269" s="928"/>
      <c r="CC269" s="928"/>
      <c r="CD269" s="928"/>
      <c r="CE269" s="928"/>
      <c r="CF269" s="928"/>
      <c r="CG269" s="928"/>
      <c r="CH269" s="928"/>
      <c r="CI269" s="928"/>
      <c r="CJ269" s="928"/>
      <c r="CK269" s="928"/>
      <c r="CL269" s="928"/>
      <c r="CM269" s="928"/>
      <c r="CN269" s="928"/>
      <c r="CO269" s="928"/>
      <c r="CP269" s="928"/>
      <c r="CQ269" s="928"/>
      <c r="CR269" s="928"/>
      <c r="CS269" s="928"/>
      <c r="CT269" s="928"/>
      <c r="CU269" s="928"/>
      <c r="CV269" s="928"/>
      <c r="CW269" s="928"/>
      <c r="CX269" s="928"/>
      <c r="CY269" s="928"/>
      <c r="CZ269" s="928"/>
      <c r="DA269" s="928"/>
      <c r="DB269" s="928"/>
      <c r="DC269" s="928"/>
      <c r="DD269" s="928"/>
      <c r="DE269" s="928"/>
      <c r="DF269" s="928"/>
      <c r="DG269" s="928"/>
      <c r="DH269" s="928"/>
    </row>
    <row r="270" spans="1:112">
      <c r="A270" s="891" t="s">
        <v>1071</v>
      </c>
      <c r="B270" s="891" t="s">
        <v>1546</v>
      </c>
      <c r="C270" s="891" t="s">
        <v>230</v>
      </c>
      <c r="D270" s="891" t="s">
        <v>1071</v>
      </c>
      <c r="E270" s="891" t="s">
        <v>1546</v>
      </c>
      <c r="F270" s="891" t="s">
        <v>230</v>
      </c>
      <c r="G270" s="897">
        <v>73.760000000000005</v>
      </c>
      <c r="H270" s="897">
        <v>70.39</v>
      </c>
      <c r="I270" s="897">
        <v>151.87</v>
      </c>
      <c r="J270" s="891"/>
      <c r="K270" s="891"/>
      <c r="L270" s="891"/>
      <c r="M270" s="891"/>
      <c r="N270" s="891"/>
      <c r="O270" s="891"/>
      <c r="P270" s="891"/>
      <c r="Q270" s="891"/>
      <c r="R270" s="891"/>
      <c r="S270" s="891"/>
      <c r="T270" s="891"/>
      <c r="U270" s="928"/>
      <c r="V270" s="928"/>
      <c r="W270" s="928"/>
      <c r="X270" s="928"/>
      <c r="Y270" s="928"/>
      <c r="Z270" s="928"/>
      <c r="AA270" s="928"/>
      <c r="AB270" s="928"/>
      <c r="AC270" s="928"/>
      <c r="AD270" s="928"/>
      <c r="AE270" s="928"/>
      <c r="AF270" s="928"/>
      <c r="AG270" s="928"/>
      <c r="AH270" s="928"/>
      <c r="AI270" s="928"/>
      <c r="AJ270" s="928"/>
      <c r="AK270" s="928"/>
      <c r="AL270" s="928"/>
      <c r="AM270" s="928"/>
      <c r="AN270" s="928"/>
      <c r="AO270" s="928"/>
      <c r="AP270" s="928"/>
      <c r="AQ270" s="928"/>
      <c r="AR270" s="928"/>
      <c r="AS270" s="928"/>
      <c r="AT270" s="928"/>
      <c r="AU270" s="928"/>
      <c r="AV270" s="928"/>
      <c r="AW270" s="928"/>
      <c r="AX270" s="928"/>
      <c r="AY270" s="928"/>
      <c r="AZ270" s="928"/>
      <c r="BA270" s="928"/>
      <c r="BB270" s="928"/>
      <c r="BC270" s="928"/>
      <c r="BD270" s="928"/>
      <c r="BE270" s="928"/>
      <c r="BF270" s="928"/>
      <c r="BG270" s="928"/>
      <c r="BH270" s="928"/>
      <c r="BI270" s="928"/>
      <c r="BJ270" s="928"/>
      <c r="BK270" s="928"/>
      <c r="BL270" s="928"/>
      <c r="BM270" s="928"/>
      <c r="BN270" s="928"/>
      <c r="BO270" s="928"/>
      <c r="BP270" s="928"/>
      <c r="BQ270" s="928"/>
      <c r="BR270" s="928"/>
      <c r="BS270" s="928"/>
      <c r="BT270" s="928"/>
      <c r="BU270" s="928"/>
      <c r="BV270" s="928"/>
      <c r="BW270" s="928"/>
      <c r="BX270" s="928"/>
      <c r="BY270" s="928"/>
      <c r="BZ270" s="928"/>
      <c r="CA270" s="928"/>
      <c r="CB270" s="928"/>
      <c r="CC270" s="928"/>
      <c r="CD270" s="928"/>
      <c r="CE270" s="928"/>
      <c r="CF270" s="928"/>
      <c r="CG270" s="928"/>
      <c r="CH270" s="928"/>
      <c r="CI270" s="928"/>
      <c r="CJ270" s="928"/>
      <c r="CK270" s="928"/>
      <c r="CL270" s="928"/>
      <c r="CM270" s="928"/>
      <c r="CN270" s="928"/>
      <c r="CO270" s="928"/>
      <c r="CP270" s="928"/>
      <c r="CQ270" s="928"/>
      <c r="CR270" s="928"/>
      <c r="CS270" s="928"/>
      <c r="CT270" s="928"/>
      <c r="CU270" s="928"/>
      <c r="CV270" s="928"/>
      <c r="CW270" s="928"/>
      <c r="CX270" s="928"/>
      <c r="CY270" s="928"/>
      <c r="CZ270" s="928"/>
      <c r="DA270" s="928"/>
      <c r="DB270" s="928"/>
      <c r="DC270" s="928"/>
      <c r="DD270" s="928"/>
      <c r="DE270" s="928"/>
      <c r="DF270" s="928"/>
      <c r="DG270" s="928"/>
      <c r="DH270" s="928"/>
    </row>
    <row r="271" spans="1:112">
      <c r="A271" s="891" t="s">
        <v>1072</v>
      </c>
      <c r="B271" s="891" t="s">
        <v>1535</v>
      </c>
      <c r="C271" s="891" t="s">
        <v>239</v>
      </c>
      <c r="D271" s="891" t="s">
        <v>1072</v>
      </c>
      <c r="E271" s="891" t="s">
        <v>1535</v>
      </c>
      <c r="F271" s="891" t="s">
        <v>239</v>
      </c>
      <c r="G271" s="897">
        <v>77.62</v>
      </c>
      <c r="H271" s="897">
        <v>66.28</v>
      </c>
      <c r="I271" s="897">
        <v>135.1</v>
      </c>
      <c r="J271" s="891"/>
      <c r="K271" s="891"/>
      <c r="L271" s="891"/>
      <c r="M271" s="891"/>
      <c r="N271" s="891"/>
      <c r="O271" s="891"/>
      <c r="P271" s="891"/>
      <c r="Q271" s="891"/>
      <c r="R271" s="891"/>
      <c r="S271" s="891"/>
      <c r="T271" s="891"/>
      <c r="U271" s="928"/>
      <c r="V271" s="928"/>
      <c r="W271" s="928"/>
      <c r="X271" s="928"/>
      <c r="Y271" s="928"/>
      <c r="Z271" s="928"/>
      <c r="AA271" s="928"/>
      <c r="AB271" s="928"/>
      <c r="AC271" s="928"/>
      <c r="AD271" s="928"/>
      <c r="AE271" s="928"/>
      <c r="AF271" s="928"/>
      <c r="AG271" s="928"/>
      <c r="AH271" s="928"/>
      <c r="AI271" s="928"/>
      <c r="AJ271" s="928"/>
      <c r="AK271" s="928"/>
      <c r="AL271" s="928"/>
      <c r="AM271" s="928"/>
      <c r="AN271" s="928"/>
      <c r="AO271" s="928"/>
      <c r="AP271" s="928"/>
      <c r="AQ271" s="928"/>
      <c r="AR271" s="928"/>
      <c r="AS271" s="928"/>
      <c r="AT271" s="928"/>
      <c r="AU271" s="928"/>
      <c r="AV271" s="928"/>
      <c r="AW271" s="928"/>
      <c r="AX271" s="928"/>
      <c r="AY271" s="928"/>
      <c r="AZ271" s="928"/>
      <c r="BA271" s="928"/>
      <c r="BB271" s="928"/>
      <c r="BC271" s="928"/>
      <c r="BD271" s="928"/>
      <c r="BE271" s="928"/>
      <c r="BF271" s="928"/>
      <c r="BG271" s="928"/>
      <c r="BH271" s="928"/>
      <c r="BI271" s="928"/>
      <c r="BJ271" s="928"/>
      <c r="BK271" s="928"/>
      <c r="BL271" s="928"/>
      <c r="BM271" s="928"/>
      <c r="BN271" s="928"/>
      <c r="BO271" s="928"/>
      <c r="BP271" s="928"/>
      <c r="BQ271" s="928"/>
      <c r="BR271" s="928"/>
      <c r="BS271" s="928"/>
      <c r="BT271" s="928"/>
      <c r="BU271" s="928"/>
      <c r="BV271" s="928"/>
      <c r="BW271" s="928"/>
      <c r="BX271" s="928"/>
      <c r="BY271" s="928"/>
      <c r="BZ271" s="928"/>
      <c r="CA271" s="928"/>
      <c r="CB271" s="928"/>
      <c r="CC271" s="928"/>
      <c r="CD271" s="928"/>
      <c r="CE271" s="928"/>
      <c r="CF271" s="928"/>
      <c r="CG271" s="928"/>
      <c r="CH271" s="928"/>
      <c r="CI271" s="928"/>
      <c r="CJ271" s="928"/>
      <c r="CK271" s="928"/>
      <c r="CL271" s="928"/>
      <c r="CM271" s="928"/>
      <c r="CN271" s="928"/>
      <c r="CO271" s="928"/>
      <c r="CP271" s="928"/>
      <c r="CQ271" s="928"/>
      <c r="CR271" s="928"/>
      <c r="CS271" s="928"/>
      <c r="CT271" s="928"/>
      <c r="CU271" s="928"/>
      <c r="CV271" s="928"/>
      <c r="CW271" s="928"/>
      <c r="CX271" s="928"/>
      <c r="CY271" s="928"/>
      <c r="CZ271" s="928"/>
      <c r="DA271" s="928"/>
      <c r="DB271" s="928"/>
      <c r="DC271" s="928"/>
      <c r="DD271" s="928"/>
      <c r="DE271" s="928"/>
      <c r="DF271" s="928"/>
      <c r="DG271" s="928"/>
      <c r="DH271" s="928"/>
    </row>
    <row r="272" spans="1:112">
      <c r="A272" s="891" t="s">
        <v>1073</v>
      </c>
      <c r="B272" s="891" t="s">
        <v>1475</v>
      </c>
      <c r="C272" s="891" t="s">
        <v>191</v>
      </c>
      <c r="D272" s="891" t="s">
        <v>1073</v>
      </c>
      <c r="E272" s="891" t="s">
        <v>1475</v>
      </c>
      <c r="F272" s="891" t="s">
        <v>191</v>
      </c>
      <c r="G272" s="897">
        <v>45.84</v>
      </c>
      <c r="H272" s="897">
        <v>40.47</v>
      </c>
      <c r="I272" s="897">
        <v>35.03</v>
      </c>
      <c r="J272" s="891"/>
      <c r="K272" s="891"/>
      <c r="L272" s="891"/>
      <c r="M272" s="891"/>
      <c r="N272" s="891"/>
      <c r="O272" s="891"/>
      <c r="P272" s="891"/>
      <c r="Q272" s="891"/>
      <c r="R272" s="891"/>
      <c r="S272" s="891"/>
      <c r="T272" s="891"/>
      <c r="U272" s="928"/>
      <c r="V272" s="928"/>
      <c r="W272" s="928"/>
      <c r="X272" s="928"/>
      <c r="Y272" s="928"/>
      <c r="Z272" s="928"/>
      <c r="AA272" s="928"/>
      <c r="AB272" s="928"/>
      <c r="AC272" s="928"/>
      <c r="AD272" s="928"/>
      <c r="AE272" s="928"/>
      <c r="AF272" s="928"/>
      <c r="AG272" s="928"/>
      <c r="AH272" s="928"/>
      <c r="AI272" s="928"/>
      <c r="AJ272" s="928"/>
      <c r="AK272" s="928"/>
      <c r="AL272" s="928"/>
      <c r="AM272" s="928"/>
      <c r="AN272" s="928"/>
      <c r="AO272" s="928"/>
      <c r="AP272" s="928"/>
      <c r="AQ272" s="928"/>
      <c r="AR272" s="928"/>
      <c r="AS272" s="928"/>
      <c r="AT272" s="928"/>
      <c r="AU272" s="928"/>
      <c r="AV272" s="928"/>
      <c r="AW272" s="928"/>
      <c r="AX272" s="928"/>
      <c r="AY272" s="928"/>
      <c r="AZ272" s="928"/>
      <c r="BA272" s="928"/>
      <c r="BB272" s="928"/>
      <c r="BC272" s="928"/>
      <c r="BD272" s="928"/>
      <c r="BE272" s="928"/>
      <c r="BF272" s="928"/>
      <c r="BG272" s="928"/>
      <c r="BH272" s="928"/>
      <c r="BI272" s="928"/>
      <c r="BJ272" s="928"/>
      <c r="BK272" s="928"/>
      <c r="BL272" s="928"/>
      <c r="BM272" s="928"/>
      <c r="BN272" s="928"/>
      <c r="BO272" s="928"/>
      <c r="BP272" s="928"/>
      <c r="BQ272" s="928"/>
      <c r="BR272" s="928"/>
      <c r="BS272" s="928"/>
      <c r="BT272" s="928"/>
      <c r="BU272" s="928"/>
      <c r="BV272" s="928"/>
      <c r="BW272" s="928"/>
      <c r="BX272" s="928"/>
      <c r="BY272" s="928"/>
      <c r="BZ272" s="928"/>
      <c r="CA272" s="928"/>
      <c r="CB272" s="928"/>
      <c r="CC272" s="928"/>
      <c r="CD272" s="928"/>
      <c r="CE272" s="928"/>
      <c r="CF272" s="928"/>
      <c r="CG272" s="928"/>
      <c r="CH272" s="928"/>
      <c r="CI272" s="928"/>
      <c r="CJ272" s="928"/>
      <c r="CK272" s="928"/>
      <c r="CL272" s="928"/>
      <c r="CM272" s="928"/>
      <c r="CN272" s="928"/>
      <c r="CO272" s="928"/>
      <c r="CP272" s="928"/>
      <c r="CQ272" s="928"/>
      <c r="CR272" s="928"/>
      <c r="CS272" s="928"/>
      <c r="CT272" s="928"/>
      <c r="CU272" s="928"/>
      <c r="CV272" s="928"/>
      <c r="CW272" s="928"/>
      <c r="CX272" s="928"/>
      <c r="CY272" s="928"/>
      <c r="CZ272" s="928"/>
      <c r="DA272" s="928"/>
      <c r="DB272" s="928"/>
      <c r="DC272" s="928"/>
      <c r="DD272" s="928"/>
      <c r="DE272" s="928"/>
      <c r="DF272" s="928"/>
      <c r="DG272" s="928"/>
      <c r="DH272" s="928"/>
    </row>
    <row r="273" spans="1:112">
      <c r="A273" s="891" t="s">
        <v>1074</v>
      </c>
      <c r="B273" s="891" t="s">
        <v>1450</v>
      </c>
      <c r="C273" s="891" t="s">
        <v>208</v>
      </c>
      <c r="D273" s="891" t="s">
        <v>1074</v>
      </c>
      <c r="E273" s="891" t="s">
        <v>1450</v>
      </c>
      <c r="F273" s="891" t="s">
        <v>208</v>
      </c>
      <c r="G273" s="897">
        <v>54.9</v>
      </c>
      <c r="H273" s="897">
        <v>53.11</v>
      </c>
      <c r="I273" s="897">
        <v>36.15</v>
      </c>
      <c r="J273" s="891"/>
      <c r="K273" s="891"/>
      <c r="L273" s="891"/>
      <c r="M273" s="891"/>
      <c r="N273" s="891"/>
      <c r="O273" s="891"/>
      <c r="P273" s="891"/>
      <c r="Q273" s="891"/>
      <c r="R273" s="891"/>
      <c r="S273" s="891"/>
      <c r="T273" s="891"/>
      <c r="U273" s="928"/>
      <c r="V273" s="928"/>
      <c r="W273" s="928"/>
      <c r="X273" s="928"/>
      <c r="Y273" s="928"/>
      <c r="Z273" s="928"/>
      <c r="AA273" s="928"/>
      <c r="AB273" s="928"/>
      <c r="AC273" s="928"/>
      <c r="AD273" s="928"/>
      <c r="AE273" s="928"/>
      <c r="AF273" s="928"/>
      <c r="AG273" s="928"/>
      <c r="AH273" s="928"/>
      <c r="AI273" s="928"/>
      <c r="AJ273" s="928"/>
      <c r="AK273" s="928"/>
      <c r="AL273" s="928"/>
      <c r="AM273" s="928"/>
      <c r="AN273" s="928"/>
      <c r="AO273" s="928"/>
      <c r="AP273" s="928"/>
      <c r="AQ273" s="928"/>
      <c r="AR273" s="928"/>
      <c r="AS273" s="928"/>
      <c r="AT273" s="928"/>
      <c r="AU273" s="928"/>
      <c r="AV273" s="928"/>
      <c r="AW273" s="928"/>
      <c r="AX273" s="928"/>
      <c r="AY273" s="928"/>
      <c r="AZ273" s="928"/>
      <c r="BA273" s="928"/>
      <c r="BB273" s="928"/>
      <c r="BC273" s="928"/>
      <c r="BD273" s="928"/>
      <c r="BE273" s="928"/>
      <c r="BF273" s="928"/>
      <c r="BG273" s="928"/>
      <c r="BH273" s="928"/>
      <c r="BI273" s="928"/>
      <c r="BJ273" s="928"/>
      <c r="BK273" s="928"/>
      <c r="BL273" s="928"/>
      <c r="BM273" s="928"/>
      <c r="BN273" s="928"/>
      <c r="BO273" s="928"/>
      <c r="BP273" s="928"/>
      <c r="BQ273" s="928"/>
      <c r="BR273" s="928"/>
      <c r="BS273" s="928"/>
      <c r="BT273" s="928"/>
      <c r="BU273" s="928"/>
      <c r="BV273" s="928"/>
      <c r="BW273" s="928"/>
      <c r="BX273" s="928"/>
      <c r="BY273" s="928"/>
      <c r="BZ273" s="928"/>
      <c r="CA273" s="928"/>
      <c r="CB273" s="928"/>
      <c r="CC273" s="928"/>
      <c r="CD273" s="928"/>
      <c r="CE273" s="928"/>
      <c r="CF273" s="928"/>
      <c r="CG273" s="928"/>
      <c r="CH273" s="928"/>
      <c r="CI273" s="928"/>
      <c r="CJ273" s="928"/>
      <c r="CK273" s="928"/>
      <c r="CL273" s="928"/>
      <c r="CM273" s="928"/>
      <c r="CN273" s="928"/>
      <c r="CO273" s="928"/>
      <c r="CP273" s="928"/>
      <c r="CQ273" s="928"/>
      <c r="CR273" s="928"/>
      <c r="CS273" s="928"/>
      <c r="CT273" s="928"/>
      <c r="CU273" s="928"/>
      <c r="CV273" s="928"/>
      <c r="CW273" s="928"/>
      <c r="CX273" s="928"/>
      <c r="CY273" s="928"/>
      <c r="CZ273" s="928"/>
      <c r="DA273" s="928"/>
      <c r="DB273" s="928"/>
      <c r="DC273" s="928"/>
      <c r="DD273" s="928"/>
      <c r="DE273" s="928"/>
      <c r="DF273" s="928"/>
      <c r="DG273" s="928"/>
      <c r="DH273" s="928"/>
    </row>
    <row r="274" spans="1:112">
      <c r="A274" s="891" t="s">
        <v>1075</v>
      </c>
      <c r="B274" s="891" t="s">
        <v>1454</v>
      </c>
      <c r="C274" s="891" t="s">
        <v>199</v>
      </c>
      <c r="D274" s="891" t="s">
        <v>1075</v>
      </c>
      <c r="E274" s="891" t="s">
        <v>1454</v>
      </c>
      <c r="F274" s="891" t="s">
        <v>199</v>
      </c>
      <c r="G274" s="897">
        <v>30.32</v>
      </c>
      <c r="H274" s="897">
        <v>13.43</v>
      </c>
      <c r="I274" s="897">
        <v>30.19</v>
      </c>
      <c r="J274" s="891"/>
      <c r="K274" s="891"/>
      <c r="L274" s="891"/>
      <c r="M274" s="891"/>
      <c r="N274" s="891"/>
      <c r="O274" s="891"/>
      <c r="P274" s="891"/>
      <c r="Q274" s="891"/>
      <c r="R274" s="891"/>
      <c r="S274" s="891"/>
      <c r="T274" s="891"/>
      <c r="U274" s="928"/>
      <c r="V274" s="928"/>
      <c r="W274" s="928"/>
      <c r="X274" s="928"/>
      <c r="Y274" s="928"/>
      <c r="Z274" s="928"/>
      <c r="AA274" s="928"/>
      <c r="AB274" s="928"/>
      <c r="AC274" s="928"/>
      <c r="AD274" s="928"/>
      <c r="AE274" s="928"/>
      <c r="AF274" s="928"/>
      <c r="AG274" s="928"/>
      <c r="AH274" s="928"/>
      <c r="AI274" s="928"/>
      <c r="AJ274" s="928"/>
      <c r="AK274" s="928"/>
      <c r="AL274" s="928"/>
      <c r="AM274" s="928"/>
      <c r="AN274" s="928"/>
      <c r="AO274" s="928"/>
      <c r="AP274" s="928"/>
      <c r="AQ274" s="928"/>
      <c r="AR274" s="928"/>
      <c r="AS274" s="928"/>
      <c r="AT274" s="928"/>
      <c r="AU274" s="928"/>
      <c r="AV274" s="928"/>
      <c r="AW274" s="928"/>
      <c r="AX274" s="928"/>
      <c r="AY274" s="928"/>
      <c r="AZ274" s="928"/>
      <c r="BA274" s="928"/>
      <c r="BB274" s="928"/>
      <c r="BC274" s="928"/>
      <c r="BD274" s="928"/>
      <c r="BE274" s="928"/>
      <c r="BF274" s="928"/>
      <c r="BG274" s="928"/>
      <c r="BH274" s="928"/>
      <c r="BI274" s="928"/>
      <c r="BJ274" s="928"/>
      <c r="BK274" s="928"/>
      <c r="BL274" s="928"/>
      <c r="BM274" s="928"/>
      <c r="BN274" s="928"/>
      <c r="BO274" s="928"/>
      <c r="BP274" s="928"/>
      <c r="BQ274" s="928"/>
      <c r="BR274" s="928"/>
      <c r="BS274" s="928"/>
      <c r="BT274" s="928"/>
      <c r="BU274" s="928"/>
      <c r="BV274" s="928"/>
      <c r="BW274" s="928"/>
      <c r="BX274" s="928"/>
      <c r="BY274" s="928"/>
      <c r="BZ274" s="928"/>
      <c r="CA274" s="928"/>
      <c r="CB274" s="928"/>
      <c r="CC274" s="928"/>
      <c r="CD274" s="928"/>
      <c r="CE274" s="928"/>
      <c r="CF274" s="928"/>
      <c r="CG274" s="928"/>
      <c r="CH274" s="928"/>
      <c r="CI274" s="928"/>
      <c r="CJ274" s="928"/>
      <c r="CK274" s="928"/>
      <c r="CL274" s="928"/>
      <c r="CM274" s="928"/>
      <c r="CN274" s="928"/>
      <c r="CO274" s="928"/>
      <c r="CP274" s="928"/>
      <c r="CQ274" s="928"/>
      <c r="CR274" s="928"/>
      <c r="CS274" s="928"/>
      <c r="CT274" s="928"/>
      <c r="CU274" s="928"/>
      <c r="CV274" s="928"/>
      <c r="CW274" s="928"/>
      <c r="CX274" s="928"/>
      <c r="CY274" s="928"/>
      <c r="CZ274" s="928"/>
      <c r="DA274" s="928"/>
      <c r="DB274" s="928"/>
      <c r="DC274" s="928"/>
      <c r="DD274" s="928"/>
      <c r="DE274" s="928"/>
      <c r="DF274" s="928"/>
      <c r="DG274" s="928"/>
      <c r="DH274" s="928"/>
    </row>
    <row r="275" spans="1:112">
      <c r="A275" s="891" t="s">
        <v>1076</v>
      </c>
      <c r="B275" s="891" t="s">
        <v>1476</v>
      </c>
      <c r="C275" s="891" t="s">
        <v>101</v>
      </c>
      <c r="D275" s="891" t="s">
        <v>1076</v>
      </c>
      <c r="E275" s="891" t="s">
        <v>1476</v>
      </c>
      <c r="F275" s="891" t="s">
        <v>101</v>
      </c>
      <c r="G275" s="897">
        <v>72.760000000000005</v>
      </c>
      <c r="H275" s="897">
        <v>65.19</v>
      </c>
      <c r="I275" s="897">
        <v>99.16</v>
      </c>
      <c r="J275" s="891"/>
      <c r="K275" s="891"/>
      <c r="L275" s="891"/>
      <c r="M275" s="891"/>
      <c r="N275" s="891"/>
      <c r="O275" s="891"/>
      <c r="P275" s="891"/>
      <c r="Q275" s="891"/>
      <c r="R275" s="891"/>
      <c r="S275" s="891"/>
      <c r="T275" s="891"/>
      <c r="U275" s="928"/>
      <c r="V275" s="928"/>
      <c r="W275" s="928"/>
      <c r="X275" s="928"/>
      <c r="Y275" s="928"/>
      <c r="Z275" s="928"/>
      <c r="AA275" s="928"/>
      <c r="AB275" s="928"/>
      <c r="AC275" s="928"/>
      <c r="AD275" s="928"/>
      <c r="AE275" s="928"/>
      <c r="AF275" s="928"/>
      <c r="AG275" s="928"/>
      <c r="AH275" s="928"/>
      <c r="AI275" s="928"/>
      <c r="AJ275" s="928"/>
      <c r="AK275" s="928"/>
      <c r="AL275" s="928"/>
      <c r="AM275" s="928"/>
      <c r="AN275" s="928"/>
      <c r="AO275" s="928"/>
      <c r="AP275" s="928"/>
      <c r="AQ275" s="928"/>
      <c r="AR275" s="928"/>
      <c r="AS275" s="928"/>
      <c r="AT275" s="928"/>
      <c r="AU275" s="928"/>
      <c r="AV275" s="928"/>
      <c r="AW275" s="928"/>
      <c r="AX275" s="928"/>
      <c r="AY275" s="928"/>
      <c r="AZ275" s="928"/>
      <c r="BA275" s="928"/>
      <c r="BB275" s="928"/>
      <c r="BC275" s="928"/>
      <c r="BD275" s="928"/>
      <c r="BE275" s="928"/>
      <c r="BF275" s="928"/>
      <c r="BG275" s="928"/>
      <c r="BH275" s="928"/>
      <c r="BI275" s="928"/>
      <c r="BJ275" s="928"/>
      <c r="BK275" s="928"/>
      <c r="BL275" s="928"/>
      <c r="BM275" s="928"/>
      <c r="BN275" s="928"/>
      <c r="BO275" s="928"/>
      <c r="BP275" s="928"/>
      <c r="BQ275" s="928"/>
      <c r="BR275" s="928"/>
      <c r="BS275" s="928"/>
      <c r="BT275" s="928"/>
      <c r="BU275" s="928"/>
      <c r="BV275" s="928"/>
      <c r="BW275" s="928"/>
      <c r="BX275" s="928"/>
      <c r="BY275" s="928"/>
      <c r="BZ275" s="928"/>
      <c r="CA275" s="928"/>
      <c r="CB275" s="928"/>
      <c r="CC275" s="928"/>
      <c r="CD275" s="928"/>
      <c r="CE275" s="928"/>
      <c r="CF275" s="928"/>
      <c r="CG275" s="928"/>
      <c r="CH275" s="928"/>
      <c r="CI275" s="928"/>
      <c r="CJ275" s="928"/>
      <c r="CK275" s="928"/>
      <c r="CL275" s="928"/>
      <c r="CM275" s="928"/>
      <c r="CN275" s="928"/>
      <c r="CO275" s="928"/>
      <c r="CP275" s="928"/>
      <c r="CQ275" s="928"/>
      <c r="CR275" s="928"/>
      <c r="CS275" s="928"/>
      <c r="CT275" s="928"/>
      <c r="CU275" s="928"/>
      <c r="CV275" s="928"/>
      <c r="CW275" s="928"/>
      <c r="CX275" s="928"/>
      <c r="CY275" s="928"/>
      <c r="CZ275" s="928"/>
      <c r="DA275" s="928"/>
      <c r="DB275" s="928"/>
      <c r="DC275" s="928"/>
      <c r="DD275" s="928"/>
      <c r="DE275" s="928"/>
      <c r="DF275" s="928"/>
      <c r="DG275" s="928"/>
      <c r="DH275" s="928"/>
    </row>
    <row r="276" spans="1:112">
      <c r="A276" s="891" t="s">
        <v>1078</v>
      </c>
      <c r="B276" s="891" t="s">
        <v>1460</v>
      </c>
      <c r="C276" s="891" t="s">
        <v>89</v>
      </c>
      <c r="D276" s="891" t="s">
        <v>1078</v>
      </c>
      <c r="E276" s="891" t="s">
        <v>1460</v>
      </c>
      <c r="F276" s="891" t="s">
        <v>89</v>
      </c>
      <c r="G276" s="897">
        <v>52.18</v>
      </c>
      <c r="H276" s="897">
        <v>47.16</v>
      </c>
      <c r="I276" s="897">
        <v>35.96</v>
      </c>
      <c r="J276" s="891"/>
      <c r="K276" s="891"/>
      <c r="L276" s="891"/>
      <c r="M276" s="891"/>
      <c r="N276" s="891"/>
      <c r="O276" s="891"/>
      <c r="P276" s="891"/>
      <c r="Q276" s="891"/>
      <c r="R276" s="891"/>
      <c r="S276" s="891"/>
      <c r="T276" s="891"/>
      <c r="U276" s="928"/>
      <c r="V276" s="928"/>
      <c r="W276" s="928"/>
      <c r="X276" s="928"/>
      <c r="Y276" s="928"/>
      <c r="Z276" s="928"/>
      <c r="AA276" s="928"/>
      <c r="AB276" s="928"/>
      <c r="AC276" s="928"/>
      <c r="AD276" s="928"/>
      <c r="AE276" s="928"/>
      <c r="AF276" s="928"/>
      <c r="AG276" s="928"/>
      <c r="AH276" s="928"/>
      <c r="AI276" s="928"/>
      <c r="AJ276" s="928"/>
      <c r="AK276" s="928"/>
      <c r="AL276" s="928"/>
      <c r="AM276" s="928"/>
      <c r="AN276" s="928"/>
      <c r="AO276" s="928"/>
      <c r="AP276" s="928"/>
      <c r="AQ276" s="928"/>
      <c r="AR276" s="928"/>
      <c r="AS276" s="928"/>
      <c r="AT276" s="928"/>
      <c r="AU276" s="928"/>
      <c r="AV276" s="928"/>
      <c r="AW276" s="928"/>
      <c r="AX276" s="928"/>
      <c r="AY276" s="928"/>
      <c r="AZ276" s="928"/>
      <c r="BA276" s="928"/>
      <c r="BB276" s="928"/>
      <c r="BC276" s="928"/>
      <c r="BD276" s="928"/>
      <c r="BE276" s="928"/>
      <c r="BF276" s="928"/>
      <c r="BG276" s="928"/>
      <c r="BH276" s="928"/>
      <c r="BI276" s="928"/>
      <c r="BJ276" s="928"/>
      <c r="BK276" s="928"/>
      <c r="BL276" s="928"/>
      <c r="BM276" s="928"/>
      <c r="BN276" s="928"/>
      <c r="BO276" s="928"/>
      <c r="BP276" s="928"/>
      <c r="BQ276" s="928"/>
      <c r="BR276" s="928"/>
      <c r="BS276" s="928"/>
      <c r="BT276" s="928"/>
      <c r="BU276" s="928"/>
      <c r="BV276" s="928"/>
      <c r="BW276" s="928"/>
      <c r="BX276" s="928"/>
      <c r="BY276" s="928"/>
      <c r="BZ276" s="928"/>
      <c r="CA276" s="928"/>
      <c r="CB276" s="928"/>
      <c r="CC276" s="928"/>
      <c r="CD276" s="928"/>
      <c r="CE276" s="928"/>
      <c r="CF276" s="928"/>
      <c r="CG276" s="928"/>
      <c r="CH276" s="928"/>
      <c r="CI276" s="928"/>
      <c r="CJ276" s="928"/>
      <c r="CK276" s="928"/>
      <c r="CL276" s="928"/>
      <c r="CM276" s="928"/>
      <c r="CN276" s="928"/>
      <c r="CO276" s="928"/>
      <c r="CP276" s="928"/>
      <c r="CQ276" s="928"/>
      <c r="CR276" s="928"/>
      <c r="CS276" s="928"/>
      <c r="CT276" s="928"/>
      <c r="CU276" s="928"/>
      <c r="CV276" s="928"/>
      <c r="CW276" s="928"/>
      <c r="CX276" s="928"/>
      <c r="CY276" s="928"/>
      <c r="CZ276" s="928"/>
      <c r="DA276" s="928"/>
      <c r="DB276" s="928"/>
      <c r="DC276" s="928"/>
      <c r="DD276" s="928"/>
      <c r="DE276" s="928"/>
      <c r="DF276" s="928"/>
      <c r="DG276" s="928"/>
      <c r="DH276" s="928"/>
    </row>
    <row r="277" spans="1:112">
      <c r="A277" s="891" t="s">
        <v>1080</v>
      </c>
      <c r="B277" s="891" t="s">
        <v>1454</v>
      </c>
      <c r="C277" s="891" t="s">
        <v>120</v>
      </c>
      <c r="D277" s="891" t="s">
        <v>1080</v>
      </c>
      <c r="E277" s="891" t="s">
        <v>1454</v>
      </c>
      <c r="F277" s="891" t="s">
        <v>120</v>
      </c>
      <c r="G277" s="897">
        <v>54.9</v>
      </c>
      <c r="H277" s="897">
        <v>52.38</v>
      </c>
      <c r="I277" s="897">
        <v>59.04</v>
      </c>
      <c r="J277" s="891"/>
      <c r="K277" s="891"/>
      <c r="L277" s="891"/>
      <c r="M277" s="891"/>
      <c r="N277" s="891"/>
      <c r="O277" s="891"/>
      <c r="P277" s="891"/>
      <c r="Q277" s="891"/>
      <c r="R277" s="891"/>
      <c r="S277" s="891"/>
      <c r="T277" s="891"/>
      <c r="U277" s="928"/>
      <c r="V277" s="928"/>
      <c r="W277" s="928"/>
      <c r="X277" s="928"/>
      <c r="Y277" s="928"/>
      <c r="Z277" s="928"/>
      <c r="AA277" s="928"/>
      <c r="AB277" s="928"/>
      <c r="AC277" s="928"/>
      <c r="AD277" s="928"/>
      <c r="AE277" s="928"/>
      <c r="AF277" s="928"/>
      <c r="AG277" s="928"/>
      <c r="AH277" s="928"/>
      <c r="AI277" s="928"/>
      <c r="AJ277" s="928"/>
      <c r="AK277" s="928"/>
      <c r="AL277" s="928"/>
      <c r="AM277" s="928"/>
      <c r="AN277" s="928"/>
      <c r="AO277" s="928"/>
      <c r="AP277" s="928"/>
      <c r="AQ277" s="928"/>
      <c r="AR277" s="928"/>
      <c r="AS277" s="928"/>
      <c r="AT277" s="928"/>
      <c r="AU277" s="928"/>
      <c r="AV277" s="928"/>
      <c r="AW277" s="928"/>
      <c r="AX277" s="928"/>
      <c r="AY277" s="928"/>
      <c r="AZ277" s="928"/>
      <c r="BA277" s="928"/>
      <c r="BB277" s="928"/>
      <c r="BC277" s="928"/>
      <c r="BD277" s="928"/>
      <c r="BE277" s="928"/>
      <c r="BF277" s="928"/>
      <c r="BG277" s="928"/>
      <c r="BH277" s="928"/>
      <c r="BI277" s="928"/>
      <c r="BJ277" s="928"/>
      <c r="BK277" s="928"/>
      <c r="BL277" s="928"/>
      <c r="BM277" s="928"/>
      <c r="BN277" s="928"/>
      <c r="BO277" s="928"/>
      <c r="BP277" s="928"/>
      <c r="BQ277" s="928"/>
      <c r="BR277" s="928"/>
      <c r="BS277" s="928"/>
      <c r="BT277" s="928"/>
      <c r="BU277" s="928"/>
      <c r="BV277" s="928"/>
      <c r="BW277" s="928"/>
      <c r="BX277" s="928"/>
      <c r="BY277" s="928"/>
      <c r="BZ277" s="928"/>
      <c r="CA277" s="928"/>
      <c r="CB277" s="928"/>
      <c r="CC277" s="928"/>
      <c r="CD277" s="928"/>
      <c r="CE277" s="928"/>
      <c r="CF277" s="928"/>
      <c r="CG277" s="928"/>
      <c r="CH277" s="928"/>
      <c r="CI277" s="928"/>
      <c r="CJ277" s="928"/>
      <c r="CK277" s="928"/>
      <c r="CL277" s="928"/>
      <c r="CM277" s="928"/>
      <c r="CN277" s="928"/>
      <c r="CO277" s="928"/>
      <c r="CP277" s="928"/>
      <c r="CQ277" s="928"/>
      <c r="CR277" s="928"/>
      <c r="CS277" s="928"/>
      <c r="CT277" s="928"/>
      <c r="CU277" s="928"/>
      <c r="CV277" s="928"/>
      <c r="CW277" s="928"/>
      <c r="CX277" s="928"/>
      <c r="CY277" s="928"/>
      <c r="CZ277" s="928"/>
      <c r="DA277" s="928"/>
      <c r="DB277" s="928"/>
      <c r="DC277" s="928"/>
      <c r="DD277" s="928"/>
      <c r="DE277" s="928"/>
      <c r="DF277" s="928"/>
      <c r="DG277" s="928"/>
      <c r="DH277" s="928"/>
    </row>
    <row r="278" spans="1:112">
      <c r="A278" s="891" t="s">
        <v>1081</v>
      </c>
      <c r="B278" s="891" t="s">
        <v>1454</v>
      </c>
      <c r="C278" s="891" t="s">
        <v>213</v>
      </c>
      <c r="D278" s="891" t="s">
        <v>1081</v>
      </c>
      <c r="E278" s="891" t="s">
        <v>1454</v>
      </c>
      <c r="F278" s="891" t="s">
        <v>213</v>
      </c>
      <c r="G278" s="897">
        <v>45.78</v>
      </c>
      <c r="H278" s="897">
        <v>43.34</v>
      </c>
      <c r="I278" s="897">
        <v>53.68</v>
      </c>
      <c r="J278" s="891"/>
      <c r="K278" s="891"/>
      <c r="L278" s="891"/>
      <c r="M278" s="891"/>
      <c r="N278" s="891"/>
      <c r="O278" s="891"/>
      <c r="P278" s="891"/>
      <c r="Q278" s="891"/>
      <c r="R278" s="891"/>
      <c r="S278" s="891"/>
      <c r="T278" s="891"/>
      <c r="U278" s="928"/>
      <c r="V278" s="928"/>
      <c r="W278" s="928"/>
      <c r="X278" s="928"/>
      <c r="Y278" s="928"/>
      <c r="Z278" s="928"/>
      <c r="AA278" s="928"/>
      <c r="AB278" s="928"/>
      <c r="AC278" s="928"/>
      <c r="AD278" s="928"/>
      <c r="AE278" s="928"/>
      <c r="AF278" s="928"/>
      <c r="AG278" s="928"/>
      <c r="AH278" s="928"/>
      <c r="AI278" s="928"/>
      <c r="AJ278" s="928"/>
      <c r="AK278" s="928"/>
      <c r="AL278" s="928"/>
      <c r="AM278" s="928"/>
      <c r="AN278" s="928"/>
      <c r="AO278" s="928"/>
      <c r="AP278" s="928"/>
      <c r="AQ278" s="928"/>
      <c r="AR278" s="928"/>
      <c r="AS278" s="928"/>
      <c r="AT278" s="928"/>
      <c r="AU278" s="928"/>
      <c r="AV278" s="928"/>
      <c r="AW278" s="928"/>
      <c r="AX278" s="928"/>
      <c r="AY278" s="928"/>
      <c r="AZ278" s="928"/>
      <c r="BA278" s="928"/>
      <c r="BB278" s="928"/>
      <c r="BC278" s="928"/>
      <c r="BD278" s="928"/>
      <c r="BE278" s="928"/>
      <c r="BF278" s="928"/>
      <c r="BG278" s="928"/>
      <c r="BH278" s="928"/>
      <c r="BI278" s="928"/>
      <c r="BJ278" s="928"/>
      <c r="BK278" s="928"/>
      <c r="BL278" s="928"/>
      <c r="BM278" s="928"/>
      <c r="BN278" s="928"/>
      <c r="BO278" s="928"/>
      <c r="BP278" s="928"/>
      <c r="BQ278" s="928"/>
      <c r="BR278" s="928"/>
      <c r="BS278" s="928"/>
      <c r="BT278" s="928"/>
      <c r="BU278" s="928"/>
      <c r="BV278" s="928"/>
      <c r="BW278" s="928"/>
      <c r="BX278" s="928"/>
      <c r="BY278" s="928"/>
      <c r="BZ278" s="928"/>
      <c r="CA278" s="928"/>
      <c r="CB278" s="928"/>
      <c r="CC278" s="928"/>
      <c r="CD278" s="928"/>
      <c r="CE278" s="928"/>
      <c r="CF278" s="928"/>
      <c r="CG278" s="928"/>
      <c r="CH278" s="928"/>
      <c r="CI278" s="928"/>
      <c r="CJ278" s="928"/>
      <c r="CK278" s="928"/>
      <c r="CL278" s="928"/>
      <c r="CM278" s="928"/>
      <c r="CN278" s="928"/>
      <c r="CO278" s="928"/>
      <c r="CP278" s="928"/>
      <c r="CQ278" s="928"/>
      <c r="CR278" s="928"/>
      <c r="CS278" s="928"/>
      <c r="CT278" s="928"/>
      <c r="CU278" s="928"/>
      <c r="CV278" s="928"/>
      <c r="CW278" s="928"/>
      <c r="CX278" s="928"/>
      <c r="CY278" s="928"/>
      <c r="CZ278" s="928"/>
      <c r="DA278" s="928"/>
      <c r="DB278" s="928"/>
      <c r="DC278" s="928"/>
      <c r="DD278" s="928"/>
      <c r="DE278" s="928"/>
      <c r="DF278" s="928"/>
      <c r="DG278" s="928"/>
      <c r="DH278" s="928"/>
    </row>
    <row r="279" spans="1:112">
      <c r="A279" s="891" t="s">
        <v>1082</v>
      </c>
      <c r="B279" s="891" t="s">
        <v>1454</v>
      </c>
      <c r="C279" s="891" t="s">
        <v>137</v>
      </c>
      <c r="D279" s="891" t="s">
        <v>1082</v>
      </c>
      <c r="E279" s="891" t="s">
        <v>1454</v>
      </c>
      <c r="F279" s="891" t="s">
        <v>137</v>
      </c>
      <c r="G279" s="897">
        <v>57.47</v>
      </c>
      <c r="H279" s="897">
        <v>42.39</v>
      </c>
      <c r="I279" s="897">
        <v>64.47</v>
      </c>
      <c r="J279" s="891"/>
      <c r="K279" s="891"/>
      <c r="L279" s="891"/>
      <c r="M279" s="891"/>
      <c r="N279" s="891"/>
      <c r="O279" s="891"/>
      <c r="P279" s="891"/>
      <c r="Q279" s="891"/>
      <c r="R279" s="891"/>
      <c r="S279" s="891"/>
      <c r="T279" s="891"/>
      <c r="U279" s="928"/>
      <c r="V279" s="928"/>
      <c r="W279" s="928"/>
      <c r="X279" s="928"/>
      <c r="Y279" s="928"/>
      <c r="Z279" s="928"/>
      <c r="AA279" s="928"/>
      <c r="AB279" s="928"/>
      <c r="AC279" s="928"/>
      <c r="AD279" s="928"/>
      <c r="AE279" s="928"/>
      <c r="AF279" s="928"/>
      <c r="AG279" s="928"/>
      <c r="AH279" s="928"/>
      <c r="AI279" s="928"/>
      <c r="AJ279" s="928"/>
      <c r="AK279" s="928"/>
      <c r="AL279" s="928"/>
      <c r="AM279" s="928"/>
      <c r="AN279" s="928"/>
      <c r="AO279" s="928"/>
      <c r="AP279" s="928"/>
      <c r="AQ279" s="928"/>
      <c r="AR279" s="928"/>
      <c r="AS279" s="928"/>
      <c r="AT279" s="928"/>
      <c r="AU279" s="928"/>
      <c r="AV279" s="928"/>
      <c r="AW279" s="928"/>
      <c r="AX279" s="928"/>
      <c r="AY279" s="928"/>
      <c r="AZ279" s="928"/>
      <c r="BA279" s="928"/>
      <c r="BB279" s="928"/>
      <c r="BC279" s="928"/>
      <c r="BD279" s="928"/>
      <c r="BE279" s="928"/>
      <c r="BF279" s="928"/>
      <c r="BG279" s="928"/>
      <c r="BH279" s="928"/>
      <c r="BI279" s="928"/>
      <c r="BJ279" s="928"/>
      <c r="BK279" s="928"/>
      <c r="BL279" s="928"/>
      <c r="BM279" s="928"/>
      <c r="BN279" s="928"/>
      <c r="BO279" s="928"/>
      <c r="BP279" s="928"/>
      <c r="BQ279" s="928"/>
      <c r="BR279" s="928"/>
      <c r="BS279" s="928"/>
      <c r="BT279" s="928"/>
      <c r="BU279" s="928"/>
      <c r="BV279" s="928"/>
      <c r="BW279" s="928"/>
      <c r="BX279" s="928"/>
      <c r="BY279" s="928"/>
      <c r="BZ279" s="928"/>
      <c r="CA279" s="928"/>
      <c r="CB279" s="928"/>
      <c r="CC279" s="928"/>
      <c r="CD279" s="928"/>
      <c r="CE279" s="928"/>
      <c r="CF279" s="928"/>
      <c r="CG279" s="928"/>
      <c r="CH279" s="928"/>
      <c r="CI279" s="928"/>
      <c r="CJ279" s="928"/>
      <c r="CK279" s="928"/>
      <c r="CL279" s="928"/>
      <c r="CM279" s="928"/>
      <c r="CN279" s="928"/>
      <c r="CO279" s="928"/>
      <c r="CP279" s="928"/>
      <c r="CQ279" s="928"/>
      <c r="CR279" s="928"/>
      <c r="CS279" s="928"/>
      <c r="CT279" s="928"/>
      <c r="CU279" s="928"/>
      <c r="CV279" s="928"/>
      <c r="CW279" s="928"/>
      <c r="CX279" s="928"/>
      <c r="CY279" s="928"/>
      <c r="CZ279" s="928"/>
      <c r="DA279" s="928"/>
      <c r="DB279" s="928"/>
      <c r="DC279" s="928"/>
      <c r="DD279" s="928"/>
      <c r="DE279" s="928"/>
      <c r="DF279" s="928"/>
      <c r="DG279" s="928"/>
      <c r="DH279" s="928"/>
    </row>
    <row r="280" spans="1:112">
      <c r="A280" s="891" t="s">
        <v>1082</v>
      </c>
      <c r="B280" s="891" t="s">
        <v>1529</v>
      </c>
      <c r="C280" s="891" t="s">
        <v>244</v>
      </c>
      <c r="D280" s="891" t="s">
        <v>1082</v>
      </c>
      <c r="E280" s="891" t="s">
        <v>1529</v>
      </c>
      <c r="F280" s="891" t="s">
        <v>244</v>
      </c>
      <c r="G280" s="897">
        <v>48.49</v>
      </c>
      <c r="H280" s="897">
        <v>45.09</v>
      </c>
      <c r="I280" s="897">
        <v>110.52</v>
      </c>
      <c r="J280" s="891"/>
      <c r="K280" s="891"/>
      <c r="L280" s="891"/>
      <c r="M280" s="891"/>
      <c r="N280" s="891"/>
      <c r="O280" s="891"/>
      <c r="P280" s="891"/>
      <c r="Q280" s="891"/>
      <c r="R280" s="891"/>
      <c r="S280" s="891"/>
      <c r="T280" s="891"/>
      <c r="U280" s="928"/>
      <c r="V280" s="928"/>
      <c r="W280" s="928"/>
      <c r="X280" s="928"/>
      <c r="Y280" s="928"/>
      <c r="Z280" s="928"/>
      <c r="AA280" s="928"/>
      <c r="AB280" s="928"/>
      <c r="AC280" s="928"/>
      <c r="AD280" s="928"/>
      <c r="AE280" s="928"/>
      <c r="AF280" s="928"/>
      <c r="AG280" s="928"/>
      <c r="AH280" s="928"/>
      <c r="AI280" s="928"/>
      <c r="AJ280" s="928"/>
      <c r="AK280" s="928"/>
      <c r="AL280" s="928"/>
      <c r="AM280" s="928"/>
      <c r="AN280" s="928"/>
      <c r="AO280" s="928"/>
      <c r="AP280" s="928"/>
      <c r="AQ280" s="928"/>
      <c r="AR280" s="928"/>
      <c r="AS280" s="928"/>
      <c r="AT280" s="928"/>
      <c r="AU280" s="928"/>
      <c r="AV280" s="928"/>
      <c r="AW280" s="928"/>
      <c r="AX280" s="928"/>
      <c r="AY280" s="928"/>
      <c r="AZ280" s="928"/>
      <c r="BA280" s="928"/>
      <c r="BB280" s="928"/>
      <c r="BC280" s="928"/>
      <c r="BD280" s="928"/>
      <c r="BE280" s="928"/>
      <c r="BF280" s="928"/>
      <c r="BG280" s="928"/>
      <c r="BH280" s="928"/>
      <c r="BI280" s="928"/>
      <c r="BJ280" s="928"/>
      <c r="BK280" s="928"/>
      <c r="BL280" s="928"/>
      <c r="BM280" s="928"/>
      <c r="BN280" s="928"/>
      <c r="BO280" s="928"/>
      <c r="BP280" s="928"/>
      <c r="BQ280" s="928"/>
      <c r="BR280" s="928"/>
      <c r="BS280" s="928"/>
      <c r="BT280" s="928"/>
      <c r="BU280" s="928"/>
      <c r="BV280" s="928"/>
      <c r="BW280" s="928"/>
      <c r="BX280" s="928"/>
      <c r="BY280" s="928"/>
      <c r="BZ280" s="928"/>
      <c r="CA280" s="928"/>
      <c r="CB280" s="928"/>
      <c r="CC280" s="928"/>
      <c r="CD280" s="928"/>
      <c r="CE280" s="928"/>
      <c r="CF280" s="928"/>
      <c r="CG280" s="928"/>
      <c r="CH280" s="928"/>
      <c r="CI280" s="928"/>
      <c r="CJ280" s="928"/>
      <c r="CK280" s="928"/>
      <c r="CL280" s="928"/>
      <c r="CM280" s="928"/>
      <c r="CN280" s="928"/>
      <c r="CO280" s="928"/>
      <c r="CP280" s="928"/>
      <c r="CQ280" s="928"/>
      <c r="CR280" s="928"/>
      <c r="CS280" s="928"/>
      <c r="CT280" s="928"/>
      <c r="CU280" s="928"/>
      <c r="CV280" s="928"/>
      <c r="CW280" s="928"/>
      <c r="CX280" s="928"/>
      <c r="CY280" s="928"/>
      <c r="CZ280" s="928"/>
      <c r="DA280" s="928"/>
      <c r="DB280" s="928"/>
      <c r="DC280" s="928"/>
      <c r="DD280" s="928"/>
      <c r="DE280" s="928"/>
      <c r="DF280" s="928"/>
      <c r="DG280" s="928"/>
      <c r="DH280" s="928"/>
    </row>
    <row r="281" spans="1:112">
      <c r="A281" s="891" t="s">
        <v>1083</v>
      </c>
      <c r="B281" s="891" t="s">
        <v>1454</v>
      </c>
      <c r="C281" s="891" t="s">
        <v>198</v>
      </c>
      <c r="D281" s="891" t="s">
        <v>1083</v>
      </c>
      <c r="E281" s="891" t="s">
        <v>1454</v>
      </c>
      <c r="F281" s="891" t="s">
        <v>198</v>
      </c>
      <c r="G281" s="897">
        <v>45.26</v>
      </c>
      <c r="H281" s="897">
        <v>31.01</v>
      </c>
      <c r="I281" s="897">
        <v>106.12</v>
      </c>
      <c r="J281" s="891"/>
      <c r="K281" s="891"/>
      <c r="L281" s="891"/>
      <c r="M281" s="891"/>
      <c r="N281" s="891"/>
      <c r="O281" s="891"/>
      <c r="P281" s="891"/>
      <c r="Q281" s="891"/>
      <c r="R281" s="891"/>
      <c r="S281" s="891"/>
      <c r="T281" s="891"/>
      <c r="U281" s="928"/>
      <c r="V281" s="928"/>
      <c r="W281" s="928"/>
      <c r="X281" s="928"/>
      <c r="Y281" s="928"/>
      <c r="Z281" s="928"/>
      <c r="AA281" s="928"/>
      <c r="AB281" s="928"/>
      <c r="AC281" s="928"/>
      <c r="AD281" s="928"/>
      <c r="AE281" s="928"/>
      <c r="AF281" s="928"/>
      <c r="AG281" s="928"/>
      <c r="AH281" s="928"/>
      <c r="AI281" s="928"/>
      <c r="AJ281" s="928"/>
      <c r="AK281" s="928"/>
      <c r="AL281" s="928"/>
      <c r="AM281" s="928"/>
      <c r="AN281" s="928"/>
      <c r="AO281" s="928"/>
      <c r="AP281" s="928"/>
      <c r="AQ281" s="928"/>
      <c r="AR281" s="928"/>
      <c r="AS281" s="928"/>
      <c r="AT281" s="928"/>
      <c r="AU281" s="928"/>
      <c r="AV281" s="928"/>
      <c r="AW281" s="928"/>
      <c r="AX281" s="928"/>
      <c r="AY281" s="928"/>
      <c r="AZ281" s="928"/>
      <c r="BA281" s="928"/>
      <c r="BB281" s="928"/>
      <c r="BC281" s="928"/>
      <c r="BD281" s="928"/>
      <c r="BE281" s="928"/>
      <c r="BF281" s="928"/>
      <c r="BG281" s="928"/>
      <c r="BH281" s="928"/>
      <c r="BI281" s="928"/>
      <c r="BJ281" s="928"/>
      <c r="BK281" s="928"/>
      <c r="BL281" s="928"/>
      <c r="BM281" s="928"/>
      <c r="BN281" s="928"/>
      <c r="BO281" s="928"/>
      <c r="BP281" s="928"/>
      <c r="BQ281" s="928"/>
      <c r="BR281" s="928"/>
      <c r="BS281" s="928"/>
      <c r="BT281" s="928"/>
      <c r="BU281" s="928"/>
      <c r="BV281" s="928"/>
      <c r="BW281" s="928"/>
      <c r="BX281" s="928"/>
      <c r="BY281" s="928"/>
      <c r="BZ281" s="928"/>
      <c r="CA281" s="928"/>
      <c r="CB281" s="928"/>
      <c r="CC281" s="928"/>
      <c r="CD281" s="928"/>
      <c r="CE281" s="928"/>
      <c r="CF281" s="928"/>
      <c r="CG281" s="928"/>
      <c r="CH281" s="928"/>
      <c r="CI281" s="928"/>
      <c r="CJ281" s="928"/>
      <c r="CK281" s="928"/>
      <c r="CL281" s="928"/>
      <c r="CM281" s="928"/>
      <c r="CN281" s="928"/>
      <c r="CO281" s="928"/>
      <c r="CP281" s="928"/>
      <c r="CQ281" s="928"/>
      <c r="CR281" s="928"/>
      <c r="CS281" s="928"/>
      <c r="CT281" s="928"/>
      <c r="CU281" s="928"/>
      <c r="CV281" s="928"/>
      <c r="CW281" s="928"/>
      <c r="CX281" s="928"/>
      <c r="CY281" s="928"/>
      <c r="CZ281" s="928"/>
      <c r="DA281" s="928"/>
      <c r="DB281" s="928"/>
      <c r="DC281" s="928"/>
      <c r="DD281" s="928"/>
      <c r="DE281" s="928"/>
      <c r="DF281" s="928"/>
      <c r="DG281" s="928"/>
      <c r="DH281" s="928"/>
    </row>
    <row r="282" spans="1:112">
      <c r="A282" s="891" t="s">
        <v>1084</v>
      </c>
      <c r="B282" s="891" t="s">
        <v>1475</v>
      </c>
      <c r="C282" s="891" t="s">
        <v>284</v>
      </c>
      <c r="D282" s="891" t="s">
        <v>1084</v>
      </c>
      <c r="E282" s="891" t="s">
        <v>1475</v>
      </c>
      <c r="F282" s="891" t="s">
        <v>284</v>
      </c>
      <c r="G282" s="897">
        <v>31.56</v>
      </c>
      <c r="H282" s="897">
        <v>15.74</v>
      </c>
      <c r="I282" s="897">
        <v>83.56</v>
      </c>
      <c r="J282" s="891"/>
      <c r="K282" s="891"/>
      <c r="L282" s="891"/>
      <c r="M282" s="891"/>
      <c r="N282" s="891"/>
      <c r="O282" s="891"/>
      <c r="P282" s="891"/>
      <c r="Q282" s="891"/>
      <c r="R282" s="891"/>
      <c r="S282" s="891"/>
      <c r="T282" s="891"/>
      <c r="U282" s="928"/>
      <c r="V282" s="928"/>
      <c r="W282" s="928"/>
      <c r="X282" s="928"/>
      <c r="Y282" s="928"/>
      <c r="Z282" s="928"/>
      <c r="AA282" s="928"/>
      <c r="AB282" s="928"/>
      <c r="AC282" s="928"/>
      <c r="AD282" s="928"/>
      <c r="AE282" s="928"/>
      <c r="AF282" s="928"/>
      <c r="AG282" s="928"/>
      <c r="AH282" s="928"/>
      <c r="AI282" s="928"/>
      <c r="AJ282" s="928"/>
      <c r="AK282" s="928"/>
      <c r="AL282" s="928"/>
      <c r="AM282" s="928"/>
      <c r="AN282" s="928"/>
      <c r="AO282" s="928"/>
      <c r="AP282" s="928"/>
      <c r="AQ282" s="928"/>
      <c r="AR282" s="928"/>
      <c r="AS282" s="928"/>
      <c r="AT282" s="928"/>
      <c r="AU282" s="928"/>
      <c r="AV282" s="928"/>
      <c r="AW282" s="928"/>
      <c r="AX282" s="928"/>
      <c r="AY282" s="928"/>
      <c r="AZ282" s="928"/>
      <c r="BA282" s="928"/>
      <c r="BB282" s="928"/>
      <c r="BC282" s="928"/>
      <c r="BD282" s="928"/>
      <c r="BE282" s="928"/>
      <c r="BF282" s="928"/>
      <c r="BG282" s="928"/>
      <c r="BH282" s="928"/>
      <c r="BI282" s="928"/>
      <c r="BJ282" s="928"/>
      <c r="BK282" s="928"/>
      <c r="BL282" s="928"/>
      <c r="BM282" s="928"/>
      <c r="BN282" s="928"/>
      <c r="BO282" s="928"/>
      <c r="BP282" s="928"/>
      <c r="BQ282" s="928"/>
      <c r="BR282" s="928"/>
      <c r="BS282" s="928"/>
      <c r="BT282" s="928"/>
      <c r="BU282" s="928"/>
      <c r="BV282" s="928"/>
      <c r="BW282" s="928"/>
      <c r="BX282" s="928"/>
      <c r="BY282" s="928"/>
      <c r="BZ282" s="928"/>
      <c r="CA282" s="928"/>
      <c r="CB282" s="928"/>
      <c r="CC282" s="928"/>
      <c r="CD282" s="928"/>
      <c r="CE282" s="928"/>
      <c r="CF282" s="928"/>
      <c r="CG282" s="928"/>
      <c r="CH282" s="928"/>
      <c r="CI282" s="928"/>
      <c r="CJ282" s="928"/>
      <c r="CK282" s="928"/>
      <c r="CL282" s="928"/>
      <c r="CM282" s="928"/>
      <c r="CN282" s="928"/>
      <c r="CO282" s="928"/>
      <c r="CP282" s="928"/>
      <c r="CQ282" s="928"/>
      <c r="CR282" s="928"/>
      <c r="CS282" s="928"/>
      <c r="CT282" s="928"/>
      <c r="CU282" s="928"/>
      <c r="CV282" s="928"/>
      <c r="CW282" s="928"/>
      <c r="CX282" s="928"/>
      <c r="CY282" s="928"/>
      <c r="CZ282" s="928"/>
      <c r="DA282" s="928"/>
      <c r="DB282" s="928"/>
      <c r="DC282" s="928"/>
      <c r="DD282" s="928"/>
      <c r="DE282" s="928"/>
      <c r="DF282" s="928"/>
      <c r="DG282" s="928"/>
      <c r="DH282" s="928"/>
    </row>
    <row r="283" spans="1:112">
      <c r="A283" s="891" t="s">
        <v>1085</v>
      </c>
      <c r="B283" s="891" t="s">
        <v>1454</v>
      </c>
      <c r="C283" s="891" t="s">
        <v>222</v>
      </c>
      <c r="D283" s="891" t="s">
        <v>1085</v>
      </c>
      <c r="E283" s="891" t="s">
        <v>1454</v>
      </c>
      <c r="F283" s="891" t="s">
        <v>222</v>
      </c>
      <c r="G283" s="897">
        <v>70.989999999999995</v>
      </c>
      <c r="H283" s="897">
        <v>134.13</v>
      </c>
      <c r="I283" s="897">
        <v>28.58</v>
      </c>
      <c r="J283" s="891"/>
      <c r="K283" s="891"/>
      <c r="L283" s="891"/>
      <c r="M283" s="891"/>
      <c r="N283" s="891"/>
      <c r="O283" s="891"/>
      <c r="P283" s="891"/>
      <c r="Q283" s="891"/>
      <c r="R283" s="891"/>
      <c r="S283" s="891"/>
      <c r="T283" s="891"/>
      <c r="U283" s="928"/>
      <c r="V283" s="928"/>
      <c r="W283" s="928"/>
      <c r="X283" s="928"/>
      <c r="Y283" s="928"/>
      <c r="Z283" s="928"/>
      <c r="AA283" s="928"/>
      <c r="AB283" s="928"/>
      <c r="AC283" s="928"/>
      <c r="AD283" s="928"/>
      <c r="AE283" s="928"/>
      <c r="AF283" s="928"/>
      <c r="AG283" s="928"/>
      <c r="AH283" s="928"/>
      <c r="AI283" s="928"/>
      <c r="AJ283" s="928"/>
      <c r="AK283" s="928"/>
      <c r="AL283" s="928"/>
      <c r="AM283" s="928"/>
      <c r="AN283" s="928"/>
      <c r="AO283" s="928"/>
      <c r="AP283" s="928"/>
      <c r="AQ283" s="928"/>
      <c r="AR283" s="928"/>
      <c r="AS283" s="928"/>
      <c r="AT283" s="928"/>
      <c r="AU283" s="928"/>
      <c r="AV283" s="928"/>
      <c r="AW283" s="928"/>
      <c r="AX283" s="928"/>
      <c r="AY283" s="928"/>
      <c r="AZ283" s="928"/>
      <c r="BA283" s="928"/>
      <c r="BB283" s="928"/>
      <c r="BC283" s="928"/>
      <c r="BD283" s="928"/>
      <c r="BE283" s="928"/>
      <c r="BF283" s="928"/>
      <c r="BG283" s="928"/>
      <c r="BH283" s="928"/>
      <c r="BI283" s="928"/>
      <c r="BJ283" s="928"/>
      <c r="BK283" s="928"/>
      <c r="BL283" s="928"/>
      <c r="BM283" s="928"/>
      <c r="BN283" s="928"/>
      <c r="BO283" s="928"/>
      <c r="BP283" s="928"/>
      <c r="BQ283" s="928"/>
      <c r="BR283" s="928"/>
      <c r="BS283" s="928"/>
      <c r="BT283" s="928"/>
      <c r="BU283" s="928"/>
      <c r="BV283" s="928"/>
      <c r="BW283" s="928"/>
      <c r="BX283" s="928"/>
      <c r="BY283" s="928"/>
      <c r="BZ283" s="928"/>
      <c r="CA283" s="928"/>
      <c r="CB283" s="928"/>
      <c r="CC283" s="928"/>
      <c r="CD283" s="928"/>
      <c r="CE283" s="928"/>
      <c r="CF283" s="928"/>
      <c r="CG283" s="928"/>
      <c r="CH283" s="928"/>
      <c r="CI283" s="928"/>
      <c r="CJ283" s="928"/>
      <c r="CK283" s="928"/>
      <c r="CL283" s="928"/>
      <c r="CM283" s="928"/>
      <c r="CN283" s="928"/>
      <c r="CO283" s="928"/>
      <c r="CP283" s="928"/>
      <c r="CQ283" s="928"/>
      <c r="CR283" s="928"/>
      <c r="CS283" s="928"/>
      <c r="CT283" s="928"/>
      <c r="CU283" s="928"/>
      <c r="CV283" s="928"/>
      <c r="CW283" s="928"/>
      <c r="CX283" s="928"/>
      <c r="CY283" s="928"/>
      <c r="CZ283" s="928"/>
      <c r="DA283" s="928"/>
      <c r="DB283" s="928"/>
      <c r="DC283" s="928"/>
      <c r="DD283" s="928"/>
      <c r="DE283" s="928"/>
      <c r="DF283" s="928"/>
      <c r="DG283" s="928"/>
      <c r="DH283" s="928"/>
    </row>
    <row r="284" spans="1:112">
      <c r="A284" s="891" t="s">
        <v>1086</v>
      </c>
      <c r="B284" s="891" t="s">
        <v>1454</v>
      </c>
      <c r="C284" s="891" t="s">
        <v>170</v>
      </c>
      <c r="D284" s="891" t="s">
        <v>1086</v>
      </c>
      <c r="E284" s="891" t="s">
        <v>1454</v>
      </c>
      <c r="F284" s="891" t="s">
        <v>170</v>
      </c>
      <c r="G284" s="897">
        <v>102.09</v>
      </c>
      <c r="H284" s="897">
        <v>84.58</v>
      </c>
      <c r="I284" s="897">
        <v>110.53</v>
      </c>
      <c r="J284" s="891"/>
      <c r="K284" s="891"/>
      <c r="L284" s="891"/>
      <c r="M284" s="891"/>
      <c r="N284" s="891"/>
      <c r="O284" s="891"/>
      <c r="P284" s="891"/>
      <c r="Q284" s="891"/>
      <c r="R284" s="891"/>
      <c r="S284" s="891"/>
      <c r="T284" s="891"/>
      <c r="U284" s="928"/>
      <c r="V284" s="928"/>
      <c r="W284" s="928"/>
      <c r="X284" s="928"/>
      <c r="Y284" s="928"/>
      <c r="Z284" s="928"/>
      <c r="AA284" s="928"/>
      <c r="AB284" s="928"/>
      <c r="AC284" s="928"/>
      <c r="AD284" s="928"/>
      <c r="AE284" s="928"/>
      <c r="AF284" s="928"/>
      <c r="AG284" s="928"/>
      <c r="AH284" s="928"/>
      <c r="AI284" s="928"/>
      <c r="AJ284" s="928"/>
      <c r="AK284" s="928"/>
      <c r="AL284" s="928"/>
      <c r="AM284" s="928"/>
      <c r="AN284" s="928"/>
      <c r="AO284" s="928"/>
      <c r="AP284" s="928"/>
      <c r="AQ284" s="928"/>
      <c r="AR284" s="928"/>
      <c r="AS284" s="928"/>
      <c r="AT284" s="928"/>
      <c r="AU284" s="928"/>
      <c r="AV284" s="928"/>
      <c r="AW284" s="928"/>
      <c r="AX284" s="928"/>
      <c r="AY284" s="928"/>
      <c r="AZ284" s="928"/>
      <c r="BA284" s="928"/>
      <c r="BB284" s="928"/>
      <c r="BC284" s="928"/>
      <c r="BD284" s="928"/>
      <c r="BE284" s="928"/>
      <c r="BF284" s="928"/>
      <c r="BG284" s="928"/>
      <c r="BH284" s="928"/>
      <c r="BI284" s="928"/>
      <c r="BJ284" s="928"/>
      <c r="BK284" s="928"/>
      <c r="BL284" s="928"/>
      <c r="BM284" s="928"/>
      <c r="BN284" s="928"/>
      <c r="BO284" s="928"/>
      <c r="BP284" s="928"/>
      <c r="BQ284" s="928"/>
      <c r="BR284" s="928"/>
      <c r="BS284" s="928"/>
      <c r="BT284" s="928"/>
      <c r="BU284" s="928"/>
      <c r="BV284" s="928"/>
      <c r="BW284" s="928"/>
      <c r="BX284" s="928"/>
      <c r="BY284" s="928"/>
      <c r="BZ284" s="928"/>
      <c r="CA284" s="928"/>
      <c r="CB284" s="928"/>
      <c r="CC284" s="928"/>
      <c r="CD284" s="928"/>
      <c r="CE284" s="928"/>
      <c r="CF284" s="928"/>
      <c r="CG284" s="928"/>
      <c r="CH284" s="928"/>
      <c r="CI284" s="928"/>
      <c r="CJ284" s="928"/>
      <c r="CK284" s="928"/>
      <c r="CL284" s="928"/>
      <c r="CM284" s="928"/>
      <c r="CN284" s="928"/>
      <c r="CO284" s="928"/>
      <c r="CP284" s="928"/>
      <c r="CQ284" s="928"/>
      <c r="CR284" s="928"/>
      <c r="CS284" s="928"/>
      <c r="CT284" s="928"/>
      <c r="CU284" s="928"/>
      <c r="CV284" s="928"/>
      <c r="CW284" s="928"/>
      <c r="CX284" s="928"/>
      <c r="CY284" s="928"/>
      <c r="CZ284" s="928"/>
      <c r="DA284" s="928"/>
      <c r="DB284" s="928"/>
      <c r="DC284" s="928"/>
      <c r="DD284" s="928"/>
      <c r="DE284" s="928"/>
      <c r="DF284" s="928"/>
      <c r="DG284" s="928"/>
      <c r="DH284" s="928"/>
    </row>
    <row r="285" spans="1:112">
      <c r="A285" s="891" t="s">
        <v>1087</v>
      </c>
      <c r="B285" s="891" t="s">
        <v>1454</v>
      </c>
      <c r="C285" s="891" t="s">
        <v>111</v>
      </c>
      <c r="D285" s="891" t="s">
        <v>1087</v>
      </c>
      <c r="E285" s="891" t="s">
        <v>1454</v>
      </c>
      <c r="F285" s="891" t="s">
        <v>111</v>
      </c>
      <c r="G285" s="897">
        <v>54.56</v>
      </c>
      <c r="H285" s="897">
        <v>23.04</v>
      </c>
      <c r="I285" s="897">
        <v>27.78</v>
      </c>
      <c r="J285" s="891"/>
      <c r="K285" s="891"/>
      <c r="L285" s="891"/>
      <c r="M285" s="891"/>
      <c r="N285" s="891"/>
      <c r="O285" s="891"/>
      <c r="P285" s="891"/>
      <c r="Q285" s="891"/>
      <c r="R285" s="891"/>
      <c r="S285" s="891"/>
      <c r="T285" s="891"/>
      <c r="U285" s="928"/>
      <c r="V285" s="928"/>
      <c r="W285" s="928"/>
      <c r="X285" s="928"/>
      <c r="Y285" s="928"/>
      <c r="Z285" s="928"/>
      <c r="AA285" s="928"/>
      <c r="AB285" s="928"/>
      <c r="AC285" s="928"/>
      <c r="AD285" s="928"/>
      <c r="AE285" s="928"/>
      <c r="AF285" s="928"/>
      <c r="AG285" s="928"/>
      <c r="AH285" s="928"/>
      <c r="AI285" s="928"/>
      <c r="AJ285" s="928"/>
      <c r="AK285" s="928"/>
      <c r="AL285" s="928"/>
      <c r="AM285" s="928"/>
      <c r="AN285" s="928"/>
      <c r="AO285" s="928"/>
      <c r="AP285" s="928"/>
      <c r="AQ285" s="928"/>
      <c r="AR285" s="928"/>
      <c r="AS285" s="928"/>
      <c r="AT285" s="928"/>
      <c r="AU285" s="928"/>
      <c r="AV285" s="928"/>
      <c r="AW285" s="928"/>
      <c r="AX285" s="928"/>
      <c r="AY285" s="928"/>
      <c r="AZ285" s="928"/>
      <c r="BA285" s="928"/>
      <c r="BB285" s="928"/>
      <c r="BC285" s="928"/>
      <c r="BD285" s="928"/>
      <c r="BE285" s="928"/>
      <c r="BF285" s="928"/>
      <c r="BG285" s="928"/>
      <c r="BH285" s="928"/>
      <c r="BI285" s="928"/>
      <c r="BJ285" s="928"/>
      <c r="BK285" s="928"/>
      <c r="BL285" s="928"/>
      <c r="BM285" s="928"/>
      <c r="BN285" s="928"/>
      <c r="BO285" s="928"/>
      <c r="BP285" s="928"/>
      <c r="BQ285" s="928"/>
      <c r="BR285" s="928"/>
      <c r="BS285" s="928"/>
      <c r="BT285" s="928"/>
      <c r="BU285" s="928"/>
      <c r="BV285" s="928"/>
      <c r="BW285" s="928"/>
      <c r="BX285" s="928"/>
      <c r="BY285" s="928"/>
      <c r="BZ285" s="928"/>
      <c r="CA285" s="928"/>
      <c r="CB285" s="928"/>
      <c r="CC285" s="928"/>
      <c r="CD285" s="928"/>
      <c r="CE285" s="928"/>
      <c r="CF285" s="928"/>
      <c r="CG285" s="928"/>
      <c r="CH285" s="928"/>
      <c r="CI285" s="928"/>
      <c r="CJ285" s="928"/>
      <c r="CK285" s="928"/>
      <c r="CL285" s="928"/>
      <c r="CM285" s="928"/>
      <c r="CN285" s="928"/>
      <c r="CO285" s="928"/>
      <c r="CP285" s="928"/>
      <c r="CQ285" s="928"/>
      <c r="CR285" s="928"/>
      <c r="CS285" s="928"/>
      <c r="CT285" s="928"/>
      <c r="CU285" s="928"/>
      <c r="CV285" s="928"/>
      <c r="CW285" s="928"/>
      <c r="CX285" s="928"/>
      <c r="CY285" s="928"/>
      <c r="CZ285" s="928"/>
      <c r="DA285" s="928"/>
      <c r="DB285" s="928"/>
      <c r="DC285" s="928"/>
      <c r="DD285" s="928"/>
      <c r="DE285" s="928"/>
      <c r="DF285" s="928"/>
      <c r="DG285" s="928"/>
      <c r="DH285" s="928"/>
    </row>
    <row r="286" spans="1:112">
      <c r="A286" s="891" t="s">
        <v>1088</v>
      </c>
      <c r="B286" s="891" t="s">
        <v>1454</v>
      </c>
      <c r="C286" s="891" t="s">
        <v>132</v>
      </c>
      <c r="D286" s="891" t="s">
        <v>1088</v>
      </c>
      <c r="E286" s="891" t="s">
        <v>1454</v>
      </c>
      <c r="F286" s="891" t="s">
        <v>132</v>
      </c>
      <c r="G286" s="897">
        <v>50.11</v>
      </c>
      <c r="H286" s="897">
        <v>28.85</v>
      </c>
      <c r="I286" s="897">
        <v>25.81</v>
      </c>
      <c r="J286" s="891"/>
      <c r="K286" s="891"/>
      <c r="L286" s="891"/>
      <c r="M286" s="891"/>
      <c r="N286" s="891"/>
      <c r="O286" s="891"/>
      <c r="P286" s="891"/>
      <c r="Q286" s="891"/>
      <c r="R286" s="891"/>
      <c r="S286" s="891"/>
      <c r="T286" s="891"/>
      <c r="U286" s="928"/>
      <c r="V286" s="928"/>
      <c r="W286" s="928"/>
      <c r="X286" s="928"/>
      <c r="Y286" s="928"/>
      <c r="Z286" s="928"/>
      <c r="AA286" s="928"/>
      <c r="AB286" s="928"/>
      <c r="AC286" s="928"/>
      <c r="AD286" s="928"/>
      <c r="AE286" s="928"/>
      <c r="AF286" s="928"/>
      <c r="AG286" s="928"/>
      <c r="AH286" s="928"/>
      <c r="AI286" s="928"/>
      <c r="AJ286" s="928"/>
      <c r="AK286" s="928"/>
      <c r="AL286" s="928"/>
      <c r="AM286" s="928"/>
      <c r="AN286" s="928"/>
      <c r="AO286" s="928"/>
      <c r="AP286" s="928"/>
      <c r="AQ286" s="928"/>
      <c r="AR286" s="928"/>
      <c r="AS286" s="928"/>
      <c r="AT286" s="928"/>
      <c r="AU286" s="928"/>
      <c r="AV286" s="928"/>
      <c r="AW286" s="928"/>
      <c r="AX286" s="928"/>
      <c r="AY286" s="928"/>
      <c r="AZ286" s="928"/>
      <c r="BA286" s="928"/>
      <c r="BB286" s="928"/>
      <c r="BC286" s="928"/>
      <c r="BD286" s="928"/>
      <c r="BE286" s="928"/>
      <c r="BF286" s="928"/>
      <c r="BG286" s="928"/>
      <c r="BH286" s="928"/>
      <c r="BI286" s="928"/>
      <c r="BJ286" s="928"/>
      <c r="BK286" s="928"/>
      <c r="BL286" s="928"/>
      <c r="BM286" s="928"/>
      <c r="BN286" s="928"/>
      <c r="BO286" s="928"/>
      <c r="BP286" s="928"/>
      <c r="BQ286" s="928"/>
      <c r="BR286" s="928"/>
      <c r="BS286" s="928"/>
      <c r="BT286" s="928"/>
      <c r="BU286" s="928"/>
      <c r="BV286" s="928"/>
      <c r="BW286" s="928"/>
      <c r="BX286" s="928"/>
      <c r="BY286" s="928"/>
      <c r="BZ286" s="928"/>
      <c r="CA286" s="928"/>
      <c r="CB286" s="928"/>
      <c r="CC286" s="928"/>
      <c r="CD286" s="928"/>
      <c r="CE286" s="928"/>
      <c r="CF286" s="928"/>
      <c r="CG286" s="928"/>
      <c r="CH286" s="928"/>
      <c r="CI286" s="928"/>
      <c r="CJ286" s="928"/>
      <c r="CK286" s="928"/>
      <c r="CL286" s="928"/>
      <c r="CM286" s="928"/>
      <c r="CN286" s="928"/>
      <c r="CO286" s="928"/>
      <c r="CP286" s="928"/>
      <c r="CQ286" s="928"/>
      <c r="CR286" s="928"/>
      <c r="CS286" s="928"/>
      <c r="CT286" s="928"/>
      <c r="CU286" s="928"/>
      <c r="CV286" s="928"/>
      <c r="CW286" s="928"/>
      <c r="CX286" s="928"/>
      <c r="CY286" s="928"/>
      <c r="CZ286" s="928"/>
      <c r="DA286" s="928"/>
      <c r="DB286" s="928"/>
      <c r="DC286" s="928"/>
      <c r="DD286" s="928"/>
      <c r="DE286" s="928"/>
      <c r="DF286" s="928"/>
      <c r="DG286" s="928"/>
      <c r="DH286" s="928"/>
    </row>
    <row r="287" spans="1:112">
      <c r="A287" s="891" t="s">
        <v>1088</v>
      </c>
      <c r="B287" s="891" t="s">
        <v>1547</v>
      </c>
      <c r="C287" s="891" t="s">
        <v>224</v>
      </c>
      <c r="D287" s="891" t="s">
        <v>1088</v>
      </c>
      <c r="E287" s="891" t="s">
        <v>1547</v>
      </c>
      <c r="F287" s="891" t="s">
        <v>224</v>
      </c>
      <c r="G287" s="897">
        <v>82.84</v>
      </c>
      <c r="H287" s="897">
        <v>70.489999999999995</v>
      </c>
      <c r="I287" s="897">
        <v>139.87</v>
      </c>
      <c r="J287" s="891"/>
      <c r="K287" s="891"/>
      <c r="L287" s="891"/>
      <c r="M287" s="891"/>
      <c r="N287" s="891"/>
      <c r="O287" s="891"/>
      <c r="P287" s="891"/>
      <c r="Q287" s="891"/>
      <c r="R287" s="891"/>
      <c r="S287" s="891"/>
      <c r="T287" s="891"/>
      <c r="U287" s="928"/>
      <c r="V287" s="928"/>
      <c r="W287" s="928"/>
      <c r="X287" s="928"/>
      <c r="Y287" s="928"/>
      <c r="Z287" s="928"/>
      <c r="AA287" s="928"/>
      <c r="AB287" s="928"/>
      <c r="AC287" s="928"/>
      <c r="AD287" s="928"/>
      <c r="AE287" s="928"/>
      <c r="AF287" s="928"/>
      <c r="AG287" s="928"/>
      <c r="AH287" s="928"/>
      <c r="AI287" s="928"/>
      <c r="AJ287" s="928"/>
      <c r="AK287" s="928"/>
      <c r="AL287" s="928"/>
      <c r="AM287" s="928"/>
      <c r="AN287" s="928"/>
      <c r="AO287" s="928"/>
      <c r="AP287" s="928"/>
      <c r="AQ287" s="928"/>
      <c r="AR287" s="928"/>
      <c r="AS287" s="928"/>
      <c r="AT287" s="928"/>
      <c r="AU287" s="928"/>
      <c r="AV287" s="928"/>
      <c r="AW287" s="928"/>
      <c r="AX287" s="928"/>
      <c r="AY287" s="928"/>
      <c r="AZ287" s="928"/>
      <c r="BA287" s="928"/>
      <c r="BB287" s="928"/>
      <c r="BC287" s="928"/>
      <c r="BD287" s="928"/>
      <c r="BE287" s="928"/>
      <c r="BF287" s="928"/>
      <c r="BG287" s="928"/>
      <c r="BH287" s="928"/>
      <c r="BI287" s="928"/>
      <c r="BJ287" s="928"/>
      <c r="BK287" s="928"/>
      <c r="BL287" s="928"/>
      <c r="BM287" s="928"/>
      <c r="BN287" s="928"/>
      <c r="BO287" s="928"/>
      <c r="BP287" s="928"/>
      <c r="BQ287" s="928"/>
      <c r="BR287" s="928"/>
      <c r="BS287" s="928"/>
      <c r="BT287" s="928"/>
      <c r="BU287" s="928"/>
      <c r="BV287" s="928"/>
      <c r="BW287" s="928"/>
      <c r="BX287" s="928"/>
      <c r="BY287" s="928"/>
      <c r="BZ287" s="928"/>
      <c r="CA287" s="928"/>
      <c r="CB287" s="928"/>
      <c r="CC287" s="928"/>
      <c r="CD287" s="928"/>
      <c r="CE287" s="928"/>
      <c r="CF287" s="928"/>
      <c r="CG287" s="928"/>
      <c r="CH287" s="928"/>
      <c r="CI287" s="928"/>
      <c r="CJ287" s="928"/>
      <c r="CK287" s="928"/>
      <c r="CL287" s="928"/>
      <c r="CM287" s="928"/>
      <c r="CN287" s="928"/>
      <c r="CO287" s="928"/>
      <c r="CP287" s="928"/>
      <c r="CQ287" s="928"/>
      <c r="CR287" s="928"/>
      <c r="CS287" s="928"/>
      <c r="CT287" s="928"/>
      <c r="CU287" s="928"/>
      <c r="CV287" s="928"/>
      <c r="CW287" s="928"/>
      <c r="CX287" s="928"/>
      <c r="CY287" s="928"/>
      <c r="CZ287" s="928"/>
      <c r="DA287" s="928"/>
      <c r="DB287" s="928"/>
      <c r="DC287" s="928"/>
      <c r="DD287" s="928"/>
      <c r="DE287" s="928"/>
      <c r="DF287" s="928"/>
      <c r="DG287" s="928"/>
      <c r="DH287" s="928"/>
    </row>
    <row r="288" spans="1:112">
      <c r="A288" s="891" t="s">
        <v>1089</v>
      </c>
      <c r="B288" s="891" t="s">
        <v>1548</v>
      </c>
      <c r="C288" s="891" t="s">
        <v>162</v>
      </c>
      <c r="D288" s="891" t="s">
        <v>1089</v>
      </c>
      <c r="E288" s="891" t="s">
        <v>1548</v>
      </c>
      <c r="F288" s="891" t="s">
        <v>162</v>
      </c>
      <c r="G288" s="897">
        <v>52.93</v>
      </c>
      <c r="H288" s="897">
        <v>41.54</v>
      </c>
      <c r="I288" s="897">
        <v>66.14</v>
      </c>
      <c r="J288" s="891"/>
      <c r="K288" s="891"/>
      <c r="L288" s="891"/>
      <c r="M288" s="891"/>
      <c r="N288" s="891"/>
      <c r="O288" s="891"/>
      <c r="P288" s="891"/>
      <c r="Q288" s="891"/>
      <c r="R288" s="891"/>
      <c r="S288" s="891"/>
      <c r="T288" s="891"/>
      <c r="U288" s="928"/>
      <c r="V288" s="928"/>
      <c r="W288" s="928"/>
      <c r="X288" s="928"/>
      <c r="Y288" s="928"/>
      <c r="Z288" s="928"/>
      <c r="AA288" s="928"/>
      <c r="AB288" s="928"/>
      <c r="AC288" s="928"/>
      <c r="AD288" s="928"/>
      <c r="AE288" s="928"/>
      <c r="AF288" s="928"/>
      <c r="AG288" s="928"/>
      <c r="AH288" s="928"/>
      <c r="AI288" s="928"/>
      <c r="AJ288" s="928"/>
      <c r="AK288" s="928"/>
      <c r="AL288" s="928"/>
      <c r="AM288" s="928"/>
      <c r="AN288" s="928"/>
      <c r="AO288" s="928"/>
      <c r="AP288" s="928"/>
      <c r="AQ288" s="928"/>
      <c r="AR288" s="928"/>
      <c r="AS288" s="928"/>
      <c r="AT288" s="928"/>
      <c r="AU288" s="928"/>
      <c r="AV288" s="928"/>
      <c r="AW288" s="928"/>
      <c r="AX288" s="928"/>
      <c r="AY288" s="928"/>
      <c r="AZ288" s="928"/>
      <c r="BA288" s="928"/>
      <c r="BB288" s="928"/>
      <c r="BC288" s="928"/>
      <c r="BD288" s="928"/>
      <c r="BE288" s="928"/>
      <c r="BF288" s="928"/>
      <c r="BG288" s="928"/>
      <c r="BH288" s="928"/>
      <c r="BI288" s="928"/>
      <c r="BJ288" s="928"/>
      <c r="BK288" s="928"/>
      <c r="BL288" s="928"/>
      <c r="BM288" s="928"/>
      <c r="BN288" s="928"/>
      <c r="BO288" s="928"/>
      <c r="BP288" s="928"/>
      <c r="BQ288" s="928"/>
      <c r="BR288" s="928"/>
      <c r="BS288" s="928"/>
      <c r="BT288" s="928"/>
      <c r="BU288" s="928"/>
      <c r="BV288" s="928"/>
      <c r="BW288" s="928"/>
      <c r="BX288" s="928"/>
      <c r="BY288" s="928"/>
      <c r="BZ288" s="928"/>
      <c r="CA288" s="928"/>
      <c r="CB288" s="928"/>
      <c r="CC288" s="928"/>
      <c r="CD288" s="928"/>
      <c r="CE288" s="928"/>
      <c r="CF288" s="928"/>
      <c r="CG288" s="928"/>
      <c r="CH288" s="928"/>
      <c r="CI288" s="928"/>
      <c r="CJ288" s="928"/>
      <c r="CK288" s="928"/>
      <c r="CL288" s="928"/>
      <c r="CM288" s="928"/>
      <c r="CN288" s="928"/>
      <c r="CO288" s="928"/>
      <c r="CP288" s="928"/>
      <c r="CQ288" s="928"/>
      <c r="CR288" s="928"/>
      <c r="CS288" s="928"/>
      <c r="CT288" s="928"/>
      <c r="CU288" s="928"/>
      <c r="CV288" s="928"/>
      <c r="CW288" s="928"/>
      <c r="CX288" s="928"/>
      <c r="CY288" s="928"/>
      <c r="CZ288" s="928"/>
      <c r="DA288" s="928"/>
      <c r="DB288" s="928"/>
      <c r="DC288" s="928"/>
      <c r="DD288" s="928"/>
      <c r="DE288" s="928"/>
      <c r="DF288" s="928"/>
      <c r="DG288" s="928"/>
      <c r="DH288" s="928"/>
    </row>
    <row r="289" spans="1:112">
      <c r="A289" s="891" t="s">
        <v>1090</v>
      </c>
      <c r="B289" s="891" t="s">
        <v>1549</v>
      </c>
      <c r="C289" s="891" t="s">
        <v>279</v>
      </c>
      <c r="D289" s="891" t="s">
        <v>1090</v>
      </c>
      <c r="E289" s="891" t="s">
        <v>1549</v>
      </c>
      <c r="F289" s="891" t="s">
        <v>279</v>
      </c>
      <c r="G289" s="897">
        <v>109.55</v>
      </c>
      <c r="H289" s="897">
        <v>84.41</v>
      </c>
      <c r="I289" s="897">
        <v>102.64</v>
      </c>
      <c r="J289" s="891"/>
      <c r="K289" s="891"/>
      <c r="L289" s="891"/>
      <c r="M289" s="891"/>
      <c r="N289" s="891"/>
      <c r="O289" s="891"/>
      <c r="P289" s="891"/>
      <c r="Q289" s="891"/>
      <c r="R289" s="891"/>
      <c r="S289" s="891"/>
      <c r="T289" s="891"/>
      <c r="U289" s="928"/>
      <c r="V289" s="928"/>
      <c r="W289" s="928"/>
      <c r="X289" s="928"/>
      <c r="Y289" s="928"/>
      <c r="Z289" s="928"/>
      <c r="AA289" s="928"/>
      <c r="AB289" s="928"/>
      <c r="AC289" s="928"/>
      <c r="AD289" s="928"/>
      <c r="AE289" s="928"/>
      <c r="AF289" s="928"/>
      <c r="AG289" s="928"/>
      <c r="AH289" s="928"/>
      <c r="AI289" s="928"/>
      <c r="AJ289" s="928"/>
      <c r="AK289" s="928"/>
      <c r="AL289" s="928"/>
      <c r="AM289" s="928"/>
      <c r="AN289" s="928"/>
      <c r="AO289" s="928"/>
      <c r="AP289" s="928"/>
      <c r="AQ289" s="928"/>
      <c r="AR289" s="928"/>
      <c r="AS289" s="928"/>
      <c r="AT289" s="928"/>
      <c r="AU289" s="928"/>
      <c r="AV289" s="928"/>
      <c r="AW289" s="928"/>
      <c r="AX289" s="928"/>
      <c r="AY289" s="928"/>
      <c r="AZ289" s="928"/>
      <c r="BA289" s="928"/>
      <c r="BB289" s="928"/>
      <c r="BC289" s="928"/>
      <c r="BD289" s="928"/>
      <c r="BE289" s="928"/>
      <c r="BF289" s="928"/>
      <c r="BG289" s="928"/>
      <c r="BH289" s="928"/>
      <c r="BI289" s="928"/>
      <c r="BJ289" s="928"/>
      <c r="BK289" s="928"/>
      <c r="BL289" s="928"/>
      <c r="BM289" s="928"/>
      <c r="BN289" s="928"/>
      <c r="BO289" s="928"/>
      <c r="BP289" s="928"/>
      <c r="BQ289" s="928"/>
      <c r="BR289" s="928"/>
      <c r="BS289" s="928"/>
      <c r="BT289" s="928"/>
      <c r="BU289" s="928"/>
      <c r="BV289" s="928"/>
      <c r="BW289" s="928"/>
      <c r="BX289" s="928"/>
      <c r="BY289" s="928"/>
      <c r="BZ289" s="928"/>
      <c r="CA289" s="928"/>
      <c r="CB289" s="928"/>
      <c r="CC289" s="928"/>
      <c r="CD289" s="928"/>
      <c r="CE289" s="928"/>
      <c r="CF289" s="928"/>
      <c r="CG289" s="928"/>
      <c r="CH289" s="928"/>
      <c r="CI289" s="928"/>
      <c r="CJ289" s="928"/>
      <c r="CK289" s="928"/>
      <c r="CL289" s="928"/>
      <c r="CM289" s="928"/>
      <c r="CN289" s="928"/>
      <c r="CO289" s="928"/>
      <c r="CP289" s="928"/>
      <c r="CQ289" s="928"/>
      <c r="CR289" s="928"/>
      <c r="CS289" s="928"/>
      <c r="CT289" s="928"/>
      <c r="CU289" s="928"/>
      <c r="CV289" s="928"/>
      <c r="CW289" s="928"/>
      <c r="CX289" s="928"/>
      <c r="CY289" s="928"/>
      <c r="CZ289" s="928"/>
      <c r="DA289" s="928"/>
      <c r="DB289" s="928"/>
      <c r="DC289" s="928"/>
      <c r="DD289" s="928"/>
      <c r="DE289" s="928"/>
      <c r="DF289" s="928"/>
      <c r="DG289" s="928"/>
      <c r="DH289" s="928"/>
    </row>
    <row r="290" spans="1:112">
      <c r="A290" s="891" t="s">
        <v>1091</v>
      </c>
      <c r="B290" s="891" t="s">
        <v>1454</v>
      </c>
      <c r="C290" s="891" t="s">
        <v>147</v>
      </c>
      <c r="D290" s="891" t="s">
        <v>1091</v>
      </c>
      <c r="E290" s="891" t="s">
        <v>1454</v>
      </c>
      <c r="F290" s="891" t="s">
        <v>147</v>
      </c>
      <c r="G290" s="897">
        <v>100.98</v>
      </c>
      <c r="H290" s="897">
        <v>57.37</v>
      </c>
      <c r="I290" s="897">
        <v>105.53</v>
      </c>
      <c r="J290" s="891"/>
      <c r="K290" s="891"/>
      <c r="L290" s="891"/>
      <c r="M290" s="891"/>
      <c r="N290" s="891"/>
      <c r="O290" s="891"/>
      <c r="P290" s="891"/>
      <c r="Q290" s="891"/>
      <c r="R290" s="891"/>
      <c r="S290" s="891"/>
      <c r="T290" s="891"/>
      <c r="U290" s="928"/>
      <c r="V290" s="928"/>
      <c r="W290" s="928"/>
      <c r="X290" s="928"/>
      <c r="Y290" s="928"/>
      <c r="Z290" s="928"/>
      <c r="AA290" s="928"/>
      <c r="AB290" s="928"/>
      <c r="AC290" s="928"/>
      <c r="AD290" s="928"/>
      <c r="AE290" s="928"/>
      <c r="AF290" s="928"/>
      <c r="AG290" s="928"/>
      <c r="AH290" s="928"/>
      <c r="AI290" s="928"/>
      <c r="AJ290" s="928"/>
      <c r="AK290" s="928"/>
      <c r="AL290" s="928"/>
      <c r="AM290" s="928"/>
      <c r="AN290" s="928"/>
      <c r="AO290" s="928"/>
      <c r="AP290" s="928"/>
      <c r="AQ290" s="928"/>
      <c r="AR290" s="928"/>
      <c r="AS290" s="928"/>
      <c r="AT290" s="928"/>
      <c r="AU290" s="928"/>
      <c r="AV290" s="928"/>
      <c r="AW290" s="928"/>
      <c r="AX290" s="928"/>
      <c r="AY290" s="928"/>
      <c r="AZ290" s="928"/>
      <c r="BA290" s="928"/>
      <c r="BB290" s="928"/>
      <c r="BC290" s="928"/>
      <c r="BD290" s="928"/>
      <c r="BE290" s="928"/>
      <c r="BF290" s="928"/>
      <c r="BG290" s="928"/>
      <c r="BH290" s="928"/>
      <c r="BI290" s="928"/>
      <c r="BJ290" s="928"/>
      <c r="BK290" s="928"/>
      <c r="BL290" s="928"/>
      <c r="BM290" s="928"/>
      <c r="BN290" s="928"/>
      <c r="BO290" s="928"/>
      <c r="BP290" s="928"/>
      <c r="BQ290" s="928"/>
      <c r="BR290" s="928"/>
      <c r="BS290" s="928"/>
      <c r="BT290" s="928"/>
      <c r="BU290" s="928"/>
      <c r="BV290" s="928"/>
      <c r="BW290" s="928"/>
      <c r="BX290" s="928"/>
      <c r="BY290" s="928"/>
      <c r="BZ290" s="928"/>
      <c r="CA290" s="928"/>
      <c r="CB290" s="928"/>
      <c r="CC290" s="928"/>
      <c r="CD290" s="928"/>
      <c r="CE290" s="928"/>
      <c r="CF290" s="928"/>
      <c r="CG290" s="928"/>
      <c r="CH290" s="928"/>
      <c r="CI290" s="928"/>
      <c r="CJ290" s="928"/>
      <c r="CK290" s="928"/>
      <c r="CL290" s="928"/>
      <c r="CM290" s="928"/>
      <c r="CN290" s="928"/>
      <c r="CO290" s="928"/>
      <c r="CP290" s="928"/>
      <c r="CQ290" s="928"/>
      <c r="CR290" s="928"/>
      <c r="CS290" s="928"/>
      <c r="CT290" s="928"/>
      <c r="CU290" s="928"/>
      <c r="CV290" s="928"/>
      <c r="CW290" s="928"/>
      <c r="CX290" s="928"/>
      <c r="CY290" s="928"/>
      <c r="CZ290" s="928"/>
      <c r="DA290" s="928"/>
      <c r="DB290" s="928"/>
      <c r="DC290" s="928"/>
      <c r="DD290" s="928"/>
      <c r="DE290" s="928"/>
      <c r="DF290" s="928"/>
      <c r="DG290" s="928"/>
      <c r="DH290" s="928"/>
    </row>
    <row r="291" spans="1:112">
      <c r="A291" s="891" t="s">
        <v>1092</v>
      </c>
      <c r="B291" s="891" t="s">
        <v>1550</v>
      </c>
      <c r="C291" s="891" t="s">
        <v>250</v>
      </c>
      <c r="D291" s="891" t="s">
        <v>1092</v>
      </c>
      <c r="E291" s="891" t="s">
        <v>1550</v>
      </c>
      <c r="F291" s="891" t="s">
        <v>250</v>
      </c>
      <c r="G291" s="897">
        <v>112.85</v>
      </c>
      <c r="H291" s="897">
        <v>96.94</v>
      </c>
      <c r="I291" s="897">
        <v>69.650000000000006</v>
      </c>
      <c r="J291" s="891"/>
      <c r="K291" s="891"/>
      <c r="L291" s="891"/>
      <c r="M291" s="891"/>
      <c r="N291" s="891"/>
      <c r="O291" s="891"/>
      <c r="P291" s="891"/>
      <c r="Q291" s="891"/>
      <c r="R291" s="891"/>
      <c r="S291" s="891"/>
      <c r="T291" s="891"/>
      <c r="U291" s="928"/>
      <c r="V291" s="928"/>
      <c r="W291" s="928"/>
      <c r="X291" s="928"/>
      <c r="Y291" s="928"/>
      <c r="Z291" s="928"/>
      <c r="AA291" s="928"/>
      <c r="AB291" s="928"/>
      <c r="AC291" s="928"/>
      <c r="AD291" s="928"/>
      <c r="AE291" s="928"/>
      <c r="AF291" s="928"/>
      <c r="AG291" s="928"/>
      <c r="AH291" s="928"/>
      <c r="AI291" s="928"/>
      <c r="AJ291" s="928"/>
      <c r="AK291" s="928"/>
      <c r="AL291" s="928"/>
      <c r="AM291" s="928"/>
      <c r="AN291" s="928"/>
      <c r="AO291" s="928"/>
      <c r="AP291" s="928"/>
      <c r="AQ291" s="928"/>
      <c r="AR291" s="928"/>
      <c r="AS291" s="928"/>
      <c r="AT291" s="928"/>
      <c r="AU291" s="928"/>
      <c r="AV291" s="928"/>
      <c r="AW291" s="928"/>
      <c r="AX291" s="928"/>
      <c r="AY291" s="928"/>
      <c r="AZ291" s="928"/>
      <c r="BA291" s="928"/>
      <c r="BB291" s="928"/>
      <c r="BC291" s="928"/>
      <c r="BD291" s="928"/>
      <c r="BE291" s="928"/>
      <c r="BF291" s="928"/>
      <c r="BG291" s="928"/>
      <c r="BH291" s="928"/>
      <c r="BI291" s="928"/>
      <c r="BJ291" s="928"/>
      <c r="BK291" s="928"/>
      <c r="BL291" s="928"/>
      <c r="BM291" s="928"/>
      <c r="BN291" s="928"/>
      <c r="BO291" s="928"/>
      <c r="BP291" s="928"/>
      <c r="BQ291" s="928"/>
      <c r="BR291" s="928"/>
      <c r="BS291" s="928"/>
      <c r="BT291" s="928"/>
      <c r="BU291" s="928"/>
      <c r="BV291" s="928"/>
      <c r="BW291" s="928"/>
      <c r="BX291" s="928"/>
      <c r="BY291" s="928"/>
      <c r="BZ291" s="928"/>
      <c r="CA291" s="928"/>
      <c r="CB291" s="928"/>
      <c r="CC291" s="928"/>
      <c r="CD291" s="928"/>
      <c r="CE291" s="928"/>
      <c r="CF291" s="928"/>
      <c r="CG291" s="928"/>
      <c r="CH291" s="928"/>
      <c r="CI291" s="928"/>
      <c r="CJ291" s="928"/>
      <c r="CK291" s="928"/>
      <c r="CL291" s="928"/>
      <c r="CM291" s="928"/>
      <c r="CN291" s="928"/>
      <c r="CO291" s="928"/>
      <c r="CP291" s="928"/>
      <c r="CQ291" s="928"/>
      <c r="CR291" s="928"/>
      <c r="CS291" s="928"/>
      <c r="CT291" s="928"/>
      <c r="CU291" s="928"/>
      <c r="CV291" s="928"/>
      <c r="CW291" s="928"/>
      <c r="CX291" s="928"/>
      <c r="CY291" s="928"/>
      <c r="CZ291" s="928"/>
      <c r="DA291" s="928"/>
      <c r="DB291" s="928"/>
      <c r="DC291" s="928"/>
      <c r="DD291" s="928"/>
      <c r="DE291" s="928"/>
      <c r="DF291" s="928"/>
      <c r="DG291" s="928"/>
      <c r="DH291" s="928"/>
    </row>
    <row r="292" spans="1:112">
      <c r="A292" s="891" t="s">
        <v>1093</v>
      </c>
      <c r="B292" s="891" t="s">
        <v>1551</v>
      </c>
      <c r="C292" s="891" t="s">
        <v>741</v>
      </c>
      <c r="D292" s="891" t="s">
        <v>1093</v>
      </c>
      <c r="E292" s="891" t="s">
        <v>1551</v>
      </c>
      <c r="F292" s="891" t="s">
        <v>1552</v>
      </c>
      <c r="G292" s="897">
        <v>102.77</v>
      </c>
      <c r="H292" s="897">
        <v>79.91</v>
      </c>
      <c r="I292" s="897">
        <v>121.04</v>
      </c>
      <c r="J292" s="891"/>
      <c r="K292" s="891"/>
      <c r="L292" s="891"/>
      <c r="M292" s="891"/>
      <c r="N292" s="891"/>
      <c r="O292" s="891"/>
      <c r="P292" s="891"/>
      <c r="Q292" s="891"/>
      <c r="R292" s="891"/>
      <c r="S292" s="891"/>
      <c r="T292" s="891"/>
      <c r="U292" s="928"/>
      <c r="V292" s="928"/>
      <c r="W292" s="928"/>
      <c r="X292" s="928"/>
      <c r="Y292" s="928"/>
      <c r="Z292" s="928"/>
      <c r="AA292" s="928"/>
      <c r="AB292" s="928"/>
      <c r="AC292" s="928"/>
      <c r="AD292" s="928"/>
      <c r="AE292" s="928"/>
      <c r="AF292" s="928"/>
      <c r="AG292" s="928"/>
      <c r="AH292" s="928"/>
      <c r="AI292" s="928"/>
      <c r="AJ292" s="928"/>
      <c r="AK292" s="928"/>
      <c r="AL292" s="928"/>
      <c r="AM292" s="928"/>
      <c r="AN292" s="928"/>
      <c r="AO292" s="928"/>
      <c r="AP292" s="928"/>
      <c r="AQ292" s="928"/>
      <c r="AR292" s="928"/>
      <c r="AS292" s="928"/>
      <c r="AT292" s="928"/>
      <c r="AU292" s="928"/>
      <c r="AV292" s="928"/>
      <c r="AW292" s="928"/>
      <c r="AX292" s="928"/>
      <c r="AY292" s="928"/>
      <c r="AZ292" s="928"/>
      <c r="BA292" s="928"/>
      <c r="BB292" s="928"/>
      <c r="BC292" s="928"/>
      <c r="BD292" s="928"/>
      <c r="BE292" s="928"/>
      <c r="BF292" s="928"/>
      <c r="BG292" s="928"/>
      <c r="BH292" s="928"/>
      <c r="BI292" s="928"/>
      <c r="BJ292" s="928"/>
      <c r="BK292" s="928"/>
      <c r="BL292" s="928"/>
      <c r="BM292" s="928"/>
      <c r="BN292" s="928"/>
      <c r="BO292" s="928"/>
      <c r="BP292" s="928"/>
      <c r="BQ292" s="928"/>
      <c r="BR292" s="928"/>
      <c r="BS292" s="928"/>
      <c r="BT292" s="928"/>
      <c r="BU292" s="928"/>
      <c r="BV292" s="928"/>
      <c r="BW292" s="928"/>
      <c r="BX292" s="928"/>
      <c r="BY292" s="928"/>
      <c r="BZ292" s="928"/>
      <c r="CA292" s="928"/>
      <c r="CB292" s="928"/>
      <c r="CC292" s="928"/>
      <c r="CD292" s="928"/>
      <c r="CE292" s="928"/>
      <c r="CF292" s="928"/>
      <c r="CG292" s="928"/>
      <c r="CH292" s="928"/>
      <c r="CI292" s="928"/>
      <c r="CJ292" s="928"/>
      <c r="CK292" s="928"/>
      <c r="CL292" s="928"/>
      <c r="CM292" s="928"/>
      <c r="CN292" s="928"/>
      <c r="CO292" s="928"/>
      <c r="CP292" s="928"/>
      <c r="CQ292" s="928"/>
      <c r="CR292" s="928"/>
      <c r="CS292" s="928"/>
      <c r="CT292" s="928"/>
      <c r="CU292" s="928"/>
      <c r="CV292" s="928"/>
      <c r="CW292" s="928"/>
      <c r="CX292" s="928"/>
      <c r="CY292" s="928"/>
      <c r="CZ292" s="928"/>
      <c r="DA292" s="928"/>
      <c r="DB292" s="928"/>
      <c r="DC292" s="928"/>
      <c r="DD292" s="928"/>
      <c r="DE292" s="928"/>
      <c r="DF292" s="928"/>
      <c r="DG292" s="928"/>
      <c r="DH292" s="928"/>
    </row>
    <row r="293" spans="1:112">
      <c r="A293" s="891" t="s">
        <v>1094</v>
      </c>
      <c r="B293" s="891" t="s">
        <v>1475</v>
      </c>
      <c r="C293" s="891" t="s">
        <v>197</v>
      </c>
      <c r="D293" s="891" t="s">
        <v>1094</v>
      </c>
      <c r="E293" s="891" t="s">
        <v>1475</v>
      </c>
      <c r="F293" s="891" t="s">
        <v>197</v>
      </c>
      <c r="G293" s="897">
        <v>55.87</v>
      </c>
      <c r="H293" s="897">
        <v>53.23</v>
      </c>
      <c r="I293" s="897">
        <v>41.26</v>
      </c>
      <c r="J293" s="891"/>
      <c r="K293" s="891"/>
      <c r="L293" s="891"/>
      <c r="M293" s="891"/>
      <c r="N293" s="891"/>
      <c r="O293" s="891"/>
      <c r="P293" s="891"/>
      <c r="Q293" s="891"/>
      <c r="R293" s="891"/>
      <c r="S293" s="891"/>
      <c r="T293" s="891"/>
      <c r="U293" s="928"/>
      <c r="V293" s="928"/>
      <c r="W293" s="928"/>
      <c r="X293" s="928"/>
      <c r="Y293" s="928"/>
      <c r="Z293" s="928"/>
      <c r="AA293" s="928"/>
      <c r="AB293" s="928"/>
      <c r="AC293" s="928"/>
      <c r="AD293" s="928"/>
      <c r="AE293" s="928"/>
      <c r="AF293" s="928"/>
      <c r="AG293" s="928"/>
      <c r="AH293" s="928"/>
      <c r="AI293" s="928"/>
      <c r="AJ293" s="928"/>
      <c r="AK293" s="928"/>
      <c r="AL293" s="928"/>
      <c r="AM293" s="928"/>
      <c r="AN293" s="928"/>
      <c r="AO293" s="928"/>
      <c r="AP293" s="928"/>
      <c r="AQ293" s="928"/>
      <c r="AR293" s="928"/>
      <c r="AS293" s="928"/>
      <c r="AT293" s="928"/>
      <c r="AU293" s="928"/>
      <c r="AV293" s="928"/>
      <c r="AW293" s="928"/>
      <c r="AX293" s="928"/>
      <c r="AY293" s="928"/>
      <c r="AZ293" s="928"/>
      <c r="BA293" s="928"/>
      <c r="BB293" s="928"/>
      <c r="BC293" s="928"/>
      <c r="BD293" s="928"/>
      <c r="BE293" s="928"/>
      <c r="BF293" s="928"/>
      <c r="BG293" s="928"/>
      <c r="BH293" s="928"/>
      <c r="BI293" s="928"/>
      <c r="BJ293" s="928"/>
      <c r="BK293" s="928"/>
      <c r="BL293" s="928"/>
      <c r="BM293" s="928"/>
      <c r="BN293" s="928"/>
      <c r="BO293" s="928"/>
      <c r="BP293" s="928"/>
      <c r="BQ293" s="928"/>
      <c r="BR293" s="928"/>
      <c r="BS293" s="928"/>
      <c r="BT293" s="928"/>
      <c r="BU293" s="928"/>
      <c r="BV293" s="928"/>
      <c r="BW293" s="928"/>
      <c r="BX293" s="928"/>
      <c r="BY293" s="928"/>
      <c r="BZ293" s="928"/>
      <c r="CA293" s="928"/>
      <c r="CB293" s="928"/>
      <c r="CC293" s="928"/>
      <c r="CD293" s="928"/>
      <c r="CE293" s="928"/>
      <c r="CF293" s="928"/>
      <c r="CG293" s="928"/>
      <c r="CH293" s="928"/>
      <c r="CI293" s="928"/>
      <c r="CJ293" s="928"/>
      <c r="CK293" s="928"/>
      <c r="CL293" s="928"/>
      <c r="CM293" s="928"/>
      <c r="CN293" s="928"/>
      <c r="CO293" s="928"/>
      <c r="CP293" s="928"/>
      <c r="CQ293" s="928"/>
      <c r="CR293" s="928"/>
      <c r="CS293" s="928"/>
      <c r="CT293" s="928"/>
      <c r="CU293" s="928"/>
      <c r="CV293" s="928"/>
      <c r="CW293" s="928"/>
      <c r="CX293" s="928"/>
      <c r="CY293" s="928"/>
      <c r="CZ293" s="928"/>
      <c r="DA293" s="928"/>
      <c r="DB293" s="928"/>
      <c r="DC293" s="928"/>
      <c r="DD293" s="928"/>
      <c r="DE293" s="928"/>
      <c r="DF293" s="928"/>
      <c r="DG293" s="928"/>
      <c r="DH293" s="928"/>
    </row>
    <row r="294" spans="1:112">
      <c r="A294" s="891" t="s">
        <v>1095</v>
      </c>
      <c r="B294" s="891" t="s">
        <v>1469</v>
      </c>
      <c r="C294" s="891" t="s">
        <v>1553</v>
      </c>
      <c r="D294" s="891" t="s">
        <v>1095</v>
      </c>
      <c r="E294" s="891" t="s">
        <v>1469</v>
      </c>
      <c r="F294" s="891" t="s">
        <v>1553</v>
      </c>
      <c r="G294" s="897">
        <v>61.81</v>
      </c>
      <c r="H294" s="897">
        <v>45.13</v>
      </c>
      <c r="I294" s="897">
        <v>55.97</v>
      </c>
      <c r="J294" s="891"/>
      <c r="K294" s="891"/>
      <c r="L294" s="891"/>
      <c r="M294" s="891"/>
      <c r="N294" s="891"/>
      <c r="O294" s="891"/>
      <c r="P294" s="891"/>
      <c r="Q294" s="891"/>
      <c r="R294" s="891"/>
      <c r="S294" s="891"/>
      <c r="T294" s="891"/>
      <c r="U294" s="928"/>
      <c r="V294" s="928"/>
      <c r="W294" s="928"/>
      <c r="X294" s="928"/>
      <c r="Y294" s="928"/>
      <c r="Z294" s="928"/>
      <c r="AA294" s="928"/>
      <c r="AB294" s="928"/>
      <c r="AC294" s="928"/>
      <c r="AD294" s="928"/>
      <c r="AE294" s="928"/>
      <c r="AF294" s="928"/>
      <c r="AG294" s="928"/>
      <c r="AH294" s="928"/>
      <c r="AI294" s="928"/>
      <c r="AJ294" s="928"/>
      <c r="AK294" s="928"/>
      <c r="AL294" s="928"/>
      <c r="AM294" s="928"/>
      <c r="AN294" s="928"/>
      <c r="AO294" s="928"/>
      <c r="AP294" s="928"/>
      <c r="AQ294" s="928"/>
      <c r="AR294" s="928"/>
      <c r="AS294" s="928"/>
      <c r="AT294" s="928"/>
      <c r="AU294" s="928"/>
      <c r="AV294" s="928"/>
      <c r="AW294" s="928"/>
      <c r="AX294" s="928"/>
      <c r="AY294" s="928"/>
      <c r="AZ294" s="928"/>
      <c r="BA294" s="928"/>
      <c r="BB294" s="928"/>
      <c r="BC294" s="928"/>
      <c r="BD294" s="928"/>
      <c r="BE294" s="928"/>
      <c r="BF294" s="928"/>
      <c r="BG294" s="928"/>
      <c r="BH294" s="928"/>
      <c r="BI294" s="928"/>
      <c r="BJ294" s="928"/>
      <c r="BK294" s="928"/>
      <c r="BL294" s="928"/>
      <c r="BM294" s="928"/>
      <c r="BN294" s="928"/>
      <c r="BO294" s="928"/>
      <c r="BP294" s="928"/>
      <c r="BQ294" s="928"/>
      <c r="BR294" s="928"/>
      <c r="BS294" s="928"/>
      <c r="BT294" s="928"/>
      <c r="BU294" s="928"/>
      <c r="BV294" s="928"/>
      <c r="BW294" s="928"/>
      <c r="BX294" s="928"/>
      <c r="BY294" s="928"/>
      <c r="BZ294" s="928"/>
      <c r="CA294" s="928"/>
      <c r="CB294" s="928"/>
      <c r="CC294" s="928"/>
      <c r="CD294" s="928"/>
      <c r="CE294" s="928"/>
      <c r="CF294" s="928"/>
      <c r="CG294" s="928"/>
      <c r="CH294" s="928"/>
      <c r="CI294" s="928"/>
      <c r="CJ294" s="928"/>
      <c r="CK294" s="928"/>
      <c r="CL294" s="928"/>
      <c r="CM294" s="928"/>
      <c r="CN294" s="928"/>
      <c r="CO294" s="928"/>
      <c r="CP294" s="928"/>
      <c r="CQ294" s="928"/>
      <c r="CR294" s="928"/>
      <c r="CS294" s="928"/>
      <c r="CT294" s="928"/>
      <c r="CU294" s="928"/>
      <c r="CV294" s="928"/>
      <c r="CW294" s="928"/>
      <c r="CX294" s="928"/>
      <c r="CY294" s="928"/>
      <c r="CZ294" s="928"/>
      <c r="DA294" s="928"/>
      <c r="DB294" s="928"/>
      <c r="DC294" s="928"/>
      <c r="DD294" s="928"/>
      <c r="DE294" s="928"/>
      <c r="DF294" s="928"/>
      <c r="DG294" s="928"/>
      <c r="DH294" s="928"/>
    </row>
    <row r="295" spans="1:112">
      <c r="A295" s="891" t="s">
        <v>1096</v>
      </c>
      <c r="B295" s="891" t="s">
        <v>1471</v>
      </c>
      <c r="C295" s="891" t="s">
        <v>90</v>
      </c>
      <c r="D295" s="891" t="s">
        <v>1096</v>
      </c>
      <c r="E295" s="891" t="s">
        <v>1471</v>
      </c>
      <c r="F295" s="891" t="s">
        <v>90</v>
      </c>
      <c r="G295" s="897">
        <v>56.88</v>
      </c>
      <c r="H295" s="897">
        <v>60.45</v>
      </c>
      <c r="I295" s="897">
        <v>40.200000000000003</v>
      </c>
      <c r="J295" s="891"/>
      <c r="K295" s="891"/>
      <c r="L295" s="891"/>
      <c r="M295" s="891"/>
      <c r="N295" s="891"/>
      <c r="O295" s="891"/>
      <c r="P295" s="891"/>
      <c r="Q295" s="891"/>
      <c r="R295" s="891"/>
      <c r="S295" s="891"/>
      <c r="T295" s="891"/>
      <c r="U295" s="928"/>
      <c r="V295" s="928"/>
      <c r="W295" s="928"/>
      <c r="X295" s="928"/>
      <c r="Y295" s="928"/>
      <c r="Z295" s="928"/>
      <c r="AA295" s="928"/>
      <c r="AB295" s="928"/>
      <c r="AC295" s="928"/>
      <c r="AD295" s="928"/>
      <c r="AE295" s="928"/>
      <c r="AF295" s="928"/>
      <c r="AG295" s="928"/>
      <c r="AH295" s="928"/>
      <c r="AI295" s="928"/>
      <c r="AJ295" s="928"/>
      <c r="AK295" s="928"/>
      <c r="AL295" s="928"/>
      <c r="AM295" s="928"/>
      <c r="AN295" s="928"/>
      <c r="AO295" s="928"/>
      <c r="AP295" s="928"/>
      <c r="AQ295" s="928"/>
      <c r="AR295" s="928"/>
      <c r="AS295" s="928"/>
      <c r="AT295" s="928"/>
      <c r="AU295" s="928"/>
      <c r="AV295" s="928"/>
      <c r="AW295" s="928"/>
      <c r="AX295" s="928"/>
      <c r="AY295" s="928"/>
      <c r="AZ295" s="928"/>
      <c r="BA295" s="928"/>
      <c r="BB295" s="928"/>
      <c r="BC295" s="928"/>
      <c r="BD295" s="928"/>
      <c r="BE295" s="928"/>
      <c r="BF295" s="928"/>
      <c r="BG295" s="928"/>
      <c r="BH295" s="928"/>
      <c r="BI295" s="928"/>
      <c r="BJ295" s="928"/>
      <c r="BK295" s="928"/>
      <c r="BL295" s="928"/>
      <c r="BM295" s="928"/>
      <c r="BN295" s="928"/>
      <c r="BO295" s="928"/>
      <c r="BP295" s="928"/>
      <c r="BQ295" s="928"/>
      <c r="BR295" s="928"/>
      <c r="BS295" s="928"/>
      <c r="BT295" s="928"/>
      <c r="BU295" s="928"/>
      <c r="BV295" s="928"/>
      <c r="BW295" s="928"/>
      <c r="BX295" s="928"/>
      <c r="BY295" s="928"/>
      <c r="BZ295" s="928"/>
      <c r="CA295" s="928"/>
      <c r="CB295" s="928"/>
      <c r="CC295" s="928"/>
      <c r="CD295" s="928"/>
      <c r="CE295" s="928"/>
      <c r="CF295" s="928"/>
      <c r="CG295" s="928"/>
      <c r="CH295" s="928"/>
      <c r="CI295" s="928"/>
      <c r="CJ295" s="928"/>
      <c r="CK295" s="928"/>
      <c r="CL295" s="928"/>
      <c r="CM295" s="928"/>
      <c r="CN295" s="928"/>
      <c r="CO295" s="928"/>
      <c r="CP295" s="928"/>
      <c r="CQ295" s="928"/>
      <c r="CR295" s="928"/>
      <c r="CS295" s="928"/>
      <c r="CT295" s="928"/>
      <c r="CU295" s="928"/>
      <c r="CV295" s="928"/>
      <c r="CW295" s="928"/>
      <c r="CX295" s="928"/>
      <c r="CY295" s="928"/>
      <c r="CZ295" s="928"/>
      <c r="DA295" s="928"/>
      <c r="DB295" s="928"/>
      <c r="DC295" s="928"/>
      <c r="DD295" s="928"/>
      <c r="DE295" s="928"/>
      <c r="DF295" s="928"/>
      <c r="DG295" s="928"/>
      <c r="DH295" s="928"/>
    </row>
    <row r="296" spans="1:112">
      <c r="A296" s="891" t="s">
        <v>1097</v>
      </c>
      <c r="B296" s="891" t="s">
        <v>1454</v>
      </c>
      <c r="C296" s="891" t="s">
        <v>133</v>
      </c>
      <c r="D296" s="891" t="s">
        <v>1097</v>
      </c>
      <c r="E296" s="891" t="s">
        <v>1454</v>
      </c>
      <c r="F296" s="891" t="s">
        <v>133</v>
      </c>
      <c r="G296" s="897">
        <v>49.52</v>
      </c>
      <c r="H296" s="897">
        <v>36.07</v>
      </c>
      <c r="I296" s="897">
        <v>108.04</v>
      </c>
      <c r="J296" s="891"/>
      <c r="K296" s="891"/>
      <c r="L296" s="891"/>
      <c r="M296" s="891"/>
      <c r="N296" s="891"/>
      <c r="O296" s="891"/>
      <c r="P296" s="891"/>
      <c r="Q296" s="891"/>
      <c r="R296" s="891"/>
      <c r="S296" s="891"/>
      <c r="T296" s="891"/>
      <c r="U296" s="928"/>
      <c r="V296" s="928"/>
      <c r="W296" s="928"/>
      <c r="X296" s="928"/>
      <c r="Y296" s="928"/>
      <c r="Z296" s="928"/>
      <c r="AA296" s="928"/>
      <c r="AB296" s="928"/>
      <c r="AC296" s="928"/>
      <c r="AD296" s="928"/>
      <c r="AE296" s="928"/>
      <c r="AF296" s="928"/>
      <c r="AG296" s="928"/>
      <c r="AH296" s="928"/>
      <c r="AI296" s="928"/>
      <c r="AJ296" s="928"/>
      <c r="AK296" s="928"/>
      <c r="AL296" s="928"/>
      <c r="AM296" s="928"/>
      <c r="AN296" s="928"/>
      <c r="AO296" s="928"/>
      <c r="AP296" s="928"/>
      <c r="AQ296" s="928"/>
      <c r="AR296" s="928"/>
      <c r="AS296" s="928"/>
      <c r="AT296" s="928"/>
      <c r="AU296" s="928"/>
      <c r="AV296" s="928"/>
      <c r="AW296" s="928"/>
      <c r="AX296" s="928"/>
      <c r="AY296" s="928"/>
      <c r="AZ296" s="928"/>
      <c r="BA296" s="928"/>
      <c r="BB296" s="928"/>
      <c r="BC296" s="928"/>
      <c r="BD296" s="928"/>
      <c r="BE296" s="928"/>
      <c r="BF296" s="928"/>
      <c r="BG296" s="928"/>
      <c r="BH296" s="928"/>
      <c r="BI296" s="928"/>
      <c r="BJ296" s="928"/>
      <c r="BK296" s="928"/>
      <c r="BL296" s="928"/>
      <c r="BM296" s="928"/>
      <c r="BN296" s="928"/>
      <c r="BO296" s="928"/>
      <c r="BP296" s="928"/>
      <c r="BQ296" s="928"/>
      <c r="BR296" s="928"/>
      <c r="BS296" s="928"/>
      <c r="BT296" s="928"/>
      <c r="BU296" s="928"/>
      <c r="BV296" s="928"/>
      <c r="BW296" s="928"/>
      <c r="BX296" s="928"/>
      <c r="BY296" s="928"/>
      <c r="BZ296" s="928"/>
      <c r="CA296" s="928"/>
      <c r="CB296" s="928"/>
      <c r="CC296" s="928"/>
      <c r="CD296" s="928"/>
      <c r="CE296" s="928"/>
      <c r="CF296" s="928"/>
      <c r="CG296" s="928"/>
      <c r="CH296" s="928"/>
      <c r="CI296" s="928"/>
      <c r="CJ296" s="928"/>
      <c r="CK296" s="928"/>
      <c r="CL296" s="928"/>
      <c r="CM296" s="928"/>
      <c r="CN296" s="928"/>
      <c r="CO296" s="928"/>
      <c r="CP296" s="928"/>
      <c r="CQ296" s="928"/>
      <c r="CR296" s="928"/>
      <c r="CS296" s="928"/>
      <c r="CT296" s="928"/>
      <c r="CU296" s="928"/>
      <c r="CV296" s="928"/>
      <c r="CW296" s="928"/>
      <c r="CX296" s="928"/>
      <c r="CY296" s="928"/>
      <c r="CZ296" s="928"/>
      <c r="DA296" s="928"/>
      <c r="DB296" s="928"/>
      <c r="DC296" s="928"/>
      <c r="DD296" s="928"/>
      <c r="DE296" s="928"/>
      <c r="DF296" s="928"/>
      <c r="DG296" s="928"/>
      <c r="DH296" s="928"/>
    </row>
    <row r="297" spans="1:112">
      <c r="A297" s="891" t="s">
        <v>1098</v>
      </c>
      <c r="B297" s="891" t="s">
        <v>1488</v>
      </c>
      <c r="C297" s="891" t="s">
        <v>149</v>
      </c>
      <c r="D297" s="891" t="s">
        <v>1098</v>
      </c>
      <c r="E297" s="891" t="s">
        <v>1488</v>
      </c>
      <c r="F297" s="891" t="s">
        <v>149</v>
      </c>
      <c r="G297" s="897">
        <v>84.09</v>
      </c>
      <c r="H297" s="897">
        <v>63.65</v>
      </c>
      <c r="I297" s="897">
        <v>79.790000000000006</v>
      </c>
      <c r="J297" s="891"/>
      <c r="K297" s="891"/>
      <c r="L297" s="891"/>
      <c r="M297" s="891"/>
      <c r="N297" s="891"/>
      <c r="O297" s="891"/>
      <c r="P297" s="891"/>
      <c r="Q297" s="891"/>
      <c r="R297" s="891"/>
      <c r="S297" s="891"/>
      <c r="T297" s="891"/>
      <c r="U297" s="928"/>
      <c r="V297" s="928"/>
      <c r="W297" s="928"/>
      <c r="X297" s="928"/>
      <c r="Y297" s="928"/>
      <c r="Z297" s="928"/>
      <c r="AA297" s="928"/>
      <c r="AB297" s="928"/>
      <c r="AC297" s="928"/>
      <c r="AD297" s="928"/>
      <c r="AE297" s="928"/>
      <c r="AF297" s="928"/>
      <c r="AG297" s="928"/>
      <c r="AH297" s="928"/>
      <c r="AI297" s="928"/>
      <c r="AJ297" s="928"/>
      <c r="AK297" s="928"/>
      <c r="AL297" s="928"/>
      <c r="AM297" s="928"/>
      <c r="AN297" s="928"/>
      <c r="AO297" s="928"/>
      <c r="AP297" s="928"/>
      <c r="AQ297" s="928"/>
      <c r="AR297" s="928"/>
      <c r="AS297" s="928"/>
      <c r="AT297" s="928"/>
      <c r="AU297" s="928"/>
      <c r="AV297" s="928"/>
      <c r="AW297" s="928"/>
      <c r="AX297" s="928"/>
      <c r="AY297" s="928"/>
      <c r="AZ297" s="928"/>
      <c r="BA297" s="928"/>
      <c r="BB297" s="928"/>
      <c r="BC297" s="928"/>
      <c r="BD297" s="928"/>
      <c r="BE297" s="928"/>
      <c r="BF297" s="928"/>
      <c r="BG297" s="928"/>
      <c r="BH297" s="928"/>
      <c r="BI297" s="928"/>
      <c r="BJ297" s="928"/>
      <c r="BK297" s="928"/>
      <c r="BL297" s="928"/>
      <c r="BM297" s="928"/>
      <c r="BN297" s="928"/>
      <c r="BO297" s="928"/>
      <c r="BP297" s="928"/>
      <c r="BQ297" s="928"/>
      <c r="BR297" s="928"/>
      <c r="BS297" s="928"/>
      <c r="BT297" s="928"/>
      <c r="BU297" s="928"/>
      <c r="BV297" s="928"/>
      <c r="BW297" s="928"/>
      <c r="BX297" s="928"/>
      <c r="BY297" s="928"/>
      <c r="BZ297" s="928"/>
      <c r="CA297" s="928"/>
      <c r="CB297" s="928"/>
      <c r="CC297" s="928"/>
      <c r="CD297" s="928"/>
      <c r="CE297" s="928"/>
      <c r="CF297" s="928"/>
      <c r="CG297" s="928"/>
      <c r="CH297" s="928"/>
      <c r="CI297" s="928"/>
      <c r="CJ297" s="928"/>
      <c r="CK297" s="928"/>
      <c r="CL297" s="928"/>
      <c r="CM297" s="928"/>
      <c r="CN297" s="928"/>
      <c r="CO297" s="928"/>
      <c r="CP297" s="928"/>
      <c r="CQ297" s="928"/>
      <c r="CR297" s="928"/>
      <c r="CS297" s="928"/>
      <c r="CT297" s="928"/>
      <c r="CU297" s="928"/>
      <c r="CV297" s="928"/>
      <c r="CW297" s="928"/>
      <c r="CX297" s="928"/>
      <c r="CY297" s="928"/>
      <c r="CZ297" s="928"/>
      <c r="DA297" s="928"/>
      <c r="DB297" s="928"/>
      <c r="DC297" s="928"/>
      <c r="DD297" s="928"/>
      <c r="DE297" s="928"/>
      <c r="DF297" s="928"/>
      <c r="DG297" s="928"/>
      <c r="DH297" s="928"/>
    </row>
    <row r="298" spans="1:112">
      <c r="A298" s="891" t="s">
        <v>1099</v>
      </c>
      <c r="B298" s="891" t="s">
        <v>1457</v>
      </c>
      <c r="C298" s="891" t="s">
        <v>193</v>
      </c>
      <c r="D298" s="891" t="s">
        <v>1099</v>
      </c>
      <c r="E298" s="891" t="s">
        <v>1457</v>
      </c>
      <c r="F298" s="891" t="s">
        <v>193</v>
      </c>
      <c r="G298" s="897">
        <v>83.37</v>
      </c>
      <c r="H298" s="897">
        <v>102.17</v>
      </c>
      <c r="I298" s="897">
        <v>64.78</v>
      </c>
      <c r="J298" s="891"/>
      <c r="K298" s="891"/>
      <c r="L298" s="891"/>
      <c r="M298" s="891"/>
      <c r="N298" s="891"/>
      <c r="O298" s="891"/>
      <c r="P298" s="891"/>
      <c r="Q298" s="891"/>
      <c r="R298" s="891"/>
      <c r="S298" s="891"/>
      <c r="T298" s="891"/>
      <c r="U298" s="928"/>
      <c r="V298" s="928"/>
      <c r="W298" s="928"/>
      <c r="X298" s="928"/>
      <c r="Y298" s="928"/>
      <c r="Z298" s="928"/>
      <c r="AA298" s="928"/>
      <c r="AB298" s="928"/>
      <c r="AC298" s="928"/>
      <c r="AD298" s="928"/>
      <c r="AE298" s="928"/>
      <c r="AF298" s="928"/>
      <c r="AG298" s="928"/>
      <c r="AH298" s="928"/>
      <c r="AI298" s="928"/>
      <c r="AJ298" s="928"/>
      <c r="AK298" s="928"/>
      <c r="AL298" s="928"/>
      <c r="AM298" s="928"/>
      <c r="AN298" s="928"/>
      <c r="AO298" s="928"/>
      <c r="AP298" s="928"/>
      <c r="AQ298" s="928"/>
      <c r="AR298" s="928"/>
      <c r="AS298" s="928"/>
      <c r="AT298" s="928"/>
      <c r="AU298" s="928"/>
      <c r="AV298" s="928"/>
      <c r="AW298" s="928"/>
      <c r="AX298" s="928"/>
      <c r="AY298" s="928"/>
      <c r="AZ298" s="928"/>
      <c r="BA298" s="928"/>
      <c r="BB298" s="928"/>
      <c r="BC298" s="928"/>
      <c r="BD298" s="928"/>
      <c r="BE298" s="928"/>
      <c r="BF298" s="928"/>
      <c r="BG298" s="928"/>
      <c r="BH298" s="928"/>
      <c r="BI298" s="928"/>
      <c r="BJ298" s="928"/>
      <c r="BK298" s="928"/>
      <c r="BL298" s="928"/>
      <c r="BM298" s="928"/>
      <c r="BN298" s="928"/>
      <c r="BO298" s="928"/>
      <c r="BP298" s="928"/>
      <c r="BQ298" s="928"/>
      <c r="BR298" s="928"/>
      <c r="BS298" s="928"/>
      <c r="BT298" s="928"/>
      <c r="BU298" s="928"/>
      <c r="BV298" s="928"/>
      <c r="BW298" s="928"/>
      <c r="BX298" s="928"/>
      <c r="BY298" s="928"/>
      <c r="BZ298" s="928"/>
      <c r="CA298" s="928"/>
      <c r="CB298" s="928"/>
      <c r="CC298" s="928"/>
      <c r="CD298" s="928"/>
      <c r="CE298" s="928"/>
      <c r="CF298" s="928"/>
      <c r="CG298" s="928"/>
      <c r="CH298" s="928"/>
      <c r="CI298" s="928"/>
      <c r="CJ298" s="928"/>
      <c r="CK298" s="928"/>
      <c r="CL298" s="928"/>
      <c r="CM298" s="928"/>
      <c r="CN298" s="928"/>
      <c r="CO298" s="928"/>
      <c r="CP298" s="928"/>
      <c r="CQ298" s="928"/>
      <c r="CR298" s="928"/>
      <c r="CS298" s="928"/>
      <c r="CT298" s="928"/>
      <c r="CU298" s="928"/>
      <c r="CV298" s="928"/>
      <c r="CW298" s="928"/>
      <c r="CX298" s="928"/>
      <c r="CY298" s="928"/>
      <c r="CZ298" s="928"/>
      <c r="DA298" s="928"/>
      <c r="DB298" s="928"/>
      <c r="DC298" s="928"/>
      <c r="DD298" s="928"/>
      <c r="DE298" s="928"/>
      <c r="DF298" s="928"/>
      <c r="DG298" s="928"/>
      <c r="DH298" s="928"/>
    </row>
    <row r="299" spans="1:112">
      <c r="A299" s="891" t="s">
        <v>1100</v>
      </c>
      <c r="B299" s="891" t="s">
        <v>1472</v>
      </c>
      <c r="C299" s="891" t="s">
        <v>251</v>
      </c>
      <c r="D299" s="891" t="s">
        <v>1100</v>
      </c>
      <c r="E299" s="891" t="s">
        <v>1472</v>
      </c>
      <c r="F299" s="891" t="s">
        <v>251</v>
      </c>
      <c r="G299" s="897">
        <v>47.56</v>
      </c>
      <c r="H299" s="897">
        <v>52.7</v>
      </c>
      <c r="I299" s="897">
        <v>39.68</v>
      </c>
      <c r="J299" s="891"/>
      <c r="K299" s="891"/>
      <c r="L299" s="891"/>
      <c r="M299" s="891"/>
      <c r="N299" s="891"/>
      <c r="O299" s="891"/>
      <c r="P299" s="891"/>
      <c r="Q299" s="891"/>
      <c r="R299" s="891"/>
      <c r="S299" s="891"/>
      <c r="T299" s="891"/>
      <c r="U299" s="928"/>
      <c r="V299" s="928"/>
      <c r="W299" s="928"/>
      <c r="X299" s="928"/>
      <c r="Y299" s="928"/>
      <c r="Z299" s="928"/>
      <c r="AA299" s="928"/>
      <c r="AB299" s="928"/>
      <c r="AC299" s="928"/>
      <c r="AD299" s="928"/>
      <c r="AE299" s="928"/>
      <c r="AF299" s="928"/>
      <c r="AG299" s="928"/>
      <c r="AH299" s="928"/>
      <c r="AI299" s="928"/>
      <c r="AJ299" s="928"/>
      <c r="AK299" s="928"/>
      <c r="AL299" s="928"/>
      <c r="AM299" s="928"/>
      <c r="AN299" s="928"/>
      <c r="AO299" s="928"/>
      <c r="AP299" s="928"/>
      <c r="AQ299" s="928"/>
      <c r="AR299" s="928"/>
      <c r="AS299" s="928"/>
      <c r="AT299" s="928"/>
      <c r="AU299" s="928"/>
      <c r="AV299" s="928"/>
      <c r="AW299" s="928"/>
      <c r="AX299" s="928"/>
      <c r="AY299" s="928"/>
      <c r="AZ299" s="928"/>
      <c r="BA299" s="928"/>
      <c r="BB299" s="928"/>
      <c r="BC299" s="928"/>
      <c r="BD299" s="928"/>
      <c r="BE299" s="928"/>
      <c r="BF299" s="928"/>
      <c r="BG299" s="928"/>
      <c r="BH299" s="928"/>
      <c r="BI299" s="928"/>
      <c r="BJ299" s="928"/>
      <c r="BK299" s="928"/>
      <c r="BL299" s="928"/>
      <c r="BM299" s="928"/>
      <c r="BN299" s="928"/>
      <c r="BO299" s="928"/>
      <c r="BP299" s="928"/>
      <c r="BQ299" s="928"/>
      <c r="BR299" s="928"/>
      <c r="BS299" s="928"/>
      <c r="BT299" s="928"/>
      <c r="BU299" s="928"/>
      <c r="BV299" s="928"/>
      <c r="BW299" s="928"/>
      <c r="BX299" s="928"/>
      <c r="BY299" s="928"/>
      <c r="BZ299" s="928"/>
      <c r="CA299" s="928"/>
      <c r="CB299" s="928"/>
      <c r="CC299" s="928"/>
      <c r="CD299" s="928"/>
      <c r="CE299" s="928"/>
      <c r="CF299" s="928"/>
      <c r="CG299" s="928"/>
      <c r="CH299" s="928"/>
      <c r="CI299" s="928"/>
      <c r="CJ299" s="928"/>
      <c r="CK299" s="928"/>
      <c r="CL299" s="928"/>
      <c r="CM299" s="928"/>
      <c r="CN299" s="928"/>
      <c r="CO299" s="928"/>
      <c r="CP299" s="928"/>
      <c r="CQ299" s="928"/>
      <c r="CR299" s="928"/>
      <c r="CS299" s="928"/>
      <c r="CT299" s="928"/>
      <c r="CU299" s="928"/>
      <c r="CV299" s="928"/>
      <c r="CW299" s="928"/>
      <c r="CX299" s="928"/>
      <c r="CY299" s="928"/>
      <c r="CZ299" s="928"/>
      <c r="DA299" s="928"/>
      <c r="DB299" s="928"/>
      <c r="DC299" s="928"/>
      <c r="DD299" s="928"/>
      <c r="DE299" s="928"/>
      <c r="DF299" s="928"/>
      <c r="DG299" s="928"/>
      <c r="DH299" s="928"/>
    </row>
    <row r="300" spans="1:112">
      <c r="A300" s="891" t="s">
        <v>1101</v>
      </c>
      <c r="B300" s="891" t="s">
        <v>1472</v>
      </c>
      <c r="C300" s="891" t="s">
        <v>184</v>
      </c>
      <c r="D300" s="891" t="s">
        <v>1101</v>
      </c>
      <c r="E300" s="891" t="s">
        <v>1472</v>
      </c>
      <c r="F300" s="891" t="s">
        <v>184</v>
      </c>
      <c r="G300" s="897">
        <v>77.89</v>
      </c>
      <c r="H300" s="897">
        <v>109.06</v>
      </c>
      <c r="I300" s="897">
        <v>118.4</v>
      </c>
      <c r="J300" s="891"/>
      <c r="K300" s="891"/>
      <c r="L300" s="891"/>
      <c r="M300" s="891"/>
      <c r="N300" s="891"/>
      <c r="O300" s="891"/>
      <c r="P300" s="891"/>
      <c r="Q300" s="891"/>
      <c r="R300" s="891"/>
      <c r="S300" s="891"/>
      <c r="T300" s="891"/>
      <c r="U300" s="928"/>
      <c r="V300" s="928"/>
      <c r="W300" s="928"/>
      <c r="X300" s="928"/>
      <c r="Y300" s="928"/>
      <c r="Z300" s="928"/>
      <c r="AA300" s="928"/>
      <c r="AB300" s="928"/>
      <c r="AC300" s="928"/>
      <c r="AD300" s="928"/>
      <c r="AE300" s="928"/>
      <c r="AF300" s="928"/>
      <c r="AG300" s="928"/>
      <c r="AH300" s="928"/>
      <c r="AI300" s="928"/>
      <c r="AJ300" s="928"/>
      <c r="AK300" s="928"/>
      <c r="AL300" s="928"/>
      <c r="AM300" s="928"/>
      <c r="AN300" s="928"/>
      <c r="AO300" s="928"/>
      <c r="AP300" s="928"/>
      <c r="AQ300" s="928"/>
      <c r="AR300" s="928"/>
      <c r="AS300" s="928"/>
      <c r="AT300" s="928"/>
      <c r="AU300" s="928"/>
      <c r="AV300" s="928"/>
      <c r="AW300" s="928"/>
      <c r="AX300" s="928"/>
      <c r="AY300" s="928"/>
      <c r="AZ300" s="928"/>
      <c r="BA300" s="928"/>
      <c r="BB300" s="928"/>
      <c r="BC300" s="928"/>
      <c r="BD300" s="928"/>
      <c r="BE300" s="928"/>
      <c r="BF300" s="928"/>
      <c r="BG300" s="928"/>
      <c r="BH300" s="928"/>
      <c r="BI300" s="928"/>
      <c r="BJ300" s="928"/>
      <c r="BK300" s="928"/>
      <c r="BL300" s="928"/>
      <c r="BM300" s="928"/>
      <c r="BN300" s="928"/>
      <c r="BO300" s="928"/>
      <c r="BP300" s="928"/>
      <c r="BQ300" s="928"/>
      <c r="BR300" s="928"/>
      <c r="BS300" s="928"/>
      <c r="BT300" s="928"/>
      <c r="BU300" s="928"/>
      <c r="BV300" s="928"/>
      <c r="BW300" s="928"/>
      <c r="BX300" s="928"/>
      <c r="BY300" s="928"/>
      <c r="BZ300" s="928"/>
      <c r="CA300" s="928"/>
      <c r="CB300" s="928"/>
      <c r="CC300" s="928"/>
      <c r="CD300" s="928"/>
      <c r="CE300" s="928"/>
      <c r="CF300" s="928"/>
      <c r="CG300" s="928"/>
      <c r="CH300" s="928"/>
      <c r="CI300" s="928"/>
      <c r="CJ300" s="928"/>
      <c r="CK300" s="928"/>
      <c r="CL300" s="928"/>
      <c r="CM300" s="928"/>
      <c r="CN300" s="928"/>
      <c r="CO300" s="928"/>
      <c r="CP300" s="928"/>
      <c r="CQ300" s="928"/>
      <c r="CR300" s="928"/>
      <c r="CS300" s="928"/>
      <c r="CT300" s="928"/>
      <c r="CU300" s="928"/>
      <c r="CV300" s="928"/>
      <c r="CW300" s="928"/>
      <c r="CX300" s="928"/>
      <c r="CY300" s="928"/>
      <c r="CZ300" s="928"/>
      <c r="DA300" s="928"/>
      <c r="DB300" s="928"/>
      <c r="DC300" s="928"/>
      <c r="DD300" s="928"/>
      <c r="DE300" s="928"/>
      <c r="DF300" s="928"/>
      <c r="DG300" s="928"/>
      <c r="DH300" s="928"/>
    </row>
    <row r="301" spans="1:112">
      <c r="A301" s="891" t="s">
        <v>589</v>
      </c>
      <c r="B301" s="891" t="s">
        <v>1554</v>
      </c>
      <c r="C301" s="891" t="s">
        <v>1192</v>
      </c>
      <c r="D301" s="891" t="s">
        <v>589</v>
      </c>
      <c r="E301" s="891" t="s">
        <v>1554</v>
      </c>
      <c r="F301" s="891" t="s">
        <v>1555</v>
      </c>
      <c r="G301" s="897">
        <v>41.8</v>
      </c>
      <c r="H301" s="897">
        <v>33.83</v>
      </c>
      <c r="I301" s="897">
        <v>50.97</v>
      </c>
      <c r="J301" s="891"/>
      <c r="K301" s="891"/>
      <c r="L301" s="891"/>
      <c r="M301" s="891"/>
      <c r="N301" s="891"/>
      <c r="O301" s="891"/>
      <c r="P301" s="891"/>
      <c r="Q301" s="891"/>
      <c r="R301" s="891"/>
      <c r="S301" s="891"/>
      <c r="T301" s="891"/>
      <c r="U301" s="928"/>
      <c r="V301" s="928"/>
      <c r="W301" s="928"/>
      <c r="X301" s="928"/>
      <c r="Y301" s="928"/>
      <c r="Z301" s="928"/>
      <c r="AA301" s="928"/>
      <c r="AB301" s="928"/>
      <c r="AC301" s="928"/>
      <c r="AD301" s="928"/>
      <c r="AE301" s="928"/>
      <c r="AF301" s="928"/>
      <c r="AG301" s="928"/>
      <c r="AH301" s="928"/>
      <c r="AI301" s="928"/>
      <c r="AJ301" s="928"/>
      <c r="AK301" s="928"/>
      <c r="AL301" s="928"/>
      <c r="AM301" s="928"/>
      <c r="AN301" s="928"/>
      <c r="AO301" s="928"/>
      <c r="AP301" s="928"/>
      <c r="AQ301" s="928"/>
      <c r="AR301" s="928"/>
      <c r="AS301" s="928"/>
      <c r="AT301" s="928"/>
      <c r="AU301" s="928"/>
      <c r="AV301" s="928"/>
      <c r="AW301" s="928"/>
      <c r="AX301" s="928"/>
      <c r="AY301" s="928"/>
      <c r="AZ301" s="928"/>
      <c r="BA301" s="928"/>
      <c r="BB301" s="928"/>
      <c r="BC301" s="928"/>
      <c r="BD301" s="928"/>
      <c r="BE301" s="928"/>
      <c r="BF301" s="928"/>
      <c r="BG301" s="928"/>
      <c r="BH301" s="928"/>
      <c r="BI301" s="928"/>
      <c r="BJ301" s="928"/>
      <c r="BK301" s="928"/>
      <c r="BL301" s="928"/>
      <c r="BM301" s="928"/>
      <c r="BN301" s="928"/>
      <c r="BO301" s="928"/>
      <c r="BP301" s="928"/>
      <c r="BQ301" s="928"/>
      <c r="BR301" s="928"/>
      <c r="BS301" s="928"/>
      <c r="BT301" s="928"/>
      <c r="BU301" s="928"/>
      <c r="BV301" s="928"/>
      <c r="BW301" s="928"/>
      <c r="BX301" s="928"/>
      <c r="BY301" s="928"/>
      <c r="BZ301" s="928"/>
      <c r="CA301" s="928"/>
      <c r="CB301" s="928"/>
      <c r="CC301" s="928"/>
      <c r="CD301" s="928"/>
      <c r="CE301" s="928"/>
      <c r="CF301" s="928"/>
      <c r="CG301" s="928"/>
      <c r="CH301" s="928"/>
      <c r="CI301" s="928"/>
      <c r="CJ301" s="928"/>
      <c r="CK301" s="928"/>
      <c r="CL301" s="928"/>
      <c r="CM301" s="928"/>
      <c r="CN301" s="928"/>
      <c r="CO301" s="928"/>
      <c r="CP301" s="928"/>
      <c r="CQ301" s="928"/>
      <c r="CR301" s="928"/>
      <c r="CS301" s="928"/>
      <c r="CT301" s="928"/>
      <c r="CU301" s="928"/>
      <c r="CV301" s="928"/>
      <c r="CW301" s="928"/>
      <c r="CX301" s="928"/>
      <c r="CY301" s="928"/>
      <c r="CZ301" s="928"/>
      <c r="DA301" s="928"/>
      <c r="DB301" s="928"/>
      <c r="DC301" s="928"/>
      <c r="DD301" s="928"/>
      <c r="DE301" s="928"/>
      <c r="DF301" s="928"/>
      <c r="DG301" s="928"/>
      <c r="DH301" s="928"/>
    </row>
    <row r="302" spans="1:112">
      <c r="A302" s="891" t="s">
        <v>1102</v>
      </c>
      <c r="B302" s="891" t="s">
        <v>1556</v>
      </c>
      <c r="C302" s="891" t="s">
        <v>324</v>
      </c>
      <c r="D302" s="891" t="s">
        <v>1102</v>
      </c>
      <c r="E302" s="891" t="s">
        <v>1556</v>
      </c>
      <c r="F302" s="891" t="s">
        <v>324</v>
      </c>
      <c r="G302" s="897">
        <v>100.18</v>
      </c>
      <c r="H302" s="897">
        <v>69.66</v>
      </c>
      <c r="I302" s="897">
        <v>141.30000000000001</v>
      </c>
      <c r="J302" s="891"/>
      <c r="K302" s="891"/>
      <c r="L302" s="891"/>
      <c r="M302" s="891"/>
      <c r="N302" s="891"/>
      <c r="O302" s="891"/>
      <c r="P302" s="891"/>
      <c r="Q302" s="891"/>
      <c r="R302" s="891"/>
      <c r="S302" s="891"/>
      <c r="T302" s="891"/>
      <c r="U302" s="928"/>
      <c r="V302" s="928"/>
      <c r="W302" s="928"/>
      <c r="X302" s="928"/>
      <c r="Y302" s="928"/>
      <c r="Z302" s="928"/>
      <c r="AA302" s="928"/>
      <c r="AB302" s="928"/>
      <c r="AC302" s="928"/>
      <c r="AD302" s="928"/>
      <c r="AE302" s="928"/>
      <c r="AF302" s="928"/>
      <c r="AG302" s="928"/>
      <c r="AH302" s="928"/>
      <c r="AI302" s="928"/>
      <c r="AJ302" s="928"/>
      <c r="AK302" s="928"/>
      <c r="AL302" s="928"/>
      <c r="AM302" s="928"/>
      <c r="AN302" s="928"/>
      <c r="AO302" s="928"/>
      <c r="AP302" s="928"/>
      <c r="AQ302" s="928"/>
      <c r="AR302" s="928"/>
      <c r="AS302" s="928"/>
      <c r="AT302" s="928"/>
      <c r="AU302" s="928"/>
      <c r="AV302" s="928"/>
      <c r="AW302" s="928"/>
      <c r="AX302" s="928"/>
      <c r="AY302" s="928"/>
      <c r="AZ302" s="928"/>
      <c r="BA302" s="928"/>
      <c r="BB302" s="928"/>
      <c r="BC302" s="928"/>
      <c r="BD302" s="928"/>
      <c r="BE302" s="928"/>
      <c r="BF302" s="928"/>
      <c r="BG302" s="928"/>
      <c r="BH302" s="928"/>
      <c r="BI302" s="928"/>
      <c r="BJ302" s="928"/>
      <c r="BK302" s="928"/>
      <c r="BL302" s="928"/>
      <c r="BM302" s="928"/>
      <c r="BN302" s="928"/>
      <c r="BO302" s="928"/>
      <c r="BP302" s="928"/>
      <c r="BQ302" s="928"/>
      <c r="BR302" s="928"/>
      <c r="BS302" s="928"/>
      <c r="BT302" s="928"/>
      <c r="BU302" s="928"/>
      <c r="BV302" s="928"/>
      <c r="BW302" s="928"/>
      <c r="BX302" s="928"/>
      <c r="BY302" s="928"/>
      <c r="BZ302" s="928"/>
      <c r="CA302" s="928"/>
      <c r="CB302" s="928"/>
      <c r="CC302" s="928"/>
      <c r="CD302" s="928"/>
      <c r="CE302" s="928"/>
      <c r="CF302" s="928"/>
      <c r="CG302" s="928"/>
      <c r="CH302" s="928"/>
      <c r="CI302" s="928"/>
      <c r="CJ302" s="928"/>
      <c r="CK302" s="928"/>
      <c r="CL302" s="928"/>
      <c r="CM302" s="928"/>
      <c r="CN302" s="928"/>
      <c r="CO302" s="928"/>
      <c r="CP302" s="928"/>
      <c r="CQ302" s="928"/>
      <c r="CR302" s="928"/>
      <c r="CS302" s="928"/>
      <c r="CT302" s="928"/>
      <c r="CU302" s="928"/>
      <c r="CV302" s="928"/>
      <c r="CW302" s="928"/>
      <c r="CX302" s="928"/>
      <c r="CY302" s="928"/>
      <c r="CZ302" s="928"/>
      <c r="DA302" s="928"/>
      <c r="DB302" s="928"/>
      <c r="DC302" s="928"/>
      <c r="DD302" s="928"/>
      <c r="DE302" s="928"/>
      <c r="DF302" s="928"/>
      <c r="DG302" s="928"/>
      <c r="DH302" s="928"/>
    </row>
    <row r="303" spans="1:112">
      <c r="A303" s="891" t="s">
        <v>1103</v>
      </c>
      <c r="B303" s="891" t="s">
        <v>1557</v>
      </c>
      <c r="C303" s="891" t="s">
        <v>144</v>
      </c>
      <c r="D303" s="891" t="s">
        <v>1103</v>
      </c>
      <c r="E303" s="891" t="s">
        <v>1557</v>
      </c>
      <c r="F303" s="891" t="s">
        <v>144</v>
      </c>
      <c r="G303" s="897">
        <v>75.92</v>
      </c>
      <c r="H303" s="897">
        <v>60.81</v>
      </c>
      <c r="I303" s="897">
        <v>152.35</v>
      </c>
      <c r="J303" s="891"/>
      <c r="K303" s="891"/>
      <c r="L303" s="891"/>
      <c r="M303" s="891"/>
      <c r="N303" s="891"/>
      <c r="O303" s="891"/>
      <c r="P303" s="891"/>
      <c r="Q303" s="891"/>
      <c r="R303" s="891"/>
      <c r="S303" s="891"/>
      <c r="T303" s="891"/>
      <c r="U303" s="928"/>
      <c r="V303" s="928"/>
      <c r="W303" s="928"/>
      <c r="X303" s="928"/>
      <c r="Y303" s="928"/>
      <c r="Z303" s="928"/>
      <c r="AA303" s="928"/>
      <c r="AB303" s="928"/>
      <c r="AC303" s="928"/>
      <c r="AD303" s="928"/>
      <c r="AE303" s="928"/>
      <c r="AF303" s="928"/>
      <c r="AG303" s="928"/>
      <c r="AH303" s="928"/>
      <c r="AI303" s="928"/>
      <c r="AJ303" s="928"/>
      <c r="AK303" s="928"/>
      <c r="AL303" s="928"/>
      <c r="AM303" s="928"/>
      <c r="AN303" s="928"/>
      <c r="AO303" s="928"/>
      <c r="AP303" s="928"/>
      <c r="AQ303" s="928"/>
      <c r="AR303" s="928"/>
      <c r="AS303" s="928"/>
      <c r="AT303" s="928"/>
      <c r="AU303" s="928"/>
      <c r="AV303" s="928"/>
      <c r="AW303" s="928"/>
      <c r="AX303" s="928"/>
      <c r="AY303" s="928"/>
      <c r="AZ303" s="928"/>
      <c r="BA303" s="928"/>
      <c r="BB303" s="928"/>
      <c r="BC303" s="928"/>
      <c r="BD303" s="928"/>
      <c r="BE303" s="928"/>
      <c r="BF303" s="928"/>
      <c r="BG303" s="928"/>
      <c r="BH303" s="928"/>
      <c r="BI303" s="928"/>
      <c r="BJ303" s="928"/>
      <c r="BK303" s="928"/>
      <c r="BL303" s="928"/>
      <c r="BM303" s="928"/>
      <c r="BN303" s="928"/>
      <c r="BO303" s="928"/>
      <c r="BP303" s="928"/>
      <c r="BQ303" s="928"/>
      <c r="BR303" s="928"/>
      <c r="BS303" s="928"/>
      <c r="BT303" s="928"/>
      <c r="BU303" s="928"/>
      <c r="BV303" s="928"/>
      <c r="BW303" s="928"/>
      <c r="BX303" s="928"/>
      <c r="BY303" s="928"/>
      <c r="BZ303" s="928"/>
      <c r="CA303" s="928"/>
      <c r="CB303" s="928"/>
      <c r="CC303" s="928"/>
      <c r="CD303" s="928"/>
      <c r="CE303" s="928"/>
      <c r="CF303" s="928"/>
      <c r="CG303" s="928"/>
      <c r="CH303" s="928"/>
      <c r="CI303" s="928"/>
      <c r="CJ303" s="928"/>
      <c r="CK303" s="928"/>
      <c r="CL303" s="928"/>
      <c r="CM303" s="928"/>
      <c r="CN303" s="928"/>
      <c r="CO303" s="928"/>
      <c r="CP303" s="928"/>
      <c r="CQ303" s="928"/>
      <c r="CR303" s="928"/>
      <c r="CS303" s="928"/>
      <c r="CT303" s="928"/>
      <c r="CU303" s="928"/>
      <c r="CV303" s="928"/>
      <c r="CW303" s="928"/>
      <c r="CX303" s="928"/>
      <c r="CY303" s="928"/>
      <c r="CZ303" s="928"/>
      <c r="DA303" s="928"/>
      <c r="DB303" s="928"/>
      <c r="DC303" s="928"/>
      <c r="DD303" s="928"/>
      <c r="DE303" s="928"/>
      <c r="DF303" s="928"/>
      <c r="DG303" s="928"/>
      <c r="DH303" s="928"/>
    </row>
    <row r="304" spans="1:112">
      <c r="A304" s="891" t="s">
        <v>1104</v>
      </c>
      <c r="B304" s="891" t="s">
        <v>1540</v>
      </c>
      <c r="C304" s="891" t="s">
        <v>320</v>
      </c>
      <c r="D304" s="891" t="s">
        <v>1104</v>
      </c>
      <c r="E304" s="891" t="s">
        <v>1540</v>
      </c>
      <c r="F304" s="891" t="s">
        <v>320</v>
      </c>
      <c r="G304" s="897">
        <v>54.18</v>
      </c>
      <c r="H304" s="897">
        <v>66.83</v>
      </c>
      <c r="I304" s="897">
        <v>47.07</v>
      </c>
      <c r="J304" s="891"/>
      <c r="K304" s="891"/>
      <c r="L304" s="891"/>
      <c r="M304" s="891"/>
      <c r="N304" s="891"/>
      <c r="O304" s="891"/>
      <c r="P304" s="891"/>
      <c r="Q304" s="891"/>
      <c r="R304" s="891"/>
      <c r="S304" s="891"/>
      <c r="T304" s="891"/>
      <c r="U304" s="928"/>
      <c r="V304" s="928"/>
      <c r="W304" s="928"/>
      <c r="X304" s="928"/>
      <c r="Y304" s="928"/>
      <c r="Z304" s="928"/>
      <c r="AA304" s="928"/>
      <c r="AB304" s="928"/>
      <c r="AC304" s="928"/>
      <c r="AD304" s="928"/>
      <c r="AE304" s="928"/>
      <c r="AF304" s="928"/>
      <c r="AG304" s="928"/>
      <c r="AH304" s="928"/>
      <c r="AI304" s="928"/>
      <c r="AJ304" s="928"/>
      <c r="AK304" s="928"/>
      <c r="AL304" s="928"/>
      <c r="AM304" s="928"/>
      <c r="AN304" s="928"/>
      <c r="AO304" s="928"/>
      <c r="AP304" s="928"/>
      <c r="AQ304" s="928"/>
      <c r="AR304" s="928"/>
      <c r="AS304" s="928"/>
      <c r="AT304" s="928"/>
      <c r="AU304" s="928"/>
      <c r="AV304" s="928"/>
      <c r="AW304" s="928"/>
      <c r="AX304" s="928"/>
      <c r="AY304" s="928"/>
      <c r="AZ304" s="928"/>
      <c r="BA304" s="928"/>
      <c r="BB304" s="928"/>
      <c r="BC304" s="928"/>
      <c r="BD304" s="928"/>
      <c r="BE304" s="928"/>
      <c r="BF304" s="928"/>
      <c r="BG304" s="928"/>
      <c r="BH304" s="928"/>
      <c r="BI304" s="928"/>
      <c r="BJ304" s="928"/>
      <c r="BK304" s="928"/>
      <c r="BL304" s="928"/>
      <c r="BM304" s="928"/>
      <c r="BN304" s="928"/>
      <c r="BO304" s="928"/>
      <c r="BP304" s="928"/>
      <c r="BQ304" s="928"/>
      <c r="BR304" s="928"/>
      <c r="BS304" s="928"/>
      <c r="BT304" s="928"/>
      <c r="BU304" s="928"/>
      <c r="BV304" s="928"/>
      <c r="BW304" s="928"/>
      <c r="BX304" s="928"/>
      <c r="BY304" s="928"/>
      <c r="BZ304" s="928"/>
      <c r="CA304" s="928"/>
      <c r="CB304" s="928"/>
      <c r="CC304" s="928"/>
      <c r="CD304" s="928"/>
      <c r="CE304" s="928"/>
      <c r="CF304" s="928"/>
      <c r="CG304" s="928"/>
      <c r="CH304" s="928"/>
      <c r="CI304" s="928"/>
      <c r="CJ304" s="928"/>
      <c r="CK304" s="928"/>
      <c r="CL304" s="928"/>
      <c r="CM304" s="928"/>
      <c r="CN304" s="928"/>
      <c r="CO304" s="928"/>
      <c r="CP304" s="928"/>
      <c r="CQ304" s="928"/>
      <c r="CR304" s="928"/>
      <c r="CS304" s="928"/>
      <c r="CT304" s="928"/>
      <c r="CU304" s="928"/>
      <c r="CV304" s="928"/>
      <c r="CW304" s="928"/>
      <c r="CX304" s="928"/>
      <c r="CY304" s="928"/>
      <c r="CZ304" s="928"/>
      <c r="DA304" s="928"/>
      <c r="DB304" s="928"/>
      <c r="DC304" s="928"/>
      <c r="DD304" s="928"/>
      <c r="DE304" s="928"/>
      <c r="DF304" s="928"/>
      <c r="DG304" s="928"/>
      <c r="DH304" s="928"/>
    </row>
    <row r="305" spans="1:112">
      <c r="A305" s="891" t="s">
        <v>1105</v>
      </c>
      <c r="B305" s="891" t="s">
        <v>1535</v>
      </c>
      <c r="C305" s="891" t="s">
        <v>207</v>
      </c>
      <c r="D305" s="891" t="s">
        <v>1105</v>
      </c>
      <c r="E305" s="891" t="s">
        <v>1535</v>
      </c>
      <c r="F305" s="891" t="s">
        <v>207</v>
      </c>
      <c r="G305" s="897">
        <v>75.31</v>
      </c>
      <c r="H305" s="897">
        <v>62.33</v>
      </c>
      <c r="I305" s="897">
        <v>144.9</v>
      </c>
      <c r="J305" s="891"/>
      <c r="K305" s="891"/>
      <c r="L305" s="891"/>
      <c r="M305" s="891"/>
      <c r="N305" s="891"/>
      <c r="O305" s="891"/>
      <c r="P305" s="891"/>
      <c r="Q305" s="891"/>
      <c r="R305" s="891"/>
      <c r="S305" s="891"/>
      <c r="T305" s="891"/>
      <c r="U305" s="928"/>
      <c r="V305" s="928"/>
      <c r="W305" s="928"/>
      <c r="X305" s="928"/>
      <c r="Y305" s="928"/>
      <c r="Z305" s="928"/>
      <c r="AA305" s="928"/>
      <c r="AB305" s="928"/>
      <c r="AC305" s="928"/>
      <c r="AD305" s="928"/>
      <c r="AE305" s="928"/>
      <c r="AF305" s="928"/>
      <c r="AG305" s="928"/>
      <c r="AH305" s="928"/>
      <c r="AI305" s="928"/>
      <c r="AJ305" s="928"/>
      <c r="AK305" s="928"/>
      <c r="AL305" s="928"/>
      <c r="AM305" s="928"/>
      <c r="AN305" s="928"/>
      <c r="AO305" s="928"/>
      <c r="AP305" s="928"/>
      <c r="AQ305" s="928"/>
      <c r="AR305" s="928"/>
      <c r="AS305" s="928"/>
      <c r="AT305" s="928"/>
      <c r="AU305" s="928"/>
      <c r="AV305" s="928"/>
      <c r="AW305" s="928"/>
      <c r="AX305" s="928"/>
      <c r="AY305" s="928"/>
      <c r="AZ305" s="928"/>
      <c r="BA305" s="928"/>
      <c r="BB305" s="928"/>
      <c r="BC305" s="928"/>
      <c r="BD305" s="928"/>
      <c r="BE305" s="928"/>
      <c r="BF305" s="928"/>
      <c r="BG305" s="928"/>
      <c r="BH305" s="928"/>
      <c r="BI305" s="928"/>
      <c r="BJ305" s="928"/>
      <c r="BK305" s="928"/>
      <c r="BL305" s="928"/>
      <c r="BM305" s="928"/>
      <c r="BN305" s="928"/>
      <c r="BO305" s="928"/>
      <c r="BP305" s="928"/>
      <c r="BQ305" s="928"/>
      <c r="BR305" s="928"/>
      <c r="BS305" s="928"/>
      <c r="BT305" s="928"/>
      <c r="BU305" s="928"/>
      <c r="BV305" s="928"/>
      <c r="BW305" s="928"/>
      <c r="BX305" s="928"/>
      <c r="BY305" s="928"/>
      <c r="BZ305" s="928"/>
      <c r="CA305" s="928"/>
      <c r="CB305" s="928"/>
      <c r="CC305" s="928"/>
      <c r="CD305" s="928"/>
      <c r="CE305" s="928"/>
      <c r="CF305" s="928"/>
      <c r="CG305" s="928"/>
      <c r="CH305" s="928"/>
      <c r="CI305" s="928"/>
      <c r="CJ305" s="928"/>
      <c r="CK305" s="928"/>
      <c r="CL305" s="928"/>
      <c r="CM305" s="928"/>
      <c r="CN305" s="928"/>
      <c r="CO305" s="928"/>
      <c r="CP305" s="928"/>
      <c r="CQ305" s="928"/>
      <c r="CR305" s="928"/>
      <c r="CS305" s="928"/>
      <c r="CT305" s="928"/>
      <c r="CU305" s="928"/>
      <c r="CV305" s="928"/>
      <c r="CW305" s="928"/>
      <c r="CX305" s="928"/>
      <c r="CY305" s="928"/>
      <c r="CZ305" s="928"/>
      <c r="DA305" s="928"/>
      <c r="DB305" s="928"/>
      <c r="DC305" s="928"/>
      <c r="DD305" s="928"/>
      <c r="DE305" s="928"/>
      <c r="DF305" s="928"/>
      <c r="DG305" s="928"/>
      <c r="DH305" s="928"/>
    </row>
    <row r="306" spans="1:112">
      <c r="A306" s="891" t="s">
        <v>1106</v>
      </c>
      <c r="B306" s="891" t="s">
        <v>1477</v>
      </c>
      <c r="C306" s="891" t="s">
        <v>4</v>
      </c>
      <c r="D306" s="891" t="s">
        <v>1106</v>
      </c>
      <c r="E306" s="891" t="s">
        <v>1477</v>
      </c>
      <c r="F306" s="891" t="s">
        <v>4</v>
      </c>
      <c r="G306" s="897">
        <v>70.959999999999994</v>
      </c>
      <c r="H306" s="897">
        <v>64.739999999999995</v>
      </c>
      <c r="I306" s="897">
        <v>139.65</v>
      </c>
      <c r="J306" s="891"/>
      <c r="K306" s="891"/>
      <c r="L306" s="891"/>
      <c r="M306" s="891"/>
      <c r="N306" s="891"/>
      <c r="O306" s="891"/>
      <c r="P306" s="891"/>
      <c r="Q306" s="891"/>
      <c r="R306" s="891"/>
      <c r="S306" s="891"/>
      <c r="T306" s="891"/>
      <c r="U306" s="928"/>
      <c r="V306" s="928"/>
      <c r="W306" s="928"/>
      <c r="X306" s="928"/>
      <c r="Y306" s="928"/>
      <c r="Z306" s="928"/>
      <c r="AA306" s="928"/>
      <c r="AB306" s="928"/>
      <c r="AC306" s="928"/>
      <c r="AD306" s="928"/>
      <c r="AE306" s="928"/>
      <c r="AF306" s="928"/>
      <c r="AG306" s="928"/>
      <c r="AH306" s="928"/>
      <c r="AI306" s="928"/>
      <c r="AJ306" s="928"/>
      <c r="AK306" s="928"/>
      <c r="AL306" s="928"/>
      <c r="AM306" s="928"/>
      <c r="AN306" s="928"/>
      <c r="AO306" s="928"/>
      <c r="AP306" s="928"/>
      <c r="AQ306" s="928"/>
      <c r="AR306" s="928"/>
      <c r="AS306" s="928"/>
      <c r="AT306" s="928"/>
      <c r="AU306" s="928"/>
      <c r="AV306" s="928"/>
      <c r="AW306" s="928"/>
      <c r="AX306" s="928"/>
      <c r="AY306" s="928"/>
      <c r="AZ306" s="928"/>
      <c r="BA306" s="928"/>
      <c r="BB306" s="928"/>
      <c r="BC306" s="928"/>
      <c r="BD306" s="928"/>
      <c r="BE306" s="928"/>
      <c r="BF306" s="928"/>
      <c r="BG306" s="928"/>
      <c r="BH306" s="928"/>
      <c r="BI306" s="928"/>
      <c r="BJ306" s="928"/>
      <c r="BK306" s="928"/>
      <c r="BL306" s="928"/>
      <c r="BM306" s="928"/>
      <c r="BN306" s="928"/>
      <c r="BO306" s="928"/>
      <c r="BP306" s="928"/>
      <c r="BQ306" s="928"/>
      <c r="BR306" s="928"/>
      <c r="BS306" s="928"/>
      <c r="BT306" s="928"/>
      <c r="BU306" s="928"/>
      <c r="BV306" s="928"/>
      <c r="BW306" s="928"/>
      <c r="BX306" s="928"/>
      <c r="BY306" s="928"/>
      <c r="BZ306" s="928"/>
      <c r="CA306" s="928"/>
      <c r="CB306" s="928"/>
      <c r="CC306" s="928"/>
      <c r="CD306" s="928"/>
      <c r="CE306" s="928"/>
      <c r="CF306" s="928"/>
      <c r="CG306" s="928"/>
      <c r="CH306" s="928"/>
      <c r="CI306" s="928"/>
      <c r="CJ306" s="928"/>
      <c r="CK306" s="928"/>
      <c r="CL306" s="928"/>
      <c r="CM306" s="928"/>
      <c r="CN306" s="928"/>
      <c r="CO306" s="928"/>
      <c r="CP306" s="928"/>
      <c r="CQ306" s="928"/>
      <c r="CR306" s="928"/>
      <c r="CS306" s="928"/>
      <c r="CT306" s="928"/>
      <c r="CU306" s="928"/>
      <c r="CV306" s="928"/>
      <c r="CW306" s="928"/>
      <c r="CX306" s="928"/>
      <c r="CY306" s="928"/>
      <c r="CZ306" s="928"/>
      <c r="DA306" s="928"/>
      <c r="DB306" s="928"/>
      <c r="DC306" s="928"/>
      <c r="DD306" s="928"/>
      <c r="DE306" s="928"/>
      <c r="DF306" s="928"/>
      <c r="DG306" s="928"/>
      <c r="DH306" s="928"/>
    </row>
    <row r="307" spans="1:112">
      <c r="A307" s="891" t="s">
        <v>1107</v>
      </c>
      <c r="B307" s="891" t="s">
        <v>1503</v>
      </c>
      <c r="C307" s="891" t="s">
        <v>18</v>
      </c>
      <c r="D307" s="891" t="s">
        <v>1107</v>
      </c>
      <c r="E307" s="891" t="s">
        <v>1503</v>
      </c>
      <c r="F307" s="891" t="s">
        <v>18</v>
      </c>
      <c r="G307" s="897">
        <v>77.94</v>
      </c>
      <c r="H307" s="897">
        <v>76.22</v>
      </c>
      <c r="I307" s="897">
        <v>128.9</v>
      </c>
      <c r="J307" s="891"/>
      <c r="K307" s="891"/>
      <c r="L307" s="891"/>
      <c r="M307" s="891"/>
      <c r="N307" s="891"/>
      <c r="O307" s="891"/>
      <c r="P307" s="891"/>
      <c r="Q307" s="891"/>
      <c r="R307" s="891"/>
      <c r="S307" s="891"/>
      <c r="T307" s="891"/>
      <c r="U307" s="928"/>
      <c r="V307" s="928"/>
      <c r="W307" s="928"/>
      <c r="X307" s="928"/>
      <c r="Y307" s="928"/>
      <c r="Z307" s="928"/>
      <c r="AA307" s="928"/>
      <c r="AB307" s="928"/>
      <c r="AC307" s="928"/>
      <c r="AD307" s="928"/>
      <c r="AE307" s="928"/>
      <c r="AF307" s="928"/>
      <c r="AG307" s="928"/>
      <c r="AH307" s="928"/>
      <c r="AI307" s="928"/>
      <c r="AJ307" s="928"/>
      <c r="AK307" s="928"/>
      <c r="AL307" s="928"/>
      <c r="AM307" s="928"/>
      <c r="AN307" s="928"/>
      <c r="AO307" s="928"/>
      <c r="AP307" s="928"/>
      <c r="AQ307" s="928"/>
      <c r="AR307" s="928"/>
      <c r="AS307" s="928"/>
      <c r="AT307" s="928"/>
      <c r="AU307" s="928"/>
      <c r="AV307" s="928"/>
      <c r="AW307" s="928"/>
      <c r="AX307" s="928"/>
      <c r="AY307" s="928"/>
      <c r="AZ307" s="928"/>
      <c r="BA307" s="928"/>
      <c r="BB307" s="928"/>
      <c r="BC307" s="928"/>
      <c r="BD307" s="928"/>
      <c r="BE307" s="928"/>
      <c r="BF307" s="928"/>
      <c r="BG307" s="928"/>
      <c r="BH307" s="928"/>
      <c r="BI307" s="928"/>
      <c r="BJ307" s="928"/>
      <c r="BK307" s="928"/>
      <c r="BL307" s="928"/>
      <c r="BM307" s="928"/>
      <c r="BN307" s="928"/>
      <c r="BO307" s="928"/>
      <c r="BP307" s="928"/>
      <c r="BQ307" s="928"/>
      <c r="BR307" s="928"/>
      <c r="BS307" s="928"/>
      <c r="BT307" s="928"/>
      <c r="BU307" s="928"/>
      <c r="BV307" s="928"/>
      <c r="BW307" s="928"/>
      <c r="BX307" s="928"/>
      <c r="BY307" s="928"/>
      <c r="BZ307" s="928"/>
      <c r="CA307" s="928"/>
      <c r="CB307" s="928"/>
      <c r="CC307" s="928"/>
      <c r="CD307" s="928"/>
      <c r="CE307" s="928"/>
      <c r="CF307" s="928"/>
      <c r="CG307" s="928"/>
      <c r="CH307" s="928"/>
      <c r="CI307" s="928"/>
      <c r="CJ307" s="928"/>
      <c r="CK307" s="928"/>
      <c r="CL307" s="928"/>
      <c r="CM307" s="928"/>
      <c r="CN307" s="928"/>
      <c r="CO307" s="928"/>
      <c r="CP307" s="928"/>
      <c r="CQ307" s="928"/>
      <c r="CR307" s="928"/>
      <c r="CS307" s="928"/>
      <c r="CT307" s="928"/>
      <c r="CU307" s="928"/>
      <c r="CV307" s="928"/>
      <c r="CW307" s="928"/>
      <c r="CX307" s="928"/>
      <c r="CY307" s="928"/>
      <c r="CZ307" s="928"/>
      <c r="DA307" s="928"/>
      <c r="DB307" s="928"/>
      <c r="DC307" s="928"/>
      <c r="DD307" s="928"/>
      <c r="DE307" s="928"/>
      <c r="DF307" s="928"/>
      <c r="DG307" s="928"/>
      <c r="DH307" s="928"/>
    </row>
    <row r="308" spans="1:112">
      <c r="A308" s="891" t="s">
        <v>1109</v>
      </c>
      <c r="B308" s="891" t="s">
        <v>1478</v>
      </c>
      <c r="C308" s="891" t="s">
        <v>82</v>
      </c>
      <c r="D308" s="891" t="s">
        <v>1109</v>
      </c>
      <c r="E308" s="891" t="s">
        <v>1478</v>
      </c>
      <c r="F308" s="891" t="s">
        <v>82</v>
      </c>
      <c r="G308" s="897">
        <v>106.53</v>
      </c>
      <c r="H308" s="897">
        <v>84.25</v>
      </c>
      <c r="I308" s="897">
        <v>110.05</v>
      </c>
      <c r="J308" s="891"/>
      <c r="K308" s="891"/>
      <c r="L308" s="891"/>
      <c r="M308" s="891"/>
      <c r="N308" s="891"/>
      <c r="O308" s="891"/>
      <c r="P308" s="891"/>
      <c r="Q308" s="891"/>
      <c r="R308" s="891"/>
      <c r="S308" s="891"/>
      <c r="T308" s="891"/>
      <c r="U308" s="928"/>
      <c r="V308" s="928"/>
      <c r="W308" s="928"/>
      <c r="X308" s="928"/>
      <c r="Y308" s="928"/>
      <c r="Z308" s="928"/>
      <c r="AA308" s="928"/>
      <c r="AB308" s="928"/>
      <c r="AC308" s="928"/>
      <c r="AD308" s="928"/>
      <c r="AE308" s="928"/>
      <c r="AF308" s="928"/>
      <c r="AG308" s="928"/>
      <c r="AH308" s="928"/>
      <c r="AI308" s="928"/>
      <c r="AJ308" s="928"/>
      <c r="AK308" s="928"/>
      <c r="AL308" s="928"/>
      <c r="AM308" s="928"/>
      <c r="AN308" s="928"/>
      <c r="AO308" s="928"/>
      <c r="AP308" s="928"/>
      <c r="AQ308" s="928"/>
      <c r="AR308" s="928"/>
      <c r="AS308" s="928"/>
      <c r="AT308" s="928"/>
      <c r="AU308" s="928"/>
      <c r="AV308" s="928"/>
      <c r="AW308" s="928"/>
      <c r="AX308" s="928"/>
      <c r="AY308" s="928"/>
      <c r="AZ308" s="928"/>
      <c r="BA308" s="928"/>
      <c r="BB308" s="928"/>
      <c r="BC308" s="928"/>
      <c r="BD308" s="928"/>
      <c r="BE308" s="928"/>
      <c r="BF308" s="928"/>
      <c r="BG308" s="928"/>
      <c r="BH308" s="928"/>
      <c r="BI308" s="928"/>
      <c r="BJ308" s="928"/>
      <c r="BK308" s="928"/>
      <c r="BL308" s="928"/>
      <c r="BM308" s="928"/>
      <c r="BN308" s="928"/>
      <c r="BO308" s="928"/>
      <c r="BP308" s="928"/>
      <c r="BQ308" s="928"/>
      <c r="BR308" s="928"/>
      <c r="BS308" s="928"/>
      <c r="BT308" s="928"/>
      <c r="BU308" s="928"/>
      <c r="BV308" s="928"/>
      <c r="BW308" s="928"/>
      <c r="BX308" s="928"/>
      <c r="BY308" s="928"/>
      <c r="BZ308" s="928"/>
      <c r="CA308" s="928"/>
      <c r="CB308" s="928"/>
      <c r="CC308" s="928"/>
      <c r="CD308" s="928"/>
      <c r="CE308" s="928"/>
      <c r="CF308" s="928"/>
      <c r="CG308" s="928"/>
      <c r="CH308" s="928"/>
      <c r="CI308" s="928"/>
      <c r="CJ308" s="928"/>
      <c r="CK308" s="928"/>
      <c r="CL308" s="928"/>
      <c r="CM308" s="928"/>
      <c r="CN308" s="928"/>
      <c r="CO308" s="928"/>
      <c r="CP308" s="928"/>
      <c r="CQ308" s="928"/>
      <c r="CR308" s="928"/>
      <c r="CS308" s="928"/>
      <c r="CT308" s="928"/>
      <c r="CU308" s="928"/>
      <c r="CV308" s="928"/>
      <c r="CW308" s="928"/>
      <c r="CX308" s="928"/>
      <c r="CY308" s="928"/>
      <c r="CZ308" s="928"/>
      <c r="DA308" s="928"/>
      <c r="DB308" s="928"/>
      <c r="DC308" s="928"/>
      <c r="DD308" s="928"/>
      <c r="DE308" s="928"/>
      <c r="DF308" s="928"/>
      <c r="DG308" s="928"/>
      <c r="DH308" s="928"/>
    </row>
    <row r="309" spans="1:112">
      <c r="A309" s="891" t="s">
        <v>1110</v>
      </c>
      <c r="B309" s="891" t="s">
        <v>1453</v>
      </c>
      <c r="C309" s="891" t="s">
        <v>384</v>
      </c>
      <c r="D309" s="891" t="s">
        <v>1110</v>
      </c>
      <c r="E309" s="891" t="s">
        <v>1453</v>
      </c>
      <c r="F309" s="891" t="s">
        <v>384</v>
      </c>
      <c r="G309" s="897">
        <v>97.22</v>
      </c>
      <c r="H309" s="897">
        <v>79.38</v>
      </c>
      <c r="I309" s="897">
        <v>125.3</v>
      </c>
      <c r="J309" s="891"/>
      <c r="K309" s="891"/>
      <c r="L309" s="891"/>
      <c r="M309" s="891"/>
      <c r="N309" s="891"/>
      <c r="O309" s="891"/>
      <c r="P309" s="891"/>
      <c r="Q309" s="891"/>
      <c r="R309" s="891"/>
      <c r="S309" s="891"/>
      <c r="T309" s="891"/>
      <c r="U309" s="928"/>
      <c r="V309" s="928"/>
      <c r="W309" s="928"/>
      <c r="X309" s="928"/>
      <c r="Y309" s="928"/>
      <c r="Z309" s="928"/>
      <c r="AA309" s="928"/>
      <c r="AB309" s="928"/>
      <c r="AC309" s="928"/>
      <c r="AD309" s="928"/>
      <c r="AE309" s="928"/>
      <c r="AF309" s="928"/>
      <c r="AG309" s="928"/>
      <c r="AH309" s="928"/>
      <c r="AI309" s="928"/>
      <c r="AJ309" s="928"/>
      <c r="AK309" s="928"/>
      <c r="AL309" s="928"/>
      <c r="AM309" s="928"/>
      <c r="AN309" s="928"/>
      <c r="AO309" s="928"/>
      <c r="AP309" s="928"/>
      <c r="AQ309" s="928"/>
      <c r="AR309" s="928"/>
      <c r="AS309" s="928"/>
      <c r="AT309" s="928"/>
      <c r="AU309" s="928"/>
      <c r="AV309" s="928"/>
      <c r="AW309" s="928"/>
      <c r="AX309" s="928"/>
      <c r="AY309" s="928"/>
      <c r="AZ309" s="928"/>
      <c r="BA309" s="928"/>
      <c r="BB309" s="928"/>
      <c r="BC309" s="928"/>
      <c r="BD309" s="928"/>
      <c r="BE309" s="928"/>
      <c r="BF309" s="928"/>
      <c r="BG309" s="928"/>
      <c r="BH309" s="928"/>
      <c r="BI309" s="928"/>
      <c r="BJ309" s="928"/>
      <c r="BK309" s="928"/>
      <c r="BL309" s="928"/>
      <c r="BM309" s="928"/>
      <c r="BN309" s="928"/>
      <c r="BO309" s="928"/>
      <c r="BP309" s="928"/>
      <c r="BQ309" s="928"/>
      <c r="BR309" s="928"/>
      <c r="BS309" s="928"/>
      <c r="BT309" s="928"/>
      <c r="BU309" s="928"/>
      <c r="BV309" s="928"/>
      <c r="BW309" s="928"/>
      <c r="BX309" s="928"/>
      <c r="BY309" s="928"/>
      <c r="BZ309" s="928"/>
      <c r="CA309" s="928"/>
      <c r="CB309" s="928"/>
      <c r="CC309" s="928"/>
      <c r="CD309" s="928"/>
      <c r="CE309" s="928"/>
      <c r="CF309" s="928"/>
      <c r="CG309" s="928"/>
      <c r="CH309" s="928"/>
      <c r="CI309" s="928"/>
      <c r="CJ309" s="928"/>
      <c r="CK309" s="928"/>
      <c r="CL309" s="928"/>
      <c r="CM309" s="928"/>
      <c r="CN309" s="928"/>
      <c r="CO309" s="928"/>
      <c r="CP309" s="928"/>
      <c r="CQ309" s="928"/>
      <c r="CR309" s="928"/>
      <c r="CS309" s="928"/>
      <c r="CT309" s="928"/>
      <c r="CU309" s="928"/>
      <c r="CV309" s="928"/>
      <c r="CW309" s="928"/>
      <c r="CX309" s="928"/>
      <c r="CY309" s="928"/>
      <c r="CZ309" s="928"/>
      <c r="DA309" s="928"/>
      <c r="DB309" s="928"/>
      <c r="DC309" s="928"/>
      <c r="DD309" s="928"/>
      <c r="DE309" s="928"/>
      <c r="DF309" s="928"/>
      <c r="DG309" s="928"/>
      <c r="DH309" s="928"/>
    </row>
    <row r="310" spans="1:112">
      <c r="A310" s="891" t="s">
        <v>1111</v>
      </c>
      <c r="B310" s="891" t="s">
        <v>1471</v>
      </c>
      <c r="C310" s="891" t="s">
        <v>109</v>
      </c>
      <c r="D310" s="891" t="s">
        <v>1111</v>
      </c>
      <c r="E310" s="891" t="s">
        <v>1471</v>
      </c>
      <c r="F310" s="891" t="s">
        <v>109</v>
      </c>
      <c r="G310" s="897">
        <v>76.3</v>
      </c>
      <c r="H310" s="897">
        <v>55.33</v>
      </c>
      <c r="I310" s="897">
        <v>38.29</v>
      </c>
      <c r="J310" s="891"/>
      <c r="K310" s="891"/>
      <c r="L310" s="891"/>
      <c r="M310" s="891"/>
      <c r="N310" s="891"/>
      <c r="O310" s="891"/>
      <c r="P310" s="891"/>
      <c r="Q310" s="891"/>
      <c r="R310" s="891"/>
      <c r="S310" s="891"/>
      <c r="T310" s="891"/>
      <c r="U310" s="928"/>
      <c r="V310" s="928"/>
      <c r="W310" s="928"/>
      <c r="X310" s="928"/>
      <c r="Y310" s="928"/>
      <c r="Z310" s="928"/>
      <c r="AA310" s="928"/>
      <c r="AB310" s="928"/>
      <c r="AC310" s="928"/>
      <c r="AD310" s="928"/>
      <c r="AE310" s="928"/>
      <c r="AF310" s="928"/>
      <c r="AG310" s="928"/>
      <c r="AH310" s="928"/>
      <c r="AI310" s="928"/>
      <c r="AJ310" s="928"/>
      <c r="AK310" s="928"/>
      <c r="AL310" s="928"/>
      <c r="AM310" s="928"/>
      <c r="AN310" s="928"/>
      <c r="AO310" s="928"/>
      <c r="AP310" s="928"/>
      <c r="AQ310" s="928"/>
      <c r="AR310" s="928"/>
      <c r="AS310" s="928"/>
      <c r="AT310" s="928"/>
      <c r="AU310" s="928"/>
      <c r="AV310" s="928"/>
      <c r="AW310" s="928"/>
      <c r="AX310" s="928"/>
      <c r="AY310" s="928"/>
      <c r="AZ310" s="928"/>
      <c r="BA310" s="928"/>
      <c r="BB310" s="928"/>
      <c r="BC310" s="928"/>
      <c r="BD310" s="928"/>
      <c r="BE310" s="928"/>
      <c r="BF310" s="928"/>
      <c r="BG310" s="928"/>
      <c r="BH310" s="928"/>
      <c r="BI310" s="928"/>
      <c r="BJ310" s="928"/>
      <c r="BK310" s="928"/>
      <c r="BL310" s="928"/>
      <c r="BM310" s="928"/>
      <c r="BN310" s="928"/>
      <c r="BO310" s="928"/>
      <c r="BP310" s="928"/>
      <c r="BQ310" s="928"/>
      <c r="BR310" s="928"/>
      <c r="BS310" s="928"/>
      <c r="BT310" s="928"/>
      <c r="BU310" s="928"/>
      <c r="BV310" s="928"/>
      <c r="BW310" s="928"/>
      <c r="BX310" s="928"/>
      <c r="BY310" s="928"/>
      <c r="BZ310" s="928"/>
      <c r="CA310" s="928"/>
      <c r="CB310" s="928"/>
      <c r="CC310" s="928"/>
      <c r="CD310" s="928"/>
      <c r="CE310" s="928"/>
      <c r="CF310" s="928"/>
      <c r="CG310" s="928"/>
      <c r="CH310" s="928"/>
      <c r="CI310" s="928"/>
      <c r="CJ310" s="928"/>
      <c r="CK310" s="928"/>
      <c r="CL310" s="928"/>
      <c r="CM310" s="928"/>
      <c r="CN310" s="928"/>
      <c r="CO310" s="928"/>
      <c r="CP310" s="928"/>
      <c r="CQ310" s="928"/>
      <c r="CR310" s="928"/>
      <c r="CS310" s="928"/>
      <c r="CT310" s="928"/>
      <c r="CU310" s="928"/>
      <c r="CV310" s="928"/>
      <c r="CW310" s="928"/>
      <c r="CX310" s="928"/>
      <c r="CY310" s="928"/>
      <c r="CZ310" s="928"/>
      <c r="DA310" s="928"/>
      <c r="DB310" s="928"/>
      <c r="DC310" s="928"/>
      <c r="DD310" s="928"/>
      <c r="DE310" s="928"/>
      <c r="DF310" s="928"/>
      <c r="DG310" s="928"/>
      <c r="DH310" s="928"/>
    </row>
    <row r="311" spans="1:112">
      <c r="A311" s="891" t="s">
        <v>1112</v>
      </c>
      <c r="B311" s="891" t="s">
        <v>1452</v>
      </c>
      <c r="C311" s="891" t="s">
        <v>15</v>
      </c>
      <c r="D311" s="891" t="s">
        <v>1112</v>
      </c>
      <c r="E311" s="891" t="s">
        <v>1452</v>
      </c>
      <c r="F311" s="891" t="s">
        <v>15</v>
      </c>
      <c r="G311" s="897">
        <v>86</v>
      </c>
      <c r="H311" s="897">
        <v>69.06</v>
      </c>
      <c r="I311" s="897">
        <v>80.569999999999993</v>
      </c>
      <c r="J311" s="891"/>
      <c r="K311" s="891"/>
      <c r="L311" s="891"/>
      <c r="M311" s="891"/>
      <c r="N311" s="891"/>
      <c r="O311" s="891"/>
      <c r="P311" s="891"/>
      <c r="Q311" s="891"/>
      <c r="R311" s="891"/>
      <c r="S311" s="891"/>
      <c r="T311" s="891"/>
      <c r="U311" s="928"/>
      <c r="V311" s="928"/>
      <c r="W311" s="928"/>
      <c r="X311" s="928"/>
      <c r="Y311" s="928"/>
      <c r="Z311" s="928"/>
      <c r="AA311" s="928"/>
      <c r="AB311" s="928"/>
      <c r="AC311" s="928"/>
      <c r="AD311" s="928"/>
      <c r="AE311" s="928"/>
      <c r="AF311" s="928"/>
      <c r="AG311" s="928"/>
      <c r="AH311" s="928"/>
      <c r="AI311" s="928"/>
      <c r="AJ311" s="928"/>
      <c r="AK311" s="928"/>
      <c r="AL311" s="928"/>
      <c r="AM311" s="928"/>
      <c r="AN311" s="928"/>
      <c r="AO311" s="928"/>
      <c r="AP311" s="928"/>
      <c r="AQ311" s="928"/>
      <c r="AR311" s="928"/>
      <c r="AS311" s="928"/>
      <c r="AT311" s="928"/>
      <c r="AU311" s="928"/>
      <c r="AV311" s="928"/>
      <c r="AW311" s="928"/>
      <c r="AX311" s="928"/>
      <c r="AY311" s="928"/>
      <c r="AZ311" s="928"/>
      <c r="BA311" s="928"/>
      <c r="BB311" s="928"/>
      <c r="BC311" s="928"/>
      <c r="BD311" s="928"/>
      <c r="BE311" s="928"/>
      <c r="BF311" s="928"/>
      <c r="BG311" s="928"/>
      <c r="BH311" s="928"/>
      <c r="BI311" s="928"/>
      <c r="BJ311" s="928"/>
      <c r="BK311" s="928"/>
      <c r="BL311" s="928"/>
      <c r="BM311" s="928"/>
      <c r="BN311" s="928"/>
      <c r="BO311" s="928"/>
      <c r="BP311" s="928"/>
      <c r="BQ311" s="928"/>
      <c r="BR311" s="928"/>
      <c r="BS311" s="928"/>
      <c r="BT311" s="928"/>
      <c r="BU311" s="928"/>
      <c r="BV311" s="928"/>
      <c r="BW311" s="928"/>
      <c r="BX311" s="928"/>
      <c r="BY311" s="928"/>
      <c r="BZ311" s="928"/>
      <c r="CA311" s="928"/>
      <c r="CB311" s="928"/>
      <c r="CC311" s="928"/>
      <c r="CD311" s="928"/>
      <c r="CE311" s="928"/>
      <c r="CF311" s="928"/>
      <c r="CG311" s="928"/>
      <c r="CH311" s="928"/>
      <c r="CI311" s="928"/>
      <c r="CJ311" s="928"/>
      <c r="CK311" s="928"/>
      <c r="CL311" s="928"/>
      <c r="CM311" s="928"/>
      <c r="CN311" s="928"/>
      <c r="CO311" s="928"/>
      <c r="CP311" s="928"/>
      <c r="CQ311" s="928"/>
      <c r="CR311" s="928"/>
      <c r="CS311" s="928"/>
      <c r="CT311" s="928"/>
      <c r="CU311" s="928"/>
      <c r="CV311" s="928"/>
      <c r="CW311" s="928"/>
      <c r="CX311" s="928"/>
      <c r="CY311" s="928"/>
      <c r="CZ311" s="928"/>
      <c r="DA311" s="928"/>
      <c r="DB311" s="928"/>
      <c r="DC311" s="928"/>
      <c r="DD311" s="928"/>
      <c r="DE311" s="928"/>
      <c r="DF311" s="928"/>
      <c r="DG311" s="928"/>
      <c r="DH311" s="928"/>
    </row>
    <row r="312" spans="1:112">
      <c r="A312" s="891" t="s">
        <v>1113</v>
      </c>
      <c r="B312" s="891" t="s">
        <v>1502</v>
      </c>
      <c r="C312" s="891" t="s">
        <v>331</v>
      </c>
      <c r="D312" s="891" t="s">
        <v>1113</v>
      </c>
      <c r="E312" s="891" t="s">
        <v>1502</v>
      </c>
      <c r="F312" s="891" t="s">
        <v>331</v>
      </c>
      <c r="G312" s="897">
        <v>61.37</v>
      </c>
      <c r="H312" s="897">
        <v>34.770000000000003</v>
      </c>
      <c r="I312" s="897">
        <v>20.05</v>
      </c>
      <c r="J312" s="891"/>
      <c r="K312" s="891"/>
      <c r="L312" s="891"/>
      <c r="M312" s="891"/>
      <c r="N312" s="891"/>
      <c r="O312" s="891"/>
      <c r="P312" s="891"/>
      <c r="Q312" s="891"/>
      <c r="R312" s="891"/>
      <c r="S312" s="891"/>
      <c r="T312" s="891"/>
      <c r="U312" s="928"/>
      <c r="V312" s="928"/>
      <c r="W312" s="928"/>
      <c r="X312" s="928"/>
      <c r="Y312" s="928"/>
      <c r="Z312" s="928"/>
      <c r="AA312" s="928"/>
      <c r="AB312" s="928"/>
      <c r="AC312" s="928"/>
      <c r="AD312" s="928"/>
      <c r="AE312" s="928"/>
      <c r="AF312" s="928"/>
      <c r="AG312" s="928"/>
      <c r="AH312" s="928"/>
      <c r="AI312" s="928"/>
      <c r="AJ312" s="928"/>
      <c r="AK312" s="928"/>
      <c r="AL312" s="928"/>
      <c r="AM312" s="928"/>
      <c r="AN312" s="928"/>
      <c r="AO312" s="928"/>
      <c r="AP312" s="928"/>
      <c r="AQ312" s="928"/>
      <c r="AR312" s="928"/>
      <c r="AS312" s="928"/>
      <c r="AT312" s="928"/>
      <c r="AU312" s="928"/>
      <c r="AV312" s="928"/>
      <c r="AW312" s="928"/>
      <c r="AX312" s="928"/>
      <c r="AY312" s="928"/>
      <c r="AZ312" s="928"/>
      <c r="BA312" s="928"/>
      <c r="BB312" s="928"/>
      <c r="BC312" s="928"/>
      <c r="BD312" s="928"/>
      <c r="BE312" s="928"/>
      <c r="BF312" s="928"/>
      <c r="BG312" s="928"/>
      <c r="BH312" s="928"/>
      <c r="BI312" s="928"/>
      <c r="BJ312" s="928"/>
      <c r="BK312" s="928"/>
      <c r="BL312" s="928"/>
      <c r="BM312" s="928"/>
      <c r="BN312" s="928"/>
      <c r="BO312" s="928"/>
      <c r="BP312" s="928"/>
      <c r="BQ312" s="928"/>
      <c r="BR312" s="928"/>
      <c r="BS312" s="928"/>
      <c r="BT312" s="928"/>
      <c r="BU312" s="928"/>
      <c r="BV312" s="928"/>
      <c r="BW312" s="928"/>
      <c r="BX312" s="928"/>
      <c r="BY312" s="928"/>
      <c r="BZ312" s="928"/>
      <c r="CA312" s="928"/>
      <c r="CB312" s="928"/>
      <c r="CC312" s="928"/>
      <c r="CD312" s="928"/>
      <c r="CE312" s="928"/>
      <c r="CF312" s="928"/>
      <c r="CG312" s="928"/>
      <c r="CH312" s="928"/>
      <c r="CI312" s="928"/>
      <c r="CJ312" s="928"/>
      <c r="CK312" s="928"/>
      <c r="CL312" s="928"/>
      <c r="CM312" s="928"/>
      <c r="CN312" s="928"/>
      <c r="CO312" s="928"/>
      <c r="CP312" s="928"/>
      <c r="CQ312" s="928"/>
      <c r="CR312" s="928"/>
      <c r="CS312" s="928"/>
      <c r="CT312" s="928"/>
      <c r="CU312" s="928"/>
      <c r="CV312" s="928"/>
      <c r="CW312" s="928"/>
      <c r="CX312" s="928"/>
      <c r="CY312" s="928"/>
      <c r="CZ312" s="928"/>
      <c r="DA312" s="928"/>
      <c r="DB312" s="928"/>
      <c r="DC312" s="928"/>
      <c r="DD312" s="928"/>
      <c r="DE312" s="928"/>
      <c r="DF312" s="928"/>
      <c r="DG312" s="928"/>
      <c r="DH312" s="928"/>
    </row>
    <row r="313" spans="1:112">
      <c r="A313" s="891" t="s">
        <v>1114</v>
      </c>
      <c r="B313" s="891" t="s">
        <v>1558</v>
      </c>
      <c r="C313" s="891" t="s">
        <v>225</v>
      </c>
      <c r="D313" s="891" t="s">
        <v>1114</v>
      </c>
      <c r="E313" s="891" t="s">
        <v>1558</v>
      </c>
      <c r="F313" s="891" t="s">
        <v>225</v>
      </c>
      <c r="G313" s="897">
        <v>100.76</v>
      </c>
      <c r="H313" s="897">
        <v>67.510000000000005</v>
      </c>
      <c r="I313" s="897">
        <v>42.65</v>
      </c>
      <c r="J313" s="891"/>
      <c r="K313" s="891"/>
      <c r="L313" s="891"/>
      <c r="M313" s="891"/>
      <c r="N313" s="891"/>
      <c r="O313" s="891"/>
      <c r="P313" s="891"/>
      <c r="Q313" s="891"/>
      <c r="R313" s="891"/>
      <c r="S313" s="891"/>
      <c r="T313" s="891"/>
      <c r="U313" s="928"/>
      <c r="V313" s="928"/>
      <c r="W313" s="928"/>
      <c r="X313" s="928"/>
      <c r="Y313" s="928"/>
      <c r="Z313" s="928"/>
      <c r="AA313" s="928"/>
      <c r="AB313" s="928"/>
      <c r="AC313" s="928"/>
      <c r="AD313" s="928"/>
      <c r="AE313" s="928"/>
      <c r="AF313" s="928"/>
      <c r="AG313" s="928"/>
      <c r="AH313" s="928"/>
      <c r="AI313" s="928"/>
      <c r="AJ313" s="928"/>
      <c r="AK313" s="928"/>
      <c r="AL313" s="928"/>
      <c r="AM313" s="928"/>
      <c r="AN313" s="928"/>
      <c r="AO313" s="928"/>
      <c r="AP313" s="928"/>
      <c r="AQ313" s="928"/>
      <c r="AR313" s="928"/>
      <c r="AS313" s="928"/>
      <c r="AT313" s="928"/>
      <c r="AU313" s="928"/>
      <c r="AV313" s="928"/>
      <c r="AW313" s="928"/>
      <c r="AX313" s="928"/>
      <c r="AY313" s="928"/>
      <c r="AZ313" s="928"/>
      <c r="BA313" s="928"/>
      <c r="BB313" s="928"/>
      <c r="BC313" s="928"/>
      <c r="BD313" s="928"/>
      <c r="BE313" s="928"/>
      <c r="BF313" s="928"/>
      <c r="BG313" s="928"/>
      <c r="BH313" s="928"/>
      <c r="BI313" s="928"/>
      <c r="BJ313" s="928"/>
      <c r="BK313" s="928"/>
      <c r="BL313" s="928"/>
      <c r="BM313" s="928"/>
      <c r="BN313" s="928"/>
      <c r="BO313" s="928"/>
      <c r="BP313" s="928"/>
      <c r="BQ313" s="928"/>
      <c r="BR313" s="928"/>
      <c r="BS313" s="928"/>
      <c r="BT313" s="928"/>
      <c r="BU313" s="928"/>
      <c r="BV313" s="928"/>
      <c r="BW313" s="928"/>
      <c r="BX313" s="928"/>
      <c r="BY313" s="928"/>
      <c r="BZ313" s="928"/>
      <c r="CA313" s="928"/>
      <c r="CB313" s="928"/>
      <c r="CC313" s="928"/>
      <c r="CD313" s="928"/>
      <c r="CE313" s="928"/>
      <c r="CF313" s="928"/>
      <c r="CG313" s="928"/>
      <c r="CH313" s="928"/>
      <c r="CI313" s="928"/>
      <c r="CJ313" s="928"/>
      <c r="CK313" s="928"/>
      <c r="CL313" s="928"/>
      <c r="CM313" s="928"/>
      <c r="CN313" s="928"/>
      <c r="CO313" s="928"/>
      <c r="CP313" s="928"/>
      <c r="CQ313" s="928"/>
      <c r="CR313" s="928"/>
      <c r="CS313" s="928"/>
      <c r="CT313" s="928"/>
      <c r="CU313" s="928"/>
      <c r="CV313" s="928"/>
      <c r="CW313" s="928"/>
      <c r="CX313" s="928"/>
      <c r="CY313" s="928"/>
      <c r="CZ313" s="928"/>
      <c r="DA313" s="928"/>
      <c r="DB313" s="928"/>
      <c r="DC313" s="928"/>
      <c r="DD313" s="928"/>
      <c r="DE313" s="928"/>
      <c r="DF313" s="928"/>
      <c r="DG313" s="928"/>
      <c r="DH313" s="928"/>
    </row>
    <row r="314" spans="1:112">
      <c r="A314" s="891" t="s">
        <v>1115</v>
      </c>
      <c r="B314" s="891" t="s">
        <v>1558</v>
      </c>
      <c r="C314" s="891" t="s">
        <v>255</v>
      </c>
      <c r="D314" s="891" t="s">
        <v>1115</v>
      </c>
      <c r="E314" s="891" t="s">
        <v>1558</v>
      </c>
      <c r="F314" s="891" t="s">
        <v>255</v>
      </c>
      <c r="G314" s="897">
        <v>55.98</v>
      </c>
      <c r="H314" s="897">
        <v>52.24</v>
      </c>
      <c r="I314" s="897">
        <v>53.45</v>
      </c>
      <c r="J314" s="891"/>
      <c r="K314" s="891"/>
      <c r="L314" s="891"/>
      <c r="M314" s="891"/>
      <c r="N314" s="891"/>
      <c r="O314" s="891"/>
      <c r="P314" s="891"/>
      <c r="Q314" s="891"/>
      <c r="R314" s="891"/>
      <c r="S314" s="891"/>
      <c r="T314" s="891"/>
      <c r="U314" s="928"/>
      <c r="V314" s="928"/>
      <c r="W314" s="928"/>
      <c r="X314" s="928"/>
      <c r="Y314" s="928"/>
      <c r="Z314" s="928"/>
      <c r="AA314" s="928"/>
      <c r="AB314" s="928"/>
      <c r="AC314" s="928"/>
      <c r="AD314" s="928"/>
      <c r="AE314" s="928"/>
      <c r="AF314" s="928"/>
      <c r="AG314" s="928"/>
      <c r="AH314" s="928"/>
      <c r="AI314" s="928"/>
      <c r="AJ314" s="928"/>
      <c r="AK314" s="928"/>
      <c r="AL314" s="928"/>
      <c r="AM314" s="928"/>
      <c r="AN314" s="928"/>
      <c r="AO314" s="928"/>
      <c r="AP314" s="928"/>
      <c r="AQ314" s="928"/>
      <c r="AR314" s="928"/>
      <c r="AS314" s="928"/>
      <c r="AT314" s="928"/>
      <c r="AU314" s="928"/>
      <c r="AV314" s="928"/>
      <c r="AW314" s="928"/>
      <c r="AX314" s="928"/>
      <c r="AY314" s="928"/>
      <c r="AZ314" s="928"/>
      <c r="BA314" s="928"/>
      <c r="BB314" s="928"/>
      <c r="BC314" s="928"/>
      <c r="BD314" s="928"/>
      <c r="BE314" s="928"/>
      <c r="BF314" s="928"/>
      <c r="BG314" s="928"/>
      <c r="BH314" s="928"/>
      <c r="BI314" s="928"/>
      <c r="BJ314" s="928"/>
      <c r="BK314" s="928"/>
      <c r="BL314" s="928"/>
      <c r="BM314" s="928"/>
      <c r="BN314" s="928"/>
      <c r="BO314" s="928"/>
      <c r="BP314" s="928"/>
      <c r="BQ314" s="928"/>
      <c r="BR314" s="928"/>
      <c r="BS314" s="928"/>
      <c r="BT314" s="928"/>
      <c r="BU314" s="928"/>
      <c r="BV314" s="928"/>
      <c r="BW314" s="928"/>
      <c r="BX314" s="928"/>
      <c r="BY314" s="928"/>
      <c r="BZ314" s="928"/>
      <c r="CA314" s="928"/>
      <c r="CB314" s="928"/>
      <c r="CC314" s="928"/>
      <c r="CD314" s="928"/>
      <c r="CE314" s="928"/>
      <c r="CF314" s="928"/>
      <c r="CG314" s="928"/>
      <c r="CH314" s="928"/>
      <c r="CI314" s="928"/>
      <c r="CJ314" s="928"/>
      <c r="CK314" s="928"/>
      <c r="CL314" s="928"/>
      <c r="CM314" s="928"/>
      <c r="CN314" s="928"/>
      <c r="CO314" s="928"/>
      <c r="CP314" s="928"/>
      <c r="CQ314" s="928"/>
      <c r="CR314" s="928"/>
      <c r="CS314" s="928"/>
      <c r="CT314" s="928"/>
      <c r="CU314" s="928"/>
      <c r="CV314" s="928"/>
      <c r="CW314" s="928"/>
      <c r="CX314" s="928"/>
      <c r="CY314" s="928"/>
      <c r="CZ314" s="928"/>
      <c r="DA314" s="928"/>
      <c r="DB314" s="928"/>
      <c r="DC314" s="928"/>
      <c r="DD314" s="928"/>
      <c r="DE314" s="928"/>
      <c r="DF314" s="928"/>
      <c r="DG314" s="928"/>
      <c r="DH314" s="928"/>
    </row>
    <row r="315" spans="1:112">
      <c r="A315" s="891" t="s">
        <v>1116</v>
      </c>
      <c r="B315" s="891" t="s">
        <v>1559</v>
      </c>
      <c r="C315" s="891" t="s">
        <v>218</v>
      </c>
      <c r="D315" s="891" t="s">
        <v>1116</v>
      </c>
      <c r="E315" s="891" t="s">
        <v>1559</v>
      </c>
      <c r="F315" s="891" t="s">
        <v>218</v>
      </c>
      <c r="G315" s="897">
        <v>61.83</v>
      </c>
      <c r="H315" s="897">
        <v>46.72</v>
      </c>
      <c r="I315" s="897">
        <v>45.48</v>
      </c>
      <c r="J315" s="891"/>
      <c r="K315" s="891"/>
      <c r="L315" s="891"/>
      <c r="M315" s="891"/>
      <c r="N315" s="891"/>
      <c r="O315" s="891"/>
      <c r="P315" s="891"/>
      <c r="Q315" s="891"/>
      <c r="R315" s="891"/>
      <c r="S315" s="891"/>
      <c r="T315" s="891"/>
      <c r="U315" s="928"/>
      <c r="V315" s="928"/>
      <c r="W315" s="928"/>
      <c r="X315" s="928"/>
      <c r="Y315" s="928"/>
      <c r="Z315" s="928"/>
      <c r="AA315" s="928"/>
      <c r="AB315" s="928"/>
      <c r="AC315" s="928"/>
      <c r="AD315" s="928"/>
      <c r="AE315" s="928"/>
      <c r="AF315" s="928"/>
      <c r="AG315" s="928"/>
      <c r="AH315" s="928"/>
      <c r="AI315" s="928"/>
      <c r="AJ315" s="928"/>
      <c r="AK315" s="928"/>
      <c r="AL315" s="928"/>
      <c r="AM315" s="928"/>
      <c r="AN315" s="928"/>
      <c r="AO315" s="928"/>
      <c r="AP315" s="928"/>
      <c r="AQ315" s="928"/>
      <c r="AR315" s="928"/>
      <c r="AS315" s="928"/>
      <c r="AT315" s="928"/>
      <c r="AU315" s="928"/>
      <c r="AV315" s="928"/>
      <c r="AW315" s="928"/>
      <c r="AX315" s="928"/>
      <c r="AY315" s="928"/>
      <c r="AZ315" s="928"/>
      <c r="BA315" s="928"/>
      <c r="BB315" s="928"/>
      <c r="BC315" s="928"/>
      <c r="BD315" s="928"/>
      <c r="BE315" s="928"/>
      <c r="BF315" s="928"/>
      <c r="BG315" s="928"/>
      <c r="BH315" s="928"/>
      <c r="BI315" s="928"/>
      <c r="BJ315" s="928"/>
      <c r="BK315" s="928"/>
      <c r="BL315" s="928"/>
      <c r="BM315" s="928"/>
      <c r="BN315" s="928"/>
      <c r="BO315" s="928"/>
      <c r="BP315" s="928"/>
      <c r="BQ315" s="928"/>
      <c r="BR315" s="928"/>
      <c r="BS315" s="928"/>
      <c r="BT315" s="928"/>
      <c r="BU315" s="928"/>
      <c r="BV315" s="928"/>
      <c r="BW315" s="928"/>
      <c r="BX315" s="928"/>
      <c r="BY315" s="928"/>
      <c r="BZ315" s="928"/>
      <c r="CA315" s="928"/>
      <c r="CB315" s="928"/>
      <c r="CC315" s="928"/>
      <c r="CD315" s="928"/>
      <c r="CE315" s="928"/>
      <c r="CF315" s="928"/>
      <c r="CG315" s="928"/>
      <c r="CH315" s="928"/>
      <c r="CI315" s="928"/>
      <c r="CJ315" s="928"/>
      <c r="CK315" s="928"/>
      <c r="CL315" s="928"/>
      <c r="CM315" s="928"/>
      <c r="CN315" s="928"/>
      <c r="CO315" s="928"/>
      <c r="CP315" s="928"/>
      <c r="CQ315" s="928"/>
      <c r="CR315" s="928"/>
      <c r="CS315" s="928"/>
      <c r="CT315" s="928"/>
      <c r="CU315" s="928"/>
      <c r="CV315" s="928"/>
      <c r="CW315" s="928"/>
      <c r="CX315" s="928"/>
      <c r="CY315" s="928"/>
      <c r="CZ315" s="928"/>
      <c r="DA315" s="928"/>
      <c r="DB315" s="928"/>
      <c r="DC315" s="928"/>
      <c r="DD315" s="928"/>
      <c r="DE315" s="928"/>
      <c r="DF315" s="928"/>
      <c r="DG315" s="928"/>
      <c r="DH315" s="928"/>
    </row>
    <row r="316" spans="1:112">
      <c r="A316" s="891" t="s">
        <v>1117</v>
      </c>
      <c r="B316" s="891" t="s">
        <v>1454</v>
      </c>
      <c r="C316" s="891" t="s">
        <v>178</v>
      </c>
      <c r="D316" s="891" t="s">
        <v>1117</v>
      </c>
      <c r="E316" s="891" t="s">
        <v>1454</v>
      </c>
      <c r="F316" s="891" t="s">
        <v>178</v>
      </c>
      <c r="G316" s="897">
        <v>61.52</v>
      </c>
      <c r="H316" s="897">
        <v>59.88</v>
      </c>
      <c r="I316" s="897">
        <v>42.52</v>
      </c>
      <c r="J316" s="891"/>
      <c r="K316" s="891"/>
      <c r="L316" s="891"/>
      <c r="M316" s="891"/>
      <c r="N316" s="891"/>
      <c r="O316" s="891"/>
      <c r="P316" s="891"/>
      <c r="Q316" s="891"/>
      <c r="R316" s="891"/>
      <c r="S316" s="891"/>
      <c r="T316" s="891"/>
      <c r="U316" s="928"/>
      <c r="V316" s="928"/>
      <c r="W316" s="928"/>
      <c r="X316" s="928"/>
      <c r="Y316" s="928"/>
      <c r="Z316" s="928"/>
      <c r="AA316" s="928"/>
      <c r="AB316" s="928"/>
      <c r="AC316" s="928"/>
      <c r="AD316" s="928"/>
      <c r="AE316" s="928"/>
      <c r="AF316" s="928"/>
      <c r="AG316" s="928"/>
      <c r="AH316" s="928"/>
      <c r="AI316" s="928"/>
      <c r="AJ316" s="928"/>
      <c r="AK316" s="928"/>
      <c r="AL316" s="928"/>
      <c r="AM316" s="928"/>
      <c r="AN316" s="928"/>
      <c r="AO316" s="928"/>
      <c r="AP316" s="928"/>
      <c r="AQ316" s="928"/>
      <c r="AR316" s="928"/>
      <c r="AS316" s="928"/>
      <c r="AT316" s="928"/>
      <c r="AU316" s="928"/>
      <c r="AV316" s="928"/>
      <c r="AW316" s="928"/>
      <c r="AX316" s="928"/>
      <c r="AY316" s="928"/>
      <c r="AZ316" s="928"/>
      <c r="BA316" s="928"/>
      <c r="BB316" s="928"/>
      <c r="BC316" s="928"/>
      <c r="BD316" s="928"/>
      <c r="BE316" s="928"/>
      <c r="BF316" s="928"/>
      <c r="BG316" s="928"/>
      <c r="BH316" s="928"/>
      <c r="BI316" s="928"/>
      <c r="BJ316" s="928"/>
      <c r="BK316" s="928"/>
      <c r="BL316" s="928"/>
      <c r="BM316" s="928"/>
      <c r="BN316" s="928"/>
      <c r="BO316" s="928"/>
      <c r="BP316" s="928"/>
      <c r="BQ316" s="928"/>
      <c r="BR316" s="928"/>
      <c r="BS316" s="928"/>
      <c r="BT316" s="928"/>
      <c r="BU316" s="928"/>
      <c r="BV316" s="928"/>
      <c r="BW316" s="928"/>
      <c r="BX316" s="928"/>
      <c r="BY316" s="928"/>
      <c r="BZ316" s="928"/>
      <c r="CA316" s="928"/>
      <c r="CB316" s="928"/>
      <c r="CC316" s="928"/>
      <c r="CD316" s="928"/>
      <c r="CE316" s="928"/>
      <c r="CF316" s="928"/>
      <c r="CG316" s="928"/>
      <c r="CH316" s="928"/>
      <c r="CI316" s="928"/>
      <c r="CJ316" s="928"/>
      <c r="CK316" s="928"/>
      <c r="CL316" s="928"/>
      <c r="CM316" s="928"/>
      <c r="CN316" s="928"/>
      <c r="CO316" s="928"/>
      <c r="CP316" s="928"/>
      <c r="CQ316" s="928"/>
      <c r="CR316" s="928"/>
      <c r="CS316" s="928"/>
      <c r="CT316" s="928"/>
      <c r="CU316" s="928"/>
      <c r="CV316" s="928"/>
      <c r="CW316" s="928"/>
      <c r="CX316" s="928"/>
      <c r="CY316" s="928"/>
      <c r="CZ316" s="928"/>
      <c r="DA316" s="928"/>
      <c r="DB316" s="928"/>
      <c r="DC316" s="928"/>
      <c r="DD316" s="928"/>
      <c r="DE316" s="928"/>
      <c r="DF316" s="928"/>
      <c r="DG316" s="928"/>
      <c r="DH316" s="928"/>
    </row>
    <row r="317" spans="1:112">
      <c r="A317" s="891" t="s">
        <v>1118</v>
      </c>
      <c r="B317" s="891" t="s">
        <v>1511</v>
      </c>
      <c r="C317" s="891" t="s">
        <v>61</v>
      </c>
      <c r="D317" s="891" t="s">
        <v>1118</v>
      </c>
      <c r="E317" s="891" t="s">
        <v>1511</v>
      </c>
      <c r="F317" s="891" t="s">
        <v>61</v>
      </c>
      <c r="G317" s="897">
        <v>46.68</v>
      </c>
      <c r="H317" s="897">
        <v>36.79</v>
      </c>
      <c r="I317" s="897">
        <v>42.94</v>
      </c>
      <c r="J317" s="891"/>
      <c r="K317" s="891"/>
      <c r="L317" s="891"/>
      <c r="M317" s="891"/>
      <c r="N317" s="891"/>
      <c r="O317" s="891"/>
      <c r="P317" s="891"/>
      <c r="Q317" s="891"/>
      <c r="R317" s="891"/>
      <c r="S317" s="891"/>
      <c r="T317" s="891"/>
      <c r="U317" s="928"/>
      <c r="V317" s="928"/>
      <c r="W317" s="928"/>
      <c r="X317" s="928"/>
      <c r="Y317" s="928"/>
      <c r="Z317" s="928"/>
      <c r="AA317" s="928"/>
      <c r="AB317" s="928"/>
      <c r="AC317" s="928"/>
      <c r="AD317" s="928"/>
      <c r="AE317" s="928"/>
      <c r="AF317" s="928"/>
      <c r="AG317" s="928"/>
      <c r="AH317" s="928"/>
      <c r="AI317" s="928"/>
      <c r="AJ317" s="928"/>
      <c r="AK317" s="928"/>
      <c r="AL317" s="928"/>
      <c r="AM317" s="928"/>
      <c r="AN317" s="928"/>
      <c r="AO317" s="928"/>
      <c r="AP317" s="928"/>
      <c r="AQ317" s="928"/>
      <c r="AR317" s="928"/>
      <c r="AS317" s="928"/>
      <c r="AT317" s="928"/>
      <c r="AU317" s="928"/>
      <c r="AV317" s="928"/>
      <c r="AW317" s="928"/>
      <c r="AX317" s="928"/>
      <c r="AY317" s="928"/>
      <c r="AZ317" s="928"/>
      <c r="BA317" s="928"/>
      <c r="BB317" s="928"/>
      <c r="BC317" s="928"/>
      <c r="BD317" s="928"/>
      <c r="BE317" s="928"/>
      <c r="BF317" s="928"/>
      <c r="BG317" s="928"/>
      <c r="BH317" s="928"/>
      <c r="BI317" s="928"/>
      <c r="BJ317" s="928"/>
      <c r="BK317" s="928"/>
      <c r="BL317" s="928"/>
      <c r="BM317" s="928"/>
      <c r="BN317" s="928"/>
      <c r="BO317" s="928"/>
      <c r="BP317" s="928"/>
      <c r="BQ317" s="928"/>
      <c r="BR317" s="928"/>
      <c r="BS317" s="928"/>
      <c r="BT317" s="928"/>
      <c r="BU317" s="928"/>
      <c r="BV317" s="928"/>
      <c r="BW317" s="928"/>
      <c r="BX317" s="928"/>
      <c r="BY317" s="928"/>
      <c r="BZ317" s="928"/>
      <c r="CA317" s="928"/>
      <c r="CB317" s="928"/>
      <c r="CC317" s="928"/>
      <c r="CD317" s="928"/>
      <c r="CE317" s="928"/>
      <c r="CF317" s="928"/>
      <c r="CG317" s="928"/>
      <c r="CH317" s="928"/>
      <c r="CI317" s="928"/>
      <c r="CJ317" s="928"/>
      <c r="CK317" s="928"/>
      <c r="CL317" s="928"/>
      <c r="CM317" s="928"/>
      <c r="CN317" s="928"/>
      <c r="CO317" s="928"/>
      <c r="CP317" s="928"/>
      <c r="CQ317" s="928"/>
      <c r="CR317" s="928"/>
      <c r="CS317" s="928"/>
      <c r="CT317" s="928"/>
      <c r="CU317" s="928"/>
      <c r="CV317" s="928"/>
      <c r="CW317" s="928"/>
      <c r="CX317" s="928"/>
      <c r="CY317" s="928"/>
      <c r="CZ317" s="928"/>
      <c r="DA317" s="928"/>
      <c r="DB317" s="928"/>
      <c r="DC317" s="928"/>
      <c r="DD317" s="928"/>
      <c r="DE317" s="928"/>
      <c r="DF317" s="928"/>
      <c r="DG317" s="928"/>
      <c r="DH317" s="928"/>
    </row>
    <row r="318" spans="1:112">
      <c r="A318" s="891" t="s">
        <v>1119</v>
      </c>
      <c r="B318" s="891" t="s">
        <v>1559</v>
      </c>
      <c r="C318" s="891" t="s">
        <v>238</v>
      </c>
      <c r="D318" s="891" t="s">
        <v>1119</v>
      </c>
      <c r="E318" s="891" t="s">
        <v>1559</v>
      </c>
      <c r="F318" s="891" t="s">
        <v>238</v>
      </c>
      <c r="G318" s="897">
        <v>103.09</v>
      </c>
      <c r="H318" s="897">
        <v>71.98</v>
      </c>
      <c r="I318" s="897">
        <v>88.46</v>
      </c>
      <c r="J318" s="891"/>
      <c r="K318" s="891"/>
      <c r="L318" s="891"/>
      <c r="M318" s="891"/>
      <c r="N318" s="891"/>
      <c r="O318" s="891"/>
      <c r="P318" s="891"/>
      <c r="Q318" s="891"/>
      <c r="R318" s="891"/>
      <c r="S318" s="891"/>
      <c r="T318" s="891"/>
      <c r="U318" s="928"/>
      <c r="V318" s="928"/>
      <c r="W318" s="928"/>
      <c r="X318" s="928"/>
      <c r="Y318" s="928"/>
      <c r="Z318" s="928"/>
      <c r="AA318" s="928"/>
      <c r="AB318" s="928"/>
      <c r="AC318" s="928"/>
      <c r="AD318" s="928"/>
      <c r="AE318" s="928"/>
      <c r="AF318" s="928"/>
      <c r="AG318" s="928"/>
      <c r="AH318" s="928"/>
      <c r="AI318" s="928"/>
      <c r="AJ318" s="928"/>
      <c r="AK318" s="928"/>
      <c r="AL318" s="928"/>
      <c r="AM318" s="928"/>
      <c r="AN318" s="928"/>
      <c r="AO318" s="928"/>
      <c r="AP318" s="928"/>
      <c r="AQ318" s="928"/>
      <c r="AR318" s="928"/>
      <c r="AS318" s="928"/>
      <c r="AT318" s="928"/>
      <c r="AU318" s="928"/>
      <c r="AV318" s="928"/>
      <c r="AW318" s="928"/>
      <c r="AX318" s="928"/>
      <c r="AY318" s="928"/>
      <c r="AZ318" s="928"/>
      <c r="BA318" s="928"/>
      <c r="BB318" s="928"/>
      <c r="BC318" s="928"/>
      <c r="BD318" s="928"/>
      <c r="BE318" s="928"/>
      <c r="BF318" s="928"/>
      <c r="BG318" s="928"/>
      <c r="BH318" s="928"/>
      <c r="BI318" s="928"/>
      <c r="BJ318" s="928"/>
      <c r="BK318" s="928"/>
      <c r="BL318" s="928"/>
      <c r="BM318" s="928"/>
      <c r="BN318" s="928"/>
      <c r="BO318" s="928"/>
      <c r="BP318" s="928"/>
      <c r="BQ318" s="928"/>
      <c r="BR318" s="928"/>
      <c r="BS318" s="928"/>
      <c r="BT318" s="928"/>
      <c r="BU318" s="928"/>
      <c r="BV318" s="928"/>
      <c r="BW318" s="928"/>
      <c r="BX318" s="928"/>
      <c r="BY318" s="928"/>
      <c r="BZ318" s="928"/>
      <c r="CA318" s="928"/>
      <c r="CB318" s="928"/>
      <c r="CC318" s="928"/>
      <c r="CD318" s="928"/>
      <c r="CE318" s="928"/>
      <c r="CF318" s="928"/>
      <c r="CG318" s="928"/>
      <c r="CH318" s="928"/>
      <c r="CI318" s="928"/>
      <c r="CJ318" s="928"/>
      <c r="CK318" s="928"/>
      <c r="CL318" s="928"/>
      <c r="CM318" s="928"/>
      <c r="CN318" s="928"/>
      <c r="CO318" s="928"/>
      <c r="CP318" s="928"/>
      <c r="CQ318" s="928"/>
      <c r="CR318" s="928"/>
      <c r="CS318" s="928"/>
      <c r="CT318" s="928"/>
      <c r="CU318" s="928"/>
      <c r="CV318" s="928"/>
      <c r="CW318" s="928"/>
      <c r="CX318" s="928"/>
      <c r="CY318" s="928"/>
      <c r="CZ318" s="928"/>
      <c r="DA318" s="928"/>
      <c r="DB318" s="928"/>
      <c r="DC318" s="928"/>
      <c r="DD318" s="928"/>
      <c r="DE318" s="928"/>
      <c r="DF318" s="928"/>
      <c r="DG318" s="928"/>
      <c r="DH318" s="928"/>
    </row>
    <row r="319" spans="1:112">
      <c r="A319" s="891" t="s">
        <v>1120</v>
      </c>
      <c r="B319" s="891" t="s">
        <v>1560</v>
      </c>
      <c r="C319" s="891" t="s">
        <v>288</v>
      </c>
      <c r="D319" s="891" t="s">
        <v>1120</v>
      </c>
      <c r="E319" s="891" t="s">
        <v>1560</v>
      </c>
      <c r="F319" s="891" t="s">
        <v>288</v>
      </c>
      <c r="G319" s="897">
        <v>97.97</v>
      </c>
      <c r="H319" s="897">
        <v>78.67</v>
      </c>
      <c r="I319" s="897">
        <v>126.78</v>
      </c>
      <c r="J319" s="891"/>
      <c r="K319" s="891"/>
      <c r="L319" s="891"/>
      <c r="M319" s="891"/>
      <c r="N319" s="891"/>
      <c r="O319" s="891"/>
      <c r="P319" s="891"/>
      <c r="Q319" s="891"/>
      <c r="R319" s="891"/>
      <c r="S319" s="891"/>
      <c r="T319" s="891"/>
      <c r="U319" s="928"/>
      <c r="V319" s="928"/>
      <c r="W319" s="928"/>
      <c r="X319" s="928"/>
      <c r="Y319" s="928"/>
      <c r="Z319" s="928"/>
      <c r="AA319" s="928"/>
      <c r="AB319" s="928"/>
      <c r="AC319" s="928"/>
      <c r="AD319" s="928"/>
      <c r="AE319" s="928"/>
      <c r="AF319" s="928"/>
      <c r="AG319" s="928"/>
      <c r="AH319" s="928"/>
      <c r="AI319" s="928"/>
      <c r="AJ319" s="928"/>
      <c r="AK319" s="928"/>
      <c r="AL319" s="928"/>
      <c r="AM319" s="928"/>
      <c r="AN319" s="928"/>
      <c r="AO319" s="928"/>
      <c r="AP319" s="928"/>
      <c r="AQ319" s="928"/>
      <c r="AR319" s="928"/>
      <c r="AS319" s="928"/>
      <c r="AT319" s="928"/>
      <c r="AU319" s="928"/>
      <c r="AV319" s="928"/>
      <c r="AW319" s="928"/>
      <c r="AX319" s="928"/>
      <c r="AY319" s="928"/>
      <c r="AZ319" s="928"/>
      <c r="BA319" s="928"/>
      <c r="BB319" s="928"/>
      <c r="BC319" s="928"/>
      <c r="BD319" s="928"/>
      <c r="BE319" s="928"/>
      <c r="BF319" s="928"/>
      <c r="BG319" s="928"/>
      <c r="BH319" s="928"/>
      <c r="BI319" s="928"/>
      <c r="BJ319" s="928"/>
      <c r="BK319" s="928"/>
      <c r="BL319" s="928"/>
      <c r="BM319" s="928"/>
      <c r="BN319" s="928"/>
      <c r="BO319" s="928"/>
      <c r="BP319" s="928"/>
      <c r="BQ319" s="928"/>
      <c r="BR319" s="928"/>
      <c r="BS319" s="928"/>
      <c r="BT319" s="928"/>
      <c r="BU319" s="928"/>
      <c r="BV319" s="928"/>
      <c r="BW319" s="928"/>
      <c r="BX319" s="928"/>
      <c r="BY319" s="928"/>
      <c r="BZ319" s="928"/>
      <c r="CA319" s="928"/>
      <c r="CB319" s="928"/>
      <c r="CC319" s="928"/>
      <c r="CD319" s="928"/>
      <c r="CE319" s="928"/>
      <c r="CF319" s="928"/>
      <c r="CG319" s="928"/>
      <c r="CH319" s="928"/>
      <c r="CI319" s="928"/>
      <c r="CJ319" s="928"/>
      <c r="CK319" s="928"/>
      <c r="CL319" s="928"/>
      <c r="CM319" s="928"/>
      <c r="CN319" s="928"/>
      <c r="CO319" s="928"/>
      <c r="CP319" s="928"/>
      <c r="CQ319" s="928"/>
      <c r="CR319" s="928"/>
      <c r="CS319" s="928"/>
      <c r="CT319" s="928"/>
      <c r="CU319" s="928"/>
      <c r="CV319" s="928"/>
      <c r="CW319" s="928"/>
      <c r="CX319" s="928"/>
      <c r="CY319" s="928"/>
      <c r="CZ319" s="928"/>
      <c r="DA319" s="928"/>
      <c r="DB319" s="928"/>
      <c r="DC319" s="928"/>
      <c r="DD319" s="928"/>
      <c r="DE319" s="928"/>
      <c r="DF319" s="928"/>
      <c r="DG319" s="928"/>
      <c r="DH319" s="928"/>
    </row>
    <row r="320" spans="1:112">
      <c r="A320" s="891" t="s">
        <v>1121</v>
      </c>
      <c r="B320" s="891" t="s">
        <v>1561</v>
      </c>
      <c r="C320" s="891" t="s">
        <v>328</v>
      </c>
      <c r="D320" s="891" t="s">
        <v>1121</v>
      </c>
      <c r="E320" s="891" t="s">
        <v>1561</v>
      </c>
      <c r="F320" s="891" t="s">
        <v>328</v>
      </c>
      <c r="G320" s="897">
        <v>96.87</v>
      </c>
      <c r="H320" s="897">
        <v>52.31</v>
      </c>
      <c r="I320" s="897">
        <v>88.45</v>
      </c>
      <c r="J320" s="891"/>
      <c r="K320" s="891"/>
      <c r="L320" s="891"/>
      <c r="M320" s="891"/>
      <c r="N320" s="891"/>
      <c r="O320" s="891"/>
      <c r="P320" s="891"/>
      <c r="Q320" s="891"/>
      <c r="R320" s="891"/>
      <c r="S320" s="891"/>
      <c r="T320" s="891"/>
      <c r="U320" s="928"/>
      <c r="V320" s="928"/>
      <c r="W320" s="928"/>
      <c r="X320" s="928"/>
      <c r="Y320" s="928"/>
      <c r="Z320" s="928"/>
      <c r="AA320" s="928"/>
      <c r="AB320" s="928"/>
      <c r="AC320" s="928"/>
      <c r="AD320" s="928"/>
      <c r="AE320" s="928"/>
      <c r="AF320" s="928"/>
      <c r="AG320" s="928"/>
      <c r="AH320" s="928"/>
      <c r="AI320" s="928"/>
      <c r="AJ320" s="928"/>
      <c r="AK320" s="928"/>
      <c r="AL320" s="928"/>
      <c r="AM320" s="928"/>
      <c r="AN320" s="928"/>
      <c r="AO320" s="928"/>
      <c r="AP320" s="928"/>
      <c r="AQ320" s="928"/>
      <c r="AR320" s="928"/>
      <c r="AS320" s="928"/>
      <c r="AT320" s="928"/>
      <c r="AU320" s="928"/>
      <c r="AV320" s="928"/>
      <c r="AW320" s="928"/>
      <c r="AX320" s="928"/>
      <c r="AY320" s="928"/>
      <c r="AZ320" s="928"/>
      <c r="BA320" s="928"/>
      <c r="BB320" s="928"/>
      <c r="BC320" s="928"/>
      <c r="BD320" s="928"/>
      <c r="BE320" s="928"/>
      <c r="BF320" s="928"/>
      <c r="BG320" s="928"/>
      <c r="BH320" s="928"/>
      <c r="BI320" s="928"/>
      <c r="BJ320" s="928"/>
      <c r="BK320" s="928"/>
      <c r="BL320" s="928"/>
      <c r="BM320" s="928"/>
      <c r="BN320" s="928"/>
      <c r="BO320" s="928"/>
      <c r="BP320" s="928"/>
      <c r="BQ320" s="928"/>
      <c r="BR320" s="928"/>
      <c r="BS320" s="928"/>
      <c r="BT320" s="928"/>
      <c r="BU320" s="928"/>
      <c r="BV320" s="928"/>
      <c r="BW320" s="928"/>
      <c r="BX320" s="928"/>
      <c r="BY320" s="928"/>
      <c r="BZ320" s="928"/>
      <c r="CA320" s="928"/>
      <c r="CB320" s="928"/>
      <c r="CC320" s="928"/>
      <c r="CD320" s="928"/>
      <c r="CE320" s="928"/>
      <c r="CF320" s="928"/>
      <c r="CG320" s="928"/>
      <c r="CH320" s="928"/>
      <c r="CI320" s="928"/>
      <c r="CJ320" s="928"/>
      <c r="CK320" s="928"/>
      <c r="CL320" s="928"/>
      <c r="CM320" s="928"/>
      <c r="CN320" s="928"/>
      <c r="CO320" s="928"/>
      <c r="CP320" s="928"/>
      <c r="CQ320" s="928"/>
      <c r="CR320" s="928"/>
      <c r="CS320" s="928"/>
      <c r="CT320" s="928"/>
      <c r="CU320" s="928"/>
      <c r="CV320" s="928"/>
      <c r="CW320" s="928"/>
      <c r="CX320" s="928"/>
      <c r="CY320" s="928"/>
      <c r="CZ320" s="928"/>
      <c r="DA320" s="928"/>
      <c r="DB320" s="928"/>
      <c r="DC320" s="928"/>
      <c r="DD320" s="928"/>
      <c r="DE320" s="928"/>
      <c r="DF320" s="928"/>
      <c r="DG320" s="928"/>
      <c r="DH320" s="928"/>
    </row>
    <row r="321" spans="1:112">
      <c r="A321" s="891" t="s">
        <v>1122</v>
      </c>
      <c r="B321" s="891" t="s">
        <v>550</v>
      </c>
      <c r="C321" s="891" t="s">
        <v>295</v>
      </c>
      <c r="D321" s="891" t="s">
        <v>1122</v>
      </c>
      <c r="E321" s="891" t="s">
        <v>550</v>
      </c>
      <c r="F321" s="891" t="s">
        <v>295</v>
      </c>
      <c r="G321" s="897">
        <v>65.53</v>
      </c>
      <c r="H321" s="897">
        <v>70.430000000000007</v>
      </c>
      <c r="I321" s="897">
        <v>72.67</v>
      </c>
      <c r="J321" s="891"/>
      <c r="K321" s="891"/>
      <c r="L321" s="891"/>
      <c r="M321" s="891"/>
      <c r="N321" s="891"/>
      <c r="O321" s="891"/>
      <c r="P321" s="891"/>
      <c r="Q321" s="891"/>
      <c r="R321" s="891"/>
      <c r="S321" s="891"/>
      <c r="T321" s="891"/>
      <c r="U321" s="928"/>
      <c r="V321" s="928"/>
      <c r="W321" s="928"/>
      <c r="X321" s="928"/>
      <c r="Y321" s="928"/>
      <c r="Z321" s="928"/>
      <c r="AA321" s="928"/>
      <c r="AB321" s="928"/>
      <c r="AC321" s="928"/>
      <c r="AD321" s="928"/>
      <c r="AE321" s="928"/>
      <c r="AF321" s="928"/>
      <c r="AG321" s="928"/>
      <c r="AH321" s="928"/>
      <c r="AI321" s="928"/>
      <c r="AJ321" s="928"/>
      <c r="AK321" s="928"/>
      <c r="AL321" s="928"/>
      <c r="AM321" s="928"/>
      <c r="AN321" s="928"/>
      <c r="AO321" s="928"/>
      <c r="AP321" s="928"/>
      <c r="AQ321" s="928"/>
      <c r="AR321" s="928"/>
      <c r="AS321" s="928"/>
      <c r="AT321" s="928"/>
      <c r="AU321" s="928"/>
      <c r="AV321" s="928"/>
      <c r="AW321" s="928"/>
      <c r="AX321" s="928"/>
      <c r="AY321" s="928"/>
      <c r="AZ321" s="928"/>
      <c r="BA321" s="928"/>
      <c r="BB321" s="928"/>
      <c r="BC321" s="928"/>
      <c r="BD321" s="928"/>
      <c r="BE321" s="928"/>
      <c r="BF321" s="928"/>
      <c r="BG321" s="928"/>
      <c r="BH321" s="928"/>
      <c r="BI321" s="928"/>
      <c r="BJ321" s="928"/>
      <c r="BK321" s="928"/>
      <c r="BL321" s="928"/>
      <c r="BM321" s="928"/>
      <c r="BN321" s="928"/>
      <c r="BO321" s="928"/>
      <c r="BP321" s="928"/>
      <c r="BQ321" s="928"/>
      <c r="BR321" s="928"/>
      <c r="BS321" s="928"/>
      <c r="BT321" s="928"/>
      <c r="BU321" s="928"/>
      <c r="BV321" s="928"/>
      <c r="BW321" s="928"/>
      <c r="BX321" s="928"/>
      <c r="BY321" s="928"/>
      <c r="BZ321" s="928"/>
      <c r="CA321" s="928"/>
      <c r="CB321" s="928"/>
      <c r="CC321" s="928"/>
      <c r="CD321" s="928"/>
      <c r="CE321" s="928"/>
      <c r="CF321" s="928"/>
      <c r="CG321" s="928"/>
      <c r="CH321" s="928"/>
      <c r="CI321" s="928"/>
      <c r="CJ321" s="928"/>
      <c r="CK321" s="928"/>
      <c r="CL321" s="928"/>
      <c r="CM321" s="928"/>
      <c r="CN321" s="928"/>
      <c r="CO321" s="928"/>
      <c r="CP321" s="928"/>
      <c r="CQ321" s="928"/>
      <c r="CR321" s="928"/>
      <c r="CS321" s="928"/>
      <c r="CT321" s="928"/>
      <c r="CU321" s="928"/>
      <c r="CV321" s="928"/>
      <c r="CW321" s="928"/>
      <c r="CX321" s="928"/>
      <c r="CY321" s="928"/>
      <c r="CZ321" s="928"/>
      <c r="DA321" s="928"/>
      <c r="DB321" s="928"/>
      <c r="DC321" s="928"/>
      <c r="DD321" s="928"/>
      <c r="DE321" s="928"/>
      <c r="DF321" s="928"/>
      <c r="DG321" s="928"/>
      <c r="DH321" s="928"/>
    </row>
    <row r="322" spans="1:112">
      <c r="A322" s="891" t="s">
        <v>1123</v>
      </c>
      <c r="B322" s="891" t="s">
        <v>1508</v>
      </c>
      <c r="C322" s="891" t="s">
        <v>84</v>
      </c>
      <c r="D322" s="891" t="s">
        <v>1123</v>
      </c>
      <c r="E322" s="891" t="s">
        <v>1508</v>
      </c>
      <c r="F322" s="891" t="s">
        <v>84</v>
      </c>
      <c r="G322" s="897">
        <v>66.64</v>
      </c>
      <c r="H322" s="897">
        <v>50.89</v>
      </c>
      <c r="I322" s="897">
        <v>46.73</v>
      </c>
      <c r="J322" s="891"/>
      <c r="K322" s="891"/>
      <c r="L322" s="891"/>
      <c r="M322" s="891"/>
      <c r="N322" s="891"/>
      <c r="O322" s="891"/>
      <c r="P322" s="891"/>
      <c r="Q322" s="891"/>
      <c r="R322" s="891"/>
      <c r="S322" s="891"/>
      <c r="T322" s="891"/>
      <c r="U322" s="928"/>
      <c r="V322" s="928"/>
      <c r="W322" s="928"/>
      <c r="X322" s="928"/>
      <c r="Y322" s="928"/>
      <c r="Z322" s="928"/>
      <c r="AA322" s="928"/>
      <c r="AB322" s="928"/>
      <c r="AC322" s="928"/>
      <c r="AD322" s="928"/>
      <c r="AE322" s="928"/>
      <c r="AF322" s="928"/>
      <c r="AG322" s="928"/>
      <c r="AH322" s="928"/>
      <c r="AI322" s="928"/>
      <c r="AJ322" s="928"/>
      <c r="AK322" s="928"/>
      <c r="AL322" s="928"/>
      <c r="AM322" s="928"/>
      <c r="AN322" s="928"/>
      <c r="AO322" s="928"/>
      <c r="AP322" s="928"/>
      <c r="AQ322" s="928"/>
      <c r="AR322" s="928"/>
      <c r="AS322" s="928"/>
      <c r="AT322" s="928"/>
      <c r="AU322" s="928"/>
      <c r="AV322" s="928"/>
      <c r="AW322" s="928"/>
      <c r="AX322" s="928"/>
      <c r="AY322" s="928"/>
      <c r="AZ322" s="928"/>
      <c r="BA322" s="928"/>
      <c r="BB322" s="928"/>
      <c r="BC322" s="928"/>
      <c r="BD322" s="928"/>
      <c r="BE322" s="928"/>
      <c r="BF322" s="928"/>
      <c r="BG322" s="928"/>
      <c r="BH322" s="928"/>
      <c r="BI322" s="928"/>
      <c r="BJ322" s="928"/>
      <c r="BK322" s="928"/>
      <c r="BL322" s="928"/>
      <c r="BM322" s="928"/>
      <c r="BN322" s="928"/>
      <c r="BO322" s="928"/>
      <c r="BP322" s="928"/>
      <c r="BQ322" s="928"/>
      <c r="BR322" s="928"/>
      <c r="BS322" s="928"/>
      <c r="BT322" s="928"/>
      <c r="BU322" s="928"/>
      <c r="BV322" s="928"/>
      <c r="BW322" s="928"/>
      <c r="BX322" s="928"/>
      <c r="BY322" s="928"/>
      <c r="BZ322" s="928"/>
      <c r="CA322" s="928"/>
      <c r="CB322" s="928"/>
      <c r="CC322" s="928"/>
      <c r="CD322" s="928"/>
      <c r="CE322" s="928"/>
      <c r="CF322" s="928"/>
      <c r="CG322" s="928"/>
      <c r="CH322" s="928"/>
      <c r="CI322" s="928"/>
      <c r="CJ322" s="928"/>
      <c r="CK322" s="928"/>
      <c r="CL322" s="928"/>
      <c r="CM322" s="928"/>
      <c r="CN322" s="928"/>
      <c r="CO322" s="928"/>
      <c r="CP322" s="928"/>
      <c r="CQ322" s="928"/>
      <c r="CR322" s="928"/>
      <c r="CS322" s="928"/>
      <c r="CT322" s="928"/>
      <c r="CU322" s="928"/>
      <c r="CV322" s="928"/>
      <c r="CW322" s="928"/>
      <c r="CX322" s="928"/>
      <c r="CY322" s="928"/>
      <c r="CZ322" s="928"/>
      <c r="DA322" s="928"/>
      <c r="DB322" s="928"/>
      <c r="DC322" s="928"/>
      <c r="DD322" s="928"/>
      <c r="DE322" s="928"/>
      <c r="DF322" s="928"/>
      <c r="DG322" s="928"/>
      <c r="DH322" s="928"/>
    </row>
    <row r="323" spans="1:112">
      <c r="A323" s="891" t="s">
        <v>1124</v>
      </c>
      <c r="B323" s="891" t="s">
        <v>1460</v>
      </c>
      <c r="C323" s="891" t="s">
        <v>32</v>
      </c>
      <c r="D323" s="891" t="s">
        <v>1124</v>
      </c>
      <c r="E323" s="891" t="s">
        <v>1460</v>
      </c>
      <c r="F323" s="891" t="s">
        <v>32</v>
      </c>
      <c r="G323" s="897">
        <v>84.45</v>
      </c>
      <c r="H323" s="897">
        <v>64.989999999999995</v>
      </c>
      <c r="I323" s="897">
        <v>28.59</v>
      </c>
      <c r="J323" s="891"/>
      <c r="K323" s="891"/>
      <c r="L323" s="891"/>
      <c r="M323" s="891"/>
      <c r="N323" s="891"/>
      <c r="O323" s="891"/>
      <c r="P323" s="891"/>
      <c r="Q323" s="891"/>
      <c r="R323" s="891"/>
      <c r="S323" s="891"/>
      <c r="T323" s="891"/>
      <c r="U323" s="928"/>
      <c r="V323" s="928"/>
      <c r="W323" s="928"/>
      <c r="X323" s="928"/>
      <c r="Y323" s="928"/>
      <c r="Z323" s="928"/>
      <c r="AA323" s="928"/>
      <c r="AB323" s="928"/>
      <c r="AC323" s="928"/>
      <c r="AD323" s="928"/>
      <c r="AE323" s="928"/>
      <c r="AF323" s="928"/>
      <c r="AG323" s="928"/>
      <c r="AH323" s="928"/>
      <c r="AI323" s="928"/>
      <c r="AJ323" s="928"/>
      <c r="AK323" s="928"/>
      <c r="AL323" s="928"/>
      <c r="AM323" s="928"/>
      <c r="AN323" s="928"/>
      <c r="AO323" s="928"/>
      <c r="AP323" s="928"/>
      <c r="AQ323" s="928"/>
      <c r="AR323" s="928"/>
      <c r="AS323" s="928"/>
      <c r="AT323" s="928"/>
      <c r="AU323" s="928"/>
      <c r="AV323" s="928"/>
      <c r="AW323" s="928"/>
      <c r="AX323" s="928"/>
      <c r="AY323" s="928"/>
      <c r="AZ323" s="928"/>
      <c r="BA323" s="928"/>
      <c r="BB323" s="928"/>
      <c r="BC323" s="928"/>
      <c r="BD323" s="928"/>
      <c r="BE323" s="928"/>
      <c r="BF323" s="928"/>
      <c r="BG323" s="928"/>
      <c r="BH323" s="928"/>
      <c r="BI323" s="928"/>
      <c r="BJ323" s="928"/>
      <c r="BK323" s="928"/>
      <c r="BL323" s="928"/>
      <c r="BM323" s="928"/>
      <c r="BN323" s="928"/>
      <c r="BO323" s="928"/>
      <c r="BP323" s="928"/>
      <c r="BQ323" s="928"/>
      <c r="BR323" s="928"/>
      <c r="BS323" s="928"/>
      <c r="BT323" s="928"/>
      <c r="BU323" s="928"/>
      <c r="BV323" s="928"/>
      <c r="BW323" s="928"/>
      <c r="BX323" s="928"/>
      <c r="BY323" s="928"/>
      <c r="BZ323" s="928"/>
      <c r="CA323" s="928"/>
      <c r="CB323" s="928"/>
      <c r="CC323" s="928"/>
      <c r="CD323" s="928"/>
      <c r="CE323" s="928"/>
      <c r="CF323" s="928"/>
      <c r="CG323" s="928"/>
      <c r="CH323" s="928"/>
      <c r="CI323" s="928"/>
      <c r="CJ323" s="928"/>
      <c r="CK323" s="928"/>
      <c r="CL323" s="928"/>
      <c r="CM323" s="928"/>
      <c r="CN323" s="928"/>
      <c r="CO323" s="928"/>
      <c r="CP323" s="928"/>
      <c r="CQ323" s="928"/>
      <c r="CR323" s="928"/>
      <c r="CS323" s="928"/>
      <c r="CT323" s="928"/>
      <c r="CU323" s="928"/>
      <c r="CV323" s="928"/>
      <c r="CW323" s="928"/>
      <c r="CX323" s="928"/>
      <c r="CY323" s="928"/>
      <c r="CZ323" s="928"/>
      <c r="DA323" s="928"/>
      <c r="DB323" s="928"/>
      <c r="DC323" s="928"/>
      <c r="DD323" s="928"/>
      <c r="DE323" s="928"/>
      <c r="DF323" s="928"/>
      <c r="DG323" s="928"/>
      <c r="DH323" s="928"/>
    </row>
    <row r="324" spans="1:112">
      <c r="A324" s="891" t="s">
        <v>1125</v>
      </c>
      <c r="B324" s="891" t="s">
        <v>1463</v>
      </c>
      <c r="C324" s="891" t="s">
        <v>148</v>
      </c>
      <c r="D324" s="891" t="s">
        <v>1125</v>
      </c>
      <c r="E324" s="891" t="s">
        <v>1463</v>
      </c>
      <c r="F324" s="891" t="s">
        <v>148</v>
      </c>
      <c r="G324" s="897">
        <v>92.77</v>
      </c>
      <c r="H324" s="897">
        <v>61.03</v>
      </c>
      <c r="I324" s="897">
        <v>69.38</v>
      </c>
      <c r="J324" s="891"/>
      <c r="K324" s="891"/>
      <c r="L324" s="891"/>
      <c r="M324" s="891"/>
      <c r="N324" s="891"/>
      <c r="O324" s="891"/>
      <c r="P324" s="891"/>
      <c r="Q324" s="891"/>
      <c r="R324" s="891"/>
      <c r="S324" s="891"/>
      <c r="T324" s="891"/>
      <c r="U324" s="928"/>
      <c r="V324" s="928"/>
      <c r="W324" s="928"/>
      <c r="X324" s="928"/>
      <c r="Y324" s="928"/>
      <c r="Z324" s="928"/>
      <c r="AA324" s="928"/>
      <c r="AB324" s="928"/>
      <c r="AC324" s="928"/>
      <c r="AD324" s="928"/>
      <c r="AE324" s="928"/>
      <c r="AF324" s="928"/>
      <c r="AG324" s="928"/>
      <c r="AH324" s="928"/>
      <c r="AI324" s="928"/>
      <c r="AJ324" s="928"/>
      <c r="AK324" s="928"/>
      <c r="AL324" s="928"/>
      <c r="AM324" s="928"/>
      <c r="AN324" s="928"/>
      <c r="AO324" s="928"/>
      <c r="AP324" s="928"/>
      <c r="AQ324" s="928"/>
      <c r="AR324" s="928"/>
      <c r="AS324" s="928"/>
      <c r="AT324" s="928"/>
      <c r="AU324" s="928"/>
      <c r="AV324" s="928"/>
      <c r="AW324" s="928"/>
      <c r="AX324" s="928"/>
      <c r="AY324" s="928"/>
      <c r="AZ324" s="928"/>
      <c r="BA324" s="928"/>
      <c r="BB324" s="928"/>
      <c r="BC324" s="928"/>
      <c r="BD324" s="928"/>
      <c r="BE324" s="928"/>
      <c r="BF324" s="928"/>
      <c r="BG324" s="928"/>
      <c r="BH324" s="928"/>
      <c r="BI324" s="928"/>
      <c r="BJ324" s="928"/>
      <c r="BK324" s="928"/>
      <c r="BL324" s="928"/>
      <c r="BM324" s="928"/>
      <c r="BN324" s="928"/>
      <c r="BO324" s="928"/>
      <c r="BP324" s="928"/>
      <c r="BQ324" s="928"/>
      <c r="BR324" s="928"/>
      <c r="BS324" s="928"/>
      <c r="BT324" s="928"/>
      <c r="BU324" s="928"/>
      <c r="BV324" s="928"/>
      <c r="BW324" s="928"/>
      <c r="BX324" s="928"/>
      <c r="BY324" s="928"/>
      <c r="BZ324" s="928"/>
      <c r="CA324" s="928"/>
      <c r="CB324" s="928"/>
      <c r="CC324" s="928"/>
      <c r="CD324" s="928"/>
      <c r="CE324" s="928"/>
      <c r="CF324" s="928"/>
      <c r="CG324" s="928"/>
      <c r="CH324" s="928"/>
      <c r="CI324" s="928"/>
      <c r="CJ324" s="928"/>
      <c r="CK324" s="928"/>
      <c r="CL324" s="928"/>
      <c r="CM324" s="928"/>
      <c r="CN324" s="928"/>
      <c r="CO324" s="928"/>
      <c r="CP324" s="928"/>
      <c r="CQ324" s="928"/>
      <c r="CR324" s="928"/>
      <c r="CS324" s="928"/>
      <c r="CT324" s="928"/>
      <c r="CU324" s="928"/>
      <c r="CV324" s="928"/>
      <c r="CW324" s="928"/>
      <c r="CX324" s="928"/>
      <c r="CY324" s="928"/>
      <c r="CZ324" s="928"/>
      <c r="DA324" s="928"/>
      <c r="DB324" s="928"/>
      <c r="DC324" s="928"/>
      <c r="DD324" s="928"/>
      <c r="DE324" s="928"/>
      <c r="DF324" s="928"/>
      <c r="DG324" s="928"/>
      <c r="DH324" s="928"/>
    </row>
    <row r="325" spans="1:112">
      <c r="A325" s="891" t="s">
        <v>1126</v>
      </c>
      <c r="B325" s="891" t="s">
        <v>1453</v>
      </c>
      <c r="C325" s="891" t="s">
        <v>399</v>
      </c>
      <c r="D325" s="891" t="s">
        <v>1126</v>
      </c>
      <c r="E325" s="891" t="s">
        <v>1453</v>
      </c>
      <c r="F325" s="891" t="s">
        <v>399</v>
      </c>
      <c r="G325" s="897">
        <v>41.34</v>
      </c>
      <c r="H325" s="897">
        <v>37.35</v>
      </c>
      <c r="I325" s="897">
        <v>34.68</v>
      </c>
      <c r="J325" s="891"/>
      <c r="K325" s="891"/>
      <c r="L325" s="891"/>
      <c r="M325" s="891"/>
      <c r="N325" s="891"/>
      <c r="O325" s="891"/>
      <c r="P325" s="891"/>
      <c r="Q325" s="891"/>
      <c r="R325" s="891"/>
      <c r="S325" s="891"/>
      <c r="T325" s="891"/>
      <c r="U325" s="928"/>
      <c r="V325" s="928"/>
      <c r="W325" s="928"/>
      <c r="X325" s="928"/>
      <c r="Y325" s="928"/>
      <c r="Z325" s="928"/>
      <c r="AA325" s="928"/>
      <c r="AB325" s="928"/>
      <c r="AC325" s="928"/>
      <c r="AD325" s="928"/>
      <c r="AE325" s="928"/>
      <c r="AF325" s="928"/>
      <c r="AG325" s="928"/>
      <c r="AH325" s="928"/>
      <c r="AI325" s="928"/>
      <c r="AJ325" s="928"/>
      <c r="AK325" s="928"/>
      <c r="AL325" s="928"/>
      <c r="AM325" s="928"/>
      <c r="AN325" s="928"/>
      <c r="AO325" s="928"/>
      <c r="AP325" s="928"/>
      <c r="AQ325" s="928"/>
      <c r="AR325" s="928"/>
      <c r="AS325" s="928"/>
      <c r="AT325" s="928"/>
      <c r="AU325" s="928"/>
      <c r="AV325" s="928"/>
      <c r="AW325" s="928"/>
      <c r="AX325" s="928"/>
      <c r="AY325" s="928"/>
      <c r="AZ325" s="928"/>
      <c r="BA325" s="928"/>
      <c r="BB325" s="928"/>
      <c r="BC325" s="928"/>
      <c r="BD325" s="928"/>
      <c r="BE325" s="928"/>
      <c r="BF325" s="928"/>
      <c r="BG325" s="928"/>
      <c r="BH325" s="928"/>
      <c r="BI325" s="928"/>
      <c r="BJ325" s="928"/>
      <c r="BK325" s="928"/>
      <c r="BL325" s="928"/>
      <c r="BM325" s="928"/>
      <c r="BN325" s="928"/>
      <c r="BO325" s="928"/>
      <c r="BP325" s="928"/>
      <c r="BQ325" s="928"/>
      <c r="BR325" s="928"/>
      <c r="BS325" s="928"/>
      <c r="BT325" s="928"/>
      <c r="BU325" s="928"/>
      <c r="BV325" s="928"/>
      <c r="BW325" s="928"/>
      <c r="BX325" s="928"/>
      <c r="BY325" s="928"/>
      <c r="BZ325" s="928"/>
      <c r="CA325" s="928"/>
      <c r="CB325" s="928"/>
      <c r="CC325" s="928"/>
      <c r="CD325" s="928"/>
      <c r="CE325" s="928"/>
      <c r="CF325" s="928"/>
      <c r="CG325" s="928"/>
      <c r="CH325" s="928"/>
      <c r="CI325" s="928"/>
      <c r="CJ325" s="928"/>
      <c r="CK325" s="928"/>
      <c r="CL325" s="928"/>
      <c r="CM325" s="928"/>
      <c r="CN325" s="928"/>
      <c r="CO325" s="928"/>
      <c r="CP325" s="928"/>
      <c r="CQ325" s="928"/>
      <c r="CR325" s="928"/>
      <c r="CS325" s="928"/>
      <c r="CT325" s="928"/>
      <c r="CU325" s="928"/>
      <c r="CV325" s="928"/>
      <c r="CW325" s="928"/>
      <c r="CX325" s="928"/>
      <c r="CY325" s="928"/>
      <c r="CZ325" s="928"/>
      <c r="DA325" s="928"/>
      <c r="DB325" s="928"/>
      <c r="DC325" s="928"/>
      <c r="DD325" s="928"/>
      <c r="DE325" s="928"/>
      <c r="DF325" s="928"/>
      <c r="DG325" s="928"/>
      <c r="DH325" s="928"/>
    </row>
    <row r="326" spans="1:112">
      <c r="A326" s="891" t="s">
        <v>1129</v>
      </c>
      <c r="B326" s="891" t="s">
        <v>1534</v>
      </c>
      <c r="C326" s="891" t="s">
        <v>28</v>
      </c>
      <c r="D326" s="891" t="s">
        <v>1129</v>
      </c>
      <c r="E326" s="891" t="s">
        <v>1534</v>
      </c>
      <c r="F326" s="891" t="s">
        <v>28</v>
      </c>
      <c r="G326" s="897">
        <v>79.819999999999993</v>
      </c>
      <c r="H326" s="897">
        <v>77.94</v>
      </c>
      <c r="I326" s="897">
        <v>93.47</v>
      </c>
      <c r="J326" s="891"/>
      <c r="K326" s="891"/>
      <c r="L326" s="891"/>
      <c r="M326" s="891"/>
      <c r="N326" s="891"/>
      <c r="O326" s="891"/>
      <c r="P326" s="891"/>
      <c r="Q326" s="891"/>
      <c r="R326" s="891"/>
      <c r="S326" s="891"/>
      <c r="T326" s="891"/>
      <c r="U326" s="928"/>
      <c r="V326" s="928"/>
      <c r="W326" s="928"/>
      <c r="X326" s="928"/>
      <c r="Y326" s="928"/>
      <c r="Z326" s="928"/>
      <c r="AA326" s="928"/>
      <c r="AB326" s="928"/>
      <c r="AC326" s="928"/>
      <c r="AD326" s="928"/>
      <c r="AE326" s="928"/>
      <c r="AF326" s="928"/>
      <c r="AG326" s="928"/>
      <c r="AH326" s="928"/>
      <c r="AI326" s="928"/>
      <c r="AJ326" s="928"/>
      <c r="AK326" s="928"/>
      <c r="AL326" s="928"/>
      <c r="AM326" s="928"/>
      <c r="AN326" s="928"/>
      <c r="AO326" s="928"/>
      <c r="AP326" s="928"/>
      <c r="AQ326" s="928"/>
      <c r="AR326" s="928"/>
      <c r="AS326" s="928"/>
      <c r="AT326" s="928"/>
      <c r="AU326" s="928"/>
      <c r="AV326" s="928"/>
      <c r="AW326" s="928"/>
      <c r="AX326" s="928"/>
      <c r="AY326" s="928"/>
      <c r="AZ326" s="928"/>
      <c r="BA326" s="928"/>
      <c r="BB326" s="928"/>
      <c r="BC326" s="928"/>
      <c r="BD326" s="928"/>
      <c r="BE326" s="928"/>
      <c r="BF326" s="928"/>
      <c r="BG326" s="928"/>
      <c r="BH326" s="928"/>
      <c r="BI326" s="928"/>
      <c r="BJ326" s="928"/>
      <c r="BK326" s="928"/>
      <c r="BL326" s="928"/>
      <c r="BM326" s="928"/>
      <c r="BN326" s="928"/>
      <c r="BO326" s="928"/>
      <c r="BP326" s="928"/>
      <c r="BQ326" s="928"/>
      <c r="BR326" s="928"/>
      <c r="BS326" s="928"/>
      <c r="BT326" s="928"/>
      <c r="BU326" s="928"/>
      <c r="BV326" s="928"/>
      <c r="BW326" s="928"/>
      <c r="BX326" s="928"/>
      <c r="BY326" s="928"/>
      <c r="BZ326" s="928"/>
      <c r="CA326" s="928"/>
      <c r="CB326" s="928"/>
      <c r="CC326" s="928"/>
      <c r="CD326" s="928"/>
      <c r="CE326" s="928"/>
      <c r="CF326" s="928"/>
      <c r="CG326" s="928"/>
      <c r="CH326" s="928"/>
      <c r="CI326" s="928"/>
      <c r="CJ326" s="928"/>
      <c r="CK326" s="928"/>
      <c r="CL326" s="928"/>
      <c r="CM326" s="928"/>
      <c r="CN326" s="928"/>
      <c r="CO326" s="928"/>
      <c r="CP326" s="928"/>
      <c r="CQ326" s="928"/>
      <c r="CR326" s="928"/>
      <c r="CS326" s="928"/>
      <c r="CT326" s="928"/>
      <c r="CU326" s="928"/>
      <c r="CV326" s="928"/>
      <c r="CW326" s="928"/>
      <c r="CX326" s="928"/>
      <c r="CY326" s="928"/>
      <c r="CZ326" s="928"/>
      <c r="DA326" s="928"/>
      <c r="DB326" s="928"/>
      <c r="DC326" s="928"/>
      <c r="DD326" s="928"/>
      <c r="DE326" s="928"/>
      <c r="DF326" s="928"/>
      <c r="DG326" s="928"/>
      <c r="DH326" s="928"/>
    </row>
    <row r="327" spans="1:112">
      <c r="A327" s="891" t="s">
        <v>1130</v>
      </c>
      <c r="B327" s="891" t="s">
        <v>1471</v>
      </c>
      <c r="C327" s="891" t="s">
        <v>96</v>
      </c>
      <c r="D327" s="891" t="s">
        <v>1130</v>
      </c>
      <c r="E327" s="891" t="s">
        <v>1471</v>
      </c>
      <c r="F327" s="891" t="s">
        <v>96</v>
      </c>
      <c r="G327" s="897">
        <v>46.92</v>
      </c>
      <c r="H327" s="897">
        <v>37.17</v>
      </c>
      <c r="I327" s="897">
        <v>45.13</v>
      </c>
      <c r="J327" s="891"/>
      <c r="K327" s="891"/>
      <c r="L327" s="891"/>
      <c r="M327" s="891"/>
      <c r="N327" s="891"/>
      <c r="O327" s="891"/>
      <c r="P327" s="891"/>
      <c r="Q327" s="891"/>
      <c r="R327" s="891"/>
      <c r="S327" s="891"/>
      <c r="T327" s="891"/>
      <c r="U327" s="928"/>
      <c r="V327" s="928"/>
      <c r="W327" s="928"/>
      <c r="X327" s="928"/>
      <c r="Y327" s="928"/>
      <c r="Z327" s="928"/>
      <c r="AA327" s="928"/>
      <c r="AB327" s="928"/>
      <c r="AC327" s="928"/>
      <c r="AD327" s="928"/>
      <c r="AE327" s="928"/>
      <c r="AF327" s="928"/>
      <c r="AG327" s="928"/>
      <c r="AH327" s="928"/>
      <c r="AI327" s="928"/>
      <c r="AJ327" s="928"/>
      <c r="AK327" s="928"/>
      <c r="AL327" s="928"/>
      <c r="AM327" s="928"/>
      <c r="AN327" s="928"/>
      <c r="AO327" s="928"/>
      <c r="AP327" s="928"/>
      <c r="AQ327" s="928"/>
      <c r="AR327" s="928"/>
      <c r="AS327" s="928"/>
      <c r="AT327" s="928"/>
      <c r="AU327" s="928"/>
      <c r="AV327" s="928"/>
      <c r="AW327" s="928"/>
      <c r="AX327" s="928"/>
      <c r="AY327" s="928"/>
      <c r="AZ327" s="928"/>
      <c r="BA327" s="928"/>
      <c r="BB327" s="928"/>
      <c r="BC327" s="928"/>
      <c r="BD327" s="928"/>
      <c r="BE327" s="928"/>
      <c r="BF327" s="928"/>
      <c r="BG327" s="928"/>
      <c r="BH327" s="928"/>
      <c r="BI327" s="928"/>
      <c r="BJ327" s="928"/>
      <c r="BK327" s="928"/>
      <c r="BL327" s="928"/>
      <c r="BM327" s="928"/>
      <c r="BN327" s="928"/>
      <c r="BO327" s="928"/>
      <c r="BP327" s="928"/>
      <c r="BQ327" s="928"/>
      <c r="BR327" s="928"/>
      <c r="BS327" s="928"/>
      <c r="BT327" s="928"/>
      <c r="BU327" s="928"/>
      <c r="BV327" s="928"/>
      <c r="BW327" s="928"/>
      <c r="BX327" s="928"/>
      <c r="BY327" s="928"/>
      <c r="BZ327" s="928"/>
      <c r="CA327" s="928"/>
      <c r="CB327" s="928"/>
      <c r="CC327" s="928"/>
      <c r="CD327" s="928"/>
      <c r="CE327" s="928"/>
      <c r="CF327" s="928"/>
      <c r="CG327" s="928"/>
      <c r="CH327" s="928"/>
      <c r="CI327" s="928"/>
      <c r="CJ327" s="928"/>
      <c r="CK327" s="928"/>
      <c r="CL327" s="928"/>
      <c r="CM327" s="928"/>
      <c r="CN327" s="928"/>
      <c r="CO327" s="928"/>
      <c r="CP327" s="928"/>
      <c r="CQ327" s="928"/>
      <c r="CR327" s="928"/>
      <c r="CS327" s="928"/>
      <c r="CT327" s="928"/>
      <c r="CU327" s="928"/>
      <c r="CV327" s="928"/>
      <c r="CW327" s="928"/>
      <c r="CX327" s="928"/>
      <c r="CY327" s="928"/>
      <c r="CZ327" s="928"/>
      <c r="DA327" s="928"/>
      <c r="DB327" s="928"/>
      <c r="DC327" s="928"/>
      <c r="DD327" s="928"/>
      <c r="DE327" s="928"/>
      <c r="DF327" s="928"/>
      <c r="DG327" s="928"/>
      <c r="DH327" s="928"/>
    </row>
    <row r="328" spans="1:112">
      <c r="A328" s="891" t="s">
        <v>1131</v>
      </c>
      <c r="B328" s="891" t="s">
        <v>1505</v>
      </c>
      <c r="C328" s="891" t="s">
        <v>70</v>
      </c>
      <c r="D328" s="891" t="s">
        <v>1131</v>
      </c>
      <c r="E328" s="891" t="s">
        <v>1505</v>
      </c>
      <c r="F328" s="891" t="s">
        <v>70</v>
      </c>
      <c r="G328" s="897">
        <v>66.459999999999994</v>
      </c>
      <c r="H328" s="897">
        <v>58.7</v>
      </c>
      <c r="I328" s="897">
        <v>39.700000000000003</v>
      </c>
      <c r="J328" s="891"/>
      <c r="K328" s="891"/>
      <c r="L328" s="891"/>
      <c r="M328" s="891"/>
      <c r="N328" s="891"/>
      <c r="O328" s="891"/>
      <c r="P328" s="891"/>
      <c r="Q328" s="891"/>
      <c r="R328" s="891"/>
      <c r="S328" s="891"/>
      <c r="T328" s="891"/>
      <c r="U328" s="928"/>
      <c r="V328" s="928"/>
      <c r="W328" s="928"/>
      <c r="X328" s="928"/>
      <c r="Y328" s="928"/>
      <c r="Z328" s="928"/>
      <c r="AA328" s="928"/>
      <c r="AB328" s="928"/>
      <c r="AC328" s="928"/>
      <c r="AD328" s="928"/>
      <c r="AE328" s="928"/>
      <c r="AF328" s="928"/>
      <c r="AG328" s="928"/>
      <c r="AH328" s="928"/>
      <c r="AI328" s="928"/>
      <c r="AJ328" s="928"/>
      <c r="AK328" s="928"/>
      <c r="AL328" s="928"/>
      <c r="AM328" s="928"/>
      <c r="AN328" s="928"/>
      <c r="AO328" s="928"/>
      <c r="AP328" s="928"/>
      <c r="AQ328" s="928"/>
      <c r="AR328" s="928"/>
      <c r="AS328" s="928"/>
      <c r="AT328" s="928"/>
      <c r="AU328" s="928"/>
      <c r="AV328" s="928"/>
      <c r="AW328" s="928"/>
      <c r="AX328" s="928"/>
      <c r="AY328" s="928"/>
      <c r="AZ328" s="928"/>
      <c r="BA328" s="928"/>
      <c r="BB328" s="928"/>
      <c r="BC328" s="928"/>
      <c r="BD328" s="928"/>
      <c r="BE328" s="928"/>
      <c r="BF328" s="928"/>
      <c r="BG328" s="928"/>
      <c r="BH328" s="928"/>
      <c r="BI328" s="928"/>
      <c r="BJ328" s="928"/>
      <c r="BK328" s="928"/>
      <c r="BL328" s="928"/>
      <c r="BM328" s="928"/>
      <c r="BN328" s="928"/>
      <c r="BO328" s="928"/>
      <c r="BP328" s="928"/>
      <c r="BQ328" s="928"/>
      <c r="BR328" s="928"/>
      <c r="BS328" s="928"/>
      <c r="BT328" s="928"/>
      <c r="BU328" s="928"/>
      <c r="BV328" s="928"/>
      <c r="BW328" s="928"/>
      <c r="BX328" s="928"/>
      <c r="BY328" s="928"/>
      <c r="BZ328" s="928"/>
      <c r="CA328" s="928"/>
      <c r="CB328" s="928"/>
      <c r="CC328" s="928"/>
      <c r="CD328" s="928"/>
      <c r="CE328" s="928"/>
      <c r="CF328" s="928"/>
      <c r="CG328" s="928"/>
      <c r="CH328" s="928"/>
      <c r="CI328" s="928"/>
      <c r="CJ328" s="928"/>
      <c r="CK328" s="928"/>
      <c r="CL328" s="928"/>
      <c r="CM328" s="928"/>
      <c r="CN328" s="928"/>
      <c r="CO328" s="928"/>
      <c r="CP328" s="928"/>
      <c r="CQ328" s="928"/>
      <c r="CR328" s="928"/>
      <c r="CS328" s="928"/>
      <c r="CT328" s="928"/>
      <c r="CU328" s="928"/>
      <c r="CV328" s="928"/>
      <c r="CW328" s="928"/>
      <c r="CX328" s="928"/>
      <c r="CY328" s="928"/>
      <c r="CZ328" s="928"/>
      <c r="DA328" s="928"/>
      <c r="DB328" s="928"/>
      <c r="DC328" s="928"/>
      <c r="DD328" s="928"/>
      <c r="DE328" s="928"/>
      <c r="DF328" s="928"/>
      <c r="DG328" s="928"/>
      <c r="DH328" s="928"/>
    </row>
    <row r="329" spans="1:112">
      <c r="A329" s="891" t="s">
        <v>1132</v>
      </c>
      <c r="B329" s="891" t="s">
        <v>1476</v>
      </c>
      <c r="C329" s="891" t="s">
        <v>66</v>
      </c>
      <c r="D329" s="891" t="s">
        <v>1132</v>
      </c>
      <c r="E329" s="891" t="s">
        <v>1476</v>
      </c>
      <c r="F329" s="891" t="s">
        <v>66</v>
      </c>
      <c r="G329" s="897">
        <v>147.99</v>
      </c>
      <c r="H329" s="897">
        <v>178.16</v>
      </c>
      <c r="I329" s="897">
        <v>101.95</v>
      </c>
      <c r="J329" s="891"/>
      <c r="K329" s="891"/>
      <c r="L329" s="891"/>
      <c r="M329" s="891"/>
      <c r="N329" s="891"/>
      <c r="O329" s="891"/>
      <c r="P329" s="891"/>
      <c r="Q329" s="891"/>
      <c r="R329" s="891"/>
      <c r="S329" s="891"/>
      <c r="T329" s="891"/>
      <c r="U329" s="928"/>
      <c r="V329" s="928"/>
      <c r="W329" s="928"/>
      <c r="X329" s="928"/>
      <c r="Y329" s="928"/>
      <c r="Z329" s="928"/>
      <c r="AA329" s="928"/>
      <c r="AB329" s="928"/>
      <c r="AC329" s="928"/>
      <c r="AD329" s="928"/>
      <c r="AE329" s="928"/>
      <c r="AF329" s="928"/>
      <c r="AG329" s="928"/>
      <c r="AH329" s="928"/>
      <c r="AI329" s="928"/>
      <c r="AJ329" s="928"/>
      <c r="AK329" s="928"/>
      <c r="AL329" s="928"/>
      <c r="AM329" s="928"/>
      <c r="AN329" s="928"/>
      <c r="AO329" s="928"/>
      <c r="AP329" s="928"/>
      <c r="AQ329" s="928"/>
      <c r="AR329" s="928"/>
      <c r="AS329" s="928"/>
      <c r="AT329" s="928"/>
      <c r="AU329" s="928"/>
      <c r="AV329" s="928"/>
      <c r="AW329" s="928"/>
      <c r="AX329" s="928"/>
      <c r="AY329" s="928"/>
      <c r="AZ329" s="928"/>
      <c r="BA329" s="928"/>
      <c r="BB329" s="928"/>
      <c r="BC329" s="928"/>
      <c r="BD329" s="928"/>
      <c r="BE329" s="928"/>
      <c r="BF329" s="928"/>
      <c r="BG329" s="928"/>
      <c r="BH329" s="928"/>
      <c r="BI329" s="928"/>
      <c r="BJ329" s="928"/>
      <c r="BK329" s="928"/>
      <c r="BL329" s="928"/>
      <c r="BM329" s="928"/>
      <c r="BN329" s="928"/>
      <c r="BO329" s="928"/>
      <c r="BP329" s="928"/>
      <c r="BQ329" s="928"/>
      <c r="BR329" s="928"/>
      <c r="BS329" s="928"/>
      <c r="BT329" s="928"/>
      <c r="BU329" s="928"/>
      <c r="BV329" s="928"/>
      <c r="BW329" s="928"/>
      <c r="BX329" s="928"/>
      <c r="BY329" s="928"/>
      <c r="BZ329" s="928"/>
      <c r="CA329" s="928"/>
      <c r="CB329" s="928"/>
      <c r="CC329" s="928"/>
      <c r="CD329" s="928"/>
      <c r="CE329" s="928"/>
      <c r="CF329" s="928"/>
      <c r="CG329" s="928"/>
      <c r="CH329" s="928"/>
      <c r="CI329" s="928"/>
      <c r="CJ329" s="928"/>
      <c r="CK329" s="928"/>
      <c r="CL329" s="928"/>
      <c r="CM329" s="928"/>
      <c r="CN329" s="928"/>
      <c r="CO329" s="928"/>
      <c r="CP329" s="928"/>
      <c r="CQ329" s="928"/>
      <c r="CR329" s="928"/>
      <c r="CS329" s="928"/>
      <c r="CT329" s="928"/>
      <c r="CU329" s="928"/>
      <c r="CV329" s="928"/>
      <c r="CW329" s="928"/>
      <c r="CX329" s="928"/>
      <c r="CY329" s="928"/>
      <c r="CZ329" s="928"/>
      <c r="DA329" s="928"/>
      <c r="DB329" s="928"/>
      <c r="DC329" s="928"/>
      <c r="DD329" s="928"/>
      <c r="DE329" s="928"/>
      <c r="DF329" s="928"/>
      <c r="DG329" s="928"/>
      <c r="DH329" s="928"/>
    </row>
    <row r="330" spans="1:112">
      <c r="A330" s="891" t="s">
        <v>1133</v>
      </c>
      <c r="B330" s="891" t="s">
        <v>1477</v>
      </c>
      <c r="C330" s="891" t="s">
        <v>3</v>
      </c>
      <c r="D330" s="891" t="s">
        <v>1133</v>
      </c>
      <c r="E330" s="891" t="s">
        <v>1477</v>
      </c>
      <c r="F330" s="891" t="s">
        <v>3</v>
      </c>
      <c r="G330" s="897">
        <v>107.56</v>
      </c>
      <c r="H330" s="897">
        <v>111.46</v>
      </c>
      <c r="I330" s="897">
        <v>102.39</v>
      </c>
      <c r="J330" s="891"/>
      <c r="K330" s="891"/>
      <c r="L330" s="891"/>
      <c r="M330" s="891"/>
      <c r="N330" s="891"/>
      <c r="O330" s="891"/>
      <c r="P330" s="891"/>
      <c r="Q330" s="891"/>
      <c r="R330" s="891"/>
      <c r="S330" s="891"/>
      <c r="T330" s="891"/>
      <c r="U330" s="928"/>
      <c r="V330" s="928"/>
      <c r="W330" s="928"/>
      <c r="X330" s="928"/>
      <c r="Y330" s="928"/>
      <c r="Z330" s="928"/>
      <c r="AA330" s="928"/>
      <c r="AB330" s="928"/>
      <c r="AC330" s="928"/>
      <c r="AD330" s="928"/>
      <c r="AE330" s="928"/>
      <c r="AF330" s="928"/>
      <c r="AG330" s="928"/>
      <c r="AH330" s="928"/>
      <c r="AI330" s="928"/>
      <c r="AJ330" s="928"/>
      <c r="AK330" s="928"/>
      <c r="AL330" s="928"/>
      <c r="AM330" s="928"/>
      <c r="AN330" s="928"/>
      <c r="AO330" s="928"/>
      <c r="AP330" s="928"/>
      <c r="AQ330" s="928"/>
      <c r="AR330" s="928"/>
      <c r="AS330" s="928"/>
      <c r="AT330" s="928"/>
      <c r="AU330" s="928"/>
      <c r="AV330" s="928"/>
      <c r="AW330" s="928"/>
      <c r="AX330" s="928"/>
      <c r="AY330" s="928"/>
      <c r="AZ330" s="928"/>
      <c r="BA330" s="928"/>
      <c r="BB330" s="928"/>
      <c r="BC330" s="928"/>
      <c r="BD330" s="928"/>
      <c r="BE330" s="928"/>
      <c r="BF330" s="928"/>
      <c r="BG330" s="928"/>
      <c r="BH330" s="928"/>
      <c r="BI330" s="928"/>
      <c r="BJ330" s="928"/>
      <c r="BK330" s="928"/>
      <c r="BL330" s="928"/>
      <c r="BM330" s="928"/>
      <c r="BN330" s="928"/>
      <c r="BO330" s="928"/>
      <c r="BP330" s="928"/>
      <c r="BQ330" s="928"/>
      <c r="BR330" s="928"/>
      <c r="BS330" s="928"/>
      <c r="BT330" s="928"/>
      <c r="BU330" s="928"/>
      <c r="BV330" s="928"/>
      <c r="BW330" s="928"/>
      <c r="BX330" s="928"/>
      <c r="BY330" s="928"/>
      <c r="BZ330" s="928"/>
      <c r="CA330" s="928"/>
      <c r="CB330" s="928"/>
      <c r="CC330" s="928"/>
      <c r="CD330" s="928"/>
      <c r="CE330" s="928"/>
      <c r="CF330" s="928"/>
      <c r="CG330" s="928"/>
      <c r="CH330" s="928"/>
      <c r="CI330" s="928"/>
      <c r="CJ330" s="928"/>
      <c r="CK330" s="928"/>
      <c r="CL330" s="928"/>
      <c r="CM330" s="928"/>
      <c r="CN330" s="928"/>
      <c r="CO330" s="928"/>
      <c r="CP330" s="928"/>
      <c r="CQ330" s="928"/>
      <c r="CR330" s="928"/>
      <c r="CS330" s="928"/>
      <c r="CT330" s="928"/>
      <c r="CU330" s="928"/>
      <c r="CV330" s="928"/>
      <c r="CW330" s="928"/>
      <c r="CX330" s="928"/>
      <c r="CY330" s="928"/>
      <c r="CZ330" s="928"/>
      <c r="DA330" s="928"/>
      <c r="DB330" s="928"/>
      <c r="DC330" s="928"/>
      <c r="DD330" s="928"/>
      <c r="DE330" s="928"/>
      <c r="DF330" s="928"/>
      <c r="DG330" s="928"/>
      <c r="DH330" s="928"/>
    </row>
    <row r="331" spans="1:112">
      <c r="A331" s="891" t="s">
        <v>1134</v>
      </c>
      <c r="B331" s="891" t="s">
        <v>1454</v>
      </c>
      <c r="C331" s="891" t="s">
        <v>150</v>
      </c>
      <c r="D331" s="891" t="s">
        <v>1134</v>
      </c>
      <c r="E331" s="891" t="s">
        <v>1454</v>
      </c>
      <c r="F331" s="891" t="s">
        <v>150</v>
      </c>
      <c r="G331" s="897">
        <v>92.91</v>
      </c>
      <c r="H331" s="897">
        <v>83.77</v>
      </c>
      <c r="I331" s="897">
        <v>125.34</v>
      </c>
      <c r="J331" s="891"/>
      <c r="K331" s="891"/>
      <c r="L331" s="891"/>
      <c r="M331" s="891"/>
      <c r="N331" s="891"/>
      <c r="O331" s="891"/>
      <c r="P331" s="891"/>
      <c r="Q331" s="891"/>
      <c r="R331" s="891"/>
      <c r="S331" s="891"/>
      <c r="T331" s="891"/>
      <c r="U331" s="928"/>
      <c r="V331" s="928"/>
      <c r="W331" s="928"/>
      <c r="X331" s="928"/>
      <c r="Y331" s="928"/>
      <c r="Z331" s="928"/>
      <c r="AA331" s="928"/>
      <c r="AB331" s="928"/>
      <c r="AC331" s="928"/>
      <c r="AD331" s="928"/>
      <c r="AE331" s="928"/>
      <c r="AF331" s="928"/>
      <c r="AG331" s="928"/>
      <c r="AH331" s="928"/>
      <c r="AI331" s="928"/>
      <c r="AJ331" s="928"/>
      <c r="AK331" s="928"/>
      <c r="AL331" s="928"/>
      <c r="AM331" s="928"/>
      <c r="AN331" s="928"/>
      <c r="AO331" s="928"/>
      <c r="AP331" s="928"/>
      <c r="AQ331" s="928"/>
      <c r="AR331" s="928"/>
      <c r="AS331" s="928"/>
      <c r="AT331" s="928"/>
      <c r="AU331" s="928"/>
      <c r="AV331" s="928"/>
      <c r="AW331" s="928"/>
      <c r="AX331" s="928"/>
      <c r="AY331" s="928"/>
      <c r="AZ331" s="928"/>
      <c r="BA331" s="928"/>
      <c r="BB331" s="928"/>
      <c r="BC331" s="928"/>
      <c r="BD331" s="928"/>
      <c r="BE331" s="928"/>
      <c r="BF331" s="928"/>
      <c r="BG331" s="928"/>
      <c r="BH331" s="928"/>
      <c r="BI331" s="928"/>
      <c r="BJ331" s="928"/>
      <c r="BK331" s="928"/>
      <c r="BL331" s="928"/>
      <c r="BM331" s="928"/>
      <c r="BN331" s="928"/>
      <c r="BO331" s="928"/>
      <c r="BP331" s="928"/>
      <c r="BQ331" s="928"/>
      <c r="BR331" s="928"/>
      <c r="BS331" s="928"/>
      <c r="BT331" s="928"/>
      <c r="BU331" s="928"/>
      <c r="BV331" s="928"/>
      <c r="BW331" s="928"/>
      <c r="BX331" s="928"/>
      <c r="BY331" s="928"/>
      <c r="BZ331" s="928"/>
      <c r="CA331" s="928"/>
      <c r="CB331" s="928"/>
      <c r="CC331" s="928"/>
      <c r="CD331" s="928"/>
      <c r="CE331" s="928"/>
      <c r="CF331" s="928"/>
      <c r="CG331" s="928"/>
      <c r="CH331" s="928"/>
      <c r="CI331" s="928"/>
      <c r="CJ331" s="928"/>
      <c r="CK331" s="928"/>
      <c r="CL331" s="928"/>
      <c r="CM331" s="928"/>
      <c r="CN331" s="928"/>
      <c r="CO331" s="928"/>
      <c r="CP331" s="928"/>
      <c r="CQ331" s="928"/>
      <c r="CR331" s="928"/>
      <c r="CS331" s="928"/>
      <c r="CT331" s="928"/>
      <c r="CU331" s="928"/>
      <c r="CV331" s="928"/>
      <c r="CW331" s="928"/>
      <c r="CX331" s="928"/>
      <c r="CY331" s="928"/>
      <c r="CZ331" s="928"/>
      <c r="DA331" s="928"/>
      <c r="DB331" s="928"/>
      <c r="DC331" s="928"/>
      <c r="DD331" s="928"/>
      <c r="DE331" s="928"/>
      <c r="DF331" s="928"/>
      <c r="DG331" s="928"/>
      <c r="DH331" s="928"/>
    </row>
    <row r="332" spans="1:112">
      <c r="A332" s="891" t="s">
        <v>1135</v>
      </c>
      <c r="B332" s="891" t="s">
        <v>1454</v>
      </c>
      <c r="C332" s="891" t="s">
        <v>219</v>
      </c>
      <c r="D332" s="891" t="s">
        <v>1135</v>
      </c>
      <c r="E332" s="891" t="s">
        <v>1454</v>
      </c>
      <c r="F332" s="891" t="s">
        <v>219</v>
      </c>
      <c r="G332" s="897">
        <v>30.22</v>
      </c>
      <c r="H332" s="897">
        <v>14.27</v>
      </c>
      <c r="I332" s="897">
        <v>79.040000000000006</v>
      </c>
      <c r="J332" s="891"/>
      <c r="K332" s="891"/>
      <c r="L332" s="891"/>
      <c r="M332" s="891"/>
      <c r="N332" s="891"/>
      <c r="O332" s="891"/>
      <c r="P332" s="891"/>
      <c r="Q332" s="891"/>
      <c r="R332" s="891"/>
      <c r="S332" s="891"/>
      <c r="T332" s="891"/>
      <c r="U332" s="928"/>
      <c r="V332" s="928"/>
      <c r="W332" s="928"/>
      <c r="X332" s="928"/>
      <c r="Y332" s="928"/>
      <c r="Z332" s="928"/>
      <c r="AA332" s="928"/>
      <c r="AB332" s="928"/>
      <c r="AC332" s="928"/>
      <c r="AD332" s="928"/>
      <c r="AE332" s="928"/>
      <c r="AF332" s="928"/>
      <c r="AG332" s="928"/>
      <c r="AH332" s="928"/>
      <c r="AI332" s="928"/>
      <c r="AJ332" s="928"/>
      <c r="AK332" s="928"/>
      <c r="AL332" s="928"/>
      <c r="AM332" s="928"/>
      <c r="AN332" s="928"/>
      <c r="AO332" s="928"/>
      <c r="AP332" s="928"/>
      <c r="AQ332" s="928"/>
      <c r="AR332" s="928"/>
      <c r="AS332" s="928"/>
      <c r="AT332" s="928"/>
      <c r="AU332" s="928"/>
      <c r="AV332" s="928"/>
      <c r="AW332" s="928"/>
      <c r="AX332" s="928"/>
      <c r="AY332" s="928"/>
      <c r="AZ332" s="928"/>
      <c r="BA332" s="928"/>
      <c r="BB332" s="928"/>
      <c r="BC332" s="928"/>
      <c r="BD332" s="928"/>
      <c r="BE332" s="928"/>
      <c r="BF332" s="928"/>
      <c r="BG332" s="928"/>
      <c r="BH332" s="928"/>
      <c r="BI332" s="928"/>
      <c r="BJ332" s="928"/>
      <c r="BK332" s="928"/>
      <c r="BL332" s="928"/>
      <c r="BM332" s="928"/>
      <c r="BN332" s="928"/>
      <c r="BO332" s="928"/>
      <c r="BP332" s="928"/>
      <c r="BQ332" s="928"/>
      <c r="BR332" s="928"/>
      <c r="BS332" s="928"/>
      <c r="BT332" s="928"/>
      <c r="BU332" s="928"/>
      <c r="BV332" s="928"/>
      <c r="BW332" s="928"/>
      <c r="BX332" s="928"/>
      <c r="BY332" s="928"/>
      <c r="BZ332" s="928"/>
      <c r="CA332" s="928"/>
      <c r="CB332" s="928"/>
      <c r="CC332" s="928"/>
      <c r="CD332" s="928"/>
      <c r="CE332" s="928"/>
      <c r="CF332" s="928"/>
      <c r="CG332" s="928"/>
      <c r="CH332" s="928"/>
      <c r="CI332" s="928"/>
      <c r="CJ332" s="928"/>
      <c r="CK332" s="928"/>
      <c r="CL332" s="928"/>
      <c r="CM332" s="928"/>
      <c r="CN332" s="928"/>
      <c r="CO332" s="928"/>
      <c r="CP332" s="928"/>
      <c r="CQ332" s="928"/>
      <c r="CR332" s="928"/>
      <c r="CS332" s="928"/>
      <c r="CT332" s="928"/>
      <c r="CU332" s="928"/>
      <c r="CV332" s="928"/>
      <c r="CW332" s="928"/>
      <c r="CX332" s="928"/>
      <c r="CY332" s="928"/>
      <c r="CZ332" s="928"/>
      <c r="DA332" s="928"/>
      <c r="DB332" s="928"/>
      <c r="DC332" s="928"/>
      <c r="DD332" s="928"/>
      <c r="DE332" s="928"/>
      <c r="DF332" s="928"/>
      <c r="DG332" s="928"/>
      <c r="DH332" s="928"/>
    </row>
    <row r="333" spans="1:112">
      <c r="A333" s="891" t="s">
        <v>1136</v>
      </c>
      <c r="B333" s="891" t="s">
        <v>1562</v>
      </c>
      <c r="C333" s="891" t="s">
        <v>365</v>
      </c>
      <c r="D333" s="891" t="s">
        <v>1136</v>
      </c>
      <c r="E333" s="891" t="s">
        <v>1562</v>
      </c>
      <c r="F333" s="891" t="s">
        <v>365</v>
      </c>
      <c r="G333" s="897">
        <v>106.05</v>
      </c>
      <c r="H333" s="897">
        <v>74.27</v>
      </c>
      <c r="I333" s="897">
        <v>78.2</v>
      </c>
      <c r="J333" s="891"/>
      <c r="K333" s="891"/>
      <c r="L333" s="891"/>
      <c r="M333" s="891"/>
      <c r="N333" s="891"/>
      <c r="O333" s="891"/>
      <c r="P333" s="891"/>
      <c r="Q333" s="891"/>
      <c r="R333" s="891"/>
      <c r="S333" s="891"/>
      <c r="T333" s="891"/>
      <c r="U333" s="928"/>
      <c r="V333" s="928"/>
      <c r="W333" s="928"/>
      <c r="X333" s="928"/>
      <c r="Y333" s="928"/>
      <c r="Z333" s="928"/>
      <c r="AA333" s="928"/>
      <c r="AB333" s="928"/>
      <c r="AC333" s="928"/>
      <c r="AD333" s="928"/>
      <c r="AE333" s="928"/>
      <c r="AF333" s="928"/>
      <c r="AG333" s="928"/>
      <c r="AH333" s="928"/>
      <c r="AI333" s="928"/>
      <c r="AJ333" s="928"/>
      <c r="AK333" s="928"/>
      <c r="AL333" s="928"/>
      <c r="AM333" s="928"/>
      <c r="AN333" s="928"/>
      <c r="AO333" s="928"/>
      <c r="AP333" s="928"/>
      <c r="AQ333" s="928"/>
      <c r="AR333" s="928"/>
      <c r="AS333" s="928"/>
      <c r="AT333" s="928"/>
      <c r="AU333" s="928"/>
      <c r="AV333" s="928"/>
      <c r="AW333" s="928"/>
      <c r="AX333" s="928"/>
      <c r="AY333" s="928"/>
      <c r="AZ333" s="928"/>
      <c r="BA333" s="928"/>
      <c r="BB333" s="928"/>
      <c r="BC333" s="928"/>
      <c r="BD333" s="928"/>
      <c r="BE333" s="928"/>
      <c r="BF333" s="928"/>
      <c r="BG333" s="928"/>
      <c r="BH333" s="928"/>
      <c r="BI333" s="928"/>
      <c r="BJ333" s="928"/>
      <c r="BK333" s="928"/>
      <c r="BL333" s="928"/>
      <c r="BM333" s="928"/>
      <c r="BN333" s="928"/>
      <c r="BO333" s="928"/>
      <c r="BP333" s="928"/>
      <c r="BQ333" s="928"/>
      <c r="BR333" s="928"/>
      <c r="BS333" s="928"/>
      <c r="BT333" s="928"/>
      <c r="BU333" s="928"/>
      <c r="BV333" s="928"/>
      <c r="BW333" s="928"/>
      <c r="BX333" s="928"/>
      <c r="BY333" s="928"/>
      <c r="BZ333" s="928"/>
      <c r="CA333" s="928"/>
      <c r="CB333" s="928"/>
      <c r="CC333" s="928"/>
      <c r="CD333" s="928"/>
      <c r="CE333" s="928"/>
      <c r="CF333" s="928"/>
      <c r="CG333" s="928"/>
      <c r="CH333" s="928"/>
      <c r="CI333" s="928"/>
      <c r="CJ333" s="928"/>
      <c r="CK333" s="928"/>
      <c r="CL333" s="928"/>
      <c r="CM333" s="928"/>
      <c r="CN333" s="928"/>
      <c r="CO333" s="928"/>
      <c r="CP333" s="928"/>
      <c r="CQ333" s="928"/>
      <c r="CR333" s="928"/>
      <c r="CS333" s="928"/>
      <c r="CT333" s="928"/>
      <c r="CU333" s="928"/>
      <c r="CV333" s="928"/>
      <c r="CW333" s="928"/>
      <c r="CX333" s="928"/>
      <c r="CY333" s="928"/>
      <c r="CZ333" s="928"/>
      <c r="DA333" s="928"/>
      <c r="DB333" s="928"/>
      <c r="DC333" s="928"/>
      <c r="DD333" s="928"/>
      <c r="DE333" s="928"/>
      <c r="DF333" s="928"/>
      <c r="DG333" s="928"/>
      <c r="DH333" s="928"/>
    </row>
    <row r="334" spans="1:112">
      <c r="A334" s="891" t="s">
        <v>1137</v>
      </c>
      <c r="B334" s="891" t="s">
        <v>1476</v>
      </c>
      <c r="C334" s="891" t="s">
        <v>108</v>
      </c>
      <c r="D334" s="891" t="s">
        <v>1137</v>
      </c>
      <c r="E334" s="891" t="s">
        <v>1476</v>
      </c>
      <c r="F334" s="891" t="s">
        <v>108</v>
      </c>
      <c r="G334" s="897">
        <v>112.49</v>
      </c>
      <c r="H334" s="897">
        <v>96.49</v>
      </c>
      <c r="I334" s="897">
        <v>106.02</v>
      </c>
      <c r="J334" s="891"/>
      <c r="K334" s="891"/>
      <c r="L334" s="891"/>
      <c r="M334" s="891"/>
      <c r="N334" s="891"/>
      <c r="O334" s="891"/>
      <c r="P334" s="891"/>
      <c r="Q334" s="891"/>
      <c r="R334" s="891"/>
      <c r="S334" s="891"/>
      <c r="T334" s="891"/>
      <c r="U334" s="928"/>
      <c r="V334" s="928"/>
      <c r="W334" s="928"/>
      <c r="X334" s="928"/>
      <c r="Y334" s="928"/>
      <c r="Z334" s="928"/>
      <c r="AA334" s="928"/>
      <c r="AB334" s="928"/>
      <c r="AC334" s="928"/>
      <c r="AD334" s="928"/>
      <c r="AE334" s="928"/>
      <c r="AF334" s="928"/>
      <c r="AG334" s="928"/>
      <c r="AH334" s="928"/>
      <c r="AI334" s="928"/>
      <c r="AJ334" s="928"/>
      <c r="AK334" s="928"/>
      <c r="AL334" s="928"/>
      <c r="AM334" s="928"/>
      <c r="AN334" s="928"/>
      <c r="AO334" s="928"/>
      <c r="AP334" s="928"/>
      <c r="AQ334" s="928"/>
      <c r="AR334" s="928"/>
      <c r="AS334" s="928"/>
      <c r="AT334" s="928"/>
      <c r="AU334" s="928"/>
      <c r="AV334" s="928"/>
      <c r="AW334" s="928"/>
      <c r="AX334" s="928"/>
      <c r="AY334" s="928"/>
      <c r="AZ334" s="928"/>
      <c r="BA334" s="928"/>
      <c r="BB334" s="928"/>
      <c r="BC334" s="928"/>
      <c r="BD334" s="928"/>
      <c r="BE334" s="928"/>
      <c r="BF334" s="928"/>
      <c r="BG334" s="928"/>
      <c r="BH334" s="928"/>
      <c r="BI334" s="928"/>
      <c r="BJ334" s="928"/>
      <c r="BK334" s="928"/>
      <c r="BL334" s="928"/>
      <c r="BM334" s="928"/>
      <c r="BN334" s="928"/>
      <c r="BO334" s="928"/>
      <c r="BP334" s="928"/>
      <c r="BQ334" s="928"/>
      <c r="BR334" s="928"/>
      <c r="BS334" s="928"/>
      <c r="BT334" s="928"/>
      <c r="BU334" s="928"/>
      <c r="BV334" s="928"/>
      <c r="BW334" s="928"/>
      <c r="BX334" s="928"/>
      <c r="BY334" s="928"/>
      <c r="BZ334" s="928"/>
      <c r="CA334" s="928"/>
      <c r="CB334" s="928"/>
      <c r="CC334" s="928"/>
      <c r="CD334" s="928"/>
      <c r="CE334" s="928"/>
      <c r="CF334" s="928"/>
      <c r="CG334" s="928"/>
      <c r="CH334" s="928"/>
      <c r="CI334" s="928"/>
      <c r="CJ334" s="928"/>
      <c r="CK334" s="928"/>
      <c r="CL334" s="928"/>
      <c r="CM334" s="928"/>
      <c r="CN334" s="928"/>
      <c r="CO334" s="928"/>
      <c r="CP334" s="928"/>
      <c r="CQ334" s="928"/>
      <c r="CR334" s="928"/>
      <c r="CS334" s="928"/>
      <c r="CT334" s="928"/>
      <c r="CU334" s="928"/>
      <c r="CV334" s="928"/>
      <c r="CW334" s="928"/>
      <c r="CX334" s="928"/>
      <c r="CY334" s="928"/>
      <c r="CZ334" s="928"/>
      <c r="DA334" s="928"/>
      <c r="DB334" s="928"/>
      <c r="DC334" s="928"/>
      <c r="DD334" s="928"/>
      <c r="DE334" s="928"/>
      <c r="DF334" s="928"/>
      <c r="DG334" s="928"/>
      <c r="DH334" s="928"/>
    </row>
    <row r="335" spans="1:112">
      <c r="A335" s="891" t="s">
        <v>1139</v>
      </c>
      <c r="B335" s="891" t="s">
        <v>1563</v>
      </c>
      <c r="C335" s="891" t="s">
        <v>277</v>
      </c>
      <c r="D335" s="891" t="s">
        <v>1139</v>
      </c>
      <c r="E335" s="891" t="s">
        <v>1563</v>
      </c>
      <c r="F335" s="891" t="s">
        <v>277</v>
      </c>
      <c r="G335" s="897">
        <v>43.5</v>
      </c>
      <c r="H335" s="897">
        <v>39.31</v>
      </c>
      <c r="I335" s="897">
        <v>60.89</v>
      </c>
      <c r="J335" s="891"/>
      <c r="K335" s="891"/>
      <c r="L335" s="891"/>
      <c r="M335" s="891"/>
      <c r="N335" s="891"/>
      <c r="O335" s="891"/>
      <c r="P335" s="891"/>
      <c r="Q335" s="891"/>
      <c r="R335" s="891"/>
      <c r="S335" s="891"/>
      <c r="T335" s="891"/>
      <c r="U335" s="928"/>
      <c r="V335" s="928"/>
      <c r="W335" s="928"/>
      <c r="X335" s="928"/>
      <c r="Y335" s="928"/>
      <c r="Z335" s="928"/>
      <c r="AA335" s="928"/>
      <c r="AB335" s="928"/>
      <c r="AC335" s="928"/>
      <c r="AD335" s="928"/>
      <c r="AE335" s="928"/>
      <c r="AF335" s="928"/>
      <c r="AG335" s="928"/>
      <c r="AH335" s="928"/>
      <c r="AI335" s="928"/>
      <c r="AJ335" s="928"/>
      <c r="AK335" s="928"/>
      <c r="AL335" s="928"/>
      <c r="AM335" s="928"/>
      <c r="AN335" s="928"/>
      <c r="AO335" s="928"/>
      <c r="AP335" s="928"/>
      <c r="AQ335" s="928"/>
      <c r="AR335" s="928"/>
      <c r="AS335" s="928"/>
      <c r="AT335" s="928"/>
      <c r="AU335" s="928"/>
      <c r="AV335" s="928"/>
      <c r="AW335" s="928"/>
      <c r="AX335" s="928"/>
      <c r="AY335" s="928"/>
      <c r="AZ335" s="928"/>
      <c r="BA335" s="928"/>
      <c r="BB335" s="928"/>
      <c r="BC335" s="928"/>
      <c r="BD335" s="928"/>
      <c r="BE335" s="928"/>
      <c r="BF335" s="928"/>
      <c r="BG335" s="928"/>
      <c r="BH335" s="928"/>
      <c r="BI335" s="928"/>
      <c r="BJ335" s="928"/>
      <c r="BK335" s="928"/>
      <c r="BL335" s="928"/>
      <c r="BM335" s="928"/>
      <c r="BN335" s="928"/>
      <c r="BO335" s="928"/>
      <c r="BP335" s="928"/>
      <c r="BQ335" s="928"/>
      <c r="BR335" s="928"/>
      <c r="BS335" s="928"/>
      <c r="BT335" s="928"/>
      <c r="BU335" s="928"/>
      <c r="BV335" s="928"/>
      <c r="BW335" s="928"/>
      <c r="BX335" s="928"/>
      <c r="BY335" s="928"/>
      <c r="BZ335" s="928"/>
      <c r="CA335" s="928"/>
      <c r="CB335" s="928"/>
      <c r="CC335" s="928"/>
      <c r="CD335" s="928"/>
      <c r="CE335" s="928"/>
      <c r="CF335" s="928"/>
      <c r="CG335" s="928"/>
      <c r="CH335" s="928"/>
      <c r="CI335" s="928"/>
      <c r="CJ335" s="928"/>
      <c r="CK335" s="928"/>
      <c r="CL335" s="928"/>
      <c r="CM335" s="928"/>
      <c r="CN335" s="928"/>
      <c r="CO335" s="928"/>
      <c r="CP335" s="928"/>
      <c r="CQ335" s="928"/>
      <c r="CR335" s="928"/>
      <c r="CS335" s="928"/>
      <c r="CT335" s="928"/>
      <c r="CU335" s="928"/>
      <c r="CV335" s="928"/>
      <c r="CW335" s="928"/>
      <c r="CX335" s="928"/>
      <c r="CY335" s="928"/>
      <c r="CZ335" s="928"/>
      <c r="DA335" s="928"/>
      <c r="DB335" s="928"/>
      <c r="DC335" s="928"/>
      <c r="DD335" s="928"/>
      <c r="DE335" s="928"/>
      <c r="DF335" s="928"/>
      <c r="DG335" s="928"/>
      <c r="DH335" s="928"/>
    </row>
    <row r="336" spans="1:112">
      <c r="A336" s="891" t="s">
        <v>1140</v>
      </c>
      <c r="B336" s="891" t="s">
        <v>1460</v>
      </c>
      <c r="C336" s="891" t="s">
        <v>63</v>
      </c>
      <c r="D336" s="891" t="s">
        <v>1140</v>
      </c>
      <c r="E336" s="891" t="s">
        <v>1460</v>
      </c>
      <c r="F336" s="891" t="s">
        <v>63</v>
      </c>
      <c r="G336" s="897">
        <v>81.510000000000005</v>
      </c>
      <c r="H336" s="897">
        <v>29.14</v>
      </c>
      <c r="I336" s="897">
        <v>72.239999999999995</v>
      </c>
      <c r="J336" s="891"/>
      <c r="K336" s="891"/>
      <c r="L336" s="891"/>
      <c r="M336" s="891"/>
      <c r="N336" s="891"/>
      <c r="O336" s="891"/>
      <c r="P336" s="891"/>
      <c r="Q336" s="891"/>
      <c r="R336" s="891"/>
      <c r="S336" s="891"/>
      <c r="T336" s="891"/>
      <c r="U336" s="928"/>
      <c r="V336" s="928"/>
      <c r="W336" s="928"/>
      <c r="X336" s="928"/>
      <c r="Y336" s="928"/>
      <c r="Z336" s="928"/>
      <c r="AA336" s="928"/>
      <c r="AB336" s="928"/>
      <c r="AC336" s="928"/>
      <c r="AD336" s="928"/>
      <c r="AE336" s="928"/>
      <c r="AF336" s="928"/>
      <c r="AG336" s="928"/>
      <c r="AH336" s="928"/>
      <c r="AI336" s="928"/>
      <c r="AJ336" s="928"/>
      <c r="AK336" s="928"/>
      <c r="AL336" s="928"/>
      <c r="AM336" s="928"/>
      <c r="AN336" s="928"/>
      <c r="AO336" s="928"/>
      <c r="AP336" s="928"/>
      <c r="AQ336" s="928"/>
      <c r="AR336" s="928"/>
      <c r="AS336" s="928"/>
      <c r="AT336" s="928"/>
      <c r="AU336" s="928"/>
      <c r="AV336" s="928"/>
      <c r="AW336" s="928"/>
      <c r="AX336" s="928"/>
      <c r="AY336" s="928"/>
      <c r="AZ336" s="928"/>
      <c r="BA336" s="928"/>
      <c r="BB336" s="928"/>
      <c r="BC336" s="928"/>
      <c r="BD336" s="928"/>
      <c r="BE336" s="928"/>
      <c r="BF336" s="928"/>
      <c r="BG336" s="928"/>
      <c r="BH336" s="928"/>
      <c r="BI336" s="928"/>
      <c r="BJ336" s="928"/>
      <c r="BK336" s="928"/>
      <c r="BL336" s="928"/>
      <c r="BM336" s="928"/>
      <c r="BN336" s="928"/>
      <c r="BO336" s="928"/>
      <c r="BP336" s="928"/>
      <c r="BQ336" s="928"/>
      <c r="BR336" s="928"/>
      <c r="BS336" s="928"/>
      <c r="BT336" s="928"/>
      <c r="BU336" s="928"/>
      <c r="BV336" s="928"/>
      <c r="BW336" s="928"/>
      <c r="BX336" s="928"/>
      <c r="BY336" s="928"/>
      <c r="BZ336" s="928"/>
      <c r="CA336" s="928"/>
      <c r="CB336" s="928"/>
      <c r="CC336" s="928"/>
      <c r="CD336" s="928"/>
      <c r="CE336" s="928"/>
      <c r="CF336" s="928"/>
      <c r="CG336" s="928"/>
      <c r="CH336" s="928"/>
      <c r="CI336" s="928"/>
      <c r="CJ336" s="928"/>
      <c r="CK336" s="928"/>
      <c r="CL336" s="928"/>
      <c r="CM336" s="928"/>
      <c r="CN336" s="928"/>
      <c r="CO336" s="928"/>
      <c r="CP336" s="928"/>
      <c r="CQ336" s="928"/>
      <c r="CR336" s="928"/>
      <c r="CS336" s="928"/>
      <c r="CT336" s="928"/>
      <c r="CU336" s="928"/>
      <c r="CV336" s="928"/>
      <c r="CW336" s="928"/>
      <c r="CX336" s="928"/>
      <c r="CY336" s="928"/>
      <c r="CZ336" s="928"/>
      <c r="DA336" s="928"/>
      <c r="DB336" s="928"/>
      <c r="DC336" s="928"/>
      <c r="DD336" s="928"/>
      <c r="DE336" s="928"/>
      <c r="DF336" s="928"/>
      <c r="DG336" s="928"/>
      <c r="DH336" s="928"/>
    </row>
    <row r="337" spans="1:112">
      <c r="A337" s="891" t="s">
        <v>1141</v>
      </c>
      <c r="B337" s="891" t="s">
        <v>1453</v>
      </c>
      <c r="C337" s="891" t="s">
        <v>385</v>
      </c>
      <c r="D337" s="891" t="s">
        <v>1141</v>
      </c>
      <c r="E337" s="891" t="s">
        <v>1453</v>
      </c>
      <c r="F337" s="891" t="s">
        <v>385</v>
      </c>
      <c r="G337" s="897">
        <v>77.930000000000007</v>
      </c>
      <c r="H337" s="897">
        <v>30.34</v>
      </c>
      <c r="I337" s="897">
        <v>89.83</v>
      </c>
      <c r="J337" s="891"/>
      <c r="K337" s="891"/>
      <c r="L337" s="891"/>
      <c r="M337" s="891"/>
      <c r="N337" s="891"/>
      <c r="O337" s="891"/>
      <c r="P337" s="891"/>
      <c r="Q337" s="891"/>
      <c r="R337" s="891"/>
      <c r="S337" s="891"/>
      <c r="T337" s="891"/>
      <c r="U337" s="928"/>
      <c r="V337" s="928"/>
      <c r="W337" s="928"/>
      <c r="X337" s="928"/>
      <c r="Y337" s="928"/>
      <c r="Z337" s="928"/>
      <c r="AA337" s="928"/>
      <c r="AB337" s="928"/>
      <c r="AC337" s="928"/>
      <c r="AD337" s="928"/>
      <c r="AE337" s="928"/>
      <c r="AF337" s="928"/>
      <c r="AG337" s="928"/>
      <c r="AH337" s="928"/>
      <c r="AI337" s="928"/>
      <c r="AJ337" s="928"/>
      <c r="AK337" s="928"/>
      <c r="AL337" s="928"/>
      <c r="AM337" s="928"/>
      <c r="AN337" s="928"/>
      <c r="AO337" s="928"/>
      <c r="AP337" s="928"/>
      <c r="AQ337" s="928"/>
      <c r="AR337" s="928"/>
      <c r="AS337" s="928"/>
      <c r="AT337" s="928"/>
      <c r="AU337" s="928"/>
      <c r="AV337" s="928"/>
      <c r="AW337" s="928"/>
      <c r="AX337" s="928"/>
      <c r="AY337" s="928"/>
      <c r="AZ337" s="928"/>
      <c r="BA337" s="928"/>
      <c r="BB337" s="928"/>
      <c r="BC337" s="928"/>
      <c r="BD337" s="928"/>
      <c r="BE337" s="928"/>
      <c r="BF337" s="928"/>
      <c r="BG337" s="928"/>
      <c r="BH337" s="928"/>
      <c r="BI337" s="928"/>
      <c r="BJ337" s="928"/>
      <c r="BK337" s="928"/>
      <c r="BL337" s="928"/>
      <c r="BM337" s="928"/>
      <c r="BN337" s="928"/>
      <c r="BO337" s="928"/>
      <c r="BP337" s="928"/>
      <c r="BQ337" s="928"/>
      <c r="BR337" s="928"/>
      <c r="BS337" s="928"/>
      <c r="BT337" s="928"/>
      <c r="BU337" s="928"/>
      <c r="BV337" s="928"/>
      <c r="BW337" s="928"/>
      <c r="BX337" s="928"/>
      <c r="BY337" s="928"/>
      <c r="BZ337" s="928"/>
      <c r="CA337" s="928"/>
      <c r="CB337" s="928"/>
      <c r="CC337" s="928"/>
      <c r="CD337" s="928"/>
      <c r="CE337" s="928"/>
      <c r="CF337" s="928"/>
      <c r="CG337" s="928"/>
      <c r="CH337" s="928"/>
      <c r="CI337" s="928"/>
      <c r="CJ337" s="928"/>
      <c r="CK337" s="928"/>
      <c r="CL337" s="928"/>
      <c r="CM337" s="928"/>
      <c r="CN337" s="928"/>
      <c r="CO337" s="928"/>
      <c r="CP337" s="928"/>
      <c r="CQ337" s="928"/>
      <c r="CR337" s="928"/>
      <c r="CS337" s="928"/>
      <c r="CT337" s="928"/>
      <c r="CU337" s="928"/>
      <c r="CV337" s="928"/>
      <c r="CW337" s="928"/>
      <c r="CX337" s="928"/>
      <c r="CY337" s="928"/>
      <c r="CZ337" s="928"/>
      <c r="DA337" s="928"/>
      <c r="DB337" s="928"/>
      <c r="DC337" s="928"/>
      <c r="DD337" s="928"/>
      <c r="DE337" s="928"/>
      <c r="DF337" s="928"/>
      <c r="DG337" s="928"/>
      <c r="DH337" s="928"/>
    </row>
    <row r="338" spans="1:112">
      <c r="A338" s="891" t="s">
        <v>1142</v>
      </c>
      <c r="B338" s="891" t="s">
        <v>1457</v>
      </c>
      <c r="C338" s="891" t="s">
        <v>164</v>
      </c>
      <c r="D338" s="891" t="s">
        <v>1142</v>
      </c>
      <c r="E338" s="891" t="s">
        <v>1457</v>
      </c>
      <c r="F338" s="891" t="s">
        <v>164</v>
      </c>
      <c r="G338" s="897">
        <v>60.52</v>
      </c>
      <c r="H338" s="897">
        <v>56.59</v>
      </c>
      <c r="I338" s="897">
        <v>52.51</v>
      </c>
      <c r="J338" s="891"/>
      <c r="K338" s="891"/>
      <c r="L338" s="891"/>
      <c r="M338" s="891"/>
      <c r="N338" s="891"/>
      <c r="O338" s="891"/>
      <c r="P338" s="891"/>
      <c r="Q338" s="891"/>
      <c r="R338" s="891"/>
      <c r="S338" s="891"/>
      <c r="T338" s="891"/>
      <c r="U338" s="928"/>
      <c r="V338" s="928"/>
      <c r="W338" s="928"/>
      <c r="X338" s="928"/>
      <c r="Y338" s="928"/>
      <c r="Z338" s="928"/>
      <c r="AA338" s="928"/>
      <c r="AB338" s="928"/>
      <c r="AC338" s="928"/>
      <c r="AD338" s="928"/>
      <c r="AE338" s="928"/>
      <c r="AF338" s="928"/>
      <c r="AG338" s="928"/>
      <c r="AH338" s="928"/>
      <c r="AI338" s="928"/>
      <c r="AJ338" s="928"/>
      <c r="AK338" s="928"/>
      <c r="AL338" s="928"/>
      <c r="AM338" s="928"/>
      <c r="AN338" s="928"/>
      <c r="AO338" s="928"/>
      <c r="AP338" s="928"/>
      <c r="AQ338" s="928"/>
      <c r="AR338" s="928"/>
      <c r="AS338" s="928"/>
      <c r="AT338" s="928"/>
      <c r="AU338" s="928"/>
      <c r="AV338" s="928"/>
      <c r="AW338" s="928"/>
      <c r="AX338" s="928"/>
      <c r="AY338" s="928"/>
      <c r="AZ338" s="928"/>
      <c r="BA338" s="928"/>
      <c r="BB338" s="928"/>
      <c r="BC338" s="928"/>
      <c r="BD338" s="928"/>
      <c r="BE338" s="928"/>
      <c r="BF338" s="928"/>
      <c r="BG338" s="928"/>
      <c r="BH338" s="928"/>
      <c r="BI338" s="928"/>
      <c r="BJ338" s="928"/>
      <c r="BK338" s="928"/>
      <c r="BL338" s="928"/>
      <c r="BM338" s="928"/>
      <c r="BN338" s="928"/>
      <c r="BO338" s="928"/>
      <c r="BP338" s="928"/>
      <c r="BQ338" s="928"/>
      <c r="BR338" s="928"/>
      <c r="BS338" s="928"/>
      <c r="BT338" s="928"/>
      <c r="BU338" s="928"/>
      <c r="BV338" s="928"/>
      <c r="BW338" s="928"/>
      <c r="BX338" s="928"/>
      <c r="BY338" s="928"/>
      <c r="BZ338" s="928"/>
      <c r="CA338" s="928"/>
      <c r="CB338" s="928"/>
      <c r="CC338" s="928"/>
      <c r="CD338" s="928"/>
      <c r="CE338" s="928"/>
      <c r="CF338" s="928"/>
      <c r="CG338" s="928"/>
      <c r="CH338" s="928"/>
      <c r="CI338" s="928"/>
      <c r="CJ338" s="928"/>
      <c r="CK338" s="928"/>
      <c r="CL338" s="928"/>
      <c r="CM338" s="928"/>
      <c r="CN338" s="928"/>
      <c r="CO338" s="928"/>
      <c r="CP338" s="928"/>
      <c r="CQ338" s="928"/>
      <c r="CR338" s="928"/>
      <c r="CS338" s="928"/>
      <c r="CT338" s="928"/>
      <c r="CU338" s="928"/>
      <c r="CV338" s="928"/>
      <c r="CW338" s="928"/>
      <c r="CX338" s="928"/>
      <c r="CY338" s="928"/>
      <c r="CZ338" s="928"/>
      <c r="DA338" s="928"/>
      <c r="DB338" s="928"/>
      <c r="DC338" s="928"/>
      <c r="DD338" s="928"/>
      <c r="DE338" s="928"/>
      <c r="DF338" s="928"/>
      <c r="DG338" s="928"/>
      <c r="DH338" s="928"/>
    </row>
    <row r="339" spans="1:112">
      <c r="A339" s="891" t="s">
        <v>1143</v>
      </c>
      <c r="B339" s="891" t="s">
        <v>1471</v>
      </c>
      <c r="C339" s="891" t="s">
        <v>59</v>
      </c>
      <c r="D339" s="891" t="s">
        <v>1143</v>
      </c>
      <c r="E339" s="891" t="s">
        <v>1471</v>
      </c>
      <c r="F339" s="891" t="s">
        <v>59</v>
      </c>
      <c r="G339" s="897">
        <v>83.25</v>
      </c>
      <c r="H339" s="897">
        <v>65.61</v>
      </c>
      <c r="I339" s="897">
        <v>139.06</v>
      </c>
      <c r="J339" s="891"/>
      <c r="K339" s="891"/>
      <c r="L339" s="891"/>
      <c r="M339" s="891"/>
      <c r="N339" s="891"/>
      <c r="O339" s="891"/>
      <c r="P339" s="891"/>
      <c r="Q339" s="891"/>
      <c r="R339" s="891"/>
      <c r="S339" s="891"/>
      <c r="T339" s="891"/>
      <c r="U339" s="928"/>
      <c r="V339" s="928"/>
      <c r="W339" s="928"/>
      <c r="X339" s="928"/>
      <c r="Y339" s="928"/>
      <c r="Z339" s="928"/>
      <c r="AA339" s="928"/>
      <c r="AB339" s="928"/>
      <c r="AC339" s="928"/>
      <c r="AD339" s="928"/>
      <c r="AE339" s="928"/>
      <c r="AF339" s="928"/>
      <c r="AG339" s="928"/>
      <c r="AH339" s="928"/>
      <c r="AI339" s="928"/>
      <c r="AJ339" s="928"/>
      <c r="AK339" s="928"/>
      <c r="AL339" s="928"/>
      <c r="AM339" s="928"/>
      <c r="AN339" s="928"/>
      <c r="AO339" s="928"/>
      <c r="AP339" s="928"/>
      <c r="AQ339" s="928"/>
      <c r="AR339" s="928"/>
      <c r="AS339" s="928"/>
      <c r="AT339" s="928"/>
      <c r="AU339" s="928"/>
      <c r="AV339" s="928"/>
      <c r="AW339" s="928"/>
      <c r="AX339" s="928"/>
      <c r="AY339" s="928"/>
      <c r="AZ339" s="928"/>
      <c r="BA339" s="928"/>
      <c r="BB339" s="928"/>
      <c r="BC339" s="928"/>
      <c r="BD339" s="928"/>
      <c r="BE339" s="928"/>
      <c r="BF339" s="928"/>
      <c r="BG339" s="928"/>
      <c r="BH339" s="928"/>
      <c r="BI339" s="928"/>
      <c r="BJ339" s="928"/>
      <c r="BK339" s="928"/>
      <c r="BL339" s="928"/>
      <c r="BM339" s="928"/>
      <c r="BN339" s="928"/>
      <c r="BO339" s="928"/>
      <c r="BP339" s="928"/>
      <c r="BQ339" s="928"/>
      <c r="BR339" s="928"/>
      <c r="BS339" s="928"/>
      <c r="BT339" s="928"/>
      <c r="BU339" s="928"/>
      <c r="BV339" s="928"/>
      <c r="BW339" s="928"/>
      <c r="BX339" s="928"/>
      <c r="BY339" s="928"/>
      <c r="BZ339" s="928"/>
      <c r="CA339" s="928"/>
      <c r="CB339" s="928"/>
      <c r="CC339" s="928"/>
      <c r="CD339" s="928"/>
      <c r="CE339" s="928"/>
      <c r="CF339" s="928"/>
      <c r="CG339" s="928"/>
      <c r="CH339" s="928"/>
      <c r="CI339" s="928"/>
      <c r="CJ339" s="928"/>
      <c r="CK339" s="928"/>
      <c r="CL339" s="928"/>
      <c r="CM339" s="928"/>
      <c r="CN339" s="928"/>
      <c r="CO339" s="928"/>
      <c r="CP339" s="928"/>
      <c r="CQ339" s="928"/>
      <c r="CR339" s="928"/>
      <c r="CS339" s="928"/>
      <c r="CT339" s="928"/>
      <c r="CU339" s="928"/>
      <c r="CV339" s="928"/>
      <c r="CW339" s="928"/>
      <c r="CX339" s="928"/>
      <c r="CY339" s="928"/>
      <c r="CZ339" s="928"/>
      <c r="DA339" s="928"/>
      <c r="DB339" s="928"/>
      <c r="DC339" s="928"/>
      <c r="DD339" s="928"/>
      <c r="DE339" s="928"/>
      <c r="DF339" s="928"/>
      <c r="DG339" s="928"/>
      <c r="DH339" s="928"/>
    </row>
    <row r="340" spans="1:112">
      <c r="A340" s="891" t="s">
        <v>1144</v>
      </c>
      <c r="B340" s="891" t="s">
        <v>1540</v>
      </c>
      <c r="C340" s="891" t="s">
        <v>340</v>
      </c>
      <c r="D340" s="891" t="s">
        <v>1144</v>
      </c>
      <c r="E340" s="891" t="s">
        <v>1540</v>
      </c>
      <c r="F340" s="891" t="s">
        <v>340</v>
      </c>
      <c r="G340" s="897">
        <v>103.22</v>
      </c>
      <c r="H340" s="897">
        <v>100.74</v>
      </c>
      <c r="I340" s="897">
        <v>97.72</v>
      </c>
      <c r="J340" s="891"/>
      <c r="K340" s="891"/>
      <c r="L340" s="891"/>
      <c r="M340" s="891"/>
      <c r="N340" s="891"/>
      <c r="O340" s="891"/>
      <c r="P340" s="891"/>
      <c r="Q340" s="891"/>
      <c r="R340" s="891"/>
      <c r="S340" s="891"/>
      <c r="T340" s="891"/>
      <c r="U340" s="928"/>
      <c r="V340" s="928"/>
      <c r="W340" s="928"/>
      <c r="X340" s="928"/>
      <c r="Y340" s="928"/>
      <c r="Z340" s="928"/>
      <c r="AA340" s="928"/>
      <c r="AB340" s="928"/>
      <c r="AC340" s="928"/>
      <c r="AD340" s="928"/>
      <c r="AE340" s="928"/>
      <c r="AF340" s="928"/>
      <c r="AG340" s="928"/>
      <c r="AH340" s="928"/>
      <c r="AI340" s="928"/>
      <c r="AJ340" s="928"/>
      <c r="AK340" s="928"/>
      <c r="AL340" s="928"/>
      <c r="AM340" s="928"/>
      <c r="AN340" s="928"/>
      <c r="AO340" s="928"/>
      <c r="AP340" s="928"/>
      <c r="AQ340" s="928"/>
      <c r="AR340" s="928"/>
      <c r="AS340" s="928"/>
      <c r="AT340" s="928"/>
      <c r="AU340" s="928"/>
      <c r="AV340" s="928"/>
      <c r="AW340" s="928"/>
      <c r="AX340" s="928"/>
      <c r="AY340" s="928"/>
      <c r="AZ340" s="928"/>
      <c r="BA340" s="928"/>
      <c r="BB340" s="928"/>
      <c r="BC340" s="928"/>
      <c r="BD340" s="928"/>
      <c r="BE340" s="928"/>
      <c r="BF340" s="928"/>
      <c r="BG340" s="928"/>
      <c r="BH340" s="928"/>
      <c r="BI340" s="928"/>
      <c r="BJ340" s="928"/>
      <c r="BK340" s="928"/>
      <c r="BL340" s="928"/>
      <c r="BM340" s="928"/>
      <c r="BN340" s="928"/>
      <c r="BO340" s="928"/>
      <c r="BP340" s="928"/>
      <c r="BQ340" s="928"/>
      <c r="BR340" s="928"/>
      <c r="BS340" s="928"/>
      <c r="BT340" s="928"/>
      <c r="BU340" s="928"/>
      <c r="BV340" s="928"/>
      <c r="BW340" s="928"/>
      <c r="BX340" s="928"/>
      <c r="BY340" s="928"/>
      <c r="BZ340" s="928"/>
      <c r="CA340" s="928"/>
      <c r="CB340" s="928"/>
      <c r="CC340" s="928"/>
      <c r="CD340" s="928"/>
      <c r="CE340" s="928"/>
      <c r="CF340" s="928"/>
      <c r="CG340" s="928"/>
      <c r="CH340" s="928"/>
      <c r="CI340" s="928"/>
      <c r="CJ340" s="928"/>
      <c r="CK340" s="928"/>
      <c r="CL340" s="928"/>
      <c r="CM340" s="928"/>
      <c r="CN340" s="928"/>
      <c r="CO340" s="928"/>
      <c r="CP340" s="928"/>
      <c r="CQ340" s="928"/>
      <c r="CR340" s="928"/>
      <c r="CS340" s="928"/>
      <c r="CT340" s="928"/>
      <c r="CU340" s="928"/>
      <c r="CV340" s="928"/>
      <c r="CW340" s="928"/>
      <c r="CX340" s="928"/>
      <c r="CY340" s="928"/>
      <c r="CZ340" s="928"/>
      <c r="DA340" s="928"/>
      <c r="DB340" s="928"/>
      <c r="DC340" s="928"/>
      <c r="DD340" s="928"/>
      <c r="DE340" s="928"/>
      <c r="DF340" s="928"/>
      <c r="DG340" s="928"/>
      <c r="DH340" s="928"/>
    </row>
    <row r="341" spans="1:112">
      <c r="A341" s="891" t="s">
        <v>1145</v>
      </c>
      <c r="B341" s="891" t="s">
        <v>1476</v>
      </c>
      <c r="C341" s="891" t="s">
        <v>69</v>
      </c>
      <c r="D341" s="891" t="s">
        <v>1145</v>
      </c>
      <c r="E341" s="891" t="s">
        <v>1476</v>
      </c>
      <c r="F341" s="891" t="s">
        <v>69</v>
      </c>
      <c r="G341" s="897">
        <v>56.47</v>
      </c>
      <c r="H341" s="897">
        <v>49.42</v>
      </c>
      <c r="I341" s="897">
        <v>51.71</v>
      </c>
      <c r="J341" s="891"/>
      <c r="K341" s="891"/>
      <c r="L341" s="891"/>
      <c r="M341" s="891"/>
      <c r="N341" s="891"/>
      <c r="O341" s="891"/>
      <c r="P341" s="891"/>
      <c r="Q341" s="891"/>
      <c r="R341" s="891"/>
      <c r="S341" s="891"/>
      <c r="T341" s="891"/>
      <c r="U341" s="928"/>
      <c r="V341" s="928"/>
      <c r="W341" s="928"/>
      <c r="X341" s="928"/>
      <c r="Y341" s="928"/>
      <c r="Z341" s="928"/>
      <c r="AA341" s="928"/>
      <c r="AB341" s="928"/>
      <c r="AC341" s="928"/>
      <c r="AD341" s="928"/>
      <c r="AE341" s="928"/>
      <c r="AF341" s="928"/>
      <c r="AG341" s="928"/>
      <c r="AH341" s="928"/>
      <c r="AI341" s="928"/>
      <c r="AJ341" s="928"/>
      <c r="AK341" s="928"/>
      <c r="AL341" s="928"/>
      <c r="AM341" s="928"/>
      <c r="AN341" s="928"/>
      <c r="AO341" s="928"/>
      <c r="AP341" s="928"/>
      <c r="AQ341" s="928"/>
      <c r="AR341" s="928"/>
      <c r="AS341" s="928"/>
      <c r="AT341" s="928"/>
      <c r="AU341" s="928"/>
      <c r="AV341" s="928"/>
      <c r="AW341" s="928"/>
      <c r="AX341" s="928"/>
      <c r="AY341" s="928"/>
      <c r="AZ341" s="928"/>
      <c r="BA341" s="928"/>
      <c r="BB341" s="928"/>
      <c r="BC341" s="928"/>
      <c r="BD341" s="928"/>
      <c r="BE341" s="928"/>
      <c r="BF341" s="928"/>
      <c r="BG341" s="928"/>
      <c r="BH341" s="928"/>
      <c r="BI341" s="928"/>
      <c r="BJ341" s="928"/>
      <c r="BK341" s="928"/>
      <c r="BL341" s="928"/>
      <c r="BM341" s="928"/>
      <c r="BN341" s="928"/>
      <c r="BO341" s="928"/>
      <c r="BP341" s="928"/>
      <c r="BQ341" s="928"/>
      <c r="BR341" s="928"/>
      <c r="BS341" s="928"/>
      <c r="BT341" s="928"/>
      <c r="BU341" s="928"/>
      <c r="BV341" s="928"/>
      <c r="BW341" s="928"/>
      <c r="BX341" s="928"/>
      <c r="BY341" s="928"/>
      <c r="BZ341" s="928"/>
      <c r="CA341" s="928"/>
      <c r="CB341" s="928"/>
      <c r="CC341" s="928"/>
      <c r="CD341" s="928"/>
      <c r="CE341" s="928"/>
      <c r="CF341" s="928"/>
      <c r="CG341" s="928"/>
      <c r="CH341" s="928"/>
      <c r="CI341" s="928"/>
      <c r="CJ341" s="928"/>
      <c r="CK341" s="928"/>
      <c r="CL341" s="928"/>
      <c r="CM341" s="928"/>
      <c r="CN341" s="928"/>
      <c r="CO341" s="928"/>
      <c r="CP341" s="928"/>
      <c r="CQ341" s="928"/>
      <c r="CR341" s="928"/>
      <c r="CS341" s="928"/>
      <c r="CT341" s="928"/>
      <c r="CU341" s="928"/>
      <c r="CV341" s="928"/>
      <c r="CW341" s="928"/>
      <c r="CX341" s="928"/>
      <c r="CY341" s="928"/>
      <c r="CZ341" s="928"/>
      <c r="DA341" s="928"/>
      <c r="DB341" s="928"/>
      <c r="DC341" s="928"/>
      <c r="DD341" s="928"/>
      <c r="DE341" s="928"/>
      <c r="DF341" s="928"/>
      <c r="DG341" s="928"/>
      <c r="DH341" s="928"/>
    </row>
    <row r="342" spans="1:112">
      <c r="A342" s="891" t="s">
        <v>1146</v>
      </c>
      <c r="B342" s="891" t="s">
        <v>1476</v>
      </c>
      <c r="C342" s="891" t="s">
        <v>95</v>
      </c>
      <c r="D342" s="891" t="s">
        <v>1146</v>
      </c>
      <c r="E342" s="891" t="s">
        <v>1476</v>
      </c>
      <c r="F342" s="891" t="s">
        <v>95</v>
      </c>
      <c r="G342" s="897">
        <v>51.18</v>
      </c>
      <c r="H342" s="897">
        <v>45.48</v>
      </c>
      <c r="I342" s="897">
        <v>27.5</v>
      </c>
      <c r="J342" s="891"/>
      <c r="K342" s="891"/>
      <c r="L342" s="891"/>
      <c r="M342" s="891"/>
      <c r="N342" s="891"/>
      <c r="O342" s="891"/>
      <c r="P342" s="891"/>
      <c r="Q342" s="891"/>
      <c r="R342" s="891"/>
      <c r="S342" s="891"/>
      <c r="T342" s="891"/>
      <c r="U342" s="928"/>
      <c r="V342" s="928"/>
      <c r="W342" s="928"/>
      <c r="X342" s="928"/>
      <c r="Y342" s="928"/>
      <c r="Z342" s="928"/>
      <c r="AA342" s="928"/>
      <c r="AB342" s="928"/>
      <c r="AC342" s="928"/>
      <c r="AD342" s="928"/>
      <c r="AE342" s="928"/>
      <c r="AF342" s="928"/>
      <c r="AG342" s="928"/>
      <c r="AH342" s="928"/>
      <c r="AI342" s="928"/>
      <c r="AJ342" s="928"/>
      <c r="AK342" s="928"/>
      <c r="AL342" s="928"/>
      <c r="AM342" s="928"/>
      <c r="AN342" s="928"/>
      <c r="AO342" s="928"/>
      <c r="AP342" s="928"/>
      <c r="AQ342" s="928"/>
      <c r="AR342" s="928"/>
      <c r="AS342" s="928"/>
      <c r="AT342" s="928"/>
      <c r="AU342" s="928"/>
      <c r="AV342" s="928"/>
      <c r="AW342" s="928"/>
      <c r="AX342" s="928"/>
      <c r="AY342" s="928"/>
      <c r="AZ342" s="928"/>
      <c r="BA342" s="928"/>
      <c r="BB342" s="928"/>
      <c r="BC342" s="928"/>
      <c r="BD342" s="928"/>
      <c r="BE342" s="928"/>
      <c r="BF342" s="928"/>
      <c r="BG342" s="928"/>
      <c r="BH342" s="928"/>
      <c r="BI342" s="928"/>
      <c r="BJ342" s="928"/>
      <c r="BK342" s="928"/>
      <c r="BL342" s="928"/>
      <c r="BM342" s="928"/>
      <c r="BN342" s="928"/>
      <c r="BO342" s="928"/>
      <c r="BP342" s="928"/>
      <c r="BQ342" s="928"/>
      <c r="BR342" s="928"/>
      <c r="BS342" s="928"/>
      <c r="BT342" s="928"/>
      <c r="BU342" s="928"/>
      <c r="BV342" s="928"/>
      <c r="BW342" s="928"/>
      <c r="BX342" s="928"/>
      <c r="BY342" s="928"/>
      <c r="BZ342" s="928"/>
      <c r="CA342" s="928"/>
      <c r="CB342" s="928"/>
      <c r="CC342" s="928"/>
      <c r="CD342" s="928"/>
      <c r="CE342" s="928"/>
      <c r="CF342" s="928"/>
      <c r="CG342" s="928"/>
      <c r="CH342" s="928"/>
      <c r="CI342" s="928"/>
      <c r="CJ342" s="928"/>
      <c r="CK342" s="928"/>
      <c r="CL342" s="928"/>
      <c r="CM342" s="928"/>
      <c r="CN342" s="928"/>
      <c r="CO342" s="928"/>
      <c r="CP342" s="928"/>
      <c r="CQ342" s="928"/>
      <c r="CR342" s="928"/>
      <c r="CS342" s="928"/>
      <c r="CT342" s="928"/>
      <c r="CU342" s="928"/>
      <c r="CV342" s="928"/>
      <c r="CW342" s="928"/>
      <c r="CX342" s="928"/>
      <c r="CY342" s="928"/>
      <c r="CZ342" s="928"/>
      <c r="DA342" s="928"/>
      <c r="DB342" s="928"/>
      <c r="DC342" s="928"/>
      <c r="DD342" s="928"/>
      <c r="DE342" s="928"/>
      <c r="DF342" s="928"/>
      <c r="DG342" s="928"/>
      <c r="DH342" s="928"/>
    </row>
    <row r="343" spans="1:112">
      <c r="A343" s="891" t="s">
        <v>1147</v>
      </c>
      <c r="B343" s="891" t="s">
        <v>1471</v>
      </c>
      <c r="C343" s="891" t="s">
        <v>114</v>
      </c>
      <c r="D343" s="891" t="s">
        <v>1147</v>
      </c>
      <c r="E343" s="891" t="s">
        <v>1471</v>
      </c>
      <c r="F343" s="891" t="s">
        <v>114</v>
      </c>
      <c r="G343" s="897">
        <v>40.4</v>
      </c>
      <c r="H343" s="897">
        <v>43.76</v>
      </c>
      <c r="I343" s="897">
        <v>27.46</v>
      </c>
      <c r="J343" s="891"/>
      <c r="K343" s="891"/>
      <c r="L343" s="891"/>
      <c r="M343" s="891"/>
      <c r="N343" s="891"/>
      <c r="O343" s="891"/>
      <c r="P343" s="891"/>
      <c r="Q343" s="891"/>
      <c r="R343" s="891"/>
      <c r="S343" s="891"/>
      <c r="T343" s="891"/>
      <c r="U343" s="928"/>
      <c r="V343" s="928"/>
      <c r="W343" s="928"/>
      <c r="X343" s="928"/>
      <c r="Y343" s="928"/>
      <c r="Z343" s="928"/>
      <c r="AA343" s="928"/>
      <c r="AB343" s="928"/>
      <c r="AC343" s="928"/>
      <c r="AD343" s="928"/>
      <c r="AE343" s="928"/>
      <c r="AF343" s="928"/>
      <c r="AG343" s="928"/>
      <c r="AH343" s="928"/>
      <c r="AI343" s="928"/>
      <c r="AJ343" s="928"/>
      <c r="AK343" s="928"/>
      <c r="AL343" s="928"/>
      <c r="AM343" s="928"/>
      <c r="AN343" s="928"/>
      <c r="AO343" s="928"/>
      <c r="AP343" s="928"/>
      <c r="AQ343" s="928"/>
      <c r="AR343" s="928"/>
      <c r="AS343" s="928"/>
      <c r="AT343" s="928"/>
      <c r="AU343" s="928"/>
      <c r="AV343" s="928"/>
      <c r="AW343" s="928"/>
      <c r="AX343" s="928"/>
      <c r="AY343" s="928"/>
      <c r="AZ343" s="928"/>
      <c r="BA343" s="928"/>
      <c r="BB343" s="928"/>
      <c r="BC343" s="928"/>
      <c r="BD343" s="928"/>
      <c r="BE343" s="928"/>
      <c r="BF343" s="928"/>
      <c r="BG343" s="928"/>
      <c r="BH343" s="928"/>
      <c r="BI343" s="928"/>
      <c r="BJ343" s="928"/>
      <c r="BK343" s="928"/>
      <c r="BL343" s="928"/>
      <c r="BM343" s="928"/>
      <c r="BN343" s="928"/>
      <c r="BO343" s="928"/>
      <c r="BP343" s="928"/>
      <c r="BQ343" s="928"/>
      <c r="BR343" s="928"/>
      <c r="BS343" s="928"/>
      <c r="BT343" s="928"/>
      <c r="BU343" s="928"/>
      <c r="BV343" s="928"/>
      <c r="BW343" s="928"/>
      <c r="BX343" s="928"/>
      <c r="BY343" s="928"/>
      <c r="BZ343" s="928"/>
      <c r="CA343" s="928"/>
      <c r="CB343" s="928"/>
      <c r="CC343" s="928"/>
      <c r="CD343" s="928"/>
      <c r="CE343" s="928"/>
      <c r="CF343" s="928"/>
      <c r="CG343" s="928"/>
      <c r="CH343" s="928"/>
      <c r="CI343" s="928"/>
      <c r="CJ343" s="928"/>
      <c r="CK343" s="928"/>
      <c r="CL343" s="928"/>
      <c r="CM343" s="928"/>
      <c r="CN343" s="928"/>
      <c r="CO343" s="928"/>
      <c r="CP343" s="928"/>
      <c r="CQ343" s="928"/>
      <c r="CR343" s="928"/>
      <c r="CS343" s="928"/>
      <c r="CT343" s="928"/>
      <c r="CU343" s="928"/>
      <c r="CV343" s="928"/>
      <c r="CW343" s="928"/>
      <c r="CX343" s="928"/>
      <c r="CY343" s="928"/>
      <c r="CZ343" s="928"/>
      <c r="DA343" s="928"/>
      <c r="DB343" s="928"/>
      <c r="DC343" s="928"/>
      <c r="DD343" s="928"/>
      <c r="DE343" s="928"/>
      <c r="DF343" s="928"/>
      <c r="DG343" s="928"/>
      <c r="DH343" s="928"/>
    </row>
    <row r="344" spans="1:112">
      <c r="A344" s="891" t="s">
        <v>1148</v>
      </c>
      <c r="B344" s="891" t="s">
        <v>1504</v>
      </c>
      <c r="C344" s="891" t="s">
        <v>106</v>
      </c>
      <c r="D344" s="891" t="s">
        <v>1148</v>
      </c>
      <c r="E344" s="891" t="s">
        <v>1504</v>
      </c>
      <c r="F344" s="891" t="s">
        <v>106</v>
      </c>
      <c r="G344" s="897">
        <v>58.54</v>
      </c>
      <c r="H344" s="897">
        <v>46.51</v>
      </c>
      <c r="I344" s="897">
        <v>31.4</v>
      </c>
      <c r="J344" s="891"/>
      <c r="K344" s="891"/>
      <c r="L344" s="891"/>
      <c r="M344" s="891"/>
      <c r="N344" s="891"/>
      <c r="O344" s="891"/>
      <c r="P344" s="891"/>
      <c r="Q344" s="891"/>
      <c r="R344" s="891"/>
      <c r="S344" s="891"/>
      <c r="T344" s="891"/>
      <c r="U344" s="928"/>
      <c r="V344" s="928"/>
      <c r="W344" s="928"/>
      <c r="X344" s="928"/>
      <c r="Y344" s="928"/>
      <c r="Z344" s="928"/>
      <c r="AA344" s="928"/>
      <c r="AB344" s="928"/>
      <c r="AC344" s="928"/>
      <c r="AD344" s="928"/>
      <c r="AE344" s="928"/>
      <c r="AF344" s="928"/>
      <c r="AG344" s="928"/>
      <c r="AH344" s="928"/>
      <c r="AI344" s="928"/>
      <c r="AJ344" s="928"/>
      <c r="AK344" s="928"/>
      <c r="AL344" s="928"/>
      <c r="AM344" s="928"/>
      <c r="AN344" s="928"/>
      <c r="AO344" s="928"/>
      <c r="AP344" s="928"/>
      <c r="AQ344" s="928"/>
      <c r="AR344" s="928"/>
      <c r="AS344" s="928"/>
      <c r="AT344" s="928"/>
      <c r="AU344" s="928"/>
      <c r="AV344" s="928"/>
      <c r="AW344" s="928"/>
      <c r="AX344" s="928"/>
      <c r="AY344" s="928"/>
      <c r="AZ344" s="928"/>
      <c r="BA344" s="928"/>
      <c r="BB344" s="928"/>
      <c r="BC344" s="928"/>
      <c r="BD344" s="928"/>
      <c r="BE344" s="928"/>
      <c r="BF344" s="928"/>
      <c r="BG344" s="928"/>
      <c r="BH344" s="928"/>
      <c r="BI344" s="928"/>
      <c r="BJ344" s="928"/>
      <c r="BK344" s="928"/>
      <c r="BL344" s="928"/>
      <c r="BM344" s="928"/>
      <c r="BN344" s="928"/>
      <c r="BO344" s="928"/>
      <c r="BP344" s="928"/>
      <c r="BQ344" s="928"/>
      <c r="BR344" s="928"/>
      <c r="BS344" s="928"/>
      <c r="BT344" s="928"/>
      <c r="BU344" s="928"/>
      <c r="BV344" s="928"/>
      <c r="BW344" s="928"/>
      <c r="BX344" s="928"/>
      <c r="BY344" s="928"/>
      <c r="BZ344" s="928"/>
      <c r="CA344" s="928"/>
      <c r="CB344" s="928"/>
      <c r="CC344" s="928"/>
      <c r="CD344" s="928"/>
      <c r="CE344" s="928"/>
      <c r="CF344" s="928"/>
      <c r="CG344" s="928"/>
      <c r="CH344" s="928"/>
      <c r="CI344" s="928"/>
      <c r="CJ344" s="928"/>
      <c r="CK344" s="928"/>
      <c r="CL344" s="928"/>
      <c r="CM344" s="928"/>
      <c r="CN344" s="928"/>
      <c r="CO344" s="928"/>
      <c r="CP344" s="928"/>
      <c r="CQ344" s="928"/>
      <c r="CR344" s="928"/>
      <c r="CS344" s="928"/>
      <c r="CT344" s="928"/>
      <c r="CU344" s="928"/>
      <c r="CV344" s="928"/>
      <c r="CW344" s="928"/>
      <c r="CX344" s="928"/>
      <c r="CY344" s="928"/>
      <c r="CZ344" s="928"/>
      <c r="DA344" s="928"/>
      <c r="DB344" s="928"/>
      <c r="DC344" s="928"/>
      <c r="DD344" s="928"/>
      <c r="DE344" s="928"/>
      <c r="DF344" s="928"/>
      <c r="DG344" s="928"/>
      <c r="DH344" s="928"/>
    </row>
    <row r="345" spans="1:112">
      <c r="A345" s="891" t="s">
        <v>1149</v>
      </c>
      <c r="B345" s="891" t="s">
        <v>1518</v>
      </c>
      <c r="C345" s="891" t="s">
        <v>267</v>
      </c>
      <c r="D345" s="891" t="s">
        <v>1149</v>
      </c>
      <c r="E345" s="891" t="s">
        <v>1518</v>
      </c>
      <c r="F345" s="891" t="s">
        <v>267</v>
      </c>
      <c r="G345" s="897">
        <v>84.65</v>
      </c>
      <c r="H345" s="897">
        <v>98.62</v>
      </c>
      <c r="I345" s="897">
        <v>64.75</v>
      </c>
      <c r="J345" s="891"/>
      <c r="K345" s="891"/>
      <c r="L345" s="891"/>
      <c r="M345" s="891"/>
      <c r="N345" s="891"/>
      <c r="O345" s="891"/>
      <c r="P345" s="891"/>
      <c r="Q345" s="891"/>
      <c r="R345" s="891"/>
      <c r="S345" s="891"/>
      <c r="T345" s="891"/>
      <c r="U345" s="928"/>
      <c r="V345" s="928"/>
      <c r="W345" s="928"/>
      <c r="X345" s="928"/>
      <c r="Y345" s="928"/>
      <c r="Z345" s="928"/>
      <c r="AA345" s="928"/>
      <c r="AB345" s="928"/>
      <c r="AC345" s="928"/>
      <c r="AD345" s="928"/>
      <c r="AE345" s="928"/>
      <c r="AF345" s="928"/>
      <c r="AG345" s="928"/>
      <c r="AH345" s="928"/>
      <c r="AI345" s="928"/>
      <c r="AJ345" s="928"/>
      <c r="AK345" s="928"/>
      <c r="AL345" s="928"/>
      <c r="AM345" s="928"/>
      <c r="AN345" s="928"/>
      <c r="AO345" s="928"/>
      <c r="AP345" s="928"/>
      <c r="AQ345" s="928"/>
      <c r="AR345" s="928"/>
      <c r="AS345" s="928"/>
      <c r="AT345" s="928"/>
      <c r="AU345" s="928"/>
      <c r="AV345" s="928"/>
      <c r="AW345" s="928"/>
      <c r="AX345" s="928"/>
      <c r="AY345" s="928"/>
      <c r="AZ345" s="928"/>
      <c r="BA345" s="928"/>
      <c r="BB345" s="928"/>
      <c r="BC345" s="928"/>
      <c r="BD345" s="928"/>
      <c r="BE345" s="928"/>
      <c r="BF345" s="928"/>
      <c r="BG345" s="928"/>
      <c r="BH345" s="928"/>
      <c r="BI345" s="928"/>
      <c r="BJ345" s="928"/>
      <c r="BK345" s="928"/>
      <c r="BL345" s="928"/>
      <c r="BM345" s="928"/>
      <c r="BN345" s="928"/>
      <c r="BO345" s="928"/>
      <c r="BP345" s="928"/>
      <c r="BQ345" s="928"/>
      <c r="BR345" s="928"/>
      <c r="BS345" s="928"/>
      <c r="BT345" s="928"/>
      <c r="BU345" s="928"/>
      <c r="BV345" s="928"/>
      <c r="BW345" s="928"/>
      <c r="BX345" s="928"/>
      <c r="BY345" s="928"/>
      <c r="BZ345" s="928"/>
      <c r="CA345" s="928"/>
      <c r="CB345" s="928"/>
      <c r="CC345" s="928"/>
      <c r="CD345" s="928"/>
      <c r="CE345" s="928"/>
      <c r="CF345" s="928"/>
      <c r="CG345" s="928"/>
      <c r="CH345" s="928"/>
      <c r="CI345" s="928"/>
      <c r="CJ345" s="928"/>
      <c r="CK345" s="928"/>
      <c r="CL345" s="928"/>
      <c r="CM345" s="928"/>
      <c r="CN345" s="928"/>
      <c r="CO345" s="928"/>
      <c r="CP345" s="928"/>
      <c r="CQ345" s="928"/>
      <c r="CR345" s="928"/>
      <c r="CS345" s="928"/>
      <c r="CT345" s="928"/>
      <c r="CU345" s="928"/>
      <c r="CV345" s="928"/>
      <c r="CW345" s="928"/>
      <c r="CX345" s="928"/>
      <c r="CY345" s="928"/>
      <c r="CZ345" s="928"/>
      <c r="DA345" s="928"/>
      <c r="DB345" s="928"/>
      <c r="DC345" s="928"/>
      <c r="DD345" s="928"/>
      <c r="DE345" s="928"/>
      <c r="DF345" s="928"/>
      <c r="DG345" s="928"/>
      <c r="DH345" s="928"/>
    </row>
    <row r="346" spans="1:112">
      <c r="A346" s="891" t="s">
        <v>1150</v>
      </c>
      <c r="B346" s="891" t="s">
        <v>1453</v>
      </c>
      <c r="C346" s="891" t="s">
        <v>386</v>
      </c>
      <c r="D346" s="891" t="s">
        <v>1150</v>
      </c>
      <c r="E346" s="891" t="s">
        <v>1453</v>
      </c>
      <c r="F346" s="891" t="s">
        <v>386</v>
      </c>
      <c r="G346" s="897">
        <v>86.21</v>
      </c>
      <c r="H346" s="897">
        <v>115.58</v>
      </c>
      <c r="I346" s="897">
        <v>119.35</v>
      </c>
      <c r="J346" s="891"/>
      <c r="K346" s="891"/>
      <c r="L346" s="891"/>
      <c r="M346" s="891"/>
      <c r="N346" s="891"/>
      <c r="O346" s="891"/>
      <c r="P346" s="891"/>
      <c r="Q346" s="891"/>
      <c r="R346" s="891"/>
      <c r="S346" s="891"/>
      <c r="T346" s="891"/>
      <c r="U346" s="928"/>
      <c r="V346" s="928"/>
      <c r="W346" s="928"/>
      <c r="X346" s="928"/>
      <c r="Y346" s="928"/>
      <c r="Z346" s="928"/>
      <c r="AA346" s="928"/>
      <c r="AB346" s="928"/>
      <c r="AC346" s="928"/>
      <c r="AD346" s="928"/>
      <c r="AE346" s="928"/>
      <c r="AF346" s="928"/>
      <c r="AG346" s="928"/>
      <c r="AH346" s="928"/>
      <c r="AI346" s="928"/>
      <c r="AJ346" s="928"/>
      <c r="AK346" s="928"/>
      <c r="AL346" s="928"/>
      <c r="AM346" s="928"/>
      <c r="AN346" s="928"/>
      <c r="AO346" s="928"/>
      <c r="AP346" s="928"/>
      <c r="AQ346" s="928"/>
      <c r="AR346" s="928"/>
      <c r="AS346" s="928"/>
      <c r="AT346" s="928"/>
      <c r="AU346" s="928"/>
      <c r="AV346" s="928"/>
      <c r="AW346" s="928"/>
      <c r="AX346" s="928"/>
      <c r="AY346" s="928"/>
      <c r="AZ346" s="928"/>
      <c r="BA346" s="928"/>
      <c r="BB346" s="928"/>
      <c r="BC346" s="928"/>
      <c r="BD346" s="928"/>
      <c r="BE346" s="928"/>
      <c r="BF346" s="928"/>
      <c r="BG346" s="928"/>
      <c r="BH346" s="928"/>
      <c r="BI346" s="928"/>
      <c r="BJ346" s="928"/>
      <c r="BK346" s="928"/>
      <c r="BL346" s="928"/>
      <c r="BM346" s="928"/>
      <c r="BN346" s="928"/>
      <c r="BO346" s="928"/>
      <c r="BP346" s="928"/>
      <c r="BQ346" s="928"/>
      <c r="BR346" s="928"/>
      <c r="BS346" s="928"/>
      <c r="BT346" s="928"/>
      <c r="BU346" s="928"/>
      <c r="BV346" s="928"/>
      <c r="BW346" s="928"/>
      <c r="BX346" s="928"/>
      <c r="BY346" s="928"/>
      <c r="BZ346" s="928"/>
      <c r="CA346" s="928"/>
      <c r="CB346" s="928"/>
      <c r="CC346" s="928"/>
      <c r="CD346" s="928"/>
      <c r="CE346" s="928"/>
      <c r="CF346" s="928"/>
      <c r="CG346" s="928"/>
      <c r="CH346" s="928"/>
      <c r="CI346" s="928"/>
      <c r="CJ346" s="928"/>
      <c r="CK346" s="928"/>
      <c r="CL346" s="928"/>
      <c r="CM346" s="928"/>
      <c r="CN346" s="928"/>
      <c r="CO346" s="928"/>
      <c r="CP346" s="928"/>
      <c r="CQ346" s="928"/>
      <c r="CR346" s="928"/>
      <c r="CS346" s="928"/>
      <c r="CT346" s="928"/>
      <c r="CU346" s="928"/>
      <c r="CV346" s="928"/>
      <c r="CW346" s="928"/>
      <c r="CX346" s="928"/>
      <c r="CY346" s="928"/>
      <c r="CZ346" s="928"/>
      <c r="DA346" s="928"/>
      <c r="DB346" s="928"/>
      <c r="DC346" s="928"/>
      <c r="DD346" s="928"/>
      <c r="DE346" s="928"/>
      <c r="DF346" s="928"/>
      <c r="DG346" s="928"/>
      <c r="DH346" s="928"/>
    </row>
    <row r="347" spans="1:112">
      <c r="A347" s="891" t="s">
        <v>1152</v>
      </c>
      <c r="B347" s="891" t="s">
        <v>1502</v>
      </c>
      <c r="C347" s="891" t="s">
        <v>272</v>
      </c>
      <c r="D347" s="891" t="s">
        <v>1152</v>
      </c>
      <c r="E347" s="891" t="s">
        <v>1502</v>
      </c>
      <c r="F347" s="891" t="s">
        <v>272</v>
      </c>
      <c r="G347" s="897">
        <v>70.09</v>
      </c>
      <c r="H347" s="897">
        <v>91.45</v>
      </c>
      <c r="I347" s="897">
        <v>45.74</v>
      </c>
      <c r="J347" s="891"/>
      <c r="K347" s="891"/>
      <c r="L347" s="891"/>
      <c r="M347" s="891"/>
      <c r="N347" s="891"/>
      <c r="O347" s="891"/>
      <c r="P347" s="891"/>
      <c r="Q347" s="891"/>
      <c r="R347" s="891"/>
      <c r="S347" s="891"/>
      <c r="T347" s="891"/>
      <c r="U347" s="928"/>
      <c r="V347" s="928"/>
      <c r="W347" s="928"/>
      <c r="X347" s="928"/>
      <c r="Y347" s="928"/>
      <c r="Z347" s="928"/>
      <c r="AA347" s="928"/>
      <c r="AB347" s="928"/>
      <c r="AC347" s="928"/>
      <c r="AD347" s="928"/>
      <c r="AE347" s="928"/>
      <c r="AF347" s="928"/>
      <c r="AG347" s="928"/>
      <c r="AH347" s="928"/>
      <c r="AI347" s="928"/>
      <c r="AJ347" s="928"/>
      <c r="AK347" s="928"/>
      <c r="AL347" s="928"/>
      <c r="AM347" s="928"/>
      <c r="AN347" s="928"/>
      <c r="AO347" s="928"/>
      <c r="AP347" s="928"/>
      <c r="AQ347" s="928"/>
      <c r="AR347" s="928"/>
      <c r="AS347" s="928"/>
      <c r="AT347" s="928"/>
      <c r="AU347" s="928"/>
      <c r="AV347" s="928"/>
      <c r="AW347" s="928"/>
      <c r="AX347" s="928"/>
      <c r="AY347" s="928"/>
      <c r="AZ347" s="928"/>
      <c r="BA347" s="928"/>
      <c r="BB347" s="928"/>
      <c r="BC347" s="928"/>
      <c r="BD347" s="928"/>
      <c r="BE347" s="928"/>
      <c r="BF347" s="928"/>
      <c r="BG347" s="928"/>
      <c r="BH347" s="928"/>
      <c r="BI347" s="928"/>
      <c r="BJ347" s="928"/>
      <c r="BK347" s="928"/>
      <c r="BL347" s="928"/>
      <c r="BM347" s="928"/>
      <c r="BN347" s="928"/>
      <c r="BO347" s="928"/>
      <c r="BP347" s="928"/>
      <c r="BQ347" s="928"/>
      <c r="BR347" s="928"/>
      <c r="BS347" s="928"/>
      <c r="BT347" s="928"/>
      <c r="BU347" s="928"/>
      <c r="BV347" s="928"/>
      <c r="BW347" s="928"/>
      <c r="BX347" s="928"/>
      <c r="BY347" s="928"/>
      <c r="BZ347" s="928"/>
      <c r="CA347" s="928"/>
      <c r="CB347" s="928"/>
      <c r="CC347" s="928"/>
      <c r="CD347" s="928"/>
      <c r="CE347" s="928"/>
      <c r="CF347" s="928"/>
      <c r="CG347" s="928"/>
      <c r="CH347" s="928"/>
      <c r="CI347" s="928"/>
      <c r="CJ347" s="928"/>
      <c r="CK347" s="928"/>
      <c r="CL347" s="928"/>
      <c r="CM347" s="928"/>
      <c r="CN347" s="928"/>
      <c r="CO347" s="928"/>
      <c r="CP347" s="928"/>
      <c r="CQ347" s="928"/>
      <c r="CR347" s="928"/>
      <c r="CS347" s="928"/>
      <c r="CT347" s="928"/>
      <c r="CU347" s="928"/>
      <c r="CV347" s="928"/>
      <c r="CW347" s="928"/>
      <c r="CX347" s="928"/>
      <c r="CY347" s="928"/>
      <c r="CZ347" s="928"/>
      <c r="DA347" s="928"/>
      <c r="DB347" s="928"/>
      <c r="DC347" s="928"/>
      <c r="DD347" s="928"/>
      <c r="DE347" s="928"/>
      <c r="DF347" s="928"/>
      <c r="DG347" s="928"/>
      <c r="DH347" s="928"/>
    </row>
    <row r="348" spans="1:112">
      <c r="A348" s="891" t="s">
        <v>1153</v>
      </c>
      <c r="B348" s="891" t="s">
        <v>1454</v>
      </c>
      <c r="C348" s="891" t="s">
        <v>57</v>
      </c>
      <c r="D348" s="891" t="s">
        <v>1153</v>
      </c>
      <c r="E348" s="891" t="s">
        <v>1454</v>
      </c>
      <c r="F348" s="891" t="s">
        <v>57</v>
      </c>
      <c r="G348" s="897">
        <v>25.2</v>
      </c>
      <c r="H348" s="897">
        <v>10.7</v>
      </c>
      <c r="I348" s="897">
        <v>78.94</v>
      </c>
      <c r="J348" s="891"/>
      <c r="K348" s="891"/>
      <c r="L348" s="891"/>
      <c r="M348" s="891"/>
      <c r="N348" s="891"/>
      <c r="O348" s="891"/>
      <c r="P348" s="891"/>
      <c r="Q348" s="891"/>
      <c r="R348" s="891"/>
      <c r="S348" s="891"/>
      <c r="T348" s="891"/>
      <c r="U348" s="928"/>
      <c r="V348" s="928"/>
      <c r="W348" s="928"/>
      <c r="X348" s="928"/>
      <c r="Y348" s="928"/>
      <c r="Z348" s="928"/>
      <c r="AA348" s="928"/>
      <c r="AB348" s="928"/>
      <c r="AC348" s="928"/>
      <c r="AD348" s="928"/>
      <c r="AE348" s="928"/>
      <c r="AF348" s="928"/>
      <c r="AG348" s="928"/>
      <c r="AH348" s="928"/>
      <c r="AI348" s="928"/>
      <c r="AJ348" s="928"/>
      <c r="AK348" s="928"/>
      <c r="AL348" s="928"/>
      <c r="AM348" s="928"/>
      <c r="AN348" s="928"/>
      <c r="AO348" s="928"/>
      <c r="AP348" s="928"/>
      <c r="AQ348" s="928"/>
      <c r="AR348" s="928"/>
      <c r="AS348" s="928"/>
      <c r="AT348" s="928"/>
      <c r="AU348" s="928"/>
      <c r="AV348" s="928"/>
      <c r="AW348" s="928"/>
      <c r="AX348" s="928"/>
      <c r="AY348" s="928"/>
      <c r="AZ348" s="928"/>
      <c r="BA348" s="928"/>
      <c r="BB348" s="928"/>
      <c r="BC348" s="928"/>
      <c r="BD348" s="928"/>
      <c r="BE348" s="928"/>
      <c r="BF348" s="928"/>
      <c r="BG348" s="928"/>
      <c r="BH348" s="928"/>
      <c r="BI348" s="928"/>
      <c r="BJ348" s="928"/>
      <c r="BK348" s="928"/>
      <c r="BL348" s="928"/>
      <c r="BM348" s="928"/>
      <c r="BN348" s="928"/>
      <c r="BO348" s="928"/>
      <c r="BP348" s="928"/>
      <c r="BQ348" s="928"/>
      <c r="BR348" s="928"/>
      <c r="BS348" s="928"/>
      <c r="BT348" s="928"/>
      <c r="BU348" s="928"/>
      <c r="BV348" s="928"/>
      <c r="BW348" s="928"/>
      <c r="BX348" s="928"/>
      <c r="BY348" s="928"/>
      <c r="BZ348" s="928"/>
      <c r="CA348" s="928"/>
      <c r="CB348" s="928"/>
      <c r="CC348" s="928"/>
      <c r="CD348" s="928"/>
      <c r="CE348" s="928"/>
      <c r="CF348" s="928"/>
      <c r="CG348" s="928"/>
      <c r="CH348" s="928"/>
      <c r="CI348" s="928"/>
      <c r="CJ348" s="928"/>
      <c r="CK348" s="928"/>
      <c r="CL348" s="928"/>
      <c r="CM348" s="928"/>
      <c r="CN348" s="928"/>
      <c r="CO348" s="928"/>
      <c r="CP348" s="928"/>
      <c r="CQ348" s="928"/>
      <c r="CR348" s="928"/>
      <c r="CS348" s="928"/>
      <c r="CT348" s="928"/>
      <c r="CU348" s="928"/>
      <c r="CV348" s="928"/>
      <c r="CW348" s="928"/>
      <c r="CX348" s="928"/>
      <c r="CY348" s="928"/>
      <c r="CZ348" s="928"/>
      <c r="DA348" s="928"/>
      <c r="DB348" s="928"/>
      <c r="DC348" s="928"/>
      <c r="DD348" s="928"/>
      <c r="DE348" s="928"/>
      <c r="DF348" s="928"/>
      <c r="DG348" s="928"/>
      <c r="DH348" s="928"/>
    </row>
    <row r="349" spans="1:112">
      <c r="A349" s="891" t="s">
        <v>1154</v>
      </c>
      <c r="B349" s="891" t="s">
        <v>1471</v>
      </c>
      <c r="C349" s="891" t="s">
        <v>102</v>
      </c>
      <c r="D349" s="891" t="s">
        <v>1154</v>
      </c>
      <c r="E349" s="891" t="s">
        <v>1471</v>
      </c>
      <c r="F349" s="891" t="s">
        <v>102</v>
      </c>
      <c r="G349" s="897">
        <v>45.46</v>
      </c>
      <c r="H349" s="897">
        <v>34.69</v>
      </c>
      <c r="I349" s="897">
        <v>35.770000000000003</v>
      </c>
      <c r="J349" s="891"/>
      <c r="K349" s="891"/>
      <c r="L349" s="891"/>
      <c r="M349" s="891"/>
      <c r="N349" s="891"/>
      <c r="O349" s="891"/>
      <c r="P349" s="891"/>
      <c r="Q349" s="891"/>
      <c r="R349" s="891"/>
      <c r="S349" s="891"/>
      <c r="T349" s="891"/>
      <c r="U349" s="928"/>
      <c r="V349" s="928"/>
      <c r="W349" s="928"/>
      <c r="X349" s="928"/>
      <c r="Y349" s="928"/>
      <c r="Z349" s="928"/>
      <c r="AA349" s="928"/>
      <c r="AB349" s="928"/>
      <c r="AC349" s="928"/>
      <c r="AD349" s="928"/>
      <c r="AE349" s="928"/>
      <c r="AF349" s="928"/>
      <c r="AG349" s="928"/>
      <c r="AH349" s="928"/>
      <c r="AI349" s="928"/>
      <c r="AJ349" s="928"/>
      <c r="AK349" s="928"/>
      <c r="AL349" s="928"/>
      <c r="AM349" s="928"/>
      <c r="AN349" s="928"/>
      <c r="AO349" s="928"/>
      <c r="AP349" s="928"/>
      <c r="AQ349" s="928"/>
      <c r="AR349" s="928"/>
      <c r="AS349" s="928"/>
      <c r="AT349" s="928"/>
      <c r="AU349" s="928"/>
      <c r="AV349" s="928"/>
      <c r="AW349" s="928"/>
      <c r="AX349" s="928"/>
      <c r="AY349" s="928"/>
      <c r="AZ349" s="928"/>
      <c r="BA349" s="928"/>
      <c r="BB349" s="928"/>
      <c r="BC349" s="928"/>
      <c r="BD349" s="928"/>
      <c r="BE349" s="928"/>
      <c r="BF349" s="928"/>
      <c r="BG349" s="928"/>
      <c r="BH349" s="928"/>
      <c r="BI349" s="928"/>
      <c r="BJ349" s="928"/>
      <c r="BK349" s="928"/>
      <c r="BL349" s="928"/>
      <c r="BM349" s="928"/>
      <c r="BN349" s="928"/>
      <c r="BO349" s="928"/>
      <c r="BP349" s="928"/>
      <c r="BQ349" s="928"/>
      <c r="BR349" s="928"/>
      <c r="BS349" s="928"/>
      <c r="BT349" s="928"/>
      <c r="BU349" s="928"/>
      <c r="BV349" s="928"/>
      <c r="BW349" s="928"/>
      <c r="BX349" s="928"/>
      <c r="BY349" s="928"/>
      <c r="BZ349" s="928"/>
      <c r="CA349" s="928"/>
      <c r="CB349" s="928"/>
      <c r="CC349" s="928"/>
      <c r="CD349" s="928"/>
      <c r="CE349" s="928"/>
      <c r="CF349" s="928"/>
      <c r="CG349" s="928"/>
      <c r="CH349" s="928"/>
      <c r="CI349" s="928"/>
      <c r="CJ349" s="928"/>
      <c r="CK349" s="928"/>
      <c r="CL349" s="928"/>
      <c r="CM349" s="928"/>
      <c r="CN349" s="928"/>
      <c r="CO349" s="928"/>
      <c r="CP349" s="928"/>
      <c r="CQ349" s="928"/>
      <c r="CR349" s="928"/>
      <c r="CS349" s="928"/>
      <c r="CT349" s="928"/>
      <c r="CU349" s="928"/>
      <c r="CV349" s="928"/>
      <c r="CW349" s="928"/>
      <c r="CX349" s="928"/>
      <c r="CY349" s="928"/>
      <c r="CZ349" s="928"/>
      <c r="DA349" s="928"/>
      <c r="DB349" s="928"/>
      <c r="DC349" s="928"/>
      <c r="DD349" s="928"/>
      <c r="DE349" s="928"/>
      <c r="DF349" s="928"/>
      <c r="DG349" s="928"/>
      <c r="DH349" s="928"/>
    </row>
    <row r="350" spans="1:112">
      <c r="A350" s="891" t="s">
        <v>1155</v>
      </c>
      <c r="B350" s="891" t="s">
        <v>1464</v>
      </c>
      <c r="C350" s="891" t="s">
        <v>43</v>
      </c>
      <c r="D350" s="891" t="s">
        <v>1155</v>
      </c>
      <c r="E350" s="891" t="s">
        <v>1464</v>
      </c>
      <c r="F350" s="891" t="s">
        <v>43</v>
      </c>
      <c r="G350" s="897">
        <v>41.74</v>
      </c>
      <c r="H350" s="897">
        <v>38.43</v>
      </c>
      <c r="I350" s="897">
        <v>34.799999999999997</v>
      </c>
      <c r="J350" s="891"/>
      <c r="K350" s="891"/>
      <c r="L350" s="891"/>
      <c r="M350" s="891"/>
      <c r="N350" s="891"/>
      <c r="O350" s="891"/>
      <c r="P350" s="891"/>
      <c r="Q350" s="891"/>
      <c r="R350" s="891"/>
      <c r="S350" s="891"/>
      <c r="T350" s="891"/>
      <c r="U350" s="928"/>
      <c r="V350" s="928"/>
      <c r="W350" s="928"/>
      <c r="X350" s="928"/>
      <c r="Y350" s="928"/>
      <c r="Z350" s="928"/>
      <c r="AA350" s="928"/>
      <c r="AB350" s="928"/>
      <c r="AC350" s="928"/>
      <c r="AD350" s="928"/>
      <c r="AE350" s="928"/>
      <c r="AF350" s="928"/>
      <c r="AG350" s="928"/>
      <c r="AH350" s="928"/>
      <c r="AI350" s="928"/>
      <c r="AJ350" s="928"/>
      <c r="AK350" s="928"/>
      <c r="AL350" s="928"/>
      <c r="AM350" s="928"/>
      <c r="AN350" s="928"/>
      <c r="AO350" s="928"/>
      <c r="AP350" s="928"/>
      <c r="AQ350" s="928"/>
      <c r="AR350" s="928"/>
      <c r="AS350" s="928"/>
      <c r="AT350" s="928"/>
      <c r="AU350" s="928"/>
      <c r="AV350" s="928"/>
      <c r="AW350" s="928"/>
      <c r="AX350" s="928"/>
      <c r="AY350" s="928"/>
      <c r="AZ350" s="928"/>
      <c r="BA350" s="928"/>
      <c r="BB350" s="928"/>
      <c r="BC350" s="928"/>
      <c r="BD350" s="928"/>
      <c r="BE350" s="928"/>
      <c r="BF350" s="928"/>
      <c r="BG350" s="928"/>
      <c r="BH350" s="928"/>
      <c r="BI350" s="928"/>
      <c r="BJ350" s="928"/>
      <c r="BK350" s="928"/>
      <c r="BL350" s="928"/>
      <c r="BM350" s="928"/>
      <c r="BN350" s="928"/>
      <c r="BO350" s="928"/>
      <c r="BP350" s="928"/>
      <c r="BQ350" s="928"/>
      <c r="BR350" s="928"/>
      <c r="BS350" s="928"/>
      <c r="BT350" s="928"/>
      <c r="BU350" s="928"/>
      <c r="BV350" s="928"/>
      <c r="BW350" s="928"/>
      <c r="BX350" s="928"/>
      <c r="BY350" s="928"/>
      <c r="BZ350" s="928"/>
      <c r="CA350" s="928"/>
      <c r="CB350" s="928"/>
      <c r="CC350" s="928"/>
      <c r="CD350" s="928"/>
      <c r="CE350" s="928"/>
      <c r="CF350" s="928"/>
      <c r="CG350" s="928"/>
      <c r="CH350" s="928"/>
      <c r="CI350" s="928"/>
      <c r="CJ350" s="928"/>
      <c r="CK350" s="928"/>
      <c r="CL350" s="928"/>
      <c r="CM350" s="928"/>
      <c r="CN350" s="928"/>
      <c r="CO350" s="928"/>
      <c r="CP350" s="928"/>
      <c r="CQ350" s="928"/>
      <c r="CR350" s="928"/>
      <c r="CS350" s="928"/>
      <c r="CT350" s="928"/>
      <c r="CU350" s="928"/>
      <c r="CV350" s="928"/>
      <c r="CW350" s="928"/>
      <c r="CX350" s="928"/>
      <c r="CY350" s="928"/>
      <c r="CZ350" s="928"/>
      <c r="DA350" s="928"/>
      <c r="DB350" s="928"/>
      <c r="DC350" s="928"/>
      <c r="DD350" s="928"/>
      <c r="DE350" s="928"/>
      <c r="DF350" s="928"/>
      <c r="DG350" s="928"/>
      <c r="DH350" s="928"/>
    </row>
    <row r="351" spans="1:112">
      <c r="A351" s="891" t="s">
        <v>1156</v>
      </c>
      <c r="B351" s="891" t="s">
        <v>1564</v>
      </c>
      <c r="C351" s="891" t="s">
        <v>264</v>
      </c>
      <c r="D351" s="891" t="s">
        <v>1156</v>
      </c>
      <c r="E351" s="891" t="s">
        <v>1564</v>
      </c>
      <c r="F351" s="891" t="s">
        <v>264</v>
      </c>
      <c r="G351" s="897">
        <v>121.57</v>
      </c>
      <c r="H351" s="897">
        <v>70.13</v>
      </c>
      <c r="I351" s="897">
        <v>97.6</v>
      </c>
      <c r="J351" s="891"/>
      <c r="K351" s="891"/>
      <c r="L351" s="891"/>
      <c r="M351" s="891"/>
      <c r="N351" s="891"/>
      <c r="O351" s="891"/>
      <c r="P351" s="891"/>
      <c r="Q351" s="891"/>
      <c r="R351" s="891"/>
      <c r="S351" s="891"/>
      <c r="T351" s="891"/>
      <c r="U351" s="928"/>
      <c r="V351" s="928"/>
      <c r="W351" s="928"/>
      <c r="X351" s="928"/>
      <c r="Y351" s="928"/>
      <c r="Z351" s="928"/>
      <c r="AA351" s="928"/>
      <c r="AB351" s="928"/>
      <c r="AC351" s="928"/>
      <c r="AD351" s="928"/>
      <c r="AE351" s="928"/>
      <c r="AF351" s="928"/>
      <c r="AG351" s="928"/>
      <c r="AH351" s="928"/>
      <c r="AI351" s="928"/>
      <c r="AJ351" s="928"/>
      <c r="AK351" s="928"/>
      <c r="AL351" s="928"/>
      <c r="AM351" s="928"/>
      <c r="AN351" s="928"/>
      <c r="AO351" s="928"/>
      <c r="AP351" s="928"/>
      <c r="AQ351" s="928"/>
      <c r="AR351" s="928"/>
      <c r="AS351" s="928"/>
      <c r="AT351" s="928"/>
      <c r="AU351" s="928"/>
      <c r="AV351" s="928"/>
      <c r="AW351" s="928"/>
      <c r="AX351" s="928"/>
      <c r="AY351" s="928"/>
      <c r="AZ351" s="928"/>
      <c r="BA351" s="928"/>
      <c r="BB351" s="928"/>
      <c r="BC351" s="928"/>
      <c r="BD351" s="928"/>
      <c r="BE351" s="928"/>
      <c r="BF351" s="928"/>
      <c r="BG351" s="928"/>
      <c r="BH351" s="928"/>
      <c r="BI351" s="928"/>
      <c r="BJ351" s="928"/>
      <c r="BK351" s="928"/>
      <c r="BL351" s="928"/>
      <c r="BM351" s="928"/>
      <c r="BN351" s="928"/>
      <c r="BO351" s="928"/>
      <c r="BP351" s="928"/>
      <c r="BQ351" s="928"/>
      <c r="BR351" s="928"/>
      <c r="BS351" s="928"/>
      <c r="BT351" s="928"/>
      <c r="BU351" s="928"/>
      <c r="BV351" s="928"/>
      <c r="BW351" s="928"/>
      <c r="BX351" s="928"/>
      <c r="BY351" s="928"/>
      <c r="BZ351" s="928"/>
      <c r="CA351" s="928"/>
      <c r="CB351" s="928"/>
      <c r="CC351" s="928"/>
      <c r="CD351" s="928"/>
      <c r="CE351" s="928"/>
      <c r="CF351" s="928"/>
      <c r="CG351" s="928"/>
      <c r="CH351" s="928"/>
      <c r="CI351" s="928"/>
      <c r="CJ351" s="928"/>
      <c r="CK351" s="928"/>
      <c r="CL351" s="928"/>
      <c r="CM351" s="928"/>
      <c r="CN351" s="928"/>
      <c r="CO351" s="928"/>
      <c r="CP351" s="928"/>
      <c r="CQ351" s="928"/>
      <c r="CR351" s="928"/>
      <c r="CS351" s="928"/>
      <c r="CT351" s="928"/>
      <c r="CU351" s="928"/>
      <c r="CV351" s="928"/>
      <c r="CW351" s="928"/>
      <c r="CX351" s="928"/>
      <c r="CY351" s="928"/>
      <c r="CZ351" s="928"/>
      <c r="DA351" s="928"/>
      <c r="DB351" s="928"/>
      <c r="DC351" s="928"/>
      <c r="DD351" s="928"/>
      <c r="DE351" s="928"/>
      <c r="DF351" s="928"/>
      <c r="DG351" s="928"/>
      <c r="DH351" s="928"/>
    </row>
    <row r="352" spans="1:112">
      <c r="A352" s="891" t="s">
        <v>1157</v>
      </c>
      <c r="B352" s="891" t="s">
        <v>1471</v>
      </c>
      <c r="C352" s="891" t="s">
        <v>142</v>
      </c>
      <c r="D352" s="891" t="s">
        <v>1157</v>
      </c>
      <c r="E352" s="891" t="s">
        <v>1471</v>
      </c>
      <c r="F352" s="891" t="s">
        <v>142</v>
      </c>
      <c r="G352" s="897">
        <v>95.81</v>
      </c>
      <c r="H352" s="897">
        <v>81.38</v>
      </c>
      <c r="I352" s="897">
        <v>100.6</v>
      </c>
      <c r="J352" s="891"/>
      <c r="K352" s="891"/>
      <c r="L352" s="891"/>
      <c r="M352" s="891"/>
      <c r="N352" s="891"/>
      <c r="O352" s="891"/>
      <c r="P352" s="891"/>
      <c r="Q352" s="891"/>
      <c r="R352" s="891"/>
      <c r="S352" s="891"/>
      <c r="T352" s="891"/>
      <c r="U352" s="928"/>
      <c r="V352" s="928"/>
      <c r="W352" s="928"/>
      <c r="X352" s="928"/>
      <c r="Y352" s="928"/>
      <c r="Z352" s="928"/>
      <c r="AA352" s="928"/>
      <c r="AB352" s="928"/>
      <c r="AC352" s="928"/>
      <c r="AD352" s="928"/>
      <c r="AE352" s="928"/>
      <c r="AF352" s="928"/>
      <c r="AG352" s="928"/>
      <c r="AH352" s="928"/>
      <c r="AI352" s="928"/>
      <c r="AJ352" s="928"/>
      <c r="AK352" s="928"/>
      <c r="AL352" s="928"/>
      <c r="AM352" s="928"/>
      <c r="AN352" s="928"/>
      <c r="AO352" s="928"/>
      <c r="AP352" s="928"/>
      <c r="AQ352" s="928"/>
      <c r="AR352" s="928"/>
      <c r="AS352" s="928"/>
      <c r="AT352" s="928"/>
      <c r="AU352" s="928"/>
      <c r="AV352" s="928"/>
      <c r="AW352" s="928"/>
      <c r="AX352" s="928"/>
      <c r="AY352" s="928"/>
      <c r="AZ352" s="928"/>
      <c r="BA352" s="928"/>
      <c r="BB352" s="928"/>
      <c r="BC352" s="928"/>
      <c r="BD352" s="928"/>
      <c r="BE352" s="928"/>
      <c r="BF352" s="928"/>
      <c r="BG352" s="928"/>
      <c r="BH352" s="928"/>
      <c r="BI352" s="928"/>
      <c r="BJ352" s="928"/>
      <c r="BK352" s="928"/>
      <c r="BL352" s="928"/>
      <c r="BM352" s="928"/>
      <c r="BN352" s="928"/>
      <c r="BO352" s="928"/>
      <c r="BP352" s="928"/>
      <c r="BQ352" s="928"/>
      <c r="BR352" s="928"/>
      <c r="BS352" s="928"/>
      <c r="BT352" s="928"/>
      <c r="BU352" s="928"/>
      <c r="BV352" s="928"/>
      <c r="BW352" s="928"/>
      <c r="BX352" s="928"/>
      <c r="BY352" s="928"/>
      <c r="BZ352" s="928"/>
      <c r="CA352" s="928"/>
      <c r="CB352" s="928"/>
      <c r="CC352" s="928"/>
      <c r="CD352" s="928"/>
      <c r="CE352" s="928"/>
      <c r="CF352" s="928"/>
      <c r="CG352" s="928"/>
      <c r="CH352" s="928"/>
      <c r="CI352" s="928"/>
      <c r="CJ352" s="928"/>
      <c r="CK352" s="928"/>
      <c r="CL352" s="928"/>
      <c r="CM352" s="928"/>
      <c r="CN352" s="928"/>
      <c r="CO352" s="928"/>
      <c r="CP352" s="928"/>
      <c r="CQ352" s="928"/>
      <c r="CR352" s="928"/>
      <c r="CS352" s="928"/>
      <c r="CT352" s="928"/>
      <c r="CU352" s="928"/>
      <c r="CV352" s="928"/>
      <c r="CW352" s="928"/>
      <c r="CX352" s="928"/>
      <c r="CY352" s="928"/>
      <c r="CZ352" s="928"/>
      <c r="DA352" s="928"/>
      <c r="DB352" s="928"/>
      <c r="DC352" s="928"/>
      <c r="DD352" s="928"/>
      <c r="DE352" s="928"/>
      <c r="DF352" s="928"/>
      <c r="DG352" s="928"/>
      <c r="DH352" s="928"/>
    </row>
    <row r="353" spans="1:112">
      <c r="A353" s="891" t="s">
        <v>1158</v>
      </c>
      <c r="B353" s="891" t="s">
        <v>1502</v>
      </c>
      <c r="C353" s="891" t="s">
        <v>301</v>
      </c>
      <c r="D353" s="891" t="s">
        <v>1158</v>
      </c>
      <c r="E353" s="891" t="s">
        <v>1502</v>
      </c>
      <c r="F353" s="891" t="s">
        <v>301</v>
      </c>
      <c r="G353" s="897">
        <v>96.45</v>
      </c>
      <c r="H353" s="897">
        <v>93.06</v>
      </c>
      <c r="I353" s="897">
        <v>92.49</v>
      </c>
      <c r="J353" s="891"/>
      <c r="K353" s="891"/>
      <c r="L353" s="891"/>
      <c r="M353" s="891"/>
      <c r="N353" s="891"/>
      <c r="O353" s="891"/>
      <c r="P353" s="891"/>
      <c r="Q353" s="891"/>
      <c r="R353" s="891"/>
      <c r="S353" s="891"/>
      <c r="T353" s="891"/>
      <c r="U353" s="928"/>
      <c r="V353" s="928"/>
      <c r="W353" s="928"/>
      <c r="X353" s="928"/>
      <c r="Y353" s="928"/>
      <c r="Z353" s="928"/>
      <c r="AA353" s="928"/>
      <c r="AB353" s="928"/>
      <c r="AC353" s="928"/>
      <c r="AD353" s="928"/>
      <c r="AE353" s="928"/>
      <c r="AF353" s="928"/>
      <c r="AG353" s="928"/>
      <c r="AH353" s="928"/>
      <c r="AI353" s="928"/>
      <c r="AJ353" s="928"/>
      <c r="AK353" s="928"/>
      <c r="AL353" s="928"/>
      <c r="AM353" s="928"/>
      <c r="AN353" s="928"/>
      <c r="AO353" s="928"/>
      <c r="AP353" s="928"/>
      <c r="AQ353" s="928"/>
      <c r="AR353" s="928"/>
      <c r="AS353" s="928"/>
      <c r="AT353" s="928"/>
      <c r="AU353" s="928"/>
      <c r="AV353" s="928"/>
      <c r="AW353" s="928"/>
      <c r="AX353" s="928"/>
      <c r="AY353" s="928"/>
      <c r="AZ353" s="928"/>
      <c r="BA353" s="928"/>
      <c r="BB353" s="928"/>
      <c r="BC353" s="928"/>
      <c r="BD353" s="928"/>
      <c r="BE353" s="928"/>
      <c r="BF353" s="928"/>
      <c r="BG353" s="928"/>
      <c r="BH353" s="928"/>
      <c r="BI353" s="928"/>
      <c r="BJ353" s="928"/>
      <c r="BK353" s="928"/>
      <c r="BL353" s="928"/>
      <c r="BM353" s="928"/>
      <c r="BN353" s="928"/>
      <c r="BO353" s="928"/>
      <c r="BP353" s="928"/>
      <c r="BQ353" s="928"/>
      <c r="BR353" s="928"/>
      <c r="BS353" s="928"/>
      <c r="BT353" s="928"/>
      <c r="BU353" s="928"/>
      <c r="BV353" s="928"/>
      <c r="BW353" s="928"/>
      <c r="BX353" s="928"/>
      <c r="BY353" s="928"/>
      <c r="BZ353" s="928"/>
      <c r="CA353" s="928"/>
      <c r="CB353" s="928"/>
      <c r="CC353" s="928"/>
      <c r="CD353" s="928"/>
      <c r="CE353" s="928"/>
      <c r="CF353" s="928"/>
      <c r="CG353" s="928"/>
      <c r="CH353" s="928"/>
      <c r="CI353" s="928"/>
      <c r="CJ353" s="928"/>
      <c r="CK353" s="928"/>
      <c r="CL353" s="928"/>
      <c r="CM353" s="928"/>
      <c r="CN353" s="928"/>
      <c r="CO353" s="928"/>
      <c r="CP353" s="928"/>
      <c r="CQ353" s="928"/>
      <c r="CR353" s="928"/>
      <c r="CS353" s="928"/>
      <c r="CT353" s="928"/>
      <c r="CU353" s="928"/>
      <c r="CV353" s="928"/>
      <c r="CW353" s="928"/>
      <c r="CX353" s="928"/>
      <c r="CY353" s="928"/>
      <c r="CZ353" s="928"/>
      <c r="DA353" s="928"/>
      <c r="DB353" s="928"/>
      <c r="DC353" s="928"/>
      <c r="DD353" s="928"/>
      <c r="DE353" s="928"/>
      <c r="DF353" s="928"/>
      <c r="DG353" s="928"/>
      <c r="DH353" s="928"/>
    </row>
    <row r="354" spans="1:112">
      <c r="A354" s="891" t="s">
        <v>1159</v>
      </c>
      <c r="B354" s="891" t="s">
        <v>1565</v>
      </c>
      <c r="C354" s="891" t="s">
        <v>339</v>
      </c>
      <c r="D354" s="891" t="s">
        <v>1159</v>
      </c>
      <c r="E354" s="891" t="s">
        <v>1565</v>
      </c>
      <c r="F354" s="891" t="s">
        <v>339</v>
      </c>
      <c r="G354" s="897">
        <v>92.01</v>
      </c>
      <c r="H354" s="897">
        <v>102.32</v>
      </c>
      <c r="I354" s="897">
        <v>80.989999999999995</v>
      </c>
      <c r="J354" s="891"/>
      <c r="K354" s="891"/>
      <c r="L354" s="891"/>
      <c r="M354" s="891"/>
      <c r="N354" s="891"/>
      <c r="O354" s="891"/>
      <c r="P354" s="891"/>
      <c r="Q354" s="891"/>
      <c r="R354" s="891"/>
      <c r="S354" s="891"/>
      <c r="T354" s="891"/>
      <c r="U354" s="928"/>
      <c r="V354" s="928"/>
      <c r="W354" s="928"/>
      <c r="X354" s="928"/>
      <c r="Y354" s="928"/>
      <c r="Z354" s="928"/>
      <c r="AA354" s="928"/>
      <c r="AB354" s="928"/>
      <c r="AC354" s="928"/>
      <c r="AD354" s="928"/>
      <c r="AE354" s="928"/>
      <c r="AF354" s="928"/>
      <c r="AG354" s="928"/>
      <c r="AH354" s="928"/>
      <c r="AI354" s="928"/>
      <c r="AJ354" s="928"/>
      <c r="AK354" s="928"/>
      <c r="AL354" s="928"/>
      <c r="AM354" s="928"/>
      <c r="AN354" s="928"/>
      <c r="AO354" s="928"/>
      <c r="AP354" s="928"/>
      <c r="AQ354" s="928"/>
      <c r="AR354" s="928"/>
      <c r="AS354" s="928"/>
      <c r="AT354" s="928"/>
      <c r="AU354" s="928"/>
      <c r="AV354" s="928"/>
      <c r="AW354" s="928"/>
      <c r="AX354" s="928"/>
      <c r="AY354" s="928"/>
      <c r="AZ354" s="928"/>
      <c r="BA354" s="928"/>
      <c r="BB354" s="928"/>
      <c r="BC354" s="928"/>
      <c r="BD354" s="928"/>
      <c r="BE354" s="928"/>
      <c r="BF354" s="928"/>
      <c r="BG354" s="928"/>
      <c r="BH354" s="928"/>
      <c r="BI354" s="928"/>
      <c r="BJ354" s="928"/>
      <c r="BK354" s="928"/>
      <c r="BL354" s="928"/>
      <c r="BM354" s="928"/>
      <c r="BN354" s="928"/>
      <c r="BO354" s="928"/>
      <c r="BP354" s="928"/>
      <c r="BQ354" s="928"/>
      <c r="BR354" s="928"/>
      <c r="BS354" s="928"/>
      <c r="BT354" s="928"/>
      <c r="BU354" s="928"/>
      <c r="BV354" s="928"/>
      <c r="BW354" s="928"/>
      <c r="BX354" s="928"/>
      <c r="BY354" s="928"/>
      <c r="BZ354" s="928"/>
      <c r="CA354" s="928"/>
      <c r="CB354" s="928"/>
      <c r="CC354" s="928"/>
      <c r="CD354" s="928"/>
      <c r="CE354" s="928"/>
      <c r="CF354" s="928"/>
      <c r="CG354" s="928"/>
      <c r="CH354" s="928"/>
      <c r="CI354" s="928"/>
      <c r="CJ354" s="928"/>
      <c r="CK354" s="928"/>
      <c r="CL354" s="928"/>
      <c r="CM354" s="928"/>
      <c r="CN354" s="928"/>
      <c r="CO354" s="928"/>
      <c r="CP354" s="928"/>
      <c r="CQ354" s="928"/>
      <c r="CR354" s="928"/>
      <c r="CS354" s="928"/>
      <c r="CT354" s="928"/>
      <c r="CU354" s="928"/>
      <c r="CV354" s="928"/>
      <c r="CW354" s="928"/>
      <c r="CX354" s="928"/>
      <c r="CY354" s="928"/>
      <c r="CZ354" s="928"/>
      <c r="DA354" s="928"/>
      <c r="DB354" s="928"/>
      <c r="DC354" s="928"/>
      <c r="DD354" s="928"/>
      <c r="DE354" s="928"/>
      <c r="DF354" s="928"/>
      <c r="DG354" s="928"/>
      <c r="DH354" s="928"/>
    </row>
    <row r="355" spans="1:112">
      <c r="A355" s="891" t="s">
        <v>1160</v>
      </c>
      <c r="B355" s="891" t="s">
        <v>1529</v>
      </c>
      <c r="C355" s="891" t="s">
        <v>245</v>
      </c>
      <c r="D355" s="891" t="s">
        <v>1160</v>
      </c>
      <c r="E355" s="891" t="s">
        <v>1529</v>
      </c>
      <c r="F355" s="891" t="s">
        <v>245</v>
      </c>
      <c r="G355" s="897">
        <v>142.71</v>
      </c>
      <c r="H355" s="897">
        <v>169.73</v>
      </c>
      <c r="I355" s="897">
        <v>94.35</v>
      </c>
      <c r="J355" s="891"/>
      <c r="K355" s="891"/>
      <c r="L355" s="891"/>
      <c r="M355" s="891"/>
      <c r="N355" s="891"/>
      <c r="O355" s="891"/>
      <c r="P355" s="891"/>
      <c r="Q355" s="891"/>
      <c r="R355" s="891"/>
      <c r="S355" s="891"/>
      <c r="T355" s="891"/>
      <c r="U355" s="928"/>
      <c r="V355" s="928"/>
      <c r="W355" s="928"/>
      <c r="X355" s="928"/>
      <c r="Y355" s="928"/>
      <c r="Z355" s="928"/>
      <c r="AA355" s="928"/>
      <c r="AB355" s="928"/>
      <c r="AC355" s="928"/>
      <c r="AD355" s="928"/>
      <c r="AE355" s="928"/>
      <c r="AF355" s="928"/>
      <c r="AG355" s="928"/>
      <c r="AH355" s="928"/>
      <c r="AI355" s="928"/>
      <c r="AJ355" s="928"/>
      <c r="AK355" s="928"/>
      <c r="AL355" s="928"/>
      <c r="AM355" s="928"/>
      <c r="AN355" s="928"/>
      <c r="AO355" s="928"/>
      <c r="AP355" s="928"/>
      <c r="AQ355" s="928"/>
      <c r="AR355" s="928"/>
      <c r="AS355" s="928"/>
      <c r="AT355" s="928"/>
      <c r="AU355" s="928"/>
      <c r="AV355" s="928"/>
      <c r="AW355" s="928"/>
      <c r="AX355" s="928"/>
      <c r="AY355" s="928"/>
      <c r="AZ355" s="928"/>
      <c r="BA355" s="928"/>
      <c r="BB355" s="928"/>
      <c r="BC355" s="928"/>
      <c r="BD355" s="928"/>
      <c r="BE355" s="928"/>
      <c r="BF355" s="928"/>
      <c r="BG355" s="928"/>
      <c r="BH355" s="928"/>
      <c r="BI355" s="928"/>
      <c r="BJ355" s="928"/>
      <c r="BK355" s="928"/>
      <c r="BL355" s="928"/>
      <c r="BM355" s="928"/>
      <c r="BN355" s="928"/>
      <c r="BO355" s="928"/>
      <c r="BP355" s="928"/>
      <c r="BQ355" s="928"/>
      <c r="BR355" s="928"/>
      <c r="BS355" s="928"/>
      <c r="BT355" s="928"/>
      <c r="BU355" s="928"/>
      <c r="BV355" s="928"/>
      <c r="BW355" s="928"/>
      <c r="BX355" s="928"/>
      <c r="BY355" s="928"/>
      <c r="BZ355" s="928"/>
      <c r="CA355" s="928"/>
      <c r="CB355" s="928"/>
      <c r="CC355" s="928"/>
      <c r="CD355" s="928"/>
      <c r="CE355" s="928"/>
      <c r="CF355" s="928"/>
      <c r="CG355" s="928"/>
      <c r="CH355" s="928"/>
      <c r="CI355" s="928"/>
      <c r="CJ355" s="928"/>
      <c r="CK355" s="928"/>
      <c r="CL355" s="928"/>
      <c r="CM355" s="928"/>
      <c r="CN355" s="928"/>
      <c r="CO355" s="928"/>
      <c r="CP355" s="928"/>
      <c r="CQ355" s="928"/>
      <c r="CR355" s="928"/>
      <c r="CS355" s="928"/>
      <c r="CT355" s="928"/>
      <c r="CU355" s="928"/>
      <c r="CV355" s="928"/>
      <c r="CW355" s="928"/>
      <c r="CX355" s="928"/>
      <c r="CY355" s="928"/>
      <c r="CZ355" s="928"/>
      <c r="DA355" s="928"/>
      <c r="DB355" s="928"/>
      <c r="DC355" s="928"/>
      <c r="DD355" s="928"/>
      <c r="DE355" s="928"/>
      <c r="DF355" s="928"/>
      <c r="DG355" s="928"/>
      <c r="DH355" s="928"/>
    </row>
    <row r="356" spans="1:112">
      <c r="A356" s="891" t="s">
        <v>1161</v>
      </c>
      <c r="B356" s="891" t="s">
        <v>1566</v>
      </c>
      <c r="C356" s="891" t="s">
        <v>341</v>
      </c>
      <c r="D356" s="891" t="s">
        <v>1161</v>
      </c>
      <c r="E356" s="891" t="s">
        <v>1566</v>
      </c>
      <c r="F356" s="891" t="s">
        <v>341</v>
      </c>
      <c r="G356" s="897">
        <v>98.16</v>
      </c>
      <c r="H356" s="897">
        <v>70.11</v>
      </c>
      <c r="I356" s="897">
        <v>86.72</v>
      </c>
      <c r="J356" s="891"/>
      <c r="K356" s="891"/>
      <c r="L356" s="891"/>
      <c r="M356" s="891"/>
      <c r="N356" s="891"/>
      <c r="O356" s="891"/>
      <c r="P356" s="891"/>
      <c r="Q356" s="891"/>
      <c r="R356" s="891"/>
      <c r="S356" s="891"/>
      <c r="T356" s="891"/>
      <c r="U356" s="928"/>
      <c r="V356" s="928"/>
      <c r="W356" s="928"/>
      <c r="X356" s="928"/>
      <c r="Y356" s="928"/>
      <c r="Z356" s="928"/>
      <c r="AA356" s="928"/>
      <c r="AB356" s="928"/>
      <c r="AC356" s="928"/>
      <c r="AD356" s="928"/>
      <c r="AE356" s="928"/>
      <c r="AF356" s="928"/>
      <c r="AG356" s="928"/>
      <c r="AH356" s="928"/>
      <c r="AI356" s="928"/>
      <c r="AJ356" s="928"/>
      <c r="AK356" s="928"/>
      <c r="AL356" s="928"/>
      <c r="AM356" s="928"/>
      <c r="AN356" s="928"/>
      <c r="AO356" s="928"/>
      <c r="AP356" s="928"/>
      <c r="AQ356" s="928"/>
      <c r="AR356" s="928"/>
      <c r="AS356" s="928"/>
      <c r="AT356" s="928"/>
      <c r="AU356" s="928"/>
      <c r="AV356" s="928"/>
      <c r="AW356" s="928"/>
      <c r="AX356" s="928"/>
      <c r="AY356" s="928"/>
      <c r="AZ356" s="928"/>
      <c r="BA356" s="928"/>
      <c r="BB356" s="928"/>
      <c r="BC356" s="928"/>
      <c r="BD356" s="928"/>
      <c r="BE356" s="928"/>
      <c r="BF356" s="928"/>
      <c r="BG356" s="928"/>
      <c r="BH356" s="928"/>
      <c r="BI356" s="928"/>
      <c r="BJ356" s="928"/>
      <c r="BK356" s="928"/>
      <c r="BL356" s="928"/>
      <c r="BM356" s="928"/>
      <c r="BN356" s="928"/>
      <c r="BO356" s="928"/>
      <c r="BP356" s="928"/>
      <c r="BQ356" s="928"/>
      <c r="BR356" s="928"/>
      <c r="BS356" s="928"/>
      <c r="BT356" s="928"/>
      <c r="BU356" s="928"/>
      <c r="BV356" s="928"/>
      <c r="BW356" s="928"/>
      <c r="BX356" s="928"/>
      <c r="BY356" s="928"/>
      <c r="BZ356" s="928"/>
      <c r="CA356" s="928"/>
      <c r="CB356" s="928"/>
      <c r="CC356" s="928"/>
      <c r="CD356" s="928"/>
      <c r="CE356" s="928"/>
      <c r="CF356" s="928"/>
      <c r="CG356" s="928"/>
      <c r="CH356" s="928"/>
      <c r="CI356" s="928"/>
      <c r="CJ356" s="928"/>
      <c r="CK356" s="928"/>
      <c r="CL356" s="928"/>
      <c r="CM356" s="928"/>
      <c r="CN356" s="928"/>
      <c r="CO356" s="928"/>
      <c r="CP356" s="928"/>
      <c r="CQ356" s="928"/>
      <c r="CR356" s="928"/>
      <c r="CS356" s="928"/>
      <c r="CT356" s="928"/>
      <c r="CU356" s="928"/>
      <c r="CV356" s="928"/>
      <c r="CW356" s="928"/>
      <c r="CX356" s="928"/>
      <c r="CY356" s="928"/>
      <c r="CZ356" s="928"/>
      <c r="DA356" s="928"/>
      <c r="DB356" s="928"/>
      <c r="DC356" s="928"/>
      <c r="DD356" s="928"/>
      <c r="DE356" s="928"/>
      <c r="DF356" s="928"/>
      <c r="DG356" s="928"/>
      <c r="DH356" s="928"/>
    </row>
    <row r="357" spans="1:112">
      <c r="A357" s="891" t="s">
        <v>1162</v>
      </c>
      <c r="B357" s="891" t="s">
        <v>1535</v>
      </c>
      <c r="C357" s="891" t="s">
        <v>212</v>
      </c>
      <c r="D357" s="891" t="s">
        <v>1162</v>
      </c>
      <c r="E357" s="891" t="s">
        <v>1535</v>
      </c>
      <c r="F357" s="891" t="s">
        <v>212</v>
      </c>
      <c r="G357" s="897">
        <v>72.67</v>
      </c>
      <c r="H357" s="897">
        <v>62.43</v>
      </c>
      <c r="I357" s="897">
        <v>98.4</v>
      </c>
      <c r="J357" s="891"/>
      <c r="K357" s="891"/>
      <c r="L357" s="891"/>
      <c r="M357" s="891"/>
      <c r="N357" s="891"/>
      <c r="O357" s="891"/>
      <c r="P357" s="891"/>
      <c r="Q357" s="891"/>
      <c r="R357" s="891"/>
      <c r="S357" s="891"/>
      <c r="T357" s="891"/>
      <c r="U357" s="928"/>
      <c r="V357" s="928"/>
      <c r="W357" s="928"/>
      <c r="X357" s="928"/>
      <c r="Y357" s="928"/>
      <c r="Z357" s="928"/>
      <c r="AA357" s="928"/>
      <c r="AB357" s="928"/>
      <c r="AC357" s="928"/>
      <c r="AD357" s="928"/>
      <c r="AE357" s="928"/>
      <c r="AF357" s="928"/>
      <c r="AG357" s="928"/>
      <c r="AH357" s="928"/>
      <c r="AI357" s="928"/>
      <c r="AJ357" s="928"/>
      <c r="AK357" s="928"/>
      <c r="AL357" s="928"/>
      <c r="AM357" s="928"/>
      <c r="AN357" s="928"/>
      <c r="AO357" s="928"/>
      <c r="AP357" s="928"/>
      <c r="AQ357" s="928"/>
      <c r="AR357" s="928"/>
      <c r="AS357" s="928"/>
      <c r="AT357" s="928"/>
      <c r="AU357" s="928"/>
      <c r="AV357" s="928"/>
      <c r="AW357" s="928"/>
      <c r="AX357" s="928"/>
      <c r="AY357" s="928"/>
      <c r="AZ357" s="928"/>
      <c r="BA357" s="928"/>
      <c r="BB357" s="928"/>
      <c r="BC357" s="928"/>
      <c r="BD357" s="928"/>
      <c r="BE357" s="928"/>
      <c r="BF357" s="928"/>
      <c r="BG357" s="928"/>
      <c r="BH357" s="928"/>
      <c r="BI357" s="928"/>
      <c r="BJ357" s="928"/>
      <c r="BK357" s="928"/>
      <c r="BL357" s="928"/>
      <c r="BM357" s="928"/>
      <c r="BN357" s="928"/>
      <c r="BO357" s="928"/>
      <c r="BP357" s="928"/>
      <c r="BQ357" s="928"/>
      <c r="BR357" s="928"/>
      <c r="BS357" s="928"/>
      <c r="BT357" s="928"/>
      <c r="BU357" s="928"/>
      <c r="BV357" s="928"/>
      <c r="BW357" s="928"/>
      <c r="BX357" s="928"/>
      <c r="BY357" s="928"/>
      <c r="BZ357" s="928"/>
      <c r="CA357" s="928"/>
      <c r="CB357" s="928"/>
      <c r="CC357" s="928"/>
      <c r="CD357" s="928"/>
      <c r="CE357" s="928"/>
      <c r="CF357" s="928"/>
      <c r="CG357" s="928"/>
      <c r="CH357" s="928"/>
      <c r="CI357" s="928"/>
      <c r="CJ357" s="928"/>
      <c r="CK357" s="928"/>
      <c r="CL357" s="928"/>
      <c r="CM357" s="928"/>
      <c r="CN357" s="928"/>
      <c r="CO357" s="928"/>
      <c r="CP357" s="928"/>
      <c r="CQ357" s="928"/>
      <c r="CR357" s="928"/>
      <c r="CS357" s="928"/>
      <c r="CT357" s="928"/>
      <c r="CU357" s="928"/>
      <c r="CV357" s="928"/>
      <c r="CW357" s="928"/>
      <c r="CX357" s="928"/>
      <c r="CY357" s="928"/>
      <c r="CZ357" s="928"/>
      <c r="DA357" s="928"/>
      <c r="DB357" s="928"/>
      <c r="DC357" s="928"/>
      <c r="DD357" s="928"/>
      <c r="DE357" s="928"/>
      <c r="DF357" s="928"/>
      <c r="DG357" s="928"/>
      <c r="DH357" s="928"/>
    </row>
    <row r="358" spans="1:112">
      <c r="A358" s="891" t="s">
        <v>1164</v>
      </c>
      <c r="B358" s="891" t="s">
        <v>1479</v>
      </c>
      <c r="C358" s="891" t="s">
        <v>2</v>
      </c>
      <c r="D358" s="891" t="s">
        <v>1164</v>
      </c>
      <c r="E358" s="891" t="s">
        <v>1479</v>
      </c>
      <c r="F358" s="891" t="s">
        <v>2</v>
      </c>
      <c r="G358" s="897">
        <v>40.909999999999997</v>
      </c>
      <c r="H358" s="897">
        <v>30.55</v>
      </c>
      <c r="I358" s="897">
        <v>33.03</v>
      </c>
      <c r="J358" s="891"/>
      <c r="K358" s="891"/>
      <c r="L358" s="891"/>
      <c r="M358" s="891"/>
      <c r="N358" s="891"/>
      <c r="O358" s="891"/>
      <c r="P358" s="891"/>
      <c r="Q358" s="891"/>
      <c r="R358" s="891"/>
      <c r="S358" s="891"/>
      <c r="T358" s="891"/>
      <c r="U358" s="928"/>
      <c r="V358" s="928"/>
      <c r="W358" s="928"/>
      <c r="X358" s="928"/>
      <c r="Y358" s="928"/>
      <c r="Z358" s="928"/>
      <c r="AA358" s="928"/>
      <c r="AB358" s="928"/>
      <c r="AC358" s="928"/>
      <c r="AD358" s="928"/>
      <c r="AE358" s="928"/>
      <c r="AF358" s="928"/>
      <c r="AG358" s="928"/>
      <c r="AH358" s="928"/>
      <c r="AI358" s="928"/>
      <c r="AJ358" s="928"/>
      <c r="AK358" s="928"/>
      <c r="AL358" s="928"/>
      <c r="AM358" s="928"/>
      <c r="AN358" s="928"/>
      <c r="AO358" s="928"/>
      <c r="AP358" s="928"/>
      <c r="AQ358" s="928"/>
      <c r="AR358" s="928"/>
      <c r="AS358" s="928"/>
      <c r="AT358" s="928"/>
      <c r="AU358" s="928"/>
      <c r="AV358" s="928"/>
      <c r="AW358" s="928"/>
      <c r="AX358" s="928"/>
      <c r="AY358" s="928"/>
      <c r="AZ358" s="928"/>
      <c r="BA358" s="928"/>
      <c r="BB358" s="928"/>
      <c r="BC358" s="928"/>
      <c r="BD358" s="928"/>
      <c r="BE358" s="928"/>
      <c r="BF358" s="928"/>
      <c r="BG358" s="928"/>
      <c r="BH358" s="928"/>
      <c r="BI358" s="928"/>
      <c r="BJ358" s="928"/>
      <c r="BK358" s="928"/>
      <c r="BL358" s="928"/>
      <c r="BM358" s="928"/>
      <c r="BN358" s="928"/>
      <c r="BO358" s="928"/>
      <c r="BP358" s="928"/>
      <c r="BQ358" s="928"/>
      <c r="BR358" s="928"/>
      <c r="BS358" s="928"/>
      <c r="BT358" s="928"/>
      <c r="BU358" s="928"/>
      <c r="BV358" s="928"/>
      <c r="BW358" s="928"/>
      <c r="BX358" s="928"/>
      <c r="BY358" s="928"/>
      <c r="BZ358" s="928"/>
      <c r="CA358" s="928"/>
      <c r="CB358" s="928"/>
      <c r="CC358" s="928"/>
      <c r="CD358" s="928"/>
      <c r="CE358" s="928"/>
      <c r="CF358" s="928"/>
      <c r="CG358" s="928"/>
      <c r="CH358" s="928"/>
      <c r="CI358" s="928"/>
      <c r="CJ358" s="928"/>
      <c r="CK358" s="928"/>
      <c r="CL358" s="928"/>
      <c r="CM358" s="928"/>
      <c r="CN358" s="928"/>
      <c r="CO358" s="928"/>
      <c r="CP358" s="928"/>
      <c r="CQ358" s="928"/>
      <c r="CR358" s="928"/>
      <c r="CS358" s="928"/>
      <c r="CT358" s="928"/>
      <c r="CU358" s="928"/>
      <c r="CV358" s="928"/>
      <c r="CW358" s="928"/>
      <c r="CX358" s="928"/>
      <c r="CY358" s="928"/>
      <c r="CZ358" s="928"/>
      <c r="DA358" s="928"/>
      <c r="DB358" s="928"/>
      <c r="DC358" s="928"/>
      <c r="DD358" s="928"/>
      <c r="DE358" s="928"/>
      <c r="DF358" s="928"/>
      <c r="DG358" s="928"/>
      <c r="DH358" s="928"/>
    </row>
    <row r="359" spans="1:112">
      <c r="H359" s="897"/>
      <c r="I359" s="897"/>
      <c r="J359" s="891"/>
      <c r="K359" s="891"/>
      <c r="L359" s="891"/>
      <c r="M359" s="891"/>
      <c r="N359" s="891"/>
      <c r="O359" s="891"/>
      <c r="P359" s="891"/>
      <c r="Q359" s="891"/>
      <c r="R359" s="891"/>
      <c r="S359" s="891"/>
      <c r="T359" s="891"/>
      <c r="U359" s="928"/>
      <c r="V359" s="928"/>
      <c r="W359" s="928"/>
      <c r="X359" s="928"/>
      <c r="Y359" s="928"/>
      <c r="Z359" s="928"/>
      <c r="AA359" s="928"/>
      <c r="AB359" s="928"/>
      <c r="AC359" s="928"/>
      <c r="AD359" s="928"/>
      <c r="AE359" s="928"/>
      <c r="AF359" s="928"/>
      <c r="AG359" s="928"/>
      <c r="AH359" s="928"/>
      <c r="AI359" s="928"/>
      <c r="AJ359" s="928"/>
      <c r="AK359" s="928"/>
      <c r="AL359" s="928"/>
      <c r="AM359" s="928"/>
      <c r="AN359" s="928"/>
      <c r="AO359" s="928"/>
      <c r="AP359" s="928"/>
      <c r="AQ359" s="928"/>
      <c r="AR359" s="928"/>
      <c r="AS359" s="928"/>
      <c r="AT359" s="928"/>
      <c r="AU359" s="928"/>
      <c r="AV359" s="928"/>
      <c r="AW359" s="928"/>
      <c r="AX359" s="928"/>
      <c r="AY359" s="928"/>
      <c r="AZ359" s="928"/>
      <c r="BA359" s="928"/>
      <c r="BB359" s="928"/>
      <c r="BC359" s="928"/>
      <c r="BD359" s="928"/>
      <c r="BE359" s="928"/>
      <c r="BF359" s="928"/>
      <c r="BG359" s="928"/>
      <c r="BH359" s="928"/>
      <c r="BI359" s="928"/>
      <c r="BJ359" s="928"/>
      <c r="BK359" s="928"/>
      <c r="BL359" s="928"/>
      <c r="BM359" s="928"/>
      <c r="BN359" s="928"/>
      <c r="BO359" s="928"/>
      <c r="BP359" s="928"/>
      <c r="BQ359" s="928"/>
      <c r="BR359" s="928"/>
      <c r="BS359" s="928"/>
      <c r="BT359" s="928"/>
      <c r="BU359" s="928"/>
      <c r="BV359" s="928"/>
      <c r="BW359" s="928"/>
      <c r="BX359" s="928"/>
      <c r="BY359" s="928"/>
      <c r="BZ359" s="928"/>
      <c r="CA359" s="928"/>
      <c r="CB359" s="928"/>
      <c r="CC359" s="928"/>
      <c r="CD359" s="928"/>
      <c r="CE359" s="928"/>
      <c r="CF359" s="928"/>
      <c r="CG359" s="928"/>
      <c r="CH359" s="928"/>
      <c r="CI359" s="928"/>
      <c r="CJ359" s="928"/>
      <c r="CK359" s="928"/>
      <c r="CL359" s="928"/>
      <c r="CM359" s="928"/>
      <c r="CN359" s="928"/>
      <c r="CO359" s="928"/>
      <c r="CP359" s="928"/>
      <c r="CQ359" s="928"/>
      <c r="CR359" s="928"/>
      <c r="CS359" s="928"/>
      <c r="CT359" s="928"/>
      <c r="CU359" s="928"/>
      <c r="CV359" s="928"/>
      <c r="CW359" s="928"/>
      <c r="CX359" s="928"/>
      <c r="CY359" s="928"/>
      <c r="CZ359" s="928"/>
      <c r="DA359" s="928"/>
      <c r="DB359" s="928"/>
      <c r="DC359" s="928"/>
      <c r="DD359" s="928"/>
      <c r="DE359" s="928"/>
      <c r="DF359" s="928"/>
      <c r="DG359" s="928"/>
      <c r="DH359" s="928"/>
    </row>
    <row r="360" spans="1:112">
      <c r="H360" s="897"/>
      <c r="I360" s="897"/>
      <c r="J360" s="891"/>
      <c r="K360" s="891"/>
      <c r="L360" s="891"/>
      <c r="M360" s="891"/>
      <c r="N360" s="891"/>
      <c r="O360" s="891"/>
      <c r="P360" s="891"/>
      <c r="Q360" s="891"/>
      <c r="R360" s="891"/>
      <c r="S360" s="891"/>
      <c r="T360" s="891"/>
      <c r="U360" s="928"/>
      <c r="V360" s="928"/>
      <c r="W360" s="928"/>
      <c r="X360" s="928"/>
      <c r="Y360" s="928"/>
      <c r="Z360" s="928"/>
      <c r="AA360" s="928"/>
      <c r="AB360" s="928"/>
      <c r="AC360" s="928"/>
      <c r="AD360" s="928"/>
      <c r="AE360" s="928"/>
      <c r="AF360" s="928"/>
      <c r="AG360" s="928"/>
      <c r="AH360" s="928"/>
      <c r="AI360" s="928"/>
      <c r="AJ360" s="928"/>
      <c r="AK360" s="928"/>
      <c r="AL360" s="928"/>
      <c r="AM360" s="928"/>
      <c r="AN360" s="928"/>
      <c r="AO360" s="928"/>
      <c r="AP360" s="928"/>
      <c r="AQ360" s="928"/>
      <c r="AR360" s="928"/>
      <c r="AS360" s="928"/>
      <c r="AT360" s="928"/>
      <c r="AU360" s="928"/>
      <c r="AV360" s="928"/>
      <c r="AW360" s="928"/>
      <c r="AX360" s="928"/>
      <c r="AY360" s="928"/>
      <c r="AZ360" s="928"/>
      <c r="BA360" s="928"/>
      <c r="BB360" s="928"/>
      <c r="BC360" s="928"/>
      <c r="BD360" s="928"/>
      <c r="BE360" s="928"/>
      <c r="BF360" s="928"/>
      <c r="BG360" s="928"/>
      <c r="BH360" s="928"/>
      <c r="BI360" s="928"/>
      <c r="BJ360" s="928"/>
      <c r="BK360" s="928"/>
      <c r="BL360" s="928"/>
      <c r="BM360" s="928"/>
      <c r="BN360" s="928"/>
      <c r="BO360" s="928"/>
      <c r="BP360" s="928"/>
      <c r="BQ360" s="928"/>
      <c r="BR360" s="928"/>
      <c r="BS360" s="928"/>
      <c r="BT360" s="928"/>
      <c r="BU360" s="928"/>
      <c r="BV360" s="928"/>
      <c r="BW360" s="928"/>
      <c r="BX360" s="928"/>
      <c r="BY360" s="928"/>
      <c r="BZ360" s="928"/>
      <c r="CA360" s="928"/>
      <c r="CB360" s="928"/>
      <c r="CC360" s="928"/>
      <c r="CD360" s="928"/>
      <c r="CE360" s="928"/>
      <c r="CF360" s="928"/>
      <c r="CG360" s="928"/>
      <c r="CH360" s="928"/>
      <c r="CI360" s="928"/>
      <c r="CJ360" s="928"/>
      <c r="CK360" s="928"/>
      <c r="CL360" s="928"/>
      <c r="CM360" s="928"/>
      <c r="CN360" s="928"/>
      <c r="CO360" s="928"/>
      <c r="CP360" s="928"/>
      <c r="CQ360" s="928"/>
      <c r="CR360" s="928"/>
      <c r="CS360" s="928"/>
      <c r="CT360" s="928"/>
      <c r="CU360" s="928"/>
      <c r="CV360" s="928"/>
      <c r="CW360" s="928"/>
      <c r="CX360" s="928"/>
      <c r="CY360" s="928"/>
      <c r="CZ360" s="928"/>
      <c r="DA360" s="928"/>
      <c r="DB360" s="928"/>
      <c r="DC360" s="928"/>
      <c r="DD360" s="928"/>
      <c r="DE360" s="928"/>
      <c r="DF360" s="928"/>
      <c r="DG360" s="928"/>
      <c r="DH360" s="928"/>
    </row>
    <row r="361" spans="1:112">
      <c r="H361" s="897"/>
      <c r="I361" s="897"/>
      <c r="J361" s="891"/>
      <c r="K361" s="891"/>
      <c r="L361" s="891"/>
      <c r="M361" s="891"/>
      <c r="N361" s="891"/>
      <c r="O361" s="891"/>
      <c r="P361" s="891"/>
      <c r="Q361" s="891"/>
      <c r="R361" s="891"/>
      <c r="S361" s="891"/>
      <c r="T361" s="891"/>
      <c r="U361" s="928"/>
      <c r="V361" s="928"/>
      <c r="W361" s="928"/>
      <c r="X361" s="928"/>
      <c r="Y361" s="928"/>
      <c r="Z361" s="928"/>
      <c r="AA361" s="928"/>
      <c r="AB361" s="928"/>
      <c r="AC361" s="928"/>
      <c r="AD361" s="928"/>
      <c r="AE361" s="928"/>
      <c r="AF361" s="928"/>
      <c r="AG361" s="928"/>
      <c r="AH361" s="928"/>
      <c r="AI361" s="928"/>
      <c r="AJ361" s="928"/>
      <c r="AK361" s="928"/>
      <c r="AL361" s="928"/>
      <c r="AM361" s="928"/>
      <c r="AN361" s="928"/>
      <c r="AO361" s="928"/>
      <c r="AP361" s="928"/>
      <c r="AQ361" s="928"/>
      <c r="AR361" s="928"/>
      <c r="AS361" s="928"/>
      <c r="AT361" s="928"/>
      <c r="AU361" s="928"/>
      <c r="AV361" s="928"/>
      <c r="AW361" s="928"/>
      <c r="AX361" s="928"/>
      <c r="AY361" s="928"/>
      <c r="AZ361" s="928"/>
      <c r="BA361" s="928"/>
      <c r="BB361" s="928"/>
      <c r="BC361" s="928"/>
      <c r="BD361" s="928"/>
      <c r="BE361" s="928"/>
      <c r="BF361" s="928"/>
      <c r="BG361" s="928"/>
      <c r="BH361" s="928"/>
      <c r="BI361" s="928"/>
      <c r="BJ361" s="928"/>
      <c r="BK361" s="928"/>
      <c r="BL361" s="928"/>
      <c r="BM361" s="928"/>
      <c r="BN361" s="928"/>
      <c r="BO361" s="928"/>
      <c r="BP361" s="928"/>
      <c r="BQ361" s="928"/>
      <c r="BR361" s="928"/>
      <c r="BS361" s="928"/>
      <c r="BT361" s="928"/>
      <c r="BU361" s="928"/>
      <c r="BV361" s="928"/>
      <c r="BW361" s="928"/>
      <c r="BX361" s="928"/>
      <c r="BY361" s="928"/>
      <c r="BZ361" s="928"/>
      <c r="CA361" s="928"/>
      <c r="CB361" s="928"/>
      <c r="CC361" s="928"/>
      <c r="CD361" s="928"/>
      <c r="CE361" s="928"/>
      <c r="CF361" s="928"/>
      <c r="CG361" s="928"/>
      <c r="CH361" s="928"/>
      <c r="CI361" s="928"/>
      <c r="CJ361" s="928"/>
      <c r="CK361" s="928"/>
      <c r="CL361" s="928"/>
      <c r="CM361" s="928"/>
      <c r="CN361" s="928"/>
      <c r="CO361" s="928"/>
      <c r="CP361" s="928"/>
      <c r="CQ361" s="928"/>
      <c r="CR361" s="928"/>
      <c r="CS361" s="928"/>
      <c r="CT361" s="928"/>
      <c r="CU361" s="928"/>
      <c r="CV361" s="928"/>
      <c r="CW361" s="928"/>
      <c r="CX361" s="928"/>
      <c r="CY361" s="928"/>
      <c r="CZ361" s="928"/>
      <c r="DA361" s="928"/>
      <c r="DB361" s="928"/>
      <c r="DC361" s="928"/>
      <c r="DD361" s="928"/>
      <c r="DE361" s="928"/>
      <c r="DF361" s="928"/>
      <c r="DG361" s="928"/>
      <c r="DH361" s="928"/>
    </row>
    <row r="362" spans="1:112">
      <c r="H362" s="897"/>
      <c r="I362" s="897"/>
      <c r="J362" s="891"/>
      <c r="K362" s="891"/>
      <c r="L362" s="891"/>
      <c r="M362" s="891"/>
      <c r="N362" s="891"/>
      <c r="O362" s="891"/>
      <c r="P362" s="891"/>
      <c r="Q362" s="891"/>
      <c r="R362" s="891"/>
      <c r="S362" s="891"/>
      <c r="T362" s="891"/>
      <c r="U362" s="928"/>
      <c r="V362" s="928"/>
      <c r="W362" s="928"/>
      <c r="X362" s="928"/>
      <c r="Y362" s="928"/>
      <c r="Z362" s="928"/>
      <c r="AA362" s="928"/>
      <c r="AB362" s="928"/>
      <c r="AC362" s="928"/>
      <c r="AD362" s="928"/>
      <c r="AE362" s="928"/>
      <c r="AF362" s="928"/>
      <c r="AG362" s="928"/>
      <c r="AH362" s="928"/>
      <c r="AI362" s="928"/>
      <c r="AJ362" s="928"/>
      <c r="AK362" s="928"/>
      <c r="AL362" s="928"/>
      <c r="AM362" s="928"/>
      <c r="AN362" s="928"/>
      <c r="AO362" s="928"/>
      <c r="AP362" s="928"/>
      <c r="AQ362" s="928"/>
      <c r="AR362" s="928"/>
      <c r="AS362" s="928"/>
      <c r="AT362" s="928"/>
      <c r="AU362" s="928"/>
      <c r="AV362" s="928"/>
      <c r="AW362" s="928"/>
      <c r="AX362" s="928"/>
      <c r="AY362" s="928"/>
      <c r="AZ362" s="928"/>
      <c r="BA362" s="928"/>
      <c r="BB362" s="928"/>
      <c r="BC362" s="928"/>
      <c r="BD362" s="928"/>
      <c r="BE362" s="928"/>
      <c r="BF362" s="928"/>
      <c r="BG362" s="928"/>
      <c r="BH362" s="928"/>
      <c r="BI362" s="928"/>
      <c r="BJ362" s="928"/>
      <c r="BK362" s="928"/>
      <c r="BL362" s="928"/>
      <c r="BM362" s="928"/>
      <c r="BN362" s="928"/>
      <c r="BO362" s="928"/>
      <c r="BP362" s="928"/>
      <c r="BQ362" s="928"/>
      <c r="BR362" s="928"/>
      <c r="BS362" s="928"/>
      <c r="BT362" s="928"/>
      <c r="BU362" s="928"/>
      <c r="BV362" s="928"/>
      <c r="BW362" s="928"/>
      <c r="BX362" s="928"/>
      <c r="BY362" s="928"/>
      <c r="BZ362" s="928"/>
      <c r="CA362" s="928"/>
      <c r="CB362" s="928"/>
      <c r="CC362" s="928"/>
      <c r="CD362" s="928"/>
      <c r="CE362" s="928"/>
      <c r="CF362" s="928"/>
      <c r="CG362" s="928"/>
      <c r="CH362" s="928"/>
      <c r="CI362" s="928"/>
      <c r="CJ362" s="928"/>
      <c r="CK362" s="928"/>
      <c r="CL362" s="928"/>
      <c r="CM362" s="928"/>
      <c r="CN362" s="928"/>
      <c r="CO362" s="928"/>
      <c r="CP362" s="928"/>
      <c r="CQ362" s="928"/>
      <c r="CR362" s="928"/>
      <c r="CS362" s="928"/>
      <c r="CT362" s="928"/>
      <c r="CU362" s="928"/>
      <c r="CV362" s="928"/>
      <c r="CW362" s="928"/>
      <c r="CX362" s="928"/>
      <c r="CY362" s="928"/>
      <c r="CZ362" s="928"/>
      <c r="DA362" s="928"/>
      <c r="DB362" s="928"/>
      <c r="DC362" s="928"/>
      <c r="DD362" s="928"/>
      <c r="DE362" s="928"/>
      <c r="DF362" s="928"/>
      <c r="DG362" s="928"/>
      <c r="DH362" s="928"/>
    </row>
    <row r="363" spans="1:112">
      <c r="H363" s="897"/>
      <c r="I363" s="897"/>
      <c r="J363" s="891"/>
      <c r="K363" s="891"/>
      <c r="L363" s="891"/>
      <c r="M363" s="891"/>
      <c r="N363" s="891"/>
      <c r="O363" s="891"/>
      <c r="P363" s="891"/>
      <c r="Q363" s="891"/>
      <c r="R363" s="891"/>
      <c r="S363" s="891"/>
      <c r="T363" s="891"/>
      <c r="U363" s="928"/>
      <c r="V363" s="928"/>
      <c r="W363" s="928"/>
      <c r="X363" s="928"/>
      <c r="Y363" s="928"/>
      <c r="Z363" s="928"/>
      <c r="AA363" s="928"/>
      <c r="AB363" s="928"/>
      <c r="AC363" s="928"/>
      <c r="AD363" s="928"/>
      <c r="AE363" s="928"/>
      <c r="AF363" s="928"/>
      <c r="AG363" s="928"/>
      <c r="AH363" s="928"/>
      <c r="AI363" s="928"/>
      <c r="AJ363" s="928"/>
      <c r="AK363" s="928"/>
      <c r="AL363" s="928"/>
      <c r="AM363" s="928"/>
      <c r="AN363" s="928"/>
      <c r="AO363" s="928"/>
      <c r="AP363" s="928"/>
      <c r="AQ363" s="928"/>
      <c r="AR363" s="928"/>
      <c r="AS363" s="928"/>
      <c r="AT363" s="928"/>
      <c r="AU363" s="928"/>
      <c r="AV363" s="928"/>
      <c r="AW363" s="928"/>
      <c r="AX363" s="928"/>
      <c r="AY363" s="928"/>
      <c r="AZ363" s="928"/>
      <c r="BA363" s="928"/>
      <c r="BB363" s="928"/>
      <c r="BC363" s="928"/>
      <c r="BD363" s="928"/>
      <c r="BE363" s="928"/>
      <c r="BF363" s="928"/>
      <c r="BG363" s="928"/>
      <c r="BH363" s="928"/>
      <c r="BI363" s="928"/>
      <c r="BJ363" s="928"/>
      <c r="BK363" s="928"/>
      <c r="BL363" s="928"/>
      <c r="BM363" s="928"/>
      <c r="BN363" s="928"/>
      <c r="BO363" s="928"/>
      <c r="BP363" s="928"/>
      <c r="BQ363" s="928"/>
      <c r="BR363" s="928"/>
      <c r="BS363" s="928"/>
      <c r="BT363" s="928"/>
      <c r="BU363" s="928"/>
      <c r="BV363" s="928"/>
      <c r="BW363" s="928"/>
      <c r="BX363" s="928"/>
      <c r="BY363" s="928"/>
      <c r="BZ363" s="928"/>
      <c r="CA363" s="928"/>
      <c r="CB363" s="928"/>
      <c r="CC363" s="928"/>
      <c r="CD363" s="928"/>
      <c r="CE363" s="928"/>
      <c r="CF363" s="928"/>
      <c r="CG363" s="928"/>
      <c r="CH363" s="928"/>
      <c r="CI363" s="928"/>
      <c r="CJ363" s="928"/>
      <c r="CK363" s="928"/>
      <c r="CL363" s="928"/>
      <c r="CM363" s="928"/>
      <c r="CN363" s="928"/>
      <c r="CO363" s="928"/>
      <c r="CP363" s="928"/>
      <c r="CQ363" s="928"/>
      <c r="CR363" s="928"/>
      <c r="CS363" s="928"/>
      <c r="CT363" s="928"/>
      <c r="CU363" s="928"/>
      <c r="CV363" s="928"/>
      <c r="CW363" s="928"/>
      <c r="CX363" s="928"/>
      <c r="CY363" s="928"/>
      <c r="CZ363" s="928"/>
      <c r="DA363" s="928"/>
      <c r="DB363" s="928"/>
      <c r="DC363" s="928"/>
      <c r="DD363" s="928"/>
      <c r="DE363" s="928"/>
      <c r="DF363" s="928"/>
      <c r="DG363" s="928"/>
      <c r="DH363" s="928"/>
    </row>
    <row r="364" spans="1:112">
      <c r="H364" s="897"/>
      <c r="I364" s="897"/>
      <c r="J364" s="891"/>
      <c r="K364" s="891"/>
      <c r="L364" s="891"/>
      <c r="M364" s="891"/>
      <c r="N364" s="891"/>
      <c r="O364" s="891"/>
      <c r="P364" s="891"/>
      <c r="Q364" s="891"/>
      <c r="R364" s="891"/>
      <c r="S364" s="891"/>
      <c r="T364" s="891"/>
      <c r="U364" s="928"/>
      <c r="V364" s="928"/>
      <c r="W364" s="928"/>
      <c r="X364" s="928"/>
      <c r="Y364" s="928"/>
      <c r="Z364" s="928"/>
      <c r="AA364" s="928"/>
      <c r="AB364" s="928"/>
      <c r="AC364" s="928"/>
      <c r="AD364" s="928"/>
      <c r="AE364" s="928"/>
      <c r="AF364" s="928"/>
      <c r="AG364" s="928"/>
      <c r="AH364" s="928"/>
      <c r="AI364" s="928"/>
      <c r="AJ364" s="928"/>
      <c r="AK364" s="928"/>
      <c r="AL364" s="928"/>
      <c r="AM364" s="928"/>
      <c r="AN364" s="928"/>
      <c r="AO364" s="928"/>
      <c r="AP364" s="928"/>
      <c r="AQ364" s="928"/>
      <c r="AR364" s="928"/>
      <c r="AS364" s="928"/>
      <c r="AT364" s="928"/>
      <c r="AU364" s="928"/>
      <c r="AV364" s="928"/>
      <c r="AW364" s="928"/>
      <c r="AX364" s="928"/>
      <c r="AY364" s="928"/>
      <c r="AZ364" s="928"/>
      <c r="BA364" s="928"/>
      <c r="BB364" s="928"/>
      <c r="BC364" s="928"/>
      <c r="BD364" s="928"/>
      <c r="BE364" s="928"/>
      <c r="BF364" s="928"/>
      <c r="BG364" s="928"/>
      <c r="BH364" s="928"/>
      <c r="BI364" s="928"/>
      <c r="BJ364" s="928"/>
      <c r="BK364" s="928"/>
      <c r="BL364" s="928"/>
      <c r="BM364" s="928"/>
      <c r="BN364" s="928"/>
      <c r="BO364" s="928"/>
      <c r="BP364" s="928"/>
      <c r="BQ364" s="928"/>
      <c r="BR364" s="928"/>
      <c r="BS364" s="928"/>
      <c r="BT364" s="928"/>
      <c r="BU364" s="928"/>
      <c r="BV364" s="928"/>
      <c r="BW364" s="928"/>
      <c r="BX364" s="928"/>
      <c r="BY364" s="928"/>
      <c r="BZ364" s="928"/>
      <c r="CA364" s="928"/>
      <c r="CB364" s="928"/>
      <c r="CC364" s="928"/>
      <c r="CD364" s="928"/>
      <c r="CE364" s="928"/>
      <c r="CF364" s="928"/>
      <c r="CG364" s="928"/>
      <c r="CH364" s="928"/>
      <c r="CI364" s="928"/>
      <c r="CJ364" s="928"/>
      <c r="CK364" s="928"/>
      <c r="CL364" s="928"/>
      <c r="CM364" s="928"/>
      <c r="CN364" s="928"/>
      <c r="CO364" s="928"/>
      <c r="CP364" s="928"/>
      <c r="CQ364" s="928"/>
      <c r="CR364" s="928"/>
      <c r="CS364" s="928"/>
      <c r="CT364" s="928"/>
      <c r="CU364" s="928"/>
      <c r="CV364" s="928"/>
      <c r="CW364" s="928"/>
      <c r="CX364" s="928"/>
      <c r="CY364" s="928"/>
      <c r="CZ364" s="928"/>
      <c r="DA364" s="928"/>
      <c r="DB364" s="928"/>
      <c r="DC364" s="928"/>
      <c r="DD364" s="928"/>
      <c r="DE364" s="928"/>
      <c r="DF364" s="928"/>
      <c r="DG364" s="928"/>
      <c r="DH364" s="928"/>
    </row>
    <row r="365" spans="1:112">
      <c r="H365" s="897"/>
      <c r="I365" s="897"/>
      <c r="J365" s="891"/>
      <c r="K365" s="891"/>
      <c r="L365" s="891"/>
      <c r="M365" s="891"/>
      <c r="N365" s="891"/>
      <c r="O365" s="891"/>
      <c r="P365" s="891"/>
      <c r="Q365" s="891"/>
      <c r="R365" s="891"/>
      <c r="S365" s="891"/>
      <c r="T365" s="891"/>
      <c r="U365" s="928"/>
      <c r="V365" s="928"/>
      <c r="W365" s="928"/>
      <c r="X365" s="928"/>
      <c r="Y365" s="928"/>
      <c r="Z365" s="928"/>
      <c r="AA365" s="928"/>
      <c r="AB365" s="928"/>
      <c r="AC365" s="928"/>
      <c r="AD365" s="928"/>
      <c r="AE365" s="928"/>
      <c r="AF365" s="928"/>
      <c r="AG365" s="928"/>
      <c r="AH365" s="928"/>
      <c r="AI365" s="928"/>
      <c r="AJ365" s="928"/>
      <c r="AK365" s="928"/>
      <c r="AL365" s="928"/>
      <c r="AM365" s="928"/>
      <c r="AN365" s="928"/>
      <c r="AO365" s="928"/>
      <c r="AP365" s="928"/>
      <c r="AQ365" s="928"/>
      <c r="AR365" s="928"/>
      <c r="AS365" s="928"/>
      <c r="AT365" s="928"/>
      <c r="AU365" s="928"/>
      <c r="AV365" s="928"/>
      <c r="AW365" s="928"/>
      <c r="AX365" s="928"/>
      <c r="AY365" s="928"/>
      <c r="AZ365" s="928"/>
      <c r="BA365" s="928"/>
      <c r="BB365" s="928"/>
      <c r="BC365" s="928"/>
      <c r="BD365" s="928"/>
      <c r="BE365" s="928"/>
      <c r="BF365" s="928"/>
      <c r="BG365" s="928"/>
      <c r="BH365" s="928"/>
      <c r="BI365" s="928"/>
      <c r="BJ365" s="928"/>
      <c r="BK365" s="928"/>
      <c r="BL365" s="928"/>
      <c r="BM365" s="928"/>
      <c r="BN365" s="928"/>
      <c r="BO365" s="928"/>
      <c r="BP365" s="928"/>
      <c r="BQ365" s="928"/>
      <c r="BR365" s="928"/>
      <c r="BS365" s="928"/>
      <c r="BT365" s="928"/>
      <c r="BU365" s="928"/>
      <c r="BV365" s="928"/>
      <c r="BW365" s="928"/>
      <c r="BX365" s="928"/>
      <c r="BY365" s="928"/>
      <c r="BZ365" s="928"/>
      <c r="CA365" s="928"/>
      <c r="CB365" s="928"/>
      <c r="CC365" s="928"/>
      <c r="CD365" s="928"/>
      <c r="CE365" s="928"/>
      <c r="CF365" s="928"/>
      <c r="CG365" s="928"/>
      <c r="CH365" s="928"/>
      <c r="CI365" s="928"/>
      <c r="CJ365" s="928"/>
      <c r="CK365" s="928"/>
      <c r="CL365" s="928"/>
      <c r="CM365" s="928"/>
      <c r="CN365" s="928"/>
      <c r="CO365" s="928"/>
      <c r="CP365" s="928"/>
      <c r="CQ365" s="928"/>
      <c r="CR365" s="928"/>
      <c r="CS365" s="928"/>
      <c r="CT365" s="928"/>
      <c r="CU365" s="928"/>
      <c r="CV365" s="928"/>
      <c r="CW365" s="928"/>
      <c r="CX365" s="928"/>
      <c r="CY365" s="928"/>
      <c r="CZ365" s="928"/>
      <c r="DA365" s="928"/>
      <c r="DB365" s="928"/>
      <c r="DC365" s="928"/>
      <c r="DD365" s="928"/>
      <c r="DE365" s="928"/>
      <c r="DF365" s="928"/>
      <c r="DG365" s="928"/>
      <c r="DH365" s="928"/>
    </row>
    <row r="366" spans="1:112">
      <c r="H366" s="897"/>
      <c r="I366" s="897"/>
      <c r="J366" s="891"/>
      <c r="K366" s="891"/>
      <c r="L366" s="891"/>
      <c r="M366" s="891"/>
      <c r="N366" s="891"/>
      <c r="O366" s="891"/>
      <c r="P366" s="891"/>
      <c r="Q366" s="891"/>
      <c r="R366" s="891"/>
      <c r="S366" s="891"/>
      <c r="T366" s="891"/>
      <c r="U366" s="928"/>
      <c r="V366" s="928"/>
      <c r="W366" s="928"/>
      <c r="X366" s="928"/>
      <c r="Y366" s="928"/>
      <c r="Z366" s="928"/>
      <c r="AA366" s="928"/>
      <c r="AB366" s="928"/>
      <c r="AC366" s="928"/>
      <c r="AD366" s="928"/>
      <c r="AE366" s="928"/>
      <c r="AF366" s="928"/>
      <c r="AG366" s="928"/>
      <c r="AH366" s="928"/>
      <c r="AI366" s="928"/>
      <c r="AJ366" s="928"/>
      <c r="AK366" s="928"/>
      <c r="AL366" s="928"/>
      <c r="AM366" s="928"/>
      <c r="AN366" s="928"/>
      <c r="AO366" s="928"/>
      <c r="AP366" s="928"/>
      <c r="AQ366" s="928"/>
      <c r="AR366" s="928"/>
      <c r="AS366" s="928"/>
      <c r="AT366" s="928"/>
      <c r="AU366" s="928"/>
      <c r="AV366" s="928"/>
      <c r="AW366" s="928"/>
      <c r="AX366" s="928"/>
      <c r="AY366" s="928"/>
      <c r="AZ366" s="928"/>
      <c r="BA366" s="928"/>
      <c r="BB366" s="928"/>
      <c r="BC366" s="928"/>
      <c r="BD366" s="928"/>
      <c r="BE366" s="928"/>
      <c r="BF366" s="928"/>
      <c r="BG366" s="928"/>
      <c r="BH366" s="928"/>
      <c r="BI366" s="928"/>
      <c r="BJ366" s="928"/>
      <c r="BK366" s="928"/>
      <c r="BL366" s="928"/>
      <c r="BM366" s="928"/>
      <c r="BN366" s="928"/>
      <c r="BO366" s="928"/>
      <c r="BP366" s="928"/>
      <c r="BQ366" s="928"/>
      <c r="BR366" s="928"/>
      <c r="BS366" s="928"/>
      <c r="BT366" s="928"/>
      <c r="BU366" s="928"/>
      <c r="BV366" s="928"/>
      <c r="BW366" s="928"/>
      <c r="BX366" s="928"/>
      <c r="BY366" s="928"/>
      <c r="BZ366" s="928"/>
      <c r="CA366" s="928"/>
      <c r="CB366" s="928"/>
      <c r="CC366" s="928"/>
      <c r="CD366" s="928"/>
      <c r="CE366" s="928"/>
      <c r="CF366" s="928"/>
      <c r="CG366" s="928"/>
      <c r="CH366" s="928"/>
      <c r="CI366" s="928"/>
      <c r="CJ366" s="928"/>
      <c r="CK366" s="928"/>
      <c r="CL366" s="928"/>
      <c r="CM366" s="928"/>
      <c r="CN366" s="928"/>
      <c r="CO366" s="928"/>
      <c r="CP366" s="928"/>
      <c r="CQ366" s="928"/>
      <c r="CR366" s="928"/>
      <c r="CS366" s="928"/>
      <c r="CT366" s="928"/>
      <c r="CU366" s="928"/>
      <c r="CV366" s="928"/>
      <c r="CW366" s="928"/>
      <c r="CX366" s="928"/>
      <c r="CY366" s="928"/>
      <c r="CZ366" s="928"/>
      <c r="DA366" s="928"/>
      <c r="DB366" s="928"/>
      <c r="DC366" s="928"/>
      <c r="DD366" s="928"/>
      <c r="DE366" s="928"/>
      <c r="DF366" s="928"/>
      <c r="DG366" s="928"/>
      <c r="DH366" s="928"/>
    </row>
    <row r="367" spans="1:112">
      <c r="H367" s="897"/>
      <c r="I367" s="897"/>
      <c r="J367" s="891"/>
      <c r="K367" s="891"/>
      <c r="L367" s="891"/>
      <c r="M367" s="891"/>
      <c r="N367" s="891"/>
      <c r="O367" s="891"/>
      <c r="P367" s="891"/>
      <c r="Q367" s="891"/>
      <c r="R367" s="891"/>
      <c r="S367" s="891"/>
      <c r="T367" s="891"/>
      <c r="U367" s="928"/>
      <c r="V367" s="928"/>
      <c r="W367" s="928"/>
      <c r="X367" s="928"/>
      <c r="Y367" s="928"/>
      <c r="Z367" s="928"/>
      <c r="AA367" s="928"/>
      <c r="AB367" s="928"/>
      <c r="AC367" s="928"/>
      <c r="AD367" s="928"/>
      <c r="AE367" s="928"/>
      <c r="AF367" s="928"/>
      <c r="AG367" s="928"/>
      <c r="AH367" s="928"/>
      <c r="AI367" s="928"/>
      <c r="AJ367" s="928"/>
      <c r="AK367" s="928"/>
      <c r="AL367" s="928"/>
      <c r="AM367" s="928"/>
      <c r="AN367" s="928"/>
      <c r="AO367" s="928"/>
      <c r="AP367" s="928"/>
      <c r="AQ367" s="928"/>
      <c r="AR367" s="928"/>
      <c r="AS367" s="928"/>
      <c r="AT367" s="928"/>
      <c r="AU367" s="928"/>
      <c r="AV367" s="928"/>
      <c r="AW367" s="928"/>
      <c r="AX367" s="928"/>
      <c r="AY367" s="928"/>
      <c r="AZ367" s="928"/>
      <c r="BA367" s="928"/>
      <c r="BB367" s="928"/>
      <c r="BC367" s="928"/>
      <c r="BD367" s="928"/>
      <c r="BE367" s="928"/>
      <c r="BF367" s="928"/>
      <c r="BG367" s="928"/>
      <c r="BH367" s="928"/>
      <c r="BI367" s="928"/>
      <c r="BJ367" s="928"/>
      <c r="BK367" s="928"/>
      <c r="BL367" s="928"/>
      <c r="BM367" s="928"/>
      <c r="BN367" s="928"/>
      <c r="BO367" s="928"/>
      <c r="BP367" s="928"/>
      <c r="BQ367" s="928"/>
      <c r="BR367" s="928"/>
      <c r="BS367" s="928"/>
      <c r="BT367" s="928"/>
      <c r="BU367" s="928"/>
      <c r="BV367" s="928"/>
      <c r="BW367" s="928"/>
      <c r="BX367" s="928"/>
      <c r="BY367" s="928"/>
      <c r="BZ367" s="928"/>
      <c r="CA367" s="928"/>
      <c r="CB367" s="928"/>
      <c r="CC367" s="928"/>
      <c r="CD367" s="928"/>
      <c r="CE367" s="928"/>
      <c r="CF367" s="928"/>
      <c r="CG367" s="928"/>
      <c r="CH367" s="928"/>
      <c r="CI367" s="928"/>
      <c r="CJ367" s="928"/>
      <c r="CK367" s="928"/>
      <c r="CL367" s="928"/>
      <c r="CM367" s="928"/>
      <c r="CN367" s="928"/>
      <c r="CO367" s="928"/>
      <c r="CP367" s="928"/>
      <c r="CQ367" s="928"/>
      <c r="CR367" s="928"/>
      <c r="CS367" s="928"/>
      <c r="CT367" s="928"/>
      <c r="CU367" s="928"/>
      <c r="CV367" s="928"/>
      <c r="CW367" s="928"/>
      <c r="CX367" s="928"/>
      <c r="CY367" s="928"/>
      <c r="CZ367" s="928"/>
      <c r="DA367" s="928"/>
      <c r="DB367" s="928"/>
      <c r="DC367" s="928"/>
      <c r="DD367" s="928"/>
      <c r="DE367" s="928"/>
      <c r="DF367" s="928"/>
      <c r="DG367" s="928"/>
      <c r="DH367" s="928"/>
    </row>
    <row r="368" spans="1:112">
      <c r="H368" s="897"/>
      <c r="I368" s="897"/>
      <c r="J368" s="891"/>
      <c r="K368" s="891"/>
      <c r="L368" s="891"/>
      <c r="M368" s="891"/>
      <c r="N368" s="891"/>
      <c r="O368" s="891"/>
      <c r="P368" s="891"/>
      <c r="Q368" s="891"/>
      <c r="R368" s="891"/>
      <c r="S368" s="891"/>
      <c r="T368" s="891"/>
      <c r="U368" s="928"/>
      <c r="V368" s="928"/>
      <c r="W368" s="928"/>
      <c r="X368" s="928"/>
      <c r="Y368" s="928"/>
      <c r="Z368" s="928"/>
      <c r="AA368" s="928"/>
      <c r="AB368" s="928"/>
      <c r="AC368" s="928"/>
      <c r="AD368" s="928"/>
      <c r="AE368" s="928"/>
      <c r="AF368" s="928"/>
      <c r="AG368" s="928"/>
      <c r="AH368" s="928"/>
      <c r="AI368" s="928"/>
      <c r="AJ368" s="928"/>
      <c r="AK368" s="928"/>
      <c r="AL368" s="928"/>
      <c r="AM368" s="928"/>
      <c r="AN368" s="928"/>
      <c r="AO368" s="928"/>
      <c r="AP368" s="928"/>
      <c r="AQ368" s="928"/>
      <c r="AR368" s="928"/>
      <c r="AS368" s="928"/>
      <c r="AT368" s="928"/>
      <c r="AU368" s="928"/>
      <c r="AV368" s="928"/>
      <c r="AW368" s="928"/>
      <c r="AX368" s="928"/>
      <c r="AY368" s="928"/>
      <c r="AZ368" s="928"/>
      <c r="BA368" s="928"/>
      <c r="BB368" s="928"/>
      <c r="BC368" s="928"/>
      <c r="BD368" s="928"/>
      <c r="BE368" s="928"/>
      <c r="BF368" s="928"/>
      <c r="BG368" s="928"/>
      <c r="BH368" s="928"/>
      <c r="BI368" s="928"/>
      <c r="BJ368" s="928"/>
      <c r="BK368" s="928"/>
      <c r="BL368" s="928"/>
      <c r="BM368" s="928"/>
      <c r="BN368" s="928"/>
      <c r="BO368" s="928"/>
      <c r="BP368" s="928"/>
      <c r="BQ368" s="928"/>
      <c r="BR368" s="928"/>
      <c r="BS368" s="928"/>
      <c r="BT368" s="928"/>
      <c r="BU368" s="928"/>
      <c r="BV368" s="928"/>
      <c r="BW368" s="928"/>
      <c r="BX368" s="928"/>
      <c r="BY368" s="928"/>
      <c r="BZ368" s="928"/>
      <c r="CA368" s="928"/>
      <c r="CB368" s="928"/>
      <c r="CC368" s="928"/>
      <c r="CD368" s="928"/>
      <c r="CE368" s="928"/>
      <c r="CF368" s="928"/>
      <c r="CG368" s="928"/>
      <c r="CH368" s="928"/>
      <c r="CI368" s="928"/>
      <c r="CJ368" s="928"/>
      <c r="CK368" s="928"/>
      <c r="CL368" s="928"/>
      <c r="CM368" s="928"/>
      <c r="CN368" s="928"/>
      <c r="CO368" s="928"/>
      <c r="CP368" s="928"/>
      <c r="CQ368" s="928"/>
      <c r="CR368" s="928"/>
      <c r="CS368" s="928"/>
      <c r="CT368" s="928"/>
      <c r="CU368" s="928"/>
      <c r="CV368" s="928"/>
      <c r="CW368" s="928"/>
      <c r="CX368" s="928"/>
      <c r="CY368" s="928"/>
      <c r="CZ368" s="928"/>
      <c r="DA368" s="928"/>
      <c r="DB368" s="928"/>
      <c r="DC368" s="928"/>
      <c r="DD368" s="928"/>
      <c r="DE368" s="928"/>
      <c r="DF368" s="928"/>
      <c r="DG368" s="928"/>
      <c r="DH368" s="928"/>
    </row>
    <row r="369" spans="8:112">
      <c r="H369" s="897"/>
      <c r="I369" s="897"/>
      <c r="J369" s="891"/>
      <c r="K369" s="891"/>
      <c r="L369" s="891"/>
      <c r="M369" s="891"/>
      <c r="N369" s="891"/>
      <c r="O369" s="891"/>
      <c r="P369" s="891"/>
      <c r="Q369" s="891"/>
      <c r="R369" s="891"/>
      <c r="S369" s="891"/>
      <c r="T369" s="891"/>
      <c r="U369" s="928"/>
      <c r="V369" s="928"/>
      <c r="W369" s="928"/>
      <c r="X369" s="928"/>
      <c r="Y369" s="928"/>
      <c r="Z369" s="928"/>
      <c r="AA369" s="928"/>
      <c r="AB369" s="928"/>
      <c r="AC369" s="928"/>
      <c r="AD369" s="928"/>
      <c r="AE369" s="928"/>
      <c r="AF369" s="928"/>
      <c r="AG369" s="928"/>
      <c r="AH369" s="928"/>
      <c r="AI369" s="928"/>
      <c r="AJ369" s="928"/>
      <c r="AK369" s="928"/>
      <c r="AL369" s="928"/>
      <c r="AM369" s="928"/>
      <c r="AN369" s="928"/>
      <c r="AO369" s="928"/>
      <c r="AP369" s="928"/>
      <c r="AQ369" s="928"/>
      <c r="AR369" s="928"/>
      <c r="AS369" s="928"/>
      <c r="AT369" s="928"/>
      <c r="AU369" s="928"/>
      <c r="AV369" s="928"/>
      <c r="AW369" s="928"/>
      <c r="AX369" s="928"/>
      <c r="AY369" s="928"/>
      <c r="AZ369" s="928"/>
      <c r="BA369" s="928"/>
      <c r="BB369" s="928"/>
      <c r="BC369" s="928"/>
      <c r="BD369" s="928"/>
      <c r="BE369" s="928"/>
      <c r="BF369" s="928"/>
      <c r="BG369" s="928"/>
      <c r="BH369" s="928"/>
      <c r="BI369" s="928"/>
      <c r="BJ369" s="928"/>
      <c r="BK369" s="928"/>
      <c r="BL369" s="928"/>
      <c r="BM369" s="928"/>
      <c r="BN369" s="928"/>
      <c r="BO369" s="928"/>
      <c r="BP369" s="928"/>
      <c r="BQ369" s="928"/>
      <c r="BR369" s="928"/>
      <c r="BS369" s="928"/>
      <c r="BT369" s="928"/>
      <c r="BU369" s="928"/>
      <c r="BV369" s="928"/>
      <c r="BW369" s="928"/>
      <c r="BX369" s="928"/>
      <c r="BY369" s="928"/>
      <c r="BZ369" s="928"/>
      <c r="CA369" s="928"/>
      <c r="CB369" s="928"/>
      <c r="CC369" s="928"/>
      <c r="CD369" s="928"/>
      <c r="CE369" s="928"/>
      <c r="CF369" s="928"/>
      <c r="CG369" s="928"/>
      <c r="CH369" s="928"/>
      <c r="CI369" s="928"/>
      <c r="CJ369" s="928"/>
      <c r="CK369" s="928"/>
      <c r="CL369" s="928"/>
      <c r="CM369" s="928"/>
      <c r="CN369" s="928"/>
      <c r="CO369" s="928"/>
      <c r="CP369" s="928"/>
      <c r="CQ369" s="928"/>
      <c r="CR369" s="928"/>
      <c r="CS369" s="928"/>
      <c r="CT369" s="928"/>
      <c r="CU369" s="928"/>
      <c r="CV369" s="928"/>
      <c r="CW369" s="928"/>
      <c r="CX369" s="928"/>
      <c r="CY369" s="928"/>
      <c r="CZ369" s="928"/>
      <c r="DA369" s="928"/>
      <c r="DB369" s="928"/>
      <c r="DC369" s="928"/>
      <c r="DD369" s="928"/>
      <c r="DE369" s="928"/>
      <c r="DF369" s="928"/>
      <c r="DG369" s="928"/>
      <c r="DH369" s="928"/>
    </row>
    <row r="370" spans="8:112">
      <c r="H370" s="897"/>
      <c r="I370" s="897"/>
      <c r="J370" s="891"/>
      <c r="K370" s="891"/>
      <c r="L370" s="891"/>
      <c r="M370" s="891"/>
      <c r="N370" s="891"/>
      <c r="O370" s="891"/>
      <c r="P370" s="891"/>
      <c r="Q370" s="891"/>
      <c r="R370" s="891"/>
      <c r="S370" s="891"/>
      <c r="T370" s="891"/>
      <c r="U370" s="928"/>
      <c r="V370" s="928"/>
      <c r="W370" s="928"/>
      <c r="X370" s="928"/>
      <c r="Y370" s="928"/>
      <c r="Z370" s="928"/>
      <c r="AA370" s="928"/>
      <c r="AB370" s="928"/>
      <c r="AC370" s="928"/>
      <c r="AD370" s="928"/>
      <c r="AE370" s="928"/>
      <c r="AF370" s="928"/>
      <c r="AG370" s="928"/>
      <c r="AH370" s="928"/>
      <c r="AI370" s="928"/>
      <c r="AJ370" s="928"/>
      <c r="AK370" s="928"/>
      <c r="AL370" s="928"/>
      <c r="AM370" s="928"/>
      <c r="AN370" s="928"/>
      <c r="AO370" s="928"/>
      <c r="AP370" s="928"/>
      <c r="AQ370" s="928"/>
      <c r="AR370" s="928"/>
      <c r="AS370" s="928"/>
      <c r="AT370" s="928"/>
      <c r="AU370" s="928"/>
      <c r="AV370" s="928"/>
      <c r="AW370" s="928"/>
      <c r="AX370" s="928"/>
      <c r="AY370" s="928"/>
      <c r="AZ370" s="928"/>
      <c r="BA370" s="928"/>
      <c r="BB370" s="928"/>
      <c r="BC370" s="928"/>
      <c r="BD370" s="928"/>
      <c r="BE370" s="928"/>
      <c r="BF370" s="928"/>
      <c r="BG370" s="928"/>
      <c r="BH370" s="928"/>
      <c r="BI370" s="928"/>
      <c r="BJ370" s="928"/>
      <c r="BK370" s="928"/>
      <c r="BL370" s="928"/>
      <c r="BM370" s="928"/>
      <c r="BN370" s="928"/>
      <c r="BO370" s="928"/>
      <c r="BP370" s="928"/>
      <c r="BQ370" s="928"/>
      <c r="BR370" s="928"/>
      <c r="BS370" s="928"/>
      <c r="BT370" s="928"/>
      <c r="BU370" s="928"/>
      <c r="BV370" s="928"/>
      <c r="BW370" s="928"/>
      <c r="BX370" s="928"/>
      <c r="BY370" s="928"/>
      <c r="BZ370" s="928"/>
      <c r="CA370" s="928"/>
      <c r="CB370" s="928"/>
      <c r="CC370" s="928"/>
      <c r="CD370" s="928"/>
      <c r="CE370" s="928"/>
      <c r="CF370" s="928"/>
      <c r="CG370" s="928"/>
      <c r="CH370" s="928"/>
      <c r="CI370" s="928"/>
      <c r="CJ370" s="928"/>
      <c r="CK370" s="928"/>
      <c r="CL370" s="928"/>
      <c r="CM370" s="928"/>
      <c r="CN370" s="928"/>
      <c r="CO370" s="928"/>
      <c r="CP370" s="928"/>
      <c r="CQ370" s="928"/>
      <c r="CR370" s="928"/>
      <c r="CS370" s="928"/>
      <c r="CT370" s="928"/>
      <c r="CU370" s="928"/>
      <c r="CV370" s="928"/>
      <c r="CW370" s="928"/>
      <c r="CX370" s="928"/>
      <c r="CY370" s="928"/>
      <c r="CZ370" s="928"/>
      <c r="DA370" s="928"/>
      <c r="DB370" s="928"/>
      <c r="DC370" s="928"/>
      <c r="DD370" s="928"/>
      <c r="DE370" s="928"/>
      <c r="DF370" s="928"/>
      <c r="DG370" s="928"/>
      <c r="DH370" s="928"/>
    </row>
    <row r="371" spans="8:112">
      <c r="H371" s="897"/>
      <c r="I371" s="897"/>
      <c r="J371" s="891"/>
      <c r="K371" s="891"/>
      <c r="L371" s="891"/>
      <c r="M371" s="891"/>
      <c r="N371" s="891"/>
      <c r="O371" s="891"/>
      <c r="P371" s="891"/>
      <c r="Q371" s="891"/>
      <c r="R371" s="891"/>
      <c r="S371" s="891"/>
      <c r="T371" s="891"/>
      <c r="U371" s="928"/>
      <c r="V371" s="928"/>
      <c r="W371" s="928"/>
      <c r="X371" s="928"/>
      <c r="Y371" s="928"/>
      <c r="Z371" s="928"/>
      <c r="AA371" s="928"/>
      <c r="AB371" s="928"/>
      <c r="AC371" s="928"/>
      <c r="AD371" s="928"/>
      <c r="AE371" s="928"/>
      <c r="AF371" s="928"/>
      <c r="AG371" s="928"/>
      <c r="AH371" s="928"/>
      <c r="AI371" s="928"/>
      <c r="AJ371" s="928"/>
      <c r="AK371" s="928"/>
      <c r="AL371" s="928"/>
      <c r="AM371" s="928"/>
      <c r="AN371" s="928"/>
      <c r="AO371" s="928"/>
      <c r="AP371" s="928"/>
      <c r="AQ371" s="928"/>
      <c r="AR371" s="928"/>
      <c r="AS371" s="928"/>
      <c r="AT371" s="928"/>
      <c r="AU371" s="928"/>
      <c r="AV371" s="928"/>
      <c r="AW371" s="928"/>
      <c r="AX371" s="928"/>
      <c r="AY371" s="928"/>
      <c r="AZ371" s="928"/>
      <c r="BA371" s="928"/>
      <c r="BB371" s="928"/>
      <c r="BC371" s="928"/>
      <c r="BD371" s="928"/>
      <c r="BE371" s="928"/>
      <c r="BF371" s="928"/>
      <c r="BG371" s="928"/>
      <c r="BH371" s="928"/>
      <c r="BI371" s="928"/>
      <c r="BJ371" s="928"/>
      <c r="BK371" s="928"/>
      <c r="BL371" s="928"/>
      <c r="BM371" s="928"/>
      <c r="BN371" s="928"/>
      <c r="BO371" s="928"/>
      <c r="BP371" s="928"/>
      <c r="BQ371" s="928"/>
      <c r="BR371" s="928"/>
      <c r="BS371" s="928"/>
      <c r="BT371" s="928"/>
      <c r="BU371" s="928"/>
      <c r="BV371" s="928"/>
      <c r="BW371" s="928"/>
      <c r="BX371" s="928"/>
      <c r="BY371" s="928"/>
      <c r="BZ371" s="928"/>
      <c r="CA371" s="928"/>
      <c r="CB371" s="928"/>
      <c r="CC371" s="928"/>
      <c r="CD371" s="928"/>
      <c r="CE371" s="928"/>
      <c r="CF371" s="928"/>
      <c r="CG371" s="928"/>
      <c r="CH371" s="928"/>
      <c r="CI371" s="928"/>
      <c r="CJ371" s="928"/>
      <c r="CK371" s="928"/>
      <c r="CL371" s="928"/>
      <c r="CM371" s="928"/>
      <c r="CN371" s="928"/>
      <c r="CO371" s="928"/>
      <c r="CP371" s="928"/>
      <c r="CQ371" s="928"/>
      <c r="CR371" s="928"/>
      <c r="CS371" s="928"/>
      <c r="CT371" s="928"/>
      <c r="CU371" s="928"/>
      <c r="CV371" s="928"/>
      <c r="CW371" s="928"/>
      <c r="CX371" s="928"/>
      <c r="CY371" s="928"/>
      <c r="CZ371" s="928"/>
      <c r="DA371" s="928"/>
      <c r="DB371" s="928"/>
      <c r="DC371" s="928"/>
      <c r="DD371" s="928"/>
      <c r="DE371" s="928"/>
      <c r="DF371" s="928"/>
      <c r="DG371" s="928"/>
      <c r="DH371" s="928"/>
    </row>
    <row r="372" spans="8:112">
      <c r="H372" s="897"/>
      <c r="I372" s="897"/>
      <c r="J372" s="891"/>
      <c r="K372" s="891"/>
      <c r="L372" s="891"/>
      <c r="M372" s="891"/>
      <c r="N372" s="891"/>
      <c r="O372" s="891"/>
      <c r="P372" s="891"/>
      <c r="Q372" s="891"/>
      <c r="R372" s="891"/>
      <c r="S372" s="891"/>
      <c r="T372" s="891"/>
      <c r="U372" s="928"/>
      <c r="V372" s="928"/>
      <c r="W372" s="928"/>
      <c r="X372" s="928"/>
      <c r="Y372" s="928"/>
      <c r="Z372" s="928"/>
      <c r="AA372" s="928"/>
      <c r="AB372" s="928"/>
      <c r="AC372" s="928"/>
      <c r="AD372" s="928"/>
      <c r="AE372" s="928"/>
      <c r="AF372" s="928"/>
      <c r="AG372" s="928"/>
      <c r="AH372" s="928"/>
      <c r="AI372" s="928"/>
      <c r="AJ372" s="928"/>
      <c r="AK372" s="928"/>
      <c r="AL372" s="928"/>
      <c r="AM372" s="928"/>
      <c r="AN372" s="928"/>
      <c r="AO372" s="928"/>
      <c r="AP372" s="928"/>
      <c r="AQ372" s="928"/>
      <c r="AR372" s="928"/>
      <c r="AS372" s="928"/>
      <c r="AT372" s="928"/>
      <c r="AU372" s="928"/>
      <c r="AV372" s="928"/>
      <c r="AW372" s="928"/>
      <c r="AX372" s="928"/>
      <c r="AY372" s="928"/>
      <c r="AZ372" s="928"/>
      <c r="BA372" s="928"/>
      <c r="BB372" s="928"/>
      <c r="BC372" s="928"/>
      <c r="BD372" s="928"/>
      <c r="BE372" s="928"/>
      <c r="BF372" s="928"/>
      <c r="BG372" s="928"/>
      <c r="BH372" s="928"/>
      <c r="BI372" s="928"/>
      <c r="BJ372" s="928"/>
      <c r="BK372" s="928"/>
      <c r="BL372" s="928"/>
      <c r="BM372" s="928"/>
      <c r="BN372" s="928"/>
      <c r="BO372" s="928"/>
      <c r="BP372" s="928"/>
      <c r="BQ372" s="928"/>
      <c r="BR372" s="928"/>
      <c r="BS372" s="928"/>
      <c r="BT372" s="928"/>
      <c r="BU372" s="928"/>
      <c r="BV372" s="928"/>
      <c r="BW372" s="928"/>
      <c r="BX372" s="928"/>
      <c r="BY372" s="928"/>
      <c r="BZ372" s="928"/>
      <c r="CA372" s="928"/>
      <c r="CB372" s="928"/>
      <c r="CC372" s="928"/>
      <c r="CD372" s="928"/>
      <c r="CE372" s="928"/>
      <c r="CF372" s="928"/>
      <c r="CG372" s="928"/>
      <c r="CH372" s="928"/>
      <c r="CI372" s="928"/>
      <c r="CJ372" s="928"/>
      <c r="CK372" s="928"/>
      <c r="CL372" s="928"/>
      <c r="CM372" s="928"/>
      <c r="CN372" s="928"/>
      <c r="CO372" s="928"/>
      <c r="CP372" s="928"/>
      <c r="CQ372" s="928"/>
      <c r="CR372" s="928"/>
      <c r="CS372" s="928"/>
      <c r="CT372" s="928"/>
      <c r="CU372" s="928"/>
      <c r="CV372" s="928"/>
      <c r="CW372" s="928"/>
      <c r="CX372" s="928"/>
      <c r="CY372" s="928"/>
      <c r="CZ372" s="928"/>
      <c r="DA372" s="928"/>
      <c r="DB372" s="928"/>
      <c r="DC372" s="928"/>
      <c r="DD372" s="928"/>
      <c r="DE372" s="928"/>
      <c r="DF372" s="928"/>
      <c r="DG372" s="928"/>
      <c r="DH372" s="928"/>
    </row>
    <row r="373" spans="8:112">
      <c r="H373" s="897"/>
      <c r="I373" s="897"/>
      <c r="J373" s="891"/>
      <c r="K373" s="891"/>
      <c r="L373" s="891"/>
      <c r="M373" s="891"/>
      <c r="N373" s="891"/>
      <c r="O373" s="891"/>
      <c r="P373" s="891"/>
      <c r="Q373" s="891"/>
      <c r="R373" s="891"/>
      <c r="S373" s="891"/>
      <c r="T373" s="891"/>
      <c r="U373" s="928"/>
      <c r="V373" s="928"/>
      <c r="W373" s="928"/>
      <c r="X373" s="928"/>
      <c r="Y373" s="928"/>
      <c r="Z373" s="928"/>
      <c r="AA373" s="928"/>
      <c r="AB373" s="928"/>
      <c r="AC373" s="928"/>
      <c r="AD373" s="928"/>
      <c r="AE373" s="928"/>
      <c r="AF373" s="928"/>
      <c r="AG373" s="928"/>
      <c r="AH373" s="928"/>
      <c r="AI373" s="928"/>
      <c r="AJ373" s="928"/>
      <c r="AK373" s="928"/>
      <c r="AL373" s="928"/>
      <c r="AM373" s="928"/>
      <c r="AN373" s="928"/>
      <c r="AO373" s="928"/>
      <c r="AP373" s="928"/>
      <c r="AQ373" s="928"/>
      <c r="AR373" s="928"/>
      <c r="AS373" s="928"/>
      <c r="AT373" s="928"/>
      <c r="AU373" s="928"/>
      <c r="AV373" s="928"/>
      <c r="AW373" s="928"/>
      <c r="AX373" s="928"/>
      <c r="AY373" s="928"/>
      <c r="AZ373" s="928"/>
      <c r="BA373" s="928"/>
      <c r="BB373" s="928"/>
      <c r="BC373" s="928"/>
      <c r="BD373" s="928"/>
      <c r="BE373" s="928"/>
      <c r="BF373" s="928"/>
      <c r="BG373" s="928"/>
      <c r="BH373" s="928"/>
      <c r="BI373" s="928"/>
      <c r="BJ373" s="928"/>
      <c r="BK373" s="928"/>
      <c r="BL373" s="928"/>
      <c r="BM373" s="928"/>
      <c r="BN373" s="928"/>
      <c r="BO373" s="928"/>
      <c r="BP373" s="928"/>
      <c r="BQ373" s="928"/>
      <c r="BR373" s="928"/>
      <c r="BS373" s="928"/>
      <c r="BT373" s="928"/>
      <c r="BU373" s="928"/>
      <c r="BV373" s="928"/>
      <c r="BW373" s="928"/>
      <c r="BX373" s="928"/>
      <c r="BY373" s="928"/>
      <c r="BZ373" s="928"/>
      <c r="CA373" s="928"/>
      <c r="CB373" s="928"/>
      <c r="CC373" s="928"/>
      <c r="CD373" s="928"/>
      <c r="CE373" s="928"/>
      <c r="CF373" s="928"/>
      <c r="CG373" s="928"/>
      <c r="CH373" s="928"/>
      <c r="CI373" s="928"/>
      <c r="CJ373" s="928"/>
      <c r="CK373" s="928"/>
      <c r="CL373" s="928"/>
      <c r="CM373" s="928"/>
      <c r="CN373" s="928"/>
      <c r="CO373" s="928"/>
      <c r="CP373" s="928"/>
      <c r="CQ373" s="928"/>
      <c r="CR373" s="928"/>
      <c r="CS373" s="928"/>
      <c r="CT373" s="928"/>
      <c r="CU373" s="928"/>
      <c r="CV373" s="928"/>
      <c r="CW373" s="928"/>
      <c r="CX373" s="928"/>
      <c r="CY373" s="928"/>
      <c r="CZ373" s="928"/>
      <c r="DA373" s="928"/>
      <c r="DB373" s="928"/>
      <c r="DC373" s="928"/>
      <c r="DD373" s="928"/>
      <c r="DE373" s="928"/>
      <c r="DF373" s="928"/>
      <c r="DG373" s="928"/>
      <c r="DH373" s="928"/>
    </row>
    <row r="374" spans="8:112">
      <c r="H374" s="897"/>
      <c r="I374" s="897"/>
      <c r="J374" s="891"/>
      <c r="K374" s="891"/>
      <c r="L374" s="891"/>
      <c r="M374" s="891"/>
      <c r="N374" s="891"/>
      <c r="O374" s="891"/>
      <c r="P374" s="891"/>
      <c r="Q374" s="891"/>
      <c r="R374" s="891"/>
      <c r="S374" s="891"/>
      <c r="T374" s="891"/>
      <c r="U374" s="928"/>
      <c r="V374" s="928"/>
      <c r="W374" s="928"/>
      <c r="X374" s="928"/>
      <c r="Y374" s="928"/>
      <c r="Z374" s="928"/>
      <c r="AA374" s="928"/>
      <c r="AB374" s="928"/>
      <c r="AC374" s="928"/>
      <c r="AD374" s="928"/>
      <c r="AE374" s="928"/>
      <c r="AF374" s="928"/>
      <c r="AG374" s="928"/>
      <c r="AH374" s="928"/>
      <c r="AI374" s="928"/>
      <c r="AJ374" s="928"/>
      <c r="AK374" s="928"/>
      <c r="AL374" s="928"/>
      <c r="AM374" s="928"/>
      <c r="AN374" s="928"/>
      <c r="AO374" s="928"/>
      <c r="AP374" s="928"/>
      <c r="AQ374" s="928"/>
      <c r="AR374" s="928"/>
      <c r="AS374" s="928"/>
      <c r="AT374" s="928"/>
      <c r="AU374" s="928"/>
      <c r="AV374" s="928"/>
      <c r="AW374" s="928"/>
      <c r="AX374" s="928"/>
      <c r="AY374" s="928"/>
      <c r="AZ374" s="928"/>
      <c r="BA374" s="928"/>
      <c r="BB374" s="928"/>
      <c r="BC374" s="928"/>
      <c r="BD374" s="928"/>
      <c r="BE374" s="928"/>
      <c r="BF374" s="928"/>
      <c r="BG374" s="928"/>
      <c r="BH374" s="928"/>
      <c r="BI374" s="928"/>
      <c r="BJ374" s="928"/>
      <c r="BK374" s="928"/>
      <c r="BL374" s="928"/>
      <c r="BM374" s="928"/>
      <c r="BN374" s="928"/>
      <c r="BO374" s="928"/>
      <c r="BP374" s="928"/>
      <c r="BQ374" s="928"/>
      <c r="BR374" s="928"/>
      <c r="BS374" s="928"/>
      <c r="BT374" s="928"/>
      <c r="BU374" s="928"/>
      <c r="BV374" s="928"/>
      <c r="BW374" s="928"/>
      <c r="BX374" s="928"/>
      <c r="BY374" s="928"/>
      <c r="BZ374" s="928"/>
      <c r="CA374" s="928"/>
      <c r="CB374" s="928"/>
      <c r="CC374" s="928"/>
      <c r="CD374" s="928"/>
      <c r="CE374" s="928"/>
      <c r="CF374" s="928"/>
      <c r="CG374" s="928"/>
      <c r="CH374" s="928"/>
      <c r="CI374" s="928"/>
      <c r="CJ374" s="928"/>
      <c r="CK374" s="928"/>
      <c r="CL374" s="928"/>
      <c r="CM374" s="928"/>
      <c r="CN374" s="928"/>
      <c r="CO374" s="928"/>
      <c r="CP374" s="928"/>
      <c r="CQ374" s="928"/>
      <c r="CR374" s="928"/>
      <c r="CS374" s="928"/>
      <c r="CT374" s="928"/>
      <c r="CU374" s="928"/>
      <c r="CV374" s="928"/>
      <c r="CW374" s="928"/>
      <c r="CX374" s="928"/>
      <c r="CY374" s="928"/>
      <c r="CZ374" s="928"/>
      <c r="DA374" s="928"/>
      <c r="DB374" s="928"/>
      <c r="DC374" s="928"/>
      <c r="DD374" s="928"/>
      <c r="DE374" s="928"/>
      <c r="DF374" s="928"/>
      <c r="DG374" s="928"/>
      <c r="DH374" s="928"/>
    </row>
    <row r="375" spans="8:112">
      <c r="H375" s="897"/>
      <c r="I375" s="897"/>
      <c r="J375" s="891"/>
      <c r="K375" s="891"/>
      <c r="L375" s="891"/>
      <c r="M375" s="891"/>
      <c r="N375" s="891"/>
      <c r="O375" s="891"/>
      <c r="P375" s="891"/>
      <c r="Q375" s="891"/>
      <c r="R375" s="891"/>
      <c r="S375" s="891"/>
      <c r="T375" s="891"/>
      <c r="U375" s="928"/>
      <c r="V375" s="928"/>
      <c r="W375" s="928"/>
      <c r="X375" s="928"/>
      <c r="Y375" s="928"/>
      <c r="Z375" s="928"/>
      <c r="AA375" s="928"/>
      <c r="AB375" s="928"/>
      <c r="AC375" s="928"/>
      <c r="AD375" s="928"/>
      <c r="AE375" s="928"/>
      <c r="AF375" s="928"/>
      <c r="AG375" s="928"/>
      <c r="AH375" s="928"/>
      <c r="AI375" s="928"/>
      <c r="AJ375" s="928"/>
      <c r="AK375" s="928"/>
      <c r="AL375" s="928"/>
      <c r="AM375" s="928"/>
      <c r="AN375" s="928"/>
      <c r="AO375" s="928"/>
      <c r="AP375" s="928"/>
      <c r="AQ375" s="928"/>
      <c r="AR375" s="928"/>
      <c r="AS375" s="928"/>
      <c r="AT375" s="928"/>
      <c r="AU375" s="928"/>
      <c r="AV375" s="928"/>
      <c r="AW375" s="928"/>
      <c r="AX375" s="928"/>
      <c r="AY375" s="928"/>
      <c r="AZ375" s="928"/>
      <c r="BA375" s="928"/>
      <c r="BB375" s="928"/>
      <c r="BC375" s="928"/>
      <c r="BD375" s="928"/>
      <c r="BE375" s="928"/>
      <c r="BF375" s="928"/>
      <c r="BG375" s="928"/>
      <c r="BH375" s="928"/>
      <c r="BI375" s="928"/>
      <c r="BJ375" s="928"/>
      <c r="BK375" s="928"/>
      <c r="BL375" s="928"/>
      <c r="BM375" s="928"/>
      <c r="BN375" s="928"/>
      <c r="BO375" s="928"/>
      <c r="BP375" s="928"/>
      <c r="BQ375" s="928"/>
      <c r="BR375" s="928"/>
      <c r="BS375" s="928"/>
      <c r="BT375" s="928"/>
      <c r="BU375" s="928"/>
      <c r="BV375" s="928"/>
      <c r="BW375" s="928"/>
      <c r="BX375" s="928"/>
      <c r="BY375" s="928"/>
      <c r="BZ375" s="928"/>
      <c r="CA375" s="928"/>
      <c r="CB375" s="928"/>
      <c r="CC375" s="928"/>
      <c r="CD375" s="928"/>
      <c r="CE375" s="928"/>
      <c r="CF375" s="928"/>
      <c r="CG375" s="928"/>
      <c r="CH375" s="928"/>
      <c r="CI375" s="928"/>
      <c r="CJ375" s="928"/>
      <c r="CK375" s="928"/>
      <c r="CL375" s="928"/>
      <c r="CM375" s="928"/>
      <c r="CN375" s="928"/>
      <c r="CO375" s="928"/>
      <c r="CP375" s="928"/>
      <c r="CQ375" s="928"/>
      <c r="CR375" s="928"/>
      <c r="CS375" s="928"/>
      <c r="CT375" s="928"/>
      <c r="CU375" s="928"/>
      <c r="CV375" s="928"/>
      <c r="CW375" s="928"/>
      <c r="CX375" s="928"/>
      <c r="CY375" s="928"/>
      <c r="CZ375" s="928"/>
      <c r="DA375" s="928"/>
      <c r="DB375" s="928"/>
      <c r="DC375" s="928"/>
      <c r="DD375" s="928"/>
      <c r="DE375" s="928"/>
      <c r="DF375" s="928"/>
      <c r="DG375" s="928"/>
      <c r="DH375" s="928"/>
    </row>
    <row r="376" spans="8:112">
      <c r="H376" s="897"/>
      <c r="I376" s="897"/>
      <c r="J376" s="891"/>
      <c r="K376" s="891"/>
      <c r="L376" s="891"/>
      <c r="M376" s="891"/>
      <c r="N376" s="891"/>
      <c r="O376" s="891"/>
      <c r="P376" s="891"/>
      <c r="Q376" s="891"/>
      <c r="R376" s="891"/>
      <c r="S376" s="891"/>
      <c r="T376" s="891"/>
      <c r="U376" s="928"/>
      <c r="V376" s="928"/>
      <c r="W376" s="928"/>
      <c r="X376" s="928"/>
      <c r="Y376" s="928"/>
      <c r="Z376" s="928"/>
      <c r="AA376" s="928"/>
      <c r="AB376" s="928"/>
      <c r="AC376" s="928"/>
      <c r="AD376" s="928"/>
      <c r="AE376" s="928"/>
      <c r="AF376" s="928"/>
      <c r="AG376" s="928"/>
      <c r="AH376" s="928"/>
      <c r="AI376" s="928"/>
      <c r="AJ376" s="928"/>
      <c r="AK376" s="928"/>
      <c r="AL376" s="928"/>
      <c r="AM376" s="928"/>
      <c r="AN376" s="928"/>
      <c r="AO376" s="928"/>
      <c r="AP376" s="928"/>
      <c r="AQ376" s="928"/>
      <c r="AR376" s="928"/>
      <c r="AS376" s="928"/>
      <c r="AT376" s="928"/>
      <c r="AU376" s="928"/>
      <c r="AV376" s="928"/>
      <c r="AW376" s="928"/>
      <c r="AX376" s="928"/>
      <c r="AY376" s="928"/>
      <c r="AZ376" s="928"/>
      <c r="BA376" s="928"/>
      <c r="BB376" s="928"/>
      <c r="BC376" s="928"/>
      <c r="BD376" s="928"/>
      <c r="BE376" s="928"/>
      <c r="BF376" s="928"/>
      <c r="BG376" s="928"/>
      <c r="BH376" s="928"/>
      <c r="BI376" s="928"/>
      <c r="BJ376" s="928"/>
      <c r="BK376" s="928"/>
      <c r="BL376" s="928"/>
      <c r="BM376" s="928"/>
      <c r="BN376" s="928"/>
      <c r="BO376" s="928"/>
      <c r="BP376" s="928"/>
      <c r="BQ376" s="928"/>
      <c r="BR376" s="928"/>
      <c r="BS376" s="928"/>
      <c r="BT376" s="928"/>
      <c r="BU376" s="928"/>
      <c r="BV376" s="928"/>
      <c r="BW376" s="928"/>
      <c r="BX376" s="928"/>
      <c r="BY376" s="928"/>
      <c r="BZ376" s="928"/>
      <c r="CA376" s="928"/>
      <c r="CB376" s="928"/>
      <c r="CC376" s="928"/>
      <c r="CD376" s="928"/>
      <c r="CE376" s="928"/>
      <c r="CF376" s="928"/>
      <c r="CG376" s="928"/>
      <c r="CH376" s="928"/>
      <c r="CI376" s="928"/>
      <c r="CJ376" s="928"/>
      <c r="CK376" s="928"/>
      <c r="CL376" s="928"/>
      <c r="CM376" s="928"/>
      <c r="CN376" s="928"/>
      <c r="CO376" s="928"/>
      <c r="CP376" s="928"/>
      <c r="CQ376" s="928"/>
      <c r="CR376" s="928"/>
      <c r="CS376" s="928"/>
      <c r="CT376" s="928"/>
      <c r="CU376" s="928"/>
      <c r="CV376" s="928"/>
      <c r="CW376" s="928"/>
      <c r="CX376" s="928"/>
      <c r="CY376" s="928"/>
      <c r="CZ376" s="928"/>
      <c r="DA376" s="928"/>
      <c r="DB376" s="928"/>
      <c r="DC376" s="928"/>
      <c r="DD376" s="928"/>
      <c r="DE376" s="928"/>
      <c r="DF376" s="928"/>
      <c r="DG376" s="928"/>
      <c r="DH376" s="928"/>
    </row>
    <row r="377" spans="8:112">
      <c r="H377" s="897"/>
      <c r="I377" s="897"/>
      <c r="J377" s="891"/>
      <c r="K377" s="891"/>
      <c r="L377" s="891"/>
      <c r="M377" s="891"/>
      <c r="N377" s="891"/>
      <c r="O377" s="891"/>
      <c r="P377" s="891"/>
      <c r="Q377" s="891"/>
      <c r="R377" s="891"/>
      <c r="S377" s="891"/>
      <c r="T377" s="891"/>
      <c r="U377" s="928"/>
      <c r="V377" s="928"/>
      <c r="W377" s="928"/>
      <c r="X377" s="928"/>
      <c r="Y377" s="928"/>
      <c r="Z377" s="928"/>
      <c r="AA377" s="928"/>
      <c r="AB377" s="928"/>
      <c r="AC377" s="928"/>
      <c r="AD377" s="928"/>
      <c r="AE377" s="928"/>
      <c r="AF377" s="928"/>
      <c r="AG377" s="928"/>
      <c r="AH377" s="928"/>
      <c r="AI377" s="928"/>
      <c r="AJ377" s="928"/>
      <c r="AK377" s="928"/>
      <c r="AL377" s="928"/>
      <c r="AM377" s="928"/>
      <c r="AN377" s="928"/>
      <c r="AO377" s="928"/>
      <c r="AP377" s="928"/>
      <c r="AQ377" s="928"/>
      <c r="AR377" s="928"/>
      <c r="AS377" s="928"/>
      <c r="AT377" s="928"/>
      <c r="AU377" s="928"/>
      <c r="AV377" s="928"/>
      <c r="AW377" s="928"/>
      <c r="AX377" s="928"/>
      <c r="AY377" s="928"/>
      <c r="AZ377" s="928"/>
      <c r="BA377" s="928"/>
      <c r="BB377" s="928"/>
      <c r="BC377" s="928"/>
      <c r="BD377" s="928"/>
      <c r="BE377" s="928"/>
      <c r="BF377" s="928"/>
      <c r="BG377" s="928"/>
      <c r="BH377" s="928"/>
      <c r="BI377" s="928"/>
      <c r="BJ377" s="928"/>
      <c r="BK377" s="928"/>
      <c r="BL377" s="928"/>
      <c r="BM377" s="928"/>
      <c r="BN377" s="928"/>
      <c r="BO377" s="928"/>
      <c r="BP377" s="928"/>
      <c r="BQ377" s="928"/>
      <c r="BR377" s="928"/>
      <c r="BS377" s="928"/>
      <c r="BT377" s="928"/>
      <c r="BU377" s="928"/>
      <c r="BV377" s="928"/>
      <c r="BW377" s="928"/>
      <c r="BX377" s="928"/>
      <c r="BY377" s="928"/>
      <c r="BZ377" s="928"/>
      <c r="CA377" s="928"/>
      <c r="CB377" s="928"/>
      <c r="CC377" s="928"/>
      <c r="CD377" s="928"/>
      <c r="CE377" s="928"/>
      <c r="CF377" s="928"/>
      <c r="CG377" s="928"/>
      <c r="CH377" s="928"/>
      <c r="CI377" s="928"/>
      <c r="CJ377" s="928"/>
      <c r="CK377" s="928"/>
      <c r="CL377" s="928"/>
      <c r="CM377" s="928"/>
      <c r="CN377" s="928"/>
      <c r="CO377" s="928"/>
      <c r="CP377" s="928"/>
      <c r="CQ377" s="928"/>
      <c r="CR377" s="928"/>
      <c r="CS377" s="928"/>
      <c r="CT377" s="928"/>
      <c r="CU377" s="928"/>
      <c r="CV377" s="928"/>
      <c r="CW377" s="928"/>
      <c r="CX377" s="928"/>
      <c r="CY377" s="928"/>
      <c r="CZ377" s="928"/>
      <c r="DA377" s="928"/>
      <c r="DB377" s="928"/>
      <c r="DC377" s="928"/>
      <c r="DD377" s="928"/>
      <c r="DE377" s="928"/>
      <c r="DF377" s="928"/>
      <c r="DG377" s="928"/>
      <c r="DH377" s="928"/>
    </row>
    <row r="378" spans="8:112">
      <c r="H378" s="897"/>
      <c r="I378" s="897"/>
      <c r="J378" s="891"/>
      <c r="K378" s="891"/>
      <c r="L378" s="891"/>
      <c r="M378" s="891"/>
      <c r="N378" s="891"/>
      <c r="O378" s="891"/>
      <c r="P378" s="891"/>
      <c r="Q378" s="891"/>
      <c r="R378" s="891"/>
      <c r="S378" s="891"/>
      <c r="T378" s="891"/>
      <c r="U378" s="928"/>
      <c r="V378" s="928"/>
      <c r="W378" s="928"/>
      <c r="X378" s="928"/>
      <c r="Y378" s="928"/>
      <c r="Z378" s="928"/>
      <c r="AA378" s="928"/>
      <c r="AB378" s="928"/>
      <c r="AC378" s="928"/>
      <c r="AD378" s="928"/>
      <c r="AE378" s="928"/>
      <c r="AF378" s="928"/>
      <c r="AG378" s="928"/>
      <c r="AH378" s="928"/>
      <c r="AI378" s="928"/>
      <c r="AJ378" s="928"/>
      <c r="AK378" s="928"/>
      <c r="AL378" s="928"/>
      <c r="AM378" s="928"/>
      <c r="AN378" s="928"/>
      <c r="AO378" s="928"/>
      <c r="AP378" s="928"/>
      <c r="AQ378" s="928"/>
      <c r="AR378" s="928"/>
      <c r="AS378" s="928"/>
      <c r="AT378" s="928"/>
      <c r="AU378" s="928"/>
      <c r="AV378" s="928"/>
      <c r="AW378" s="928"/>
      <c r="AX378" s="928"/>
      <c r="AY378" s="928"/>
      <c r="AZ378" s="928"/>
      <c r="BA378" s="928"/>
      <c r="BB378" s="928"/>
      <c r="BC378" s="928"/>
      <c r="BD378" s="928"/>
      <c r="BE378" s="928"/>
      <c r="BF378" s="928"/>
      <c r="BG378" s="928"/>
      <c r="BH378" s="928"/>
      <c r="BI378" s="928"/>
      <c r="BJ378" s="928"/>
      <c r="BK378" s="928"/>
      <c r="BL378" s="928"/>
      <c r="BM378" s="928"/>
      <c r="BN378" s="928"/>
      <c r="BO378" s="928"/>
      <c r="BP378" s="928"/>
      <c r="BQ378" s="928"/>
      <c r="BR378" s="928"/>
      <c r="BS378" s="928"/>
      <c r="BT378" s="928"/>
      <c r="BU378" s="928"/>
      <c r="BV378" s="928"/>
      <c r="BW378" s="928"/>
      <c r="BX378" s="928"/>
      <c r="BY378" s="928"/>
      <c r="BZ378" s="928"/>
      <c r="CA378" s="928"/>
      <c r="CB378" s="928"/>
      <c r="CC378" s="928"/>
      <c r="CD378" s="928"/>
      <c r="CE378" s="928"/>
      <c r="CF378" s="928"/>
      <c r="CG378" s="928"/>
      <c r="CH378" s="928"/>
      <c r="CI378" s="928"/>
      <c r="CJ378" s="928"/>
      <c r="CK378" s="928"/>
      <c r="CL378" s="928"/>
      <c r="CM378" s="928"/>
      <c r="CN378" s="928"/>
      <c r="CO378" s="928"/>
      <c r="CP378" s="928"/>
      <c r="CQ378" s="928"/>
      <c r="CR378" s="928"/>
      <c r="CS378" s="928"/>
      <c r="CT378" s="928"/>
      <c r="CU378" s="928"/>
      <c r="CV378" s="928"/>
      <c r="CW378" s="928"/>
      <c r="CX378" s="928"/>
      <c r="CY378" s="928"/>
      <c r="CZ378" s="928"/>
      <c r="DA378" s="928"/>
      <c r="DB378" s="928"/>
      <c r="DC378" s="928"/>
      <c r="DD378" s="928"/>
      <c r="DE378" s="928"/>
      <c r="DF378" s="928"/>
      <c r="DG378" s="928"/>
      <c r="DH378" s="928"/>
    </row>
    <row r="379" spans="8:112">
      <c r="H379" s="897"/>
      <c r="I379" s="897"/>
      <c r="J379" s="891"/>
      <c r="K379" s="891"/>
      <c r="L379" s="891"/>
      <c r="M379" s="891"/>
      <c r="N379" s="891"/>
      <c r="O379" s="891"/>
      <c r="P379" s="891"/>
      <c r="Q379" s="891"/>
      <c r="R379" s="891"/>
      <c r="S379" s="891"/>
      <c r="T379" s="891"/>
      <c r="U379" s="928"/>
      <c r="V379" s="928"/>
      <c r="W379" s="928"/>
      <c r="X379" s="928"/>
      <c r="Y379" s="928"/>
      <c r="Z379" s="928"/>
      <c r="AA379" s="928"/>
      <c r="AB379" s="928"/>
      <c r="AC379" s="928"/>
      <c r="AD379" s="928"/>
      <c r="AE379" s="928"/>
      <c r="AF379" s="928"/>
      <c r="AG379" s="928"/>
      <c r="AH379" s="928"/>
      <c r="AI379" s="928"/>
      <c r="AJ379" s="928"/>
      <c r="AK379" s="928"/>
      <c r="AL379" s="928"/>
      <c r="AM379" s="928"/>
      <c r="AN379" s="928"/>
      <c r="AO379" s="928"/>
      <c r="AP379" s="928"/>
      <c r="AQ379" s="928"/>
      <c r="AR379" s="928"/>
      <c r="AS379" s="928"/>
      <c r="AT379" s="928"/>
      <c r="AU379" s="928"/>
      <c r="AV379" s="928"/>
      <c r="AW379" s="928"/>
      <c r="AX379" s="928"/>
      <c r="AY379" s="928"/>
      <c r="AZ379" s="928"/>
      <c r="BA379" s="928"/>
      <c r="BB379" s="928"/>
      <c r="BC379" s="928"/>
      <c r="BD379" s="928"/>
      <c r="BE379" s="928"/>
      <c r="BF379" s="928"/>
      <c r="BG379" s="928"/>
      <c r="BH379" s="928"/>
      <c r="BI379" s="928"/>
      <c r="BJ379" s="928"/>
      <c r="BK379" s="928"/>
      <c r="BL379" s="928"/>
      <c r="BM379" s="928"/>
      <c r="BN379" s="928"/>
      <c r="BO379" s="928"/>
      <c r="BP379" s="928"/>
      <c r="BQ379" s="928"/>
      <c r="BR379" s="928"/>
      <c r="BS379" s="928"/>
      <c r="BT379" s="928"/>
      <c r="BU379" s="928"/>
      <c r="BV379" s="928"/>
      <c r="BW379" s="928"/>
      <c r="BX379" s="928"/>
      <c r="BY379" s="928"/>
      <c r="BZ379" s="928"/>
      <c r="CA379" s="928"/>
      <c r="CB379" s="928"/>
      <c r="CC379" s="928"/>
      <c r="CD379" s="928"/>
      <c r="CE379" s="928"/>
      <c r="CF379" s="928"/>
      <c r="CG379" s="928"/>
      <c r="CH379" s="928"/>
      <c r="CI379" s="928"/>
      <c r="CJ379" s="928"/>
      <c r="CK379" s="928"/>
      <c r="CL379" s="928"/>
      <c r="CM379" s="928"/>
      <c r="CN379" s="928"/>
      <c r="CO379" s="928"/>
      <c r="CP379" s="928"/>
      <c r="CQ379" s="928"/>
      <c r="CR379" s="928"/>
      <c r="CS379" s="928"/>
      <c r="CT379" s="928"/>
      <c r="CU379" s="928"/>
      <c r="CV379" s="928"/>
      <c r="CW379" s="928"/>
      <c r="CX379" s="928"/>
      <c r="CY379" s="928"/>
      <c r="CZ379" s="928"/>
      <c r="DA379" s="928"/>
      <c r="DB379" s="928"/>
      <c r="DC379" s="928"/>
      <c r="DD379" s="928"/>
      <c r="DE379" s="928"/>
      <c r="DF379" s="928"/>
      <c r="DG379" s="928"/>
      <c r="DH379" s="928"/>
    </row>
    <row r="380" spans="8:112">
      <c r="H380" s="897"/>
      <c r="I380" s="897"/>
      <c r="J380" s="891"/>
      <c r="K380" s="891"/>
      <c r="L380" s="891"/>
      <c r="M380" s="891"/>
      <c r="N380" s="891"/>
      <c r="O380" s="891"/>
      <c r="P380" s="891"/>
      <c r="Q380" s="891"/>
      <c r="R380" s="891"/>
      <c r="S380" s="891"/>
      <c r="T380" s="891"/>
      <c r="U380" s="928"/>
      <c r="V380" s="928"/>
      <c r="W380" s="928"/>
      <c r="X380" s="928"/>
      <c r="Y380" s="928"/>
      <c r="Z380" s="928"/>
      <c r="AA380" s="928"/>
      <c r="AB380" s="928"/>
      <c r="AC380" s="928"/>
      <c r="AD380" s="928"/>
      <c r="AE380" s="928"/>
      <c r="AF380" s="928"/>
      <c r="AG380" s="928"/>
      <c r="AH380" s="928"/>
      <c r="AI380" s="928"/>
      <c r="AJ380" s="928"/>
      <c r="AK380" s="928"/>
      <c r="AL380" s="928"/>
      <c r="AM380" s="928"/>
      <c r="AN380" s="928"/>
      <c r="AO380" s="928"/>
      <c r="AP380" s="928"/>
      <c r="AQ380" s="928"/>
      <c r="AR380" s="928"/>
      <c r="AS380" s="928"/>
      <c r="AT380" s="928"/>
      <c r="AU380" s="928"/>
      <c r="AV380" s="928"/>
      <c r="AW380" s="928"/>
      <c r="AX380" s="928"/>
      <c r="AY380" s="928"/>
      <c r="AZ380" s="928"/>
      <c r="BA380" s="928"/>
      <c r="BB380" s="928"/>
      <c r="BC380" s="928"/>
      <c r="BD380" s="928"/>
      <c r="BE380" s="928"/>
      <c r="BF380" s="928"/>
      <c r="BG380" s="928"/>
      <c r="BH380" s="928"/>
      <c r="BI380" s="928"/>
      <c r="BJ380" s="928"/>
      <c r="BK380" s="928"/>
      <c r="BL380" s="928"/>
      <c r="BM380" s="928"/>
      <c r="BN380" s="928"/>
      <c r="BO380" s="928"/>
      <c r="BP380" s="928"/>
      <c r="BQ380" s="928"/>
      <c r="BR380" s="928"/>
      <c r="BS380" s="928"/>
      <c r="BT380" s="928"/>
      <c r="BU380" s="928"/>
      <c r="BV380" s="928"/>
      <c r="BW380" s="928"/>
      <c r="BX380" s="928"/>
      <c r="BY380" s="928"/>
      <c r="BZ380" s="928"/>
      <c r="CA380" s="928"/>
      <c r="CB380" s="928"/>
      <c r="CC380" s="928"/>
      <c r="CD380" s="928"/>
      <c r="CE380" s="928"/>
      <c r="CF380" s="928"/>
      <c r="CG380" s="928"/>
      <c r="CH380" s="928"/>
      <c r="CI380" s="928"/>
      <c r="CJ380" s="928"/>
      <c r="CK380" s="928"/>
      <c r="CL380" s="928"/>
      <c r="CM380" s="928"/>
      <c r="CN380" s="928"/>
      <c r="CO380" s="928"/>
      <c r="CP380" s="928"/>
      <c r="CQ380" s="928"/>
      <c r="CR380" s="928"/>
      <c r="CS380" s="928"/>
      <c r="CT380" s="928"/>
      <c r="CU380" s="928"/>
      <c r="CV380" s="928"/>
      <c r="CW380" s="928"/>
      <c r="CX380" s="928"/>
      <c r="CY380" s="928"/>
      <c r="CZ380" s="928"/>
      <c r="DA380" s="928"/>
      <c r="DB380" s="928"/>
      <c r="DC380" s="928"/>
      <c r="DD380" s="928"/>
      <c r="DE380" s="928"/>
      <c r="DF380" s="928"/>
      <c r="DG380" s="928"/>
      <c r="DH380" s="928"/>
    </row>
    <row r="381" spans="8:112">
      <c r="H381" s="897"/>
      <c r="I381" s="897"/>
      <c r="J381" s="891"/>
      <c r="K381" s="891"/>
      <c r="L381" s="891"/>
      <c r="M381" s="891"/>
      <c r="N381" s="891"/>
      <c r="O381" s="891"/>
      <c r="P381" s="891"/>
      <c r="Q381" s="891"/>
      <c r="R381" s="891"/>
      <c r="S381" s="891"/>
      <c r="T381" s="891"/>
      <c r="U381" s="928"/>
      <c r="V381" s="928"/>
      <c r="W381" s="928"/>
      <c r="X381" s="928"/>
      <c r="Y381" s="928"/>
      <c r="Z381" s="928"/>
      <c r="AA381" s="928"/>
      <c r="AB381" s="928"/>
      <c r="AC381" s="928"/>
      <c r="AD381" s="928"/>
      <c r="AE381" s="928"/>
      <c r="AF381" s="928"/>
      <c r="AG381" s="928"/>
      <c r="AH381" s="928"/>
      <c r="AI381" s="928"/>
      <c r="AJ381" s="928"/>
      <c r="AK381" s="928"/>
      <c r="AL381" s="928"/>
      <c r="AM381" s="928"/>
      <c r="AN381" s="928"/>
      <c r="AO381" s="928"/>
      <c r="AP381" s="928"/>
      <c r="AQ381" s="928"/>
      <c r="AR381" s="928"/>
      <c r="AS381" s="928"/>
      <c r="AT381" s="928"/>
      <c r="AU381" s="928"/>
      <c r="AV381" s="928"/>
      <c r="AW381" s="928"/>
      <c r="AX381" s="928"/>
      <c r="AY381" s="928"/>
      <c r="AZ381" s="928"/>
      <c r="BA381" s="928"/>
      <c r="BB381" s="928"/>
      <c r="BC381" s="928"/>
      <c r="BD381" s="928"/>
      <c r="BE381" s="928"/>
      <c r="BF381" s="928"/>
      <c r="BG381" s="928"/>
      <c r="BH381" s="928"/>
      <c r="BI381" s="928"/>
      <c r="BJ381" s="928"/>
      <c r="BK381" s="928"/>
      <c r="BL381" s="928"/>
      <c r="BM381" s="928"/>
      <c r="BN381" s="928"/>
      <c r="BO381" s="928"/>
      <c r="BP381" s="928"/>
      <c r="BQ381" s="928"/>
      <c r="BR381" s="928"/>
      <c r="BS381" s="928"/>
      <c r="BT381" s="928"/>
      <c r="BU381" s="928"/>
      <c r="BV381" s="928"/>
      <c r="BW381" s="928"/>
      <c r="BX381" s="928"/>
      <c r="BY381" s="928"/>
      <c r="BZ381" s="928"/>
      <c r="CA381" s="928"/>
      <c r="CB381" s="928"/>
      <c r="CC381" s="928"/>
      <c r="CD381" s="928"/>
      <c r="CE381" s="928"/>
      <c r="CF381" s="928"/>
      <c r="CG381" s="928"/>
      <c r="CH381" s="928"/>
      <c r="CI381" s="928"/>
      <c r="CJ381" s="928"/>
      <c r="CK381" s="928"/>
      <c r="CL381" s="928"/>
      <c r="CM381" s="928"/>
      <c r="CN381" s="928"/>
      <c r="CO381" s="928"/>
      <c r="CP381" s="928"/>
      <c r="CQ381" s="928"/>
      <c r="CR381" s="928"/>
      <c r="CS381" s="928"/>
      <c r="CT381" s="928"/>
      <c r="CU381" s="928"/>
      <c r="CV381" s="928"/>
      <c r="CW381" s="928"/>
      <c r="CX381" s="928"/>
      <c r="CY381" s="928"/>
      <c r="CZ381" s="928"/>
      <c r="DA381" s="928"/>
      <c r="DB381" s="928"/>
      <c r="DC381" s="928"/>
      <c r="DD381" s="928"/>
      <c r="DE381" s="928"/>
      <c r="DF381" s="928"/>
      <c r="DG381" s="928"/>
      <c r="DH381" s="928"/>
    </row>
    <row r="382" spans="8:112">
      <c r="H382" s="897"/>
      <c r="I382" s="897"/>
      <c r="J382" s="891"/>
      <c r="K382" s="891"/>
      <c r="L382" s="891"/>
      <c r="M382" s="891"/>
      <c r="N382" s="891"/>
      <c r="O382" s="891"/>
      <c r="P382" s="891"/>
      <c r="Q382" s="891"/>
      <c r="R382" s="891"/>
      <c r="S382" s="891"/>
      <c r="T382" s="891"/>
      <c r="U382" s="928"/>
      <c r="V382" s="928"/>
      <c r="W382" s="928"/>
      <c r="X382" s="928"/>
      <c r="Y382" s="928"/>
      <c r="Z382" s="928"/>
      <c r="AA382" s="928"/>
      <c r="AB382" s="928"/>
      <c r="AC382" s="928"/>
      <c r="AD382" s="928"/>
      <c r="AE382" s="928"/>
      <c r="AF382" s="928"/>
      <c r="AG382" s="928"/>
      <c r="AH382" s="928"/>
      <c r="AI382" s="928"/>
      <c r="AJ382" s="928"/>
      <c r="AK382" s="928"/>
      <c r="AL382" s="928"/>
      <c r="AM382" s="928"/>
      <c r="AN382" s="928"/>
      <c r="AO382" s="928"/>
      <c r="AP382" s="928"/>
      <c r="AQ382" s="928"/>
      <c r="AR382" s="928"/>
      <c r="AS382" s="928"/>
      <c r="AT382" s="928"/>
      <c r="AU382" s="928"/>
      <c r="AV382" s="928"/>
      <c r="AW382" s="928"/>
      <c r="AX382" s="928"/>
      <c r="AY382" s="928"/>
      <c r="AZ382" s="928"/>
      <c r="BA382" s="928"/>
      <c r="BB382" s="928"/>
      <c r="BC382" s="928"/>
      <c r="BD382" s="928"/>
      <c r="BE382" s="928"/>
      <c r="BF382" s="928"/>
      <c r="BG382" s="928"/>
      <c r="BH382" s="928"/>
      <c r="BI382" s="928"/>
      <c r="BJ382" s="928"/>
      <c r="BK382" s="928"/>
      <c r="BL382" s="928"/>
      <c r="BM382" s="928"/>
      <c r="BN382" s="928"/>
      <c r="BO382" s="928"/>
      <c r="BP382" s="928"/>
      <c r="BQ382" s="928"/>
      <c r="BR382" s="928"/>
      <c r="BS382" s="928"/>
      <c r="BT382" s="928"/>
      <c r="BU382" s="928"/>
      <c r="BV382" s="928"/>
      <c r="BW382" s="928"/>
      <c r="BX382" s="928"/>
      <c r="BY382" s="928"/>
      <c r="BZ382" s="928"/>
      <c r="CA382" s="928"/>
      <c r="CB382" s="928"/>
      <c r="CC382" s="928"/>
      <c r="CD382" s="928"/>
      <c r="CE382" s="928"/>
      <c r="CF382" s="928"/>
      <c r="CG382" s="928"/>
      <c r="CH382" s="928"/>
      <c r="CI382" s="928"/>
      <c r="CJ382" s="928"/>
      <c r="CK382" s="928"/>
      <c r="CL382" s="928"/>
      <c r="CM382" s="928"/>
      <c r="CN382" s="928"/>
      <c r="CO382" s="928"/>
      <c r="CP382" s="928"/>
      <c r="CQ382" s="928"/>
      <c r="CR382" s="928"/>
      <c r="CS382" s="928"/>
      <c r="CT382" s="928"/>
      <c r="CU382" s="928"/>
      <c r="CV382" s="928"/>
      <c r="CW382" s="928"/>
      <c r="CX382" s="928"/>
      <c r="CY382" s="928"/>
      <c r="CZ382" s="928"/>
      <c r="DA382" s="928"/>
      <c r="DB382" s="928"/>
      <c r="DC382" s="928"/>
      <c r="DD382" s="928"/>
      <c r="DE382" s="928"/>
      <c r="DF382" s="928"/>
      <c r="DG382" s="928"/>
      <c r="DH382" s="928"/>
    </row>
    <row r="383" spans="8:112">
      <c r="H383" s="897"/>
      <c r="I383" s="897"/>
      <c r="J383" s="891"/>
      <c r="K383" s="891"/>
      <c r="L383" s="891"/>
      <c r="M383" s="891"/>
      <c r="N383" s="891"/>
      <c r="O383" s="891"/>
      <c r="P383" s="891"/>
      <c r="Q383" s="891"/>
      <c r="R383" s="891"/>
      <c r="S383" s="891"/>
      <c r="T383" s="891"/>
      <c r="U383" s="928"/>
      <c r="V383" s="928"/>
      <c r="W383" s="928"/>
      <c r="X383" s="928"/>
      <c r="Y383" s="928"/>
      <c r="Z383" s="928"/>
      <c r="AA383" s="928"/>
      <c r="AB383" s="928"/>
      <c r="AC383" s="928"/>
      <c r="AD383" s="928"/>
      <c r="AE383" s="928"/>
      <c r="AF383" s="928"/>
      <c r="AG383" s="928"/>
      <c r="AH383" s="928"/>
      <c r="AI383" s="928"/>
      <c r="AJ383" s="928"/>
      <c r="AK383" s="928"/>
      <c r="AL383" s="928"/>
      <c r="AM383" s="928"/>
      <c r="AN383" s="928"/>
      <c r="AO383" s="928"/>
      <c r="AP383" s="928"/>
      <c r="AQ383" s="928"/>
      <c r="AR383" s="928"/>
      <c r="AS383" s="928"/>
      <c r="AT383" s="928"/>
      <c r="AU383" s="928"/>
      <c r="AV383" s="928"/>
      <c r="AW383" s="928"/>
      <c r="AX383" s="928"/>
      <c r="AY383" s="928"/>
      <c r="AZ383" s="928"/>
      <c r="BA383" s="928"/>
      <c r="BB383" s="928"/>
      <c r="BC383" s="928"/>
      <c r="BD383" s="928"/>
      <c r="BE383" s="928"/>
      <c r="BF383" s="928"/>
      <c r="BG383" s="928"/>
      <c r="BH383" s="928"/>
      <c r="BI383" s="928"/>
      <c r="BJ383" s="928"/>
      <c r="BK383" s="928"/>
      <c r="BL383" s="928"/>
      <c r="BM383" s="928"/>
      <c r="BN383" s="928"/>
      <c r="BO383" s="928"/>
      <c r="BP383" s="928"/>
      <c r="BQ383" s="928"/>
      <c r="BR383" s="928"/>
      <c r="BS383" s="928"/>
      <c r="BT383" s="928"/>
      <c r="BU383" s="928"/>
      <c r="BV383" s="928"/>
      <c r="BW383" s="928"/>
      <c r="BX383" s="928"/>
      <c r="BY383" s="928"/>
      <c r="BZ383" s="928"/>
      <c r="CA383" s="928"/>
      <c r="CB383" s="928"/>
      <c r="CC383" s="928"/>
      <c r="CD383" s="928"/>
      <c r="CE383" s="928"/>
      <c r="CF383" s="928"/>
      <c r="CG383" s="928"/>
      <c r="CH383" s="928"/>
      <c r="CI383" s="928"/>
      <c r="CJ383" s="928"/>
      <c r="CK383" s="928"/>
      <c r="CL383" s="928"/>
      <c r="CM383" s="928"/>
      <c r="CN383" s="928"/>
      <c r="CO383" s="928"/>
      <c r="CP383" s="928"/>
      <c r="CQ383" s="928"/>
      <c r="CR383" s="928"/>
      <c r="CS383" s="928"/>
      <c r="CT383" s="928"/>
      <c r="CU383" s="928"/>
      <c r="CV383" s="928"/>
      <c r="CW383" s="928"/>
      <c r="CX383" s="928"/>
      <c r="CY383" s="928"/>
      <c r="CZ383" s="928"/>
      <c r="DA383" s="928"/>
      <c r="DB383" s="928"/>
      <c r="DC383" s="928"/>
      <c r="DD383" s="928"/>
      <c r="DE383" s="928"/>
      <c r="DF383" s="928"/>
      <c r="DG383" s="928"/>
      <c r="DH383" s="928"/>
    </row>
    <row r="384" spans="8:112">
      <c r="H384" s="897"/>
      <c r="I384" s="897"/>
      <c r="J384" s="891"/>
      <c r="K384" s="891"/>
      <c r="L384" s="891"/>
      <c r="M384" s="891"/>
      <c r="N384" s="891"/>
      <c r="O384" s="891"/>
      <c r="P384" s="891"/>
      <c r="Q384" s="891"/>
      <c r="R384" s="891"/>
      <c r="S384" s="891"/>
      <c r="T384" s="891"/>
      <c r="U384" s="928"/>
      <c r="V384" s="928"/>
      <c r="W384" s="928"/>
      <c r="X384" s="928"/>
      <c r="Y384" s="928"/>
      <c r="Z384" s="928"/>
      <c r="AA384" s="928"/>
      <c r="AB384" s="928"/>
      <c r="AC384" s="928"/>
      <c r="AD384" s="928"/>
      <c r="AE384" s="928"/>
      <c r="AF384" s="928"/>
      <c r="AG384" s="928"/>
      <c r="AH384" s="928"/>
      <c r="AI384" s="928"/>
      <c r="AJ384" s="928"/>
      <c r="AK384" s="928"/>
      <c r="AL384" s="928"/>
      <c r="AM384" s="928"/>
      <c r="AN384" s="928"/>
      <c r="AO384" s="928"/>
      <c r="AP384" s="928"/>
      <c r="AQ384" s="928"/>
      <c r="AR384" s="928"/>
      <c r="AS384" s="928"/>
      <c r="AT384" s="928"/>
      <c r="AU384" s="928"/>
      <c r="AV384" s="928"/>
      <c r="AW384" s="928"/>
      <c r="AX384" s="928"/>
      <c r="AY384" s="928"/>
      <c r="AZ384" s="928"/>
      <c r="BA384" s="928"/>
      <c r="BB384" s="928"/>
      <c r="BC384" s="928"/>
      <c r="BD384" s="928"/>
      <c r="BE384" s="928"/>
      <c r="BF384" s="928"/>
      <c r="BG384" s="928"/>
      <c r="BH384" s="928"/>
      <c r="BI384" s="928"/>
      <c r="BJ384" s="928"/>
      <c r="BK384" s="928"/>
      <c r="BL384" s="928"/>
      <c r="BM384" s="928"/>
      <c r="BN384" s="928"/>
      <c r="BO384" s="928"/>
      <c r="BP384" s="928"/>
      <c r="BQ384" s="928"/>
      <c r="BR384" s="928"/>
      <c r="BS384" s="928"/>
      <c r="BT384" s="928"/>
      <c r="BU384" s="928"/>
      <c r="BV384" s="928"/>
      <c r="BW384" s="928"/>
      <c r="BX384" s="928"/>
      <c r="BY384" s="928"/>
      <c r="BZ384" s="928"/>
      <c r="CA384" s="928"/>
      <c r="CB384" s="928"/>
      <c r="CC384" s="928"/>
      <c r="CD384" s="928"/>
      <c r="CE384" s="928"/>
      <c r="CF384" s="928"/>
      <c r="CG384" s="928"/>
      <c r="CH384" s="928"/>
      <c r="CI384" s="928"/>
      <c r="CJ384" s="928"/>
      <c r="CK384" s="928"/>
      <c r="CL384" s="928"/>
      <c r="CM384" s="928"/>
      <c r="CN384" s="928"/>
      <c r="CO384" s="928"/>
      <c r="CP384" s="928"/>
      <c r="CQ384" s="928"/>
      <c r="CR384" s="928"/>
      <c r="CS384" s="928"/>
      <c r="CT384" s="928"/>
      <c r="CU384" s="928"/>
      <c r="CV384" s="928"/>
      <c r="CW384" s="928"/>
      <c r="CX384" s="928"/>
      <c r="CY384" s="928"/>
      <c r="CZ384" s="928"/>
      <c r="DA384" s="928"/>
      <c r="DB384" s="928"/>
      <c r="DC384" s="928"/>
      <c r="DD384" s="928"/>
      <c r="DE384" s="928"/>
      <c r="DF384" s="928"/>
      <c r="DG384" s="928"/>
      <c r="DH384" s="928"/>
    </row>
    <row r="385" spans="6:112">
      <c r="F385" s="898"/>
      <c r="H385" s="897"/>
      <c r="I385" s="897"/>
      <c r="J385" s="891"/>
      <c r="K385" s="891"/>
      <c r="L385" s="891"/>
      <c r="M385" s="891"/>
      <c r="N385" s="891"/>
      <c r="O385" s="891"/>
      <c r="P385" s="891"/>
      <c r="Q385" s="891"/>
      <c r="R385" s="891"/>
      <c r="S385" s="891"/>
      <c r="T385" s="891"/>
      <c r="U385" s="928"/>
      <c r="V385" s="928"/>
      <c r="W385" s="928"/>
      <c r="X385" s="928"/>
      <c r="Y385" s="928"/>
      <c r="Z385" s="928"/>
      <c r="AA385" s="928"/>
      <c r="AB385" s="928"/>
      <c r="AC385" s="928"/>
      <c r="AD385" s="928"/>
      <c r="AE385" s="928"/>
      <c r="AF385" s="928"/>
      <c r="AG385" s="928"/>
      <c r="AH385" s="928"/>
      <c r="AI385" s="928"/>
      <c r="AJ385" s="928"/>
      <c r="AK385" s="928"/>
      <c r="AL385" s="928"/>
      <c r="AM385" s="928"/>
      <c r="AN385" s="928"/>
      <c r="AO385" s="928"/>
      <c r="AP385" s="928"/>
      <c r="AQ385" s="928"/>
      <c r="AR385" s="928"/>
      <c r="AS385" s="928"/>
      <c r="AT385" s="928"/>
      <c r="AU385" s="928"/>
      <c r="AV385" s="928"/>
      <c r="AW385" s="928"/>
      <c r="AX385" s="928"/>
      <c r="AY385" s="928"/>
      <c r="AZ385" s="928"/>
      <c r="BA385" s="928"/>
      <c r="BB385" s="928"/>
      <c r="BC385" s="928"/>
      <c r="BD385" s="928"/>
      <c r="BE385" s="928"/>
      <c r="BF385" s="928"/>
      <c r="BG385" s="928"/>
      <c r="BH385" s="928"/>
      <c r="BI385" s="928"/>
      <c r="BJ385" s="928"/>
      <c r="BK385" s="928"/>
      <c r="BL385" s="928"/>
      <c r="BM385" s="928"/>
      <c r="BN385" s="928"/>
      <c r="BO385" s="928"/>
      <c r="BP385" s="928"/>
      <c r="BQ385" s="928"/>
      <c r="BR385" s="928"/>
      <c r="BS385" s="928"/>
      <c r="BT385" s="928"/>
      <c r="BU385" s="928"/>
      <c r="BV385" s="928"/>
      <c r="BW385" s="928"/>
      <c r="BX385" s="928"/>
      <c r="BY385" s="928"/>
      <c r="BZ385" s="928"/>
      <c r="CA385" s="928"/>
      <c r="CB385" s="928"/>
      <c r="CC385" s="928"/>
      <c r="CD385" s="928"/>
      <c r="CE385" s="928"/>
      <c r="CF385" s="928"/>
      <c r="CG385" s="928"/>
      <c r="CH385" s="928"/>
      <c r="CI385" s="928"/>
      <c r="CJ385" s="928"/>
      <c r="CK385" s="928"/>
      <c r="CL385" s="928"/>
      <c r="CM385" s="928"/>
      <c r="CN385" s="928"/>
      <c r="CO385" s="928"/>
      <c r="CP385" s="928"/>
      <c r="CQ385" s="928"/>
      <c r="CR385" s="928"/>
      <c r="CS385" s="928"/>
      <c r="CT385" s="928"/>
      <c r="CU385" s="928"/>
      <c r="CV385" s="928"/>
      <c r="CW385" s="928"/>
      <c r="CX385" s="928"/>
      <c r="CY385" s="928"/>
      <c r="CZ385" s="928"/>
      <c r="DA385" s="928"/>
      <c r="DB385" s="928"/>
      <c r="DC385" s="928"/>
      <c r="DD385" s="928"/>
      <c r="DE385" s="928"/>
      <c r="DF385" s="928"/>
      <c r="DG385" s="928"/>
      <c r="DH385" s="928"/>
    </row>
    <row r="386" spans="6:112">
      <c r="H386" s="897"/>
      <c r="I386" s="897"/>
      <c r="J386" s="891"/>
      <c r="K386" s="891"/>
      <c r="L386" s="891"/>
      <c r="M386" s="891"/>
      <c r="N386" s="891"/>
      <c r="O386" s="891"/>
      <c r="P386" s="891"/>
      <c r="Q386" s="891"/>
      <c r="R386" s="891"/>
      <c r="S386" s="891"/>
      <c r="T386" s="891"/>
      <c r="U386" s="928"/>
      <c r="V386" s="928"/>
      <c r="W386" s="928"/>
      <c r="X386" s="928"/>
      <c r="Y386" s="928"/>
      <c r="Z386" s="928"/>
      <c r="AA386" s="928"/>
      <c r="AB386" s="928"/>
      <c r="AC386" s="928"/>
      <c r="AD386" s="928"/>
      <c r="AE386" s="928"/>
      <c r="AF386" s="928"/>
      <c r="AG386" s="928"/>
      <c r="AH386" s="928"/>
      <c r="AI386" s="928"/>
      <c r="AJ386" s="928"/>
      <c r="AK386" s="928"/>
      <c r="AL386" s="928"/>
      <c r="AM386" s="928"/>
      <c r="AN386" s="928"/>
      <c r="AO386" s="928"/>
      <c r="AP386" s="928"/>
      <c r="AQ386" s="928"/>
      <c r="AR386" s="928"/>
      <c r="AS386" s="928"/>
      <c r="AT386" s="928"/>
      <c r="AU386" s="928"/>
      <c r="AV386" s="928"/>
      <c r="AW386" s="928"/>
      <c r="AX386" s="928"/>
      <c r="AY386" s="928"/>
      <c r="AZ386" s="928"/>
      <c r="BA386" s="928"/>
      <c r="BB386" s="928"/>
      <c r="BC386" s="928"/>
      <c r="BD386" s="928"/>
      <c r="BE386" s="928"/>
      <c r="BF386" s="928"/>
      <c r="BG386" s="928"/>
      <c r="BH386" s="928"/>
      <c r="BI386" s="928"/>
      <c r="BJ386" s="928"/>
      <c r="BK386" s="928"/>
      <c r="BL386" s="928"/>
      <c r="BM386" s="928"/>
      <c r="BN386" s="928"/>
      <c r="BO386" s="928"/>
      <c r="BP386" s="928"/>
      <c r="BQ386" s="928"/>
      <c r="BR386" s="928"/>
      <c r="BS386" s="928"/>
      <c r="BT386" s="928"/>
      <c r="BU386" s="928"/>
      <c r="BV386" s="928"/>
      <c r="BW386" s="928"/>
      <c r="BX386" s="928"/>
      <c r="BY386" s="928"/>
      <c r="BZ386" s="928"/>
      <c r="CA386" s="928"/>
      <c r="CB386" s="928"/>
      <c r="CC386" s="928"/>
      <c r="CD386" s="928"/>
      <c r="CE386" s="928"/>
      <c r="CF386" s="928"/>
      <c r="CG386" s="928"/>
      <c r="CH386" s="928"/>
      <c r="CI386" s="928"/>
      <c r="CJ386" s="928"/>
      <c r="CK386" s="928"/>
      <c r="CL386" s="928"/>
      <c r="CM386" s="928"/>
      <c r="CN386" s="928"/>
      <c r="CO386" s="928"/>
      <c r="CP386" s="928"/>
      <c r="CQ386" s="928"/>
      <c r="CR386" s="928"/>
      <c r="CS386" s="928"/>
      <c r="CT386" s="928"/>
      <c r="CU386" s="928"/>
      <c r="CV386" s="928"/>
      <c r="CW386" s="928"/>
      <c r="CX386" s="928"/>
      <c r="CY386" s="928"/>
      <c r="CZ386" s="928"/>
      <c r="DA386" s="928"/>
      <c r="DB386" s="928"/>
      <c r="DC386" s="928"/>
      <c r="DD386" s="928"/>
      <c r="DE386" s="928"/>
      <c r="DF386" s="928"/>
      <c r="DG386" s="928"/>
      <c r="DH386" s="928"/>
    </row>
    <row r="387" spans="6:112">
      <c r="H387" s="897"/>
      <c r="I387" s="897"/>
      <c r="J387" s="891"/>
      <c r="K387" s="891"/>
      <c r="L387" s="891"/>
      <c r="M387" s="891"/>
      <c r="N387" s="891"/>
      <c r="O387" s="891"/>
      <c r="P387" s="891"/>
      <c r="Q387" s="891"/>
      <c r="R387" s="891"/>
      <c r="S387" s="891"/>
      <c r="T387" s="891"/>
      <c r="U387" s="928"/>
      <c r="V387" s="928"/>
      <c r="W387" s="928"/>
      <c r="X387" s="928"/>
      <c r="Y387" s="928"/>
      <c r="Z387" s="928"/>
      <c r="AA387" s="928"/>
      <c r="AB387" s="928"/>
      <c r="AC387" s="928"/>
      <c r="AD387" s="928"/>
      <c r="AE387" s="928"/>
      <c r="AF387" s="928"/>
      <c r="AG387" s="928"/>
      <c r="AH387" s="928"/>
      <c r="AI387" s="928"/>
      <c r="AJ387" s="928"/>
      <c r="AK387" s="928"/>
      <c r="AL387" s="928"/>
      <c r="AM387" s="928"/>
      <c r="AN387" s="928"/>
      <c r="AO387" s="928"/>
      <c r="AP387" s="928"/>
      <c r="AQ387" s="928"/>
      <c r="AR387" s="928"/>
      <c r="AS387" s="928"/>
      <c r="AT387" s="928"/>
      <c r="AU387" s="928"/>
      <c r="AV387" s="928"/>
      <c r="AW387" s="928"/>
      <c r="AX387" s="928"/>
      <c r="AY387" s="928"/>
      <c r="AZ387" s="928"/>
      <c r="BA387" s="928"/>
      <c r="BB387" s="928"/>
      <c r="BC387" s="928"/>
      <c r="BD387" s="928"/>
      <c r="BE387" s="928"/>
      <c r="BF387" s="928"/>
      <c r="BG387" s="928"/>
      <c r="BH387" s="928"/>
      <c r="BI387" s="928"/>
      <c r="BJ387" s="928"/>
      <c r="BK387" s="928"/>
      <c r="BL387" s="928"/>
      <c r="BM387" s="928"/>
      <c r="BN387" s="928"/>
      <c r="BO387" s="928"/>
      <c r="BP387" s="928"/>
      <c r="BQ387" s="928"/>
      <c r="BR387" s="928"/>
      <c r="BS387" s="928"/>
      <c r="BT387" s="928"/>
      <c r="BU387" s="928"/>
      <c r="BV387" s="928"/>
      <c r="BW387" s="928"/>
      <c r="BX387" s="928"/>
      <c r="BY387" s="928"/>
      <c r="BZ387" s="928"/>
      <c r="CA387" s="928"/>
      <c r="CB387" s="928"/>
      <c r="CC387" s="928"/>
      <c r="CD387" s="928"/>
      <c r="CE387" s="928"/>
      <c r="CF387" s="928"/>
      <c r="CG387" s="928"/>
      <c r="CH387" s="928"/>
      <c r="CI387" s="928"/>
      <c r="CJ387" s="928"/>
      <c r="CK387" s="928"/>
      <c r="CL387" s="928"/>
      <c r="CM387" s="928"/>
      <c r="CN387" s="928"/>
      <c r="CO387" s="928"/>
      <c r="CP387" s="928"/>
      <c r="CQ387" s="928"/>
      <c r="CR387" s="928"/>
      <c r="CS387" s="928"/>
      <c r="CT387" s="928"/>
      <c r="CU387" s="928"/>
      <c r="CV387" s="928"/>
      <c r="CW387" s="928"/>
      <c r="CX387" s="928"/>
      <c r="CY387" s="928"/>
      <c r="CZ387" s="928"/>
      <c r="DA387" s="928"/>
      <c r="DB387" s="928"/>
      <c r="DC387" s="928"/>
      <c r="DD387" s="928"/>
      <c r="DE387" s="928"/>
      <c r="DF387" s="928"/>
      <c r="DG387" s="928"/>
      <c r="DH387" s="928"/>
    </row>
    <row r="388" spans="6:112">
      <c r="H388" s="897"/>
      <c r="I388" s="897"/>
      <c r="J388" s="891"/>
      <c r="K388" s="891"/>
      <c r="L388" s="891"/>
      <c r="M388" s="891"/>
      <c r="N388" s="891"/>
      <c r="O388" s="891"/>
      <c r="P388" s="891"/>
      <c r="Q388" s="891"/>
      <c r="R388" s="891"/>
      <c r="S388" s="891"/>
      <c r="T388" s="891"/>
      <c r="U388" s="928"/>
      <c r="V388" s="928"/>
      <c r="W388" s="928"/>
      <c r="X388" s="928"/>
      <c r="Y388" s="928"/>
      <c r="Z388" s="928"/>
      <c r="AA388" s="928"/>
      <c r="AB388" s="928"/>
      <c r="AC388" s="928"/>
      <c r="AD388" s="928"/>
      <c r="AE388" s="928"/>
      <c r="AF388" s="928"/>
      <c r="AG388" s="928"/>
      <c r="AH388" s="928"/>
      <c r="AI388" s="928"/>
      <c r="AJ388" s="928"/>
      <c r="AK388" s="928"/>
      <c r="AL388" s="928"/>
      <c r="AM388" s="928"/>
      <c r="AN388" s="928"/>
      <c r="AO388" s="928"/>
      <c r="AP388" s="928"/>
      <c r="AQ388" s="928"/>
      <c r="AR388" s="928"/>
      <c r="AS388" s="928"/>
      <c r="AT388" s="928"/>
      <c r="AU388" s="928"/>
      <c r="AV388" s="928"/>
      <c r="AW388" s="928"/>
      <c r="AX388" s="928"/>
      <c r="AY388" s="928"/>
      <c r="AZ388" s="928"/>
      <c r="BA388" s="928"/>
      <c r="BB388" s="928"/>
      <c r="BC388" s="928"/>
      <c r="BD388" s="928"/>
      <c r="BE388" s="928"/>
      <c r="BF388" s="928"/>
      <c r="BG388" s="928"/>
      <c r="BH388" s="928"/>
      <c r="BI388" s="928"/>
      <c r="BJ388" s="928"/>
      <c r="BK388" s="928"/>
      <c r="BL388" s="928"/>
      <c r="BM388" s="928"/>
      <c r="BN388" s="928"/>
      <c r="BO388" s="928"/>
      <c r="BP388" s="928"/>
      <c r="BQ388" s="928"/>
      <c r="BR388" s="928"/>
      <c r="BS388" s="928"/>
      <c r="BT388" s="928"/>
      <c r="BU388" s="928"/>
      <c r="BV388" s="928"/>
      <c r="BW388" s="928"/>
      <c r="BX388" s="928"/>
      <c r="BY388" s="928"/>
      <c r="BZ388" s="928"/>
      <c r="CA388" s="928"/>
      <c r="CB388" s="928"/>
      <c r="CC388" s="928"/>
      <c r="CD388" s="928"/>
      <c r="CE388" s="928"/>
      <c r="CF388" s="928"/>
      <c r="CG388" s="928"/>
      <c r="CH388" s="928"/>
      <c r="CI388" s="928"/>
      <c r="CJ388" s="928"/>
      <c r="CK388" s="928"/>
      <c r="CL388" s="928"/>
      <c r="CM388" s="928"/>
      <c r="CN388" s="928"/>
      <c r="CO388" s="928"/>
      <c r="CP388" s="928"/>
      <c r="CQ388" s="928"/>
      <c r="CR388" s="928"/>
      <c r="CS388" s="928"/>
      <c r="CT388" s="928"/>
      <c r="CU388" s="928"/>
      <c r="CV388" s="928"/>
      <c r="CW388" s="928"/>
      <c r="CX388" s="928"/>
      <c r="CY388" s="928"/>
      <c r="CZ388" s="928"/>
      <c r="DA388" s="928"/>
      <c r="DB388" s="928"/>
      <c r="DC388" s="928"/>
      <c r="DD388" s="928"/>
      <c r="DE388" s="928"/>
      <c r="DF388" s="928"/>
      <c r="DG388" s="928"/>
      <c r="DH388" s="928"/>
    </row>
    <row r="389" spans="6:112">
      <c r="H389" s="897"/>
      <c r="I389" s="897"/>
      <c r="J389" s="891"/>
      <c r="K389" s="891"/>
      <c r="L389" s="891"/>
      <c r="M389" s="891"/>
      <c r="N389" s="891"/>
      <c r="O389" s="891"/>
      <c r="P389" s="891"/>
      <c r="Q389" s="891"/>
      <c r="R389" s="891"/>
      <c r="S389" s="891"/>
      <c r="T389" s="891"/>
      <c r="U389" s="928"/>
      <c r="V389" s="928"/>
      <c r="W389" s="928"/>
      <c r="X389" s="928"/>
      <c r="Y389" s="928"/>
      <c r="Z389" s="928"/>
      <c r="AA389" s="928"/>
      <c r="AB389" s="928"/>
      <c r="AC389" s="928"/>
      <c r="AD389" s="928"/>
      <c r="AE389" s="928"/>
      <c r="AF389" s="928"/>
      <c r="AG389" s="928"/>
      <c r="AH389" s="928"/>
      <c r="AI389" s="928"/>
      <c r="AJ389" s="928"/>
      <c r="AK389" s="928"/>
      <c r="AL389" s="928"/>
      <c r="AM389" s="928"/>
      <c r="AN389" s="928"/>
      <c r="AO389" s="928"/>
      <c r="AP389" s="928"/>
      <c r="AQ389" s="928"/>
      <c r="AR389" s="928"/>
      <c r="AS389" s="928"/>
      <c r="AT389" s="928"/>
      <c r="AU389" s="928"/>
      <c r="AV389" s="928"/>
      <c r="AW389" s="928"/>
      <c r="AX389" s="928"/>
      <c r="AY389" s="928"/>
      <c r="AZ389" s="928"/>
      <c r="BA389" s="928"/>
      <c r="BB389" s="928"/>
      <c r="BC389" s="928"/>
      <c r="BD389" s="928"/>
      <c r="BE389" s="928"/>
      <c r="BF389" s="928"/>
      <c r="BG389" s="928"/>
      <c r="BH389" s="928"/>
      <c r="BI389" s="928"/>
      <c r="BJ389" s="928"/>
      <c r="BK389" s="928"/>
      <c r="BL389" s="928"/>
      <c r="BM389" s="928"/>
      <c r="BN389" s="928"/>
      <c r="BO389" s="928"/>
      <c r="BP389" s="928"/>
      <c r="BQ389" s="928"/>
      <c r="BR389" s="928"/>
      <c r="BS389" s="928"/>
      <c r="BT389" s="928"/>
      <c r="BU389" s="928"/>
      <c r="BV389" s="928"/>
      <c r="BW389" s="928"/>
      <c r="BX389" s="928"/>
      <c r="BY389" s="928"/>
      <c r="BZ389" s="928"/>
      <c r="CA389" s="928"/>
      <c r="CB389" s="928"/>
      <c r="CC389" s="928"/>
      <c r="CD389" s="928"/>
      <c r="CE389" s="928"/>
      <c r="CF389" s="928"/>
      <c r="CG389" s="928"/>
      <c r="CH389" s="928"/>
      <c r="CI389" s="928"/>
      <c r="CJ389" s="928"/>
      <c r="CK389" s="928"/>
      <c r="CL389" s="928"/>
      <c r="CM389" s="928"/>
      <c r="CN389" s="928"/>
      <c r="CO389" s="928"/>
      <c r="CP389" s="928"/>
      <c r="CQ389" s="928"/>
      <c r="CR389" s="928"/>
      <c r="CS389" s="928"/>
      <c r="CT389" s="928"/>
      <c r="CU389" s="928"/>
      <c r="CV389" s="928"/>
      <c r="CW389" s="928"/>
      <c r="CX389" s="928"/>
      <c r="CY389" s="928"/>
      <c r="CZ389" s="928"/>
      <c r="DA389" s="928"/>
      <c r="DB389" s="928"/>
      <c r="DC389" s="928"/>
      <c r="DD389" s="928"/>
      <c r="DE389" s="928"/>
      <c r="DF389" s="928"/>
      <c r="DG389" s="928"/>
      <c r="DH389" s="928"/>
    </row>
    <row r="390" spans="6:112">
      <c r="H390" s="897"/>
      <c r="I390" s="897"/>
      <c r="J390" s="891"/>
      <c r="K390" s="891"/>
      <c r="L390" s="891"/>
      <c r="M390" s="891"/>
      <c r="N390" s="891"/>
      <c r="O390" s="891"/>
      <c r="P390" s="891"/>
      <c r="Q390" s="891"/>
      <c r="R390" s="891"/>
      <c r="S390" s="891"/>
      <c r="T390" s="891"/>
      <c r="U390" s="928"/>
      <c r="V390" s="928"/>
      <c r="W390" s="928"/>
      <c r="X390" s="928"/>
      <c r="Y390" s="928"/>
      <c r="Z390" s="928"/>
      <c r="AA390" s="928"/>
      <c r="AB390" s="928"/>
      <c r="AC390" s="928"/>
      <c r="AD390" s="928"/>
      <c r="AE390" s="928"/>
      <c r="AF390" s="928"/>
      <c r="AG390" s="928"/>
      <c r="AH390" s="928"/>
      <c r="AI390" s="928"/>
      <c r="AJ390" s="928"/>
      <c r="AK390" s="928"/>
      <c r="AL390" s="928"/>
      <c r="AM390" s="928"/>
      <c r="AN390" s="928"/>
      <c r="AO390" s="928"/>
      <c r="AP390" s="928"/>
      <c r="AQ390" s="928"/>
      <c r="AR390" s="928"/>
      <c r="AS390" s="928"/>
      <c r="AT390" s="928"/>
      <c r="AU390" s="928"/>
      <c r="AV390" s="928"/>
      <c r="AW390" s="928"/>
      <c r="AX390" s="928"/>
      <c r="AY390" s="928"/>
      <c r="AZ390" s="928"/>
      <c r="BA390" s="928"/>
      <c r="BB390" s="928"/>
      <c r="BC390" s="928"/>
      <c r="BD390" s="928"/>
      <c r="BE390" s="928"/>
      <c r="BF390" s="928"/>
      <c r="BG390" s="928"/>
      <c r="BH390" s="928"/>
      <c r="BI390" s="928"/>
      <c r="BJ390" s="928"/>
      <c r="BK390" s="928"/>
      <c r="BL390" s="928"/>
      <c r="BM390" s="928"/>
      <c r="BN390" s="928"/>
      <c r="BO390" s="928"/>
      <c r="BP390" s="928"/>
      <c r="BQ390" s="928"/>
      <c r="BR390" s="928"/>
      <c r="BS390" s="928"/>
      <c r="BT390" s="928"/>
      <c r="BU390" s="928"/>
      <c r="BV390" s="928"/>
      <c r="BW390" s="928"/>
      <c r="BX390" s="928"/>
      <c r="BY390" s="928"/>
      <c r="BZ390" s="928"/>
      <c r="CA390" s="928"/>
      <c r="CB390" s="928"/>
      <c r="CC390" s="928"/>
      <c r="CD390" s="928"/>
      <c r="CE390" s="928"/>
      <c r="CF390" s="928"/>
      <c r="CG390" s="928"/>
      <c r="CH390" s="928"/>
      <c r="CI390" s="928"/>
      <c r="CJ390" s="928"/>
      <c r="CK390" s="928"/>
      <c r="CL390" s="928"/>
      <c r="CM390" s="928"/>
      <c r="CN390" s="928"/>
      <c r="CO390" s="928"/>
      <c r="CP390" s="928"/>
      <c r="CQ390" s="928"/>
      <c r="CR390" s="928"/>
      <c r="CS390" s="928"/>
      <c r="CT390" s="928"/>
      <c r="CU390" s="928"/>
      <c r="CV390" s="928"/>
      <c r="CW390" s="928"/>
      <c r="CX390" s="928"/>
      <c r="CY390" s="928"/>
      <c r="CZ390" s="928"/>
      <c r="DA390" s="928"/>
      <c r="DB390" s="928"/>
      <c r="DC390" s="928"/>
      <c r="DD390" s="928"/>
      <c r="DE390" s="928"/>
      <c r="DF390" s="928"/>
      <c r="DG390" s="928"/>
      <c r="DH390" s="928"/>
    </row>
    <row r="391" spans="6:112">
      <c r="H391" s="897"/>
      <c r="I391" s="897"/>
      <c r="J391" s="891"/>
      <c r="K391" s="891"/>
      <c r="L391" s="891"/>
      <c r="M391" s="891"/>
      <c r="N391" s="891"/>
      <c r="O391" s="891"/>
      <c r="P391" s="891"/>
      <c r="Q391" s="891"/>
      <c r="R391" s="891"/>
      <c r="S391" s="891"/>
      <c r="T391" s="891"/>
      <c r="U391" s="928"/>
      <c r="V391" s="928"/>
      <c r="W391" s="928"/>
      <c r="X391" s="928"/>
      <c r="Y391" s="928"/>
      <c r="Z391" s="928"/>
      <c r="AA391" s="928"/>
      <c r="AB391" s="928"/>
      <c r="AC391" s="928"/>
      <c r="AD391" s="928"/>
      <c r="AE391" s="928"/>
      <c r="AF391" s="928"/>
      <c r="AG391" s="928"/>
      <c r="AH391" s="928"/>
      <c r="AI391" s="928"/>
      <c r="AJ391" s="928"/>
      <c r="AK391" s="928"/>
      <c r="AL391" s="928"/>
      <c r="AM391" s="928"/>
      <c r="AN391" s="928"/>
      <c r="AO391" s="928"/>
      <c r="AP391" s="928"/>
      <c r="AQ391" s="928"/>
      <c r="AR391" s="928"/>
      <c r="AS391" s="928"/>
      <c r="AT391" s="928"/>
      <c r="AU391" s="928"/>
      <c r="AV391" s="928"/>
      <c r="AW391" s="928"/>
      <c r="AX391" s="928"/>
      <c r="AY391" s="928"/>
      <c r="AZ391" s="928"/>
      <c r="BA391" s="928"/>
      <c r="BB391" s="928"/>
      <c r="BC391" s="928"/>
      <c r="BD391" s="928"/>
      <c r="BE391" s="928"/>
      <c r="BF391" s="928"/>
      <c r="BG391" s="928"/>
      <c r="BH391" s="928"/>
      <c r="BI391" s="928"/>
      <c r="BJ391" s="928"/>
      <c r="BK391" s="928"/>
      <c r="BL391" s="928"/>
      <c r="BM391" s="928"/>
      <c r="BN391" s="928"/>
      <c r="BO391" s="928"/>
      <c r="BP391" s="928"/>
      <c r="BQ391" s="928"/>
      <c r="BR391" s="928"/>
      <c r="BS391" s="928"/>
      <c r="BT391" s="928"/>
      <c r="BU391" s="928"/>
      <c r="BV391" s="928"/>
      <c r="BW391" s="928"/>
      <c r="BX391" s="928"/>
      <c r="BY391" s="928"/>
      <c r="BZ391" s="928"/>
      <c r="CA391" s="928"/>
      <c r="CB391" s="928"/>
      <c r="CC391" s="928"/>
      <c r="CD391" s="928"/>
      <c r="CE391" s="928"/>
      <c r="CF391" s="928"/>
      <c r="CG391" s="928"/>
      <c r="CH391" s="928"/>
      <c r="CI391" s="928"/>
      <c r="CJ391" s="928"/>
      <c r="CK391" s="928"/>
      <c r="CL391" s="928"/>
      <c r="CM391" s="928"/>
      <c r="CN391" s="928"/>
      <c r="CO391" s="928"/>
      <c r="CP391" s="928"/>
      <c r="CQ391" s="928"/>
      <c r="CR391" s="928"/>
      <c r="CS391" s="928"/>
      <c r="CT391" s="928"/>
      <c r="CU391" s="928"/>
      <c r="CV391" s="928"/>
      <c r="CW391" s="928"/>
      <c r="CX391" s="928"/>
      <c r="CY391" s="928"/>
      <c r="CZ391" s="928"/>
      <c r="DA391" s="928"/>
      <c r="DB391" s="928"/>
      <c r="DC391" s="928"/>
      <c r="DD391" s="928"/>
      <c r="DE391" s="928"/>
      <c r="DF391" s="928"/>
      <c r="DG391" s="928"/>
      <c r="DH391" s="928"/>
    </row>
    <row r="392" spans="6:112">
      <c r="H392" s="897"/>
      <c r="I392" s="897"/>
      <c r="J392" s="891"/>
      <c r="K392" s="891"/>
      <c r="L392" s="891"/>
      <c r="M392" s="891"/>
      <c r="N392" s="891"/>
      <c r="O392" s="891"/>
      <c r="P392" s="891"/>
      <c r="Q392" s="891"/>
      <c r="R392" s="891"/>
      <c r="S392" s="891"/>
      <c r="T392" s="891"/>
      <c r="U392" s="928"/>
      <c r="V392" s="928"/>
      <c r="W392" s="928"/>
      <c r="X392" s="928"/>
      <c r="Y392" s="928"/>
      <c r="Z392" s="928"/>
      <c r="AA392" s="928"/>
      <c r="AB392" s="928"/>
      <c r="AC392" s="928"/>
      <c r="AD392" s="928"/>
      <c r="AE392" s="928"/>
      <c r="AF392" s="928"/>
      <c r="AG392" s="928"/>
      <c r="AH392" s="928"/>
      <c r="AI392" s="928"/>
      <c r="AJ392" s="928"/>
      <c r="AK392" s="928"/>
      <c r="AL392" s="928"/>
      <c r="AM392" s="928"/>
      <c r="AN392" s="928"/>
      <c r="AO392" s="928"/>
      <c r="AP392" s="928"/>
      <c r="AQ392" s="928"/>
      <c r="AR392" s="928"/>
      <c r="AS392" s="928"/>
      <c r="AT392" s="928"/>
      <c r="AU392" s="928"/>
      <c r="AV392" s="928"/>
      <c r="AW392" s="928"/>
      <c r="AX392" s="928"/>
      <c r="AY392" s="928"/>
      <c r="AZ392" s="928"/>
      <c r="BA392" s="928"/>
      <c r="BB392" s="928"/>
      <c r="BC392" s="928"/>
      <c r="BD392" s="928"/>
      <c r="BE392" s="928"/>
      <c r="BF392" s="928"/>
      <c r="BG392" s="928"/>
      <c r="BH392" s="928"/>
      <c r="BI392" s="928"/>
      <c r="BJ392" s="928"/>
      <c r="BK392" s="928"/>
      <c r="BL392" s="928"/>
      <c r="BM392" s="928"/>
      <c r="BN392" s="928"/>
      <c r="BO392" s="928"/>
      <c r="BP392" s="928"/>
      <c r="BQ392" s="928"/>
      <c r="BR392" s="928"/>
      <c r="BS392" s="928"/>
      <c r="BT392" s="928"/>
      <c r="BU392" s="928"/>
      <c r="BV392" s="928"/>
      <c r="BW392" s="928"/>
      <c r="BX392" s="928"/>
      <c r="BY392" s="928"/>
      <c r="BZ392" s="928"/>
      <c r="CA392" s="928"/>
      <c r="CB392" s="928"/>
      <c r="CC392" s="928"/>
      <c r="CD392" s="928"/>
      <c r="CE392" s="928"/>
      <c r="CF392" s="928"/>
      <c r="CG392" s="928"/>
      <c r="CH392" s="928"/>
      <c r="CI392" s="928"/>
      <c r="CJ392" s="928"/>
      <c r="CK392" s="928"/>
      <c r="CL392" s="928"/>
      <c r="CM392" s="928"/>
      <c r="CN392" s="928"/>
      <c r="CO392" s="928"/>
      <c r="CP392" s="928"/>
      <c r="CQ392" s="928"/>
      <c r="CR392" s="928"/>
      <c r="CS392" s="928"/>
      <c r="CT392" s="928"/>
      <c r="CU392" s="928"/>
      <c r="CV392" s="928"/>
      <c r="CW392" s="928"/>
      <c r="CX392" s="928"/>
      <c r="CY392" s="928"/>
      <c r="CZ392" s="928"/>
      <c r="DA392" s="928"/>
      <c r="DB392" s="928"/>
      <c r="DC392" s="928"/>
      <c r="DD392" s="928"/>
      <c r="DE392" s="928"/>
      <c r="DF392" s="928"/>
      <c r="DG392" s="928"/>
      <c r="DH392" s="928"/>
    </row>
    <row r="393" spans="6:112">
      <c r="H393" s="897"/>
      <c r="I393" s="897"/>
      <c r="J393" s="891"/>
      <c r="K393" s="891"/>
      <c r="L393" s="891"/>
      <c r="M393" s="891"/>
      <c r="N393" s="891"/>
      <c r="O393" s="891"/>
      <c r="P393" s="891"/>
      <c r="Q393" s="891"/>
      <c r="R393" s="891"/>
      <c r="S393" s="891"/>
      <c r="T393" s="891"/>
      <c r="U393" s="928"/>
      <c r="V393" s="928"/>
      <c r="W393" s="928"/>
      <c r="X393" s="928"/>
      <c r="Y393" s="928"/>
      <c r="Z393" s="928"/>
      <c r="AA393" s="928"/>
      <c r="AB393" s="928"/>
      <c r="AC393" s="928"/>
      <c r="AD393" s="928"/>
      <c r="AE393" s="928"/>
      <c r="AF393" s="928"/>
      <c r="AG393" s="928"/>
      <c r="AH393" s="928"/>
      <c r="AI393" s="928"/>
      <c r="AJ393" s="928"/>
      <c r="AK393" s="928"/>
      <c r="AL393" s="928"/>
      <c r="AM393" s="928"/>
      <c r="AN393" s="928"/>
      <c r="AO393" s="928"/>
      <c r="AP393" s="928"/>
      <c r="AQ393" s="928"/>
      <c r="AR393" s="928"/>
      <c r="AS393" s="928"/>
      <c r="AT393" s="928"/>
      <c r="AU393" s="928"/>
      <c r="AV393" s="928"/>
      <c r="AW393" s="928"/>
      <c r="AX393" s="928"/>
      <c r="AY393" s="928"/>
      <c r="AZ393" s="928"/>
      <c r="BA393" s="928"/>
      <c r="BB393" s="928"/>
      <c r="BC393" s="928"/>
      <c r="BD393" s="928"/>
      <c r="BE393" s="928"/>
      <c r="BF393" s="928"/>
      <c r="BG393" s="928"/>
      <c r="BH393" s="928"/>
      <c r="BI393" s="928"/>
      <c r="BJ393" s="928"/>
      <c r="BK393" s="928"/>
      <c r="BL393" s="928"/>
      <c r="BM393" s="928"/>
      <c r="BN393" s="928"/>
      <c r="BO393" s="928"/>
      <c r="BP393" s="928"/>
      <c r="BQ393" s="928"/>
      <c r="BR393" s="928"/>
      <c r="BS393" s="928"/>
      <c r="BT393" s="928"/>
      <c r="BU393" s="928"/>
      <c r="BV393" s="928"/>
      <c r="BW393" s="928"/>
      <c r="BX393" s="928"/>
      <c r="BY393" s="928"/>
      <c r="BZ393" s="928"/>
      <c r="CA393" s="928"/>
      <c r="CB393" s="928"/>
      <c r="CC393" s="928"/>
      <c r="CD393" s="928"/>
      <c r="CE393" s="928"/>
      <c r="CF393" s="928"/>
      <c r="CG393" s="928"/>
      <c r="CH393" s="928"/>
      <c r="CI393" s="928"/>
      <c r="CJ393" s="928"/>
      <c r="CK393" s="928"/>
      <c r="CL393" s="928"/>
      <c r="CM393" s="928"/>
      <c r="CN393" s="928"/>
      <c r="CO393" s="928"/>
      <c r="CP393" s="928"/>
      <c r="CQ393" s="928"/>
      <c r="CR393" s="928"/>
      <c r="CS393" s="928"/>
      <c r="CT393" s="928"/>
      <c r="CU393" s="928"/>
      <c r="CV393" s="928"/>
      <c r="CW393" s="928"/>
      <c r="CX393" s="928"/>
      <c r="CY393" s="928"/>
      <c r="CZ393" s="928"/>
      <c r="DA393" s="928"/>
      <c r="DB393" s="928"/>
      <c r="DC393" s="928"/>
      <c r="DD393" s="928"/>
      <c r="DE393" s="928"/>
      <c r="DF393" s="928"/>
      <c r="DG393" s="928"/>
      <c r="DH393" s="928"/>
    </row>
    <row r="394" spans="6:112">
      <c r="H394" s="897"/>
      <c r="I394" s="897"/>
      <c r="J394" s="891"/>
      <c r="K394" s="891"/>
      <c r="L394" s="891"/>
      <c r="M394" s="891"/>
      <c r="N394" s="891"/>
      <c r="O394" s="891"/>
      <c r="P394" s="891"/>
      <c r="Q394" s="891"/>
      <c r="R394" s="891"/>
      <c r="S394" s="891"/>
      <c r="T394" s="891"/>
      <c r="U394" s="928"/>
      <c r="V394" s="928"/>
      <c r="W394" s="928"/>
      <c r="X394" s="928"/>
      <c r="Y394" s="928"/>
      <c r="Z394" s="928"/>
      <c r="AA394" s="928"/>
      <c r="AB394" s="928"/>
      <c r="AC394" s="928"/>
      <c r="AD394" s="928"/>
      <c r="AE394" s="928"/>
      <c r="AF394" s="928"/>
      <c r="AG394" s="928"/>
      <c r="AH394" s="928"/>
      <c r="AI394" s="928"/>
      <c r="AJ394" s="928"/>
      <c r="AK394" s="928"/>
      <c r="AL394" s="928"/>
      <c r="AM394" s="928"/>
      <c r="AN394" s="928"/>
      <c r="AO394" s="928"/>
      <c r="AP394" s="928"/>
      <c r="AQ394" s="928"/>
      <c r="AR394" s="928"/>
      <c r="AS394" s="928"/>
      <c r="AT394" s="928"/>
      <c r="AU394" s="928"/>
      <c r="AV394" s="928"/>
      <c r="AW394" s="928"/>
      <c r="AX394" s="928"/>
      <c r="AY394" s="928"/>
      <c r="AZ394" s="928"/>
      <c r="BA394" s="928"/>
      <c r="BB394" s="928"/>
      <c r="BC394" s="928"/>
      <c r="BD394" s="928"/>
      <c r="BE394" s="928"/>
      <c r="BF394" s="928"/>
      <c r="BG394" s="928"/>
      <c r="BH394" s="928"/>
      <c r="BI394" s="928"/>
      <c r="BJ394" s="928"/>
      <c r="BK394" s="928"/>
      <c r="BL394" s="928"/>
      <c r="BM394" s="928"/>
      <c r="BN394" s="928"/>
      <c r="BO394" s="928"/>
      <c r="BP394" s="928"/>
      <c r="BQ394" s="928"/>
      <c r="BR394" s="928"/>
      <c r="BS394" s="928"/>
      <c r="BT394" s="928"/>
      <c r="BU394" s="928"/>
      <c r="BV394" s="928"/>
      <c r="BW394" s="928"/>
      <c r="BX394" s="928"/>
      <c r="BY394" s="928"/>
      <c r="BZ394" s="928"/>
      <c r="CA394" s="928"/>
      <c r="CB394" s="928"/>
      <c r="CC394" s="928"/>
      <c r="CD394" s="928"/>
      <c r="CE394" s="928"/>
      <c r="CF394" s="928"/>
      <c r="CG394" s="928"/>
      <c r="CH394" s="928"/>
      <c r="CI394" s="928"/>
      <c r="CJ394" s="928"/>
      <c r="CK394" s="928"/>
      <c r="CL394" s="928"/>
      <c r="CM394" s="928"/>
      <c r="CN394" s="928"/>
      <c r="CO394" s="928"/>
      <c r="CP394" s="928"/>
      <c r="CQ394" s="928"/>
      <c r="CR394" s="928"/>
      <c r="CS394" s="928"/>
      <c r="CT394" s="928"/>
      <c r="CU394" s="928"/>
      <c r="CV394" s="928"/>
      <c r="CW394" s="928"/>
      <c r="CX394" s="928"/>
      <c r="CY394" s="928"/>
      <c r="CZ394" s="928"/>
      <c r="DA394" s="928"/>
      <c r="DB394" s="928"/>
      <c r="DC394" s="928"/>
      <c r="DD394" s="928"/>
      <c r="DE394" s="928"/>
      <c r="DF394" s="928"/>
      <c r="DG394" s="928"/>
      <c r="DH394" s="928"/>
    </row>
    <row r="395" spans="6:112">
      <c r="H395" s="897"/>
      <c r="I395" s="897"/>
      <c r="J395" s="891"/>
      <c r="K395" s="891"/>
      <c r="L395" s="891"/>
      <c r="M395" s="891"/>
      <c r="N395" s="891"/>
      <c r="O395" s="891"/>
      <c r="P395" s="891"/>
      <c r="Q395" s="891"/>
      <c r="R395" s="891"/>
      <c r="S395" s="891"/>
      <c r="T395" s="891"/>
      <c r="U395" s="928"/>
      <c r="V395" s="928"/>
      <c r="W395" s="928"/>
      <c r="X395" s="928"/>
      <c r="Y395" s="928"/>
      <c r="Z395" s="928"/>
      <c r="AA395" s="928"/>
      <c r="AB395" s="928"/>
      <c r="AC395" s="928"/>
      <c r="AD395" s="928"/>
      <c r="AE395" s="928"/>
      <c r="AF395" s="928"/>
      <c r="AG395" s="928"/>
      <c r="AH395" s="928"/>
      <c r="AI395" s="928"/>
      <c r="AJ395" s="928"/>
      <c r="AK395" s="928"/>
      <c r="AL395" s="928"/>
      <c r="AM395" s="928"/>
      <c r="AN395" s="928"/>
      <c r="AO395" s="928"/>
      <c r="AP395" s="928"/>
      <c r="AQ395" s="928"/>
      <c r="AR395" s="928"/>
      <c r="AS395" s="928"/>
      <c r="AT395" s="928"/>
      <c r="AU395" s="928"/>
      <c r="AV395" s="928"/>
      <c r="AW395" s="928"/>
      <c r="AX395" s="928"/>
      <c r="AY395" s="928"/>
      <c r="AZ395" s="928"/>
      <c r="BA395" s="928"/>
      <c r="BB395" s="928"/>
      <c r="BC395" s="928"/>
      <c r="BD395" s="928"/>
      <c r="BE395" s="928"/>
      <c r="BF395" s="928"/>
      <c r="BG395" s="928"/>
      <c r="BH395" s="928"/>
      <c r="BI395" s="928"/>
      <c r="BJ395" s="928"/>
      <c r="BK395" s="928"/>
      <c r="BL395" s="928"/>
      <c r="BM395" s="928"/>
      <c r="BN395" s="928"/>
      <c r="BO395" s="928"/>
      <c r="BP395" s="928"/>
      <c r="BQ395" s="928"/>
      <c r="BR395" s="928"/>
      <c r="BS395" s="928"/>
      <c r="BT395" s="928"/>
      <c r="BU395" s="928"/>
      <c r="BV395" s="928"/>
      <c r="BW395" s="928"/>
      <c r="BX395" s="928"/>
      <c r="BY395" s="928"/>
      <c r="BZ395" s="928"/>
      <c r="CA395" s="928"/>
      <c r="CB395" s="928"/>
      <c r="CC395" s="928"/>
      <c r="CD395" s="928"/>
      <c r="CE395" s="928"/>
      <c r="CF395" s="928"/>
      <c r="CG395" s="928"/>
      <c r="CH395" s="928"/>
      <c r="CI395" s="928"/>
      <c r="CJ395" s="928"/>
      <c r="CK395" s="928"/>
      <c r="CL395" s="928"/>
      <c r="CM395" s="928"/>
      <c r="CN395" s="928"/>
      <c r="CO395" s="928"/>
      <c r="CP395" s="928"/>
      <c r="CQ395" s="928"/>
      <c r="CR395" s="928"/>
      <c r="CS395" s="928"/>
      <c r="CT395" s="928"/>
      <c r="CU395" s="928"/>
      <c r="CV395" s="928"/>
      <c r="CW395" s="928"/>
      <c r="CX395" s="928"/>
      <c r="CY395" s="928"/>
      <c r="CZ395" s="928"/>
      <c r="DA395" s="928"/>
      <c r="DB395" s="928"/>
      <c r="DC395" s="928"/>
      <c r="DD395" s="928"/>
      <c r="DE395" s="928"/>
      <c r="DF395" s="928"/>
      <c r="DG395" s="928"/>
      <c r="DH395" s="928"/>
    </row>
    <row r="396" spans="6:112">
      <c r="H396" s="897"/>
      <c r="I396" s="897"/>
      <c r="J396" s="891"/>
      <c r="K396" s="891"/>
      <c r="L396" s="891"/>
      <c r="M396" s="891"/>
      <c r="N396" s="891"/>
      <c r="O396" s="891"/>
      <c r="P396" s="891"/>
      <c r="Q396" s="891"/>
      <c r="R396" s="891"/>
      <c r="S396" s="891"/>
      <c r="T396" s="891"/>
      <c r="U396" s="928"/>
      <c r="V396" s="928"/>
      <c r="W396" s="928"/>
      <c r="X396" s="928"/>
      <c r="Y396" s="928"/>
      <c r="Z396" s="928"/>
      <c r="AA396" s="928"/>
      <c r="AB396" s="928"/>
      <c r="AC396" s="928"/>
      <c r="AD396" s="928"/>
      <c r="AE396" s="928"/>
      <c r="AF396" s="928"/>
      <c r="AG396" s="928"/>
      <c r="AH396" s="928"/>
      <c r="AI396" s="928"/>
      <c r="AJ396" s="928"/>
      <c r="AK396" s="928"/>
      <c r="AL396" s="928"/>
      <c r="AM396" s="928"/>
      <c r="AN396" s="928"/>
      <c r="AO396" s="928"/>
      <c r="AP396" s="928"/>
      <c r="AQ396" s="928"/>
      <c r="AR396" s="928"/>
      <c r="AS396" s="928"/>
      <c r="AT396" s="928"/>
      <c r="AU396" s="928"/>
      <c r="AV396" s="928"/>
      <c r="AW396" s="928"/>
      <c r="AX396" s="928"/>
      <c r="AY396" s="928"/>
      <c r="AZ396" s="928"/>
      <c r="BA396" s="928"/>
      <c r="BB396" s="928"/>
      <c r="BC396" s="928"/>
      <c r="BD396" s="928"/>
      <c r="BE396" s="928"/>
      <c r="BF396" s="928"/>
      <c r="BG396" s="928"/>
      <c r="BH396" s="928"/>
      <c r="BI396" s="928"/>
      <c r="BJ396" s="928"/>
      <c r="BK396" s="928"/>
      <c r="BL396" s="928"/>
      <c r="BM396" s="928"/>
      <c r="BN396" s="928"/>
      <c r="BO396" s="928"/>
      <c r="BP396" s="928"/>
      <c r="BQ396" s="928"/>
      <c r="BR396" s="928"/>
      <c r="BS396" s="928"/>
      <c r="BT396" s="928"/>
      <c r="BU396" s="928"/>
      <c r="BV396" s="928"/>
      <c r="BW396" s="928"/>
      <c r="BX396" s="928"/>
      <c r="BY396" s="928"/>
      <c r="BZ396" s="928"/>
      <c r="CA396" s="928"/>
      <c r="CB396" s="928"/>
      <c r="CC396" s="928"/>
      <c r="CD396" s="928"/>
      <c r="CE396" s="928"/>
      <c r="CF396" s="928"/>
      <c r="CG396" s="928"/>
      <c r="CH396" s="928"/>
      <c r="CI396" s="928"/>
      <c r="CJ396" s="928"/>
      <c r="CK396" s="928"/>
      <c r="CL396" s="928"/>
      <c r="CM396" s="928"/>
      <c r="CN396" s="928"/>
      <c r="CO396" s="928"/>
      <c r="CP396" s="928"/>
      <c r="CQ396" s="928"/>
      <c r="CR396" s="928"/>
      <c r="CS396" s="928"/>
      <c r="CT396" s="928"/>
      <c r="CU396" s="928"/>
      <c r="CV396" s="928"/>
      <c r="CW396" s="928"/>
      <c r="CX396" s="928"/>
      <c r="CY396" s="928"/>
      <c r="CZ396" s="928"/>
      <c r="DA396" s="928"/>
      <c r="DB396" s="928"/>
      <c r="DC396" s="928"/>
      <c r="DD396" s="928"/>
      <c r="DE396" s="928"/>
      <c r="DF396" s="928"/>
      <c r="DG396" s="928"/>
      <c r="DH396" s="928"/>
    </row>
    <row r="397" spans="6:112">
      <c r="H397" s="897"/>
      <c r="I397" s="897"/>
      <c r="J397" s="891"/>
      <c r="K397" s="891"/>
      <c r="L397" s="891"/>
      <c r="M397" s="891"/>
      <c r="N397" s="891"/>
      <c r="O397" s="891"/>
      <c r="P397" s="891"/>
      <c r="Q397" s="891"/>
      <c r="R397" s="891"/>
      <c r="S397" s="891"/>
      <c r="T397" s="891"/>
      <c r="U397" s="928"/>
      <c r="V397" s="928"/>
      <c r="W397" s="928"/>
      <c r="X397" s="928"/>
      <c r="Y397" s="928"/>
      <c r="Z397" s="928"/>
      <c r="AA397" s="928"/>
      <c r="AB397" s="928"/>
      <c r="AC397" s="928"/>
      <c r="AD397" s="928"/>
      <c r="AE397" s="928"/>
      <c r="AF397" s="928"/>
      <c r="AG397" s="928"/>
      <c r="AH397" s="928"/>
      <c r="AI397" s="928"/>
      <c r="AJ397" s="928"/>
      <c r="AK397" s="928"/>
      <c r="AL397" s="928"/>
      <c r="AM397" s="928"/>
      <c r="AN397" s="928"/>
      <c r="AO397" s="928"/>
      <c r="AP397" s="928"/>
      <c r="AQ397" s="928"/>
      <c r="AR397" s="928"/>
      <c r="AS397" s="928"/>
      <c r="AT397" s="928"/>
      <c r="AU397" s="928"/>
      <c r="AV397" s="928"/>
      <c r="AW397" s="928"/>
      <c r="AX397" s="928"/>
      <c r="AY397" s="928"/>
      <c r="AZ397" s="928"/>
      <c r="BA397" s="928"/>
      <c r="BB397" s="928"/>
      <c r="BC397" s="928"/>
      <c r="BD397" s="928"/>
      <c r="BE397" s="928"/>
      <c r="BF397" s="928"/>
      <c r="BG397" s="928"/>
      <c r="BH397" s="928"/>
      <c r="BI397" s="928"/>
      <c r="BJ397" s="928"/>
      <c r="BK397" s="928"/>
      <c r="BL397" s="928"/>
      <c r="BM397" s="928"/>
      <c r="BN397" s="928"/>
      <c r="BO397" s="928"/>
      <c r="BP397" s="928"/>
      <c r="BQ397" s="928"/>
      <c r="BR397" s="928"/>
      <c r="BS397" s="928"/>
      <c r="BT397" s="928"/>
      <c r="BU397" s="928"/>
      <c r="BV397" s="928"/>
      <c r="BW397" s="928"/>
      <c r="BX397" s="928"/>
      <c r="BY397" s="928"/>
      <c r="BZ397" s="928"/>
      <c r="CA397" s="928"/>
      <c r="CB397" s="928"/>
      <c r="CC397" s="928"/>
      <c r="CD397" s="928"/>
      <c r="CE397" s="928"/>
      <c r="CF397" s="928"/>
      <c r="CG397" s="928"/>
      <c r="CH397" s="928"/>
      <c r="CI397" s="928"/>
      <c r="CJ397" s="928"/>
      <c r="CK397" s="928"/>
      <c r="CL397" s="928"/>
      <c r="CM397" s="928"/>
      <c r="CN397" s="928"/>
      <c r="CO397" s="928"/>
      <c r="CP397" s="928"/>
      <c r="CQ397" s="928"/>
      <c r="CR397" s="928"/>
      <c r="CS397" s="928"/>
      <c r="CT397" s="928"/>
      <c r="CU397" s="928"/>
      <c r="CV397" s="928"/>
      <c r="CW397" s="928"/>
      <c r="CX397" s="928"/>
      <c r="CY397" s="928"/>
      <c r="CZ397" s="928"/>
      <c r="DA397" s="928"/>
      <c r="DB397" s="928"/>
      <c r="DC397" s="928"/>
      <c r="DD397" s="928"/>
      <c r="DE397" s="928"/>
      <c r="DF397" s="928"/>
      <c r="DG397" s="928"/>
      <c r="DH397" s="928"/>
    </row>
    <row r="398" spans="6:112">
      <c r="H398" s="897"/>
      <c r="I398" s="897"/>
      <c r="J398" s="891"/>
      <c r="K398" s="891"/>
      <c r="L398" s="891"/>
      <c r="M398" s="891"/>
      <c r="N398" s="891"/>
      <c r="O398" s="891"/>
      <c r="P398" s="891"/>
      <c r="Q398" s="891"/>
      <c r="R398" s="891"/>
      <c r="S398" s="891"/>
      <c r="T398" s="891"/>
      <c r="U398" s="928"/>
      <c r="V398" s="928"/>
      <c r="W398" s="928"/>
      <c r="X398" s="928"/>
      <c r="Y398" s="928"/>
      <c r="Z398" s="928"/>
      <c r="AA398" s="928"/>
      <c r="AB398" s="928"/>
      <c r="AC398" s="928"/>
      <c r="AD398" s="928"/>
      <c r="AE398" s="928"/>
      <c r="AF398" s="928"/>
      <c r="AG398" s="928"/>
      <c r="AH398" s="928"/>
      <c r="AI398" s="928"/>
      <c r="AJ398" s="928"/>
      <c r="AK398" s="928"/>
      <c r="AL398" s="928"/>
      <c r="AM398" s="928"/>
      <c r="AN398" s="928"/>
      <c r="AO398" s="928"/>
      <c r="AP398" s="928"/>
      <c r="AQ398" s="928"/>
      <c r="AR398" s="928"/>
      <c r="AS398" s="928"/>
      <c r="AT398" s="928"/>
      <c r="AU398" s="928"/>
      <c r="AV398" s="928"/>
      <c r="AW398" s="928"/>
      <c r="AX398" s="928"/>
      <c r="AY398" s="928"/>
      <c r="AZ398" s="928"/>
      <c r="BA398" s="928"/>
      <c r="BB398" s="928"/>
      <c r="BC398" s="928"/>
      <c r="BD398" s="928"/>
      <c r="BE398" s="928"/>
      <c r="BF398" s="928"/>
      <c r="BG398" s="928"/>
      <c r="BH398" s="928"/>
      <c r="BI398" s="928"/>
      <c r="BJ398" s="928"/>
      <c r="BK398" s="928"/>
      <c r="BL398" s="928"/>
      <c r="BM398" s="928"/>
      <c r="BN398" s="928"/>
      <c r="BO398" s="928"/>
      <c r="BP398" s="928"/>
      <c r="BQ398" s="928"/>
      <c r="BR398" s="928"/>
      <c r="BS398" s="928"/>
      <c r="BT398" s="928"/>
      <c r="BU398" s="928"/>
      <c r="BV398" s="928"/>
      <c r="BW398" s="928"/>
      <c r="BX398" s="928"/>
      <c r="BY398" s="928"/>
      <c r="BZ398" s="928"/>
      <c r="CA398" s="928"/>
      <c r="CB398" s="928"/>
      <c r="CC398" s="928"/>
      <c r="CD398" s="928"/>
      <c r="CE398" s="928"/>
      <c r="CF398" s="928"/>
      <c r="CG398" s="928"/>
      <c r="CH398" s="928"/>
      <c r="CI398" s="928"/>
      <c r="CJ398" s="928"/>
      <c r="CK398" s="928"/>
      <c r="CL398" s="928"/>
      <c r="CM398" s="928"/>
      <c r="CN398" s="928"/>
      <c r="CO398" s="928"/>
      <c r="CP398" s="928"/>
      <c r="CQ398" s="928"/>
      <c r="CR398" s="928"/>
      <c r="CS398" s="928"/>
      <c r="CT398" s="928"/>
      <c r="CU398" s="928"/>
      <c r="CV398" s="928"/>
      <c r="CW398" s="928"/>
      <c r="CX398" s="928"/>
      <c r="CY398" s="928"/>
      <c r="CZ398" s="928"/>
      <c r="DA398" s="928"/>
      <c r="DB398" s="928"/>
      <c r="DC398" s="928"/>
      <c r="DD398" s="928"/>
      <c r="DE398" s="928"/>
      <c r="DF398" s="928"/>
      <c r="DG398" s="928"/>
      <c r="DH398" s="928"/>
    </row>
    <row r="399" spans="6:112">
      <c r="H399" s="897"/>
      <c r="I399" s="897"/>
      <c r="J399" s="891"/>
      <c r="K399" s="891"/>
      <c r="L399" s="891"/>
      <c r="M399" s="891"/>
      <c r="N399" s="891"/>
      <c r="O399" s="891"/>
      <c r="P399" s="891"/>
      <c r="Q399" s="891"/>
      <c r="R399" s="891"/>
      <c r="S399" s="891"/>
      <c r="T399" s="891"/>
      <c r="U399" s="928"/>
      <c r="V399" s="928"/>
      <c r="W399" s="928"/>
      <c r="X399" s="928"/>
      <c r="Y399" s="928"/>
      <c r="Z399" s="928"/>
      <c r="AA399" s="928"/>
      <c r="AB399" s="928"/>
      <c r="AC399" s="928"/>
      <c r="AD399" s="928"/>
      <c r="AE399" s="928"/>
      <c r="AF399" s="928"/>
      <c r="AG399" s="928"/>
      <c r="AH399" s="928"/>
      <c r="AI399" s="928"/>
      <c r="AJ399" s="928"/>
      <c r="AK399" s="928"/>
      <c r="AL399" s="928"/>
      <c r="AM399" s="928"/>
      <c r="AN399" s="928"/>
      <c r="AO399" s="928"/>
      <c r="AP399" s="928"/>
      <c r="AQ399" s="928"/>
      <c r="AR399" s="928"/>
      <c r="AS399" s="928"/>
      <c r="AT399" s="928"/>
      <c r="AU399" s="928"/>
      <c r="AV399" s="928"/>
      <c r="AW399" s="928"/>
      <c r="AX399" s="928"/>
      <c r="AY399" s="928"/>
      <c r="AZ399" s="928"/>
      <c r="BA399" s="928"/>
      <c r="BB399" s="928"/>
      <c r="BC399" s="928"/>
      <c r="BD399" s="928"/>
      <c r="BE399" s="928"/>
      <c r="BF399" s="928"/>
      <c r="BG399" s="928"/>
      <c r="BH399" s="928"/>
      <c r="BI399" s="928"/>
      <c r="BJ399" s="928"/>
      <c r="BK399" s="928"/>
      <c r="BL399" s="928"/>
      <c r="BM399" s="928"/>
      <c r="BN399" s="928"/>
      <c r="BO399" s="928"/>
      <c r="BP399" s="928"/>
      <c r="BQ399" s="928"/>
      <c r="BR399" s="928"/>
      <c r="BS399" s="928"/>
      <c r="BT399" s="928"/>
      <c r="BU399" s="928"/>
      <c r="BV399" s="928"/>
      <c r="BW399" s="928"/>
      <c r="BX399" s="928"/>
      <c r="BY399" s="928"/>
      <c r="BZ399" s="928"/>
      <c r="CA399" s="928"/>
      <c r="CB399" s="928"/>
      <c r="CC399" s="928"/>
      <c r="CD399" s="928"/>
      <c r="CE399" s="928"/>
      <c r="CF399" s="928"/>
      <c r="CG399" s="928"/>
      <c r="CH399" s="928"/>
      <c r="CI399" s="928"/>
      <c r="CJ399" s="928"/>
      <c r="CK399" s="928"/>
      <c r="CL399" s="928"/>
      <c r="CM399" s="928"/>
      <c r="CN399" s="928"/>
      <c r="CO399" s="928"/>
      <c r="CP399" s="928"/>
      <c r="CQ399" s="928"/>
      <c r="CR399" s="928"/>
      <c r="CS399" s="928"/>
      <c r="CT399" s="928"/>
      <c r="CU399" s="928"/>
      <c r="CV399" s="928"/>
      <c r="CW399" s="928"/>
      <c r="CX399" s="928"/>
      <c r="CY399" s="928"/>
      <c r="CZ399" s="928"/>
      <c r="DA399" s="928"/>
      <c r="DB399" s="928"/>
      <c r="DC399" s="928"/>
      <c r="DD399" s="928"/>
      <c r="DE399" s="928"/>
      <c r="DF399" s="928"/>
      <c r="DG399" s="928"/>
      <c r="DH399" s="928"/>
    </row>
    <row r="400" spans="6:112">
      <c r="H400" s="897"/>
      <c r="I400" s="897"/>
      <c r="J400" s="891"/>
      <c r="K400" s="891"/>
      <c r="L400" s="891"/>
      <c r="M400" s="891"/>
      <c r="N400" s="891"/>
      <c r="O400" s="891"/>
      <c r="P400" s="891"/>
      <c r="Q400" s="891"/>
      <c r="R400" s="891"/>
      <c r="S400" s="891"/>
      <c r="T400" s="891"/>
      <c r="U400" s="928"/>
      <c r="V400" s="928"/>
      <c r="W400" s="928"/>
      <c r="X400" s="928"/>
      <c r="Y400" s="928"/>
      <c r="Z400" s="928"/>
      <c r="AA400" s="928"/>
      <c r="AB400" s="928"/>
      <c r="AC400" s="928"/>
      <c r="AD400" s="928"/>
      <c r="AE400" s="928"/>
      <c r="AF400" s="928"/>
      <c r="AG400" s="928"/>
      <c r="AH400" s="928"/>
      <c r="AI400" s="928"/>
      <c r="AJ400" s="928"/>
      <c r="AK400" s="928"/>
      <c r="AL400" s="928"/>
      <c r="AM400" s="928"/>
      <c r="AN400" s="928"/>
      <c r="AO400" s="928"/>
      <c r="AP400" s="928"/>
      <c r="AQ400" s="928"/>
      <c r="AR400" s="928"/>
      <c r="AS400" s="928"/>
      <c r="AT400" s="928"/>
      <c r="AU400" s="928"/>
      <c r="AV400" s="928"/>
      <c r="AW400" s="928"/>
      <c r="AX400" s="928"/>
      <c r="AY400" s="928"/>
      <c r="AZ400" s="928"/>
      <c r="BA400" s="928"/>
      <c r="BB400" s="928"/>
      <c r="BC400" s="928"/>
      <c r="BD400" s="928"/>
      <c r="BE400" s="928"/>
      <c r="BF400" s="928"/>
      <c r="BG400" s="928"/>
      <c r="BH400" s="928"/>
      <c r="BI400" s="928"/>
      <c r="BJ400" s="928"/>
      <c r="BK400" s="928"/>
      <c r="BL400" s="928"/>
      <c r="BM400" s="928"/>
      <c r="BN400" s="928"/>
      <c r="BO400" s="928"/>
      <c r="BP400" s="928"/>
      <c r="BQ400" s="928"/>
      <c r="BR400" s="928"/>
      <c r="BS400" s="928"/>
      <c r="BT400" s="928"/>
      <c r="BU400" s="928"/>
      <c r="BV400" s="928"/>
      <c r="BW400" s="928"/>
      <c r="BX400" s="928"/>
      <c r="BY400" s="928"/>
      <c r="BZ400" s="928"/>
      <c r="CA400" s="928"/>
      <c r="CB400" s="928"/>
      <c r="CC400" s="928"/>
      <c r="CD400" s="928"/>
      <c r="CE400" s="928"/>
      <c r="CF400" s="928"/>
      <c r="CG400" s="928"/>
      <c r="CH400" s="928"/>
      <c r="CI400" s="928"/>
      <c r="CJ400" s="928"/>
      <c r="CK400" s="928"/>
      <c r="CL400" s="928"/>
      <c r="CM400" s="928"/>
      <c r="CN400" s="928"/>
      <c r="CO400" s="928"/>
      <c r="CP400" s="928"/>
      <c r="CQ400" s="928"/>
      <c r="CR400" s="928"/>
      <c r="CS400" s="928"/>
      <c r="CT400" s="928"/>
      <c r="CU400" s="928"/>
      <c r="CV400" s="928"/>
      <c r="CW400" s="928"/>
      <c r="CX400" s="928"/>
      <c r="CY400" s="928"/>
      <c r="CZ400" s="928"/>
      <c r="DA400" s="928"/>
      <c r="DB400" s="928"/>
      <c r="DC400" s="928"/>
      <c r="DD400" s="928"/>
      <c r="DE400" s="928"/>
      <c r="DF400" s="928"/>
      <c r="DG400" s="928"/>
      <c r="DH400" s="928"/>
    </row>
    <row r="401" spans="4:112">
      <c r="H401" s="897"/>
      <c r="I401" s="897"/>
      <c r="J401" s="891"/>
      <c r="K401" s="891"/>
      <c r="L401" s="891"/>
      <c r="M401" s="891"/>
      <c r="N401" s="891"/>
      <c r="O401" s="891"/>
      <c r="P401" s="891"/>
      <c r="Q401" s="891"/>
      <c r="R401" s="891"/>
      <c r="S401" s="891"/>
      <c r="T401" s="891"/>
      <c r="U401" s="928"/>
      <c r="V401" s="928"/>
      <c r="W401" s="928"/>
      <c r="X401" s="928"/>
      <c r="Y401" s="928"/>
      <c r="Z401" s="928"/>
      <c r="AA401" s="928"/>
      <c r="AB401" s="928"/>
      <c r="AC401" s="928"/>
      <c r="AD401" s="928"/>
      <c r="AE401" s="928"/>
      <c r="AF401" s="928"/>
      <c r="AG401" s="928"/>
      <c r="AH401" s="928"/>
      <c r="AI401" s="928"/>
      <c r="AJ401" s="928"/>
      <c r="AK401" s="928"/>
      <c r="AL401" s="928"/>
      <c r="AM401" s="928"/>
      <c r="AN401" s="928"/>
      <c r="AO401" s="928"/>
      <c r="AP401" s="928"/>
      <c r="AQ401" s="928"/>
      <c r="AR401" s="928"/>
      <c r="AS401" s="928"/>
      <c r="AT401" s="928"/>
      <c r="AU401" s="928"/>
      <c r="AV401" s="928"/>
      <c r="AW401" s="928"/>
      <c r="AX401" s="928"/>
      <c r="AY401" s="928"/>
      <c r="AZ401" s="928"/>
      <c r="BA401" s="928"/>
      <c r="BB401" s="928"/>
      <c r="BC401" s="928"/>
      <c r="BD401" s="928"/>
      <c r="BE401" s="928"/>
      <c r="BF401" s="928"/>
      <c r="BG401" s="928"/>
      <c r="BH401" s="928"/>
      <c r="BI401" s="928"/>
      <c r="BJ401" s="928"/>
      <c r="BK401" s="928"/>
      <c r="BL401" s="928"/>
      <c r="BM401" s="928"/>
      <c r="BN401" s="928"/>
      <c r="BO401" s="928"/>
      <c r="BP401" s="928"/>
      <c r="BQ401" s="928"/>
      <c r="BR401" s="928"/>
      <c r="BS401" s="928"/>
      <c r="BT401" s="928"/>
      <c r="BU401" s="928"/>
      <c r="BV401" s="928"/>
      <c r="BW401" s="928"/>
      <c r="BX401" s="928"/>
      <c r="BY401" s="928"/>
      <c r="BZ401" s="928"/>
      <c r="CA401" s="928"/>
      <c r="CB401" s="928"/>
      <c r="CC401" s="928"/>
      <c r="CD401" s="928"/>
      <c r="CE401" s="928"/>
      <c r="CF401" s="928"/>
      <c r="CG401" s="928"/>
      <c r="CH401" s="928"/>
      <c r="CI401" s="928"/>
      <c r="CJ401" s="928"/>
      <c r="CK401" s="928"/>
      <c r="CL401" s="928"/>
      <c r="CM401" s="928"/>
      <c r="CN401" s="928"/>
      <c r="CO401" s="928"/>
      <c r="CP401" s="928"/>
      <c r="CQ401" s="928"/>
      <c r="CR401" s="928"/>
      <c r="CS401" s="928"/>
      <c r="CT401" s="928"/>
      <c r="CU401" s="928"/>
      <c r="CV401" s="928"/>
      <c r="CW401" s="928"/>
      <c r="CX401" s="928"/>
      <c r="CY401" s="928"/>
      <c r="CZ401" s="928"/>
      <c r="DA401" s="928"/>
      <c r="DB401" s="928"/>
      <c r="DC401" s="928"/>
      <c r="DD401" s="928"/>
      <c r="DE401" s="928"/>
      <c r="DF401" s="928"/>
      <c r="DG401" s="928"/>
      <c r="DH401" s="928"/>
    </row>
    <row r="402" spans="4:112">
      <c r="H402" s="897"/>
      <c r="I402" s="897"/>
      <c r="J402" s="891"/>
      <c r="K402" s="891"/>
      <c r="L402" s="891"/>
      <c r="M402" s="891"/>
      <c r="N402" s="891"/>
      <c r="O402" s="891"/>
      <c r="P402" s="891"/>
      <c r="Q402" s="891"/>
      <c r="R402" s="891"/>
      <c r="S402" s="891"/>
      <c r="T402" s="891"/>
      <c r="U402" s="928"/>
      <c r="V402" s="928"/>
      <c r="W402" s="928"/>
      <c r="X402" s="928"/>
      <c r="Y402" s="928"/>
      <c r="Z402" s="928"/>
      <c r="AA402" s="928"/>
      <c r="AB402" s="928"/>
      <c r="AC402" s="928"/>
      <c r="AD402" s="928"/>
      <c r="AE402" s="928"/>
      <c r="AF402" s="928"/>
      <c r="AG402" s="928"/>
      <c r="AH402" s="928"/>
      <c r="AI402" s="928"/>
      <c r="AJ402" s="928"/>
      <c r="AK402" s="928"/>
      <c r="AL402" s="928"/>
      <c r="AM402" s="928"/>
      <c r="AN402" s="928"/>
      <c r="AO402" s="928"/>
      <c r="AP402" s="928"/>
      <c r="AQ402" s="928"/>
      <c r="AR402" s="928"/>
      <c r="AS402" s="928"/>
      <c r="AT402" s="928"/>
      <c r="AU402" s="928"/>
      <c r="AV402" s="928"/>
      <c r="AW402" s="928"/>
      <c r="AX402" s="928"/>
      <c r="AY402" s="928"/>
      <c r="AZ402" s="928"/>
      <c r="BA402" s="928"/>
      <c r="BB402" s="928"/>
      <c r="BC402" s="928"/>
      <c r="BD402" s="928"/>
      <c r="BE402" s="928"/>
      <c r="BF402" s="928"/>
      <c r="BG402" s="928"/>
      <c r="BH402" s="928"/>
      <c r="BI402" s="928"/>
      <c r="BJ402" s="928"/>
      <c r="BK402" s="928"/>
      <c r="BL402" s="928"/>
      <c r="BM402" s="928"/>
      <c r="BN402" s="928"/>
      <c r="BO402" s="928"/>
      <c r="BP402" s="928"/>
      <c r="BQ402" s="928"/>
      <c r="BR402" s="928"/>
      <c r="BS402" s="928"/>
      <c r="BT402" s="928"/>
      <c r="BU402" s="928"/>
      <c r="BV402" s="928"/>
      <c r="BW402" s="928"/>
      <c r="BX402" s="928"/>
      <c r="BY402" s="928"/>
      <c r="BZ402" s="928"/>
      <c r="CA402" s="928"/>
      <c r="CB402" s="928"/>
      <c r="CC402" s="928"/>
      <c r="CD402" s="928"/>
      <c r="CE402" s="928"/>
      <c r="CF402" s="928"/>
      <c r="CG402" s="928"/>
      <c r="CH402" s="928"/>
      <c r="CI402" s="928"/>
      <c r="CJ402" s="928"/>
      <c r="CK402" s="928"/>
      <c r="CL402" s="928"/>
      <c r="CM402" s="928"/>
      <c r="CN402" s="928"/>
      <c r="CO402" s="928"/>
      <c r="CP402" s="928"/>
      <c r="CQ402" s="928"/>
      <c r="CR402" s="928"/>
      <c r="CS402" s="928"/>
      <c r="CT402" s="928"/>
      <c r="CU402" s="928"/>
      <c r="CV402" s="928"/>
      <c r="CW402" s="928"/>
      <c r="CX402" s="928"/>
      <c r="CY402" s="928"/>
      <c r="CZ402" s="928"/>
      <c r="DA402" s="928"/>
      <c r="DB402" s="928"/>
      <c r="DC402" s="928"/>
      <c r="DD402" s="928"/>
      <c r="DE402" s="928"/>
      <c r="DF402" s="928"/>
      <c r="DG402" s="928"/>
      <c r="DH402" s="928"/>
    </row>
    <row r="403" spans="4:112">
      <c r="H403" s="897"/>
      <c r="I403" s="897"/>
      <c r="J403" s="891"/>
      <c r="K403" s="891"/>
      <c r="L403" s="891"/>
      <c r="M403" s="891"/>
      <c r="N403" s="891"/>
      <c r="O403" s="891"/>
      <c r="P403" s="891"/>
      <c r="Q403" s="891"/>
      <c r="R403" s="891"/>
      <c r="S403" s="891"/>
      <c r="T403" s="891"/>
      <c r="U403" s="928"/>
      <c r="V403" s="928"/>
      <c r="W403" s="928"/>
      <c r="X403" s="928"/>
      <c r="Y403" s="928"/>
      <c r="Z403" s="928"/>
      <c r="AA403" s="928"/>
      <c r="AB403" s="928"/>
      <c r="AC403" s="928"/>
      <c r="AD403" s="928"/>
      <c r="AE403" s="928"/>
      <c r="AF403" s="928"/>
      <c r="AG403" s="928"/>
      <c r="AH403" s="928"/>
      <c r="AI403" s="928"/>
      <c r="AJ403" s="928"/>
      <c r="AK403" s="928"/>
      <c r="AL403" s="928"/>
      <c r="AM403" s="928"/>
      <c r="AN403" s="928"/>
      <c r="AO403" s="928"/>
      <c r="AP403" s="928"/>
      <c r="AQ403" s="928"/>
      <c r="AR403" s="928"/>
      <c r="AS403" s="928"/>
      <c r="AT403" s="928"/>
      <c r="AU403" s="928"/>
      <c r="AV403" s="928"/>
      <c r="AW403" s="928"/>
      <c r="AX403" s="928"/>
      <c r="AY403" s="928"/>
      <c r="AZ403" s="928"/>
      <c r="BA403" s="928"/>
      <c r="BB403" s="928"/>
      <c r="BC403" s="928"/>
      <c r="BD403" s="928"/>
      <c r="BE403" s="928"/>
      <c r="BF403" s="928"/>
      <c r="BG403" s="928"/>
      <c r="BH403" s="928"/>
      <c r="BI403" s="928"/>
      <c r="BJ403" s="928"/>
      <c r="BK403" s="928"/>
      <c r="BL403" s="928"/>
      <c r="BM403" s="928"/>
      <c r="BN403" s="928"/>
      <c r="BO403" s="928"/>
      <c r="BP403" s="928"/>
      <c r="BQ403" s="928"/>
      <c r="BR403" s="928"/>
      <c r="BS403" s="928"/>
      <c r="BT403" s="928"/>
      <c r="BU403" s="928"/>
      <c r="BV403" s="928"/>
      <c r="BW403" s="928"/>
      <c r="BX403" s="928"/>
      <c r="BY403" s="928"/>
      <c r="BZ403" s="928"/>
      <c r="CA403" s="928"/>
      <c r="CB403" s="928"/>
      <c r="CC403" s="928"/>
      <c r="CD403" s="928"/>
      <c r="CE403" s="928"/>
      <c r="CF403" s="928"/>
      <c r="CG403" s="928"/>
      <c r="CH403" s="928"/>
      <c r="CI403" s="928"/>
      <c r="CJ403" s="928"/>
      <c r="CK403" s="928"/>
      <c r="CL403" s="928"/>
      <c r="CM403" s="928"/>
      <c r="CN403" s="928"/>
      <c r="CO403" s="928"/>
      <c r="CP403" s="928"/>
      <c r="CQ403" s="928"/>
      <c r="CR403" s="928"/>
      <c r="CS403" s="928"/>
      <c r="CT403" s="928"/>
      <c r="CU403" s="928"/>
      <c r="CV403" s="928"/>
      <c r="CW403" s="928"/>
      <c r="CX403" s="928"/>
      <c r="CY403" s="928"/>
      <c r="CZ403" s="928"/>
      <c r="DA403" s="928"/>
      <c r="DB403" s="928"/>
      <c r="DC403" s="928"/>
      <c r="DD403" s="928"/>
      <c r="DE403" s="928"/>
      <c r="DF403" s="928"/>
      <c r="DG403" s="928"/>
      <c r="DH403" s="928"/>
    </row>
    <row r="404" spans="4:112">
      <c r="H404" s="897"/>
      <c r="I404" s="897"/>
      <c r="J404" s="891"/>
      <c r="K404" s="891"/>
      <c r="L404" s="891"/>
      <c r="M404" s="891"/>
      <c r="N404" s="891"/>
      <c r="O404" s="891"/>
      <c r="P404" s="891"/>
      <c r="Q404" s="891"/>
      <c r="R404" s="891"/>
      <c r="S404" s="891"/>
      <c r="T404" s="891"/>
      <c r="U404" s="928"/>
      <c r="V404" s="928"/>
      <c r="W404" s="928"/>
      <c r="X404" s="928"/>
      <c r="Y404" s="928"/>
      <c r="Z404" s="928"/>
      <c r="AA404" s="928"/>
      <c r="AB404" s="928"/>
      <c r="AC404" s="928"/>
      <c r="AD404" s="928"/>
      <c r="AE404" s="928"/>
      <c r="AF404" s="928"/>
      <c r="AG404" s="928"/>
      <c r="AH404" s="928"/>
      <c r="AI404" s="928"/>
      <c r="AJ404" s="928"/>
      <c r="AK404" s="928"/>
      <c r="AL404" s="928"/>
      <c r="AM404" s="928"/>
      <c r="AN404" s="928"/>
      <c r="AO404" s="928"/>
      <c r="AP404" s="928"/>
      <c r="AQ404" s="928"/>
      <c r="AR404" s="928"/>
      <c r="AS404" s="928"/>
      <c r="AT404" s="928"/>
      <c r="AU404" s="928"/>
      <c r="AV404" s="928"/>
      <c r="AW404" s="928"/>
      <c r="AX404" s="928"/>
      <c r="AY404" s="928"/>
      <c r="AZ404" s="928"/>
      <c r="BA404" s="928"/>
      <c r="BB404" s="928"/>
      <c r="BC404" s="928"/>
      <c r="BD404" s="928"/>
      <c r="BE404" s="928"/>
      <c r="BF404" s="928"/>
      <c r="BG404" s="928"/>
      <c r="BH404" s="928"/>
      <c r="BI404" s="928"/>
      <c r="BJ404" s="928"/>
      <c r="BK404" s="928"/>
      <c r="BL404" s="928"/>
      <c r="BM404" s="928"/>
      <c r="BN404" s="928"/>
      <c r="BO404" s="928"/>
      <c r="BP404" s="928"/>
      <c r="BQ404" s="928"/>
      <c r="BR404" s="928"/>
      <c r="BS404" s="928"/>
      <c r="BT404" s="928"/>
      <c r="BU404" s="928"/>
      <c r="BV404" s="928"/>
      <c r="BW404" s="928"/>
      <c r="BX404" s="928"/>
      <c r="BY404" s="928"/>
      <c r="BZ404" s="928"/>
      <c r="CA404" s="928"/>
      <c r="CB404" s="928"/>
      <c r="CC404" s="928"/>
      <c r="CD404" s="928"/>
      <c r="CE404" s="928"/>
      <c r="CF404" s="928"/>
      <c r="CG404" s="928"/>
      <c r="CH404" s="928"/>
      <c r="CI404" s="928"/>
      <c r="CJ404" s="928"/>
      <c r="CK404" s="928"/>
      <c r="CL404" s="928"/>
      <c r="CM404" s="928"/>
      <c r="CN404" s="928"/>
      <c r="CO404" s="928"/>
      <c r="CP404" s="928"/>
      <c r="CQ404" s="928"/>
      <c r="CR404" s="928"/>
      <c r="CS404" s="928"/>
      <c r="CT404" s="928"/>
      <c r="CU404" s="928"/>
      <c r="CV404" s="928"/>
      <c r="CW404" s="928"/>
      <c r="CX404" s="928"/>
      <c r="CY404" s="928"/>
      <c r="CZ404" s="928"/>
      <c r="DA404" s="928"/>
      <c r="DB404" s="928"/>
      <c r="DC404" s="928"/>
      <c r="DD404" s="928"/>
      <c r="DE404" s="928"/>
      <c r="DF404" s="928"/>
      <c r="DG404" s="928"/>
      <c r="DH404" s="928"/>
    </row>
    <row r="405" spans="4:112">
      <c r="H405" s="897"/>
      <c r="I405" s="897"/>
      <c r="J405" s="891"/>
      <c r="K405" s="891"/>
      <c r="L405" s="891"/>
      <c r="M405" s="891"/>
      <c r="N405" s="891"/>
      <c r="O405" s="891"/>
      <c r="P405" s="891"/>
      <c r="Q405" s="891"/>
      <c r="R405" s="891"/>
      <c r="S405" s="891"/>
      <c r="T405" s="891"/>
      <c r="U405" s="928"/>
      <c r="V405" s="928"/>
      <c r="W405" s="928"/>
      <c r="X405" s="928"/>
      <c r="Y405" s="928"/>
      <c r="Z405" s="928"/>
      <c r="AA405" s="928"/>
      <c r="AB405" s="928"/>
      <c r="AC405" s="928"/>
      <c r="AD405" s="928"/>
      <c r="AE405" s="928"/>
      <c r="AF405" s="928"/>
      <c r="AG405" s="928"/>
      <c r="AH405" s="928"/>
      <c r="AI405" s="928"/>
      <c r="AJ405" s="928"/>
      <c r="AK405" s="928"/>
      <c r="AL405" s="928"/>
      <c r="AM405" s="928"/>
      <c r="AN405" s="928"/>
      <c r="AO405" s="928"/>
      <c r="AP405" s="928"/>
      <c r="AQ405" s="928"/>
      <c r="AR405" s="928"/>
      <c r="AS405" s="928"/>
      <c r="AT405" s="928"/>
      <c r="AU405" s="928"/>
      <c r="AV405" s="928"/>
      <c r="AW405" s="928"/>
      <c r="AX405" s="928"/>
      <c r="AY405" s="928"/>
      <c r="AZ405" s="928"/>
      <c r="BA405" s="928"/>
      <c r="BB405" s="928"/>
      <c r="BC405" s="928"/>
      <c r="BD405" s="928"/>
      <c r="BE405" s="928"/>
      <c r="BF405" s="928"/>
      <c r="BG405" s="928"/>
      <c r="BH405" s="928"/>
      <c r="BI405" s="928"/>
      <c r="BJ405" s="928"/>
      <c r="BK405" s="928"/>
      <c r="BL405" s="928"/>
      <c r="BM405" s="928"/>
      <c r="BN405" s="928"/>
      <c r="BO405" s="928"/>
      <c r="BP405" s="928"/>
      <c r="BQ405" s="928"/>
      <c r="BR405" s="928"/>
      <c r="BS405" s="928"/>
      <c r="BT405" s="928"/>
      <c r="BU405" s="928"/>
      <c r="BV405" s="928"/>
      <c r="BW405" s="928"/>
      <c r="BX405" s="928"/>
      <c r="BY405" s="928"/>
      <c r="BZ405" s="928"/>
      <c r="CA405" s="928"/>
      <c r="CB405" s="928"/>
      <c r="CC405" s="928"/>
      <c r="CD405" s="928"/>
      <c r="CE405" s="928"/>
      <c r="CF405" s="928"/>
      <c r="CG405" s="928"/>
      <c r="CH405" s="928"/>
      <c r="CI405" s="928"/>
      <c r="CJ405" s="928"/>
      <c r="CK405" s="928"/>
      <c r="CL405" s="928"/>
      <c r="CM405" s="928"/>
      <c r="CN405" s="928"/>
      <c r="CO405" s="928"/>
      <c r="CP405" s="928"/>
      <c r="CQ405" s="928"/>
      <c r="CR405" s="928"/>
      <c r="CS405" s="928"/>
      <c r="CT405" s="928"/>
      <c r="CU405" s="928"/>
      <c r="CV405" s="928"/>
      <c r="CW405" s="928"/>
      <c r="CX405" s="928"/>
      <c r="CY405" s="928"/>
      <c r="CZ405" s="928"/>
      <c r="DA405" s="928"/>
      <c r="DB405" s="928"/>
      <c r="DC405" s="928"/>
      <c r="DD405" s="928"/>
      <c r="DE405" s="928"/>
      <c r="DF405" s="928"/>
      <c r="DG405" s="928"/>
      <c r="DH405" s="928"/>
    </row>
    <row r="406" spans="4:112">
      <c r="H406" s="897"/>
      <c r="I406" s="897"/>
      <c r="J406" s="891"/>
      <c r="K406" s="891"/>
      <c r="L406" s="891"/>
      <c r="M406" s="891"/>
      <c r="N406" s="891"/>
      <c r="O406" s="891"/>
      <c r="P406" s="891"/>
      <c r="Q406" s="891"/>
      <c r="R406" s="891"/>
      <c r="S406" s="891"/>
      <c r="T406" s="891"/>
      <c r="U406" s="928"/>
      <c r="V406" s="928"/>
      <c r="W406" s="928"/>
      <c r="X406" s="928"/>
      <c r="Y406" s="928"/>
      <c r="Z406" s="928"/>
      <c r="AA406" s="928"/>
      <c r="AB406" s="928"/>
      <c r="AC406" s="928"/>
      <c r="AD406" s="928"/>
      <c r="AE406" s="928"/>
      <c r="AF406" s="928"/>
      <c r="AG406" s="928"/>
      <c r="AH406" s="928"/>
      <c r="AI406" s="928"/>
      <c r="AJ406" s="928"/>
      <c r="AK406" s="928"/>
      <c r="AL406" s="928"/>
      <c r="AM406" s="928"/>
      <c r="AN406" s="928"/>
      <c r="AO406" s="928"/>
      <c r="AP406" s="928"/>
      <c r="AQ406" s="928"/>
      <c r="AR406" s="928"/>
      <c r="AS406" s="928"/>
      <c r="AT406" s="928"/>
      <c r="AU406" s="928"/>
      <c r="AV406" s="928"/>
      <c r="AW406" s="928"/>
      <c r="AX406" s="928"/>
      <c r="AY406" s="928"/>
      <c r="AZ406" s="928"/>
      <c r="BA406" s="928"/>
      <c r="BB406" s="928"/>
      <c r="BC406" s="928"/>
      <c r="BD406" s="928"/>
      <c r="BE406" s="928"/>
      <c r="BF406" s="928"/>
      <c r="BG406" s="928"/>
      <c r="BH406" s="928"/>
      <c r="BI406" s="928"/>
      <c r="BJ406" s="928"/>
      <c r="BK406" s="928"/>
      <c r="BL406" s="928"/>
      <c r="BM406" s="928"/>
      <c r="BN406" s="928"/>
      <c r="BO406" s="928"/>
      <c r="BP406" s="928"/>
      <c r="BQ406" s="928"/>
      <c r="BR406" s="928"/>
      <c r="BS406" s="928"/>
      <c r="BT406" s="928"/>
      <c r="BU406" s="928"/>
      <c r="BV406" s="928"/>
      <c r="BW406" s="928"/>
      <c r="BX406" s="928"/>
      <c r="BY406" s="928"/>
      <c r="BZ406" s="928"/>
      <c r="CA406" s="928"/>
      <c r="CB406" s="928"/>
      <c r="CC406" s="928"/>
      <c r="CD406" s="928"/>
      <c r="CE406" s="928"/>
      <c r="CF406" s="928"/>
      <c r="CG406" s="928"/>
      <c r="CH406" s="928"/>
      <c r="CI406" s="928"/>
      <c r="CJ406" s="928"/>
      <c r="CK406" s="928"/>
      <c r="CL406" s="928"/>
      <c r="CM406" s="928"/>
      <c r="CN406" s="928"/>
      <c r="CO406" s="928"/>
      <c r="CP406" s="928"/>
      <c r="CQ406" s="928"/>
      <c r="CR406" s="928"/>
      <c r="CS406" s="928"/>
      <c r="CT406" s="928"/>
      <c r="CU406" s="928"/>
      <c r="CV406" s="928"/>
      <c r="CW406" s="928"/>
      <c r="CX406" s="928"/>
      <c r="CY406" s="928"/>
      <c r="CZ406" s="928"/>
      <c r="DA406" s="928"/>
      <c r="DB406" s="928"/>
      <c r="DC406" s="928"/>
      <c r="DD406" s="928"/>
      <c r="DE406" s="928"/>
      <c r="DF406" s="928"/>
      <c r="DG406" s="928"/>
      <c r="DH406" s="928"/>
    </row>
    <row r="407" spans="4:112">
      <c r="H407" s="897"/>
      <c r="I407" s="897"/>
      <c r="J407" s="891"/>
      <c r="K407" s="891"/>
      <c r="L407" s="891"/>
      <c r="M407" s="891"/>
      <c r="N407" s="891"/>
      <c r="O407" s="891"/>
      <c r="P407" s="891"/>
      <c r="Q407" s="891"/>
      <c r="R407" s="891"/>
      <c r="S407" s="891"/>
      <c r="T407" s="891"/>
      <c r="U407" s="928"/>
      <c r="V407" s="928"/>
      <c r="W407" s="928"/>
      <c r="X407" s="928"/>
      <c r="Y407" s="928"/>
      <c r="Z407" s="928"/>
      <c r="AA407" s="928"/>
      <c r="AB407" s="928"/>
      <c r="AC407" s="928"/>
      <c r="AD407" s="928"/>
      <c r="AE407" s="928"/>
      <c r="AF407" s="928"/>
      <c r="AG407" s="928"/>
      <c r="AH407" s="928"/>
      <c r="AI407" s="928"/>
      <c r="AJ407" s="928"/>
      <c r="AK407" s="928"/>
      <c r="AL407" s="928"/>
      <c r="AM407" s="928"/>
      <c r="AN407" s="928"/>
      <c r="AO407" s="928"/>
      <c r="AP407" s="928"/>
      <c r="AQ407" s="928"/>
      <c r="AR407" s="928"/>
      <c r="AS407" s="928"/>
      <c r="AT407" s="928"/>
      <c r="AU407" s="928"/>
      <c r="AV407" s="928"/>
      <c r="AW407" s="928"/>
      <c r="AX407" s="928"/>
      <c r="AY407" s="928"/>
      <c r="AZ407" s="928"/>
      <c r="BA407" s="928"/>
      <c r="BB407" s="928"/>
      <c r="BC407" s="928"/>
      <c r="BD407" s="928"/>
      <c r="BE407" s="928"/>
      <c r="BF407" s="928"/>
      <c r="BG407" s="928"/>
      <c r="BH407" s="928"/>
      <c r="BI407" s="928"/>
      <c r="BJ407" s="928"/>
      <c r="BK407" s="928"/>
      <c r="BL407" s="928"/>
      <c r="BM407" s="928"/>
      <c r="BN407" s="928"/>
      <c r="BO407" s="928"/>
      <c r="BP407" s="928"/>
      <c r="BQ407" s="928"/>
      <c r="BR407" s="928"/>
      <c r="BS407" s="928"/>
      <c r="BT407" s="928"/>
      <c r="BU407" s="928"/>
      <c r="BV407" s="928"/>
      <c r="BW407" s="928"/>
      <c r="BX407" s="928"/>
      <c r="BY407" s="928"/>
      <c r="BZ407" s="928"/>
      <c r="CA407" s="928"/>
      <c r="CB407" s="928"/>
      <c r="CC407" s="928"/>
      <c r="CD407" s="928"/>
      <c r="CE407" s="928"/>
      <c r="CF407" s="928"/>
      <c r="CG407" s="928"/>
      <c r="CH407" s="928"/>
      <c r="CI407" s="928"/>
      <c r="CJ407" s="928"/>
      <c r="CK407" s="928"/>
      <c r="CL407" s="928"/>
      <c r="CM407" s="928"/>
      <c r="CN407" s="928"/>
      <c r="CO407" s="928"/>
      <c r="CP407" s="928"/>
      <c r="CQ407" s="928"/>
      <c r="CR407" s="928"/>
      <c r="CS407" s="928"/>
      <c r="CT407" s="928"/>
      <c r="CU407" s="928"/>
      <c r="CV407" s="928"/>
      <c r="CW407" s="928"/>
      <c r="CX407" s="928"/>
      <c r="CY407" s="928"/>
      <c r="CZ407" s="928"/>
      <c r="DA407" s="928"/>
      <c r="DB407" s="928"/>
      <c r="DC407" s="928"/>
      <c r="DD407" s="928"/>
      <c r="DE407" s="928"/>
      <c r="DF407" s="928"/>
      <c r="DG407" s="928"/>
      <c r="DH407" s="928"/>
    </row>
    <row r="408" spans="4:112">
      <c r="H408" s="897"/>
      <c r="I408" s="897"/>
      <c r="J408" s="891"/>
      <c r="K408" s="891"/>
      <c r="L408" s="891"/>
      <c r="M408" s="891"/>
      <c r="N408" s="891"/>
      <c r="O408" s="891"/>
      <c r="P408" s="891"/>
      <c r="Q408" s="891"/>
      <c r="R408" s="891"/>
      <c r="S408" s="891"/>
      <c r="T408" s="891"/>
      <c r="U408" s="928"/>
      <c r="V408" s="928"/>
      <c r="W408" s="928"/>
      <c r="X408" s="928"/>
      <c r="Y408" s="928"/>
      <c r="Z408" s="928"/>
      <c r="AA408" s="928"/>
      <c r="AB408" s="928"/>
      <c r="AC408" s="928"/>
      <c r="AD408" s="928"/>
      <c r="AE408" s="928"/>
      <c r="AF408" s="928"/>
      <c r="AG408" s="928"/>
      <c r="AH408" s="928"/>
      <c r="AI408" s="928"/>
      <c r="AJ408" s="928"/>
      <c r="AK408" s="928"/>
      <c r="AL408" s="928"/>
      <c r="AM408" s="928"/>
      <c r="AN408" s="928"/>
      <c r="AO408" s="928"/>
      <c r="AP408" s="928"/>
      <c r="AQ408" s="928"/>
      <c r="AR408" s="928"/>
      <c r="AS408" s="928"/>
      <c r="AT408" s="928"/>
      <c r="AU408" s="928"/>
      <c r="AV408" s="928"/>
      <c r="AW408" s="928"/>
      <c r="AX408" s="928"/>
      <c r="AY408" s="928"/>
      <c r="AZ408" s="928"/>
      <c r="BA408" s="928"/>
      <c r="BB408" s="928"/>
      <c r="BC408" s="928"/>
      <c r="BD408" s="928"/>
      <c r="BE408" s="928"/>
      <c r="BF408" s="928"/>
      <c r="BG408" s="928"/>
      <c r="BH408" s="928"/>
      <c r="BI408" s="928"/>
      <c r="BJ408" s="928"/>
      <c r="BK408" s="928"/>
      <c r="BL408" s="928"/>
      <c r="BM408" s="928"/>
      <c r="BN408" s="928"/>
      <c r="BO408" s="928"/>
      <c r="BP408" s="928"/>
      <c r="BQ408" s="928"/>
      <c r="BR408" s="928"/>
      <c r="BS408" s="928"/>
      <c r="BT408" s="928"/>
      <c r="BU408" s="928"/>
      <c r="BV408" s="928"/>
      <c r="BW408" s="928"/>
      <c r="BX408" s="928"/>
      <c r="BY408" s="928"/>
      <c r="BZ408" s="928"/>
      <c r="CA408" s="928"/>
      <c r="CB408" s="928"/>
      <c r="CC408" s="928"/>
      <c r="CD408" s="928"/>
      <c r="CE408" s="928"/>
      <c r="CF408" s="928"/>
      <c r="CG408" s="928"/>
      <c r="CH408" s="928"/>
      <c r="CI408" s="928"/>
      <c r="CJ408" s="928"/>
      <c r="CK408" s="928"/>
      <c r="CL408" s="928"/>
      <c r="CM408" s="928"/>
      <c r="CN408" s="928"/>
      <c r="CO408" s="928"/>
      <c r="CP408" s="928"/>
      <c r="CQ408" s="928"/>
      <c r="CR408" s="928"/>
      <c r="CS408" s="928"/>
      <c r="CT408" s="928"/>
      <c r="CU408" s="928"/>
      <c r="CV408" s="928"/>
      <c r="CW408" s="928"/>
      <c r="CX408" s="928"/>
      <c r="CY408" s="928"/>
      <c r="CZ408" s="928"/>
      <c r="DA408" s="928"/>
      <c r="DB408" s="928"/>
      <c r="DC408" s="928"/>
      <c r="DD408" s="928"/>
      <c r="DE408" s="928"/>
      <c r="DF408" s="928"/>
      <c r="DG408" s="928"/>
      <c r="DH408" s="928"/>
    </row>
    <row r="409" spans="4:112">
      <c r="H409" s="897"/>
      <c r="I409" s="897"/>
      <c r="J409" s="891"/>
      <c r="K409" s="891"/>
      <c r="L409" s="891"/>
      <c r="M409" s="891"/>
      <c r="N409" s="891"/>
      <c r="O409" s="891"/>
      <c r="P409" s="891"/>
      <c r="Q409" s="891"/>
      <c r="R409" s="891"/>
      <c r="S409" s="891"/>
      <c r="T409" s="891"/>
      <c r="U409" s="928"/>
      <c r="V409" s="928"/>
      <c r="W409" s="928"/>
      <c r="X409" s="928"/>
      <c r="Y409" s="928"/>
      <c r="Z409" s="928"/>
      <c r="AA409" s="928"/>
      <c r="AB409" s="928"/>
      <c r="AC409" s="928"/>
      <c r="AD409" s="928"/>
      <c r="AE409" s="928"/>
      <c r="AF409" s="928"/>
      <c r="AG409" s="928"/>
      <c r="AH409" s="928"/>
      <c r="AI409" s="928"/>
      <c r="AJ409" s="928"/>
      <c r="AK409" s="928"/>
      <c r="AL409" s="928"/>
      <c r="AM409" s="928"/>
      <c r="AN409" s="928"/>
      <c r="AO409" s="928"/>
      <c r="AP409" s="928"/>
      <c r="AQ409" s="928"/>
      <c r="AR409" s="928"/>
      <c r="AS409" s="928"/>
      <c r="AT409" s="928"/>
      <c r="AU409" s="928"/>
      <c r="AV409" s="928"/>
      <c r="AW409" s="928"/>
      <c r="AX409" s="928"/>
      <c r="AY409" s="928"/>
      <c r="AZ409" s="928"/>
      <c r="BA409" s="928"/>
      <c r="BB409" s="928"/>
      <c r="BC409" s="928"/>
      <c r="BD409" s="928"/>
      <c r="BE409" s="928"/>
      <c r="BF409" s="928"/>
      <c r="BG409" s="928"/>
      <c r="BH409" s="928"/>
      <c r="BI409" s="928"/>
      <c r="BJ409" s="928"/>
      <c r="BK409" s="928"/>
      <c r="BL409" s="928"/>
      <c r="BM409" s="928"/>
      <c r="BN409" s="928"/>
      <c r="BO409" s="928"/>
      <c r="BP409" s="928"/>
      <c r="BQ409" s="928"/>
      <c r="BR409" s="928"/>
      <c r="BS409" s="928"/>
      <c r="BT409" s="928"/>
      <c r="BU409" s="928"/>
      <c r="BV409" s="928"/>
      <c r="BW409" s="928"/>
      <c r="BX409" s="928"/>
      <c r="BY409" s="928"/>
      <c r="BZ409" s="928"/>
      <c r="CA409" s="928"/>
      <c r="CB409" s="928"/>
      <c r="CC409" s="928"/>
      <c r="CD409" s="928"/>
      <c r="CE409" s="928"/>
      <c r="CF409" s="928"/>
      <c r="CG409" s="928"/>
      <c r="CH409" s="928"/>
      <c r="CI409" s="928"/>
      <c r="CJ409" s="928"/>
      <c r="CK409" s="928"/>
      <c r="CL409" s="928"/>
      <c r="CM409" s="928"/>
      <c r="CN409" s="928"/>
      <c r="CO409" s="928"/>
      <c r="CP409" s="928"/>
      <c r="CQ409" s="928"/>
      <c r="CR409" s="928"/>
      <c r="CS409" s="928"/>
      <c r="CT409" s="928"/>
      <c r="CU409" s="928"/>
      <c r="CV409" s="928"/>
      <c r="CW409" s="928"/>
      <c r="CX409" s="928"/>
      <c r="CY409" s="928"/>
      <c r="CZ409" s="928"/>
      <c r="DA409" s="928"/>
      <c r="DB409" s="928"/>
      <c r="DC409" s="928"/>
      <c r="DD409" s="928"/>
      <c r="DE409" s="928"/>
      <c r="DF409" s="928"/>
      <c r="DG409" s="928"/>
      <c r="DH409" s="928"/>
    </row>
    <row r="410" spans="4:112">
      <c r="H410" s="897"/>
      <c r="I410" s="897"/>
      <c r="J410" s="891"/>
      <c r="K410" s="891"/>
      <c r="L410" s="891"/>
      <c r="M410" s="891"/>
      <c r="N410" s="891"/>
      <c r="O410" s="891"/>
      <c r="P410" s="891"/>
      <c r="Q410" s="891"/>
      <c r="R410" s="891"/>
      <c r="S410" s="891"/>
      <c r="T410" s="891"/>
      <c r="U410" s="928"/>
      <c r="V410" s="928"/>
      <c r="W410" s="928"/>
      <c r="X410" s="928"/>
      <c r="Y410" s="928"/>
      <c r="Z410" s="928"/>
      <c r="AA410" s="928"/>
      <c r="AB410" s="928"/>
      <c r="AC410" s="928"/>
      <c r="AD410" s="928"/>
      <c r="AE410" s="928"/>
      <c r="AF410" s="928"/>
      <c r="AG410" s="928"/>
      <c r="AH410" s="928"/>
      <c r="AI410" s="928"/>
      <c r="AJ410" s="928"/>
      <c r="AK410" s="928"/>
      <c r="AL410" s="928"/>
      <c r="AM410" s="928"/>
      <c r="AN410" s="928"/>
      <c r="AO410" s="928"/>
      <c r="AP410" s="928"/>
      <c r="AQ410" s="928"/>
      <c r="AR410" s="928"/>
      <c r="AS410" s="928"/>
      <c r="AT410" s="928"/>
      <c r="AU410" s="928"/>
      <c r="AV410" s="928"/>
      <c r="AW410" s="928"/>
      <c r="AX410" s="928"/>
      <c r="AY410" s="928"/>
      <c r="AZ410" s="928"/>
      <c r="BA410" s="928"/>
      <c r="BB410" s="928"/>
      <c r="BC410" s="928"/>
      <c r="BD410" s="928"/>
      <c r="BE410" s="928"/>
      <c r="BF410" s="928"/>
      <c r="BG410" s="928"/>
      <c r="BH410" s="928"/>
      <c r="BI410" s="928"/>
      <c r="BJ410" s="928"/>
      <c r="BK410" s="928"/>
      <c r="BL410" s="928"/>
      <c r="BM410" s="928"/>
      <c r="BN410" s="928"/>
      <c r="BO410" s="928"/>
      <c r="BP410" s="928"/>
      <c r="BQ410" s="928"/>
      <c r="BR410" s="928"/>
      <c r="BS410" s="928"/>
      <c r="BT410" s="928"/>
      <c r="BU410" s="928"/>
      <c r="BV410" s="928"/>
      <c r="BW410" s="928"/>
      <c r="BX410" s="928"/>
      <c r="BY410" s="928"/>
      <c r="BZ410" s="928"/>
      <c r="CA410" s="928"/>
      <c r="CB410" s="928"/>
      <c r="CC410" s="928"/>
      <c r="CD410" s="928"/>
      <c r="CE410" s="928"/>
      <c r="CF410" s="928"/>
      <c r="CG410" s="928"/>
      <c r="CH410" s="928"/>
      <c r="CI410" s="928"/>
      <c r="CJ410" s="928"/>
      <c r="CK410" s="928"/>
      <c r="CL410" s="928"/>
      <c r="CM410" s="928"/>
      <c r="CN410" s="928"/>
      <c r="CO410" s="928"/>
      <c r="CP410" s="928"/>
      <c r="CQ410" s="928"/>
      <c r="CR410" s="928"/>
      <c r="CS410" s="928"/>
      <c r="CT410" s="928"/>
      <c r="CU410" s="928"/>
      <c r="CV410" s="928"/>
      <c r="CW410" s="928"/>
      <c r="CX410" s="928"/>
      <c r="CY410" s="928"/>
      <c r="CZ410" s="928"/>
      <c r="DA410" s="928"/>
      <c r="DB410" s="928"/>
      <c r="DC410" s="928"/>
      <c r="DD410" s="928"/>
      <c r="DE410" s="928"/>
      <c r="DF410" s="928"/>
      <c r="DG410" s="928"/>
      <c r="DH410" s="928"/>
    </row>
    <row r="411" spans="4:112">
      <c r="H411" s="897"/>
      <c r="I411" s="897"/>
      <c r="J411" s="891"/>
      <c r="K411" s="891"/>
      <c r="L411" s="891"/>
      <c r="M411" s="891"/>
      <c r="N411" s="891"/>
      <c r="O411" s="891"/>
      <c r="P411" s="891"/>
      <c r="Q411" s="891"/>
      <c r="R411" s="891"/>
      <c r="S411" s="891"/>
      <c r="T411" s="891"/>
      <c r="U411" s="928"/>
      <c r="V411" s="928"/>
      <c r="W411" s="928"/>
      <c r="X411" s="928"/>
      <c r="Y411" s="928"/>
      <c r="Z411" s="928"/>
      <c r="AA411" s="928"/>
      <c r="AB411" s="928"/>
      <c r="AC411" s="928"/>
      <c r="AD411" s="928"/>
      <c r="AE411" s="928"/>
      <c r="AF411" s="928"/>
      <c r="AG411" s="928"/>
      <c r="AH411" s="928"/>
      <c r="AI411" s="928"/>
      <c r="AJ411" s="928"/>
      <c r="AK411" s="928"/>
      <c r="AL411" s="928"/>
      <c r="AM411" s="928"/>
      <c r="AN411" s="928"/>
      <c r="AO411" s="928"/>
      <c r="AP411" s="928"/>
      <c r="AQ411" s="928"/>
      <c r="AR411" s="928"/>
      <c r="AS411" s="928"/>
      <c r="AT411" s="928"/>
      <c r="AU411" s="928"/>
      <c r="AV411" s="928"/>
      <c r="AW411" s="928"/>
      <c r="AX411" s="928"/>
      <c r="AY411" s="928"/>
      <c r="AZ411" s="928"/>
      <c r="BA411" s="928"/>
      <c r="BB411" s="928"/>
      <c r="BC411" s="928"/>
      <c r="BD411" s="928"/>
      <c r="BE411" s="928"/>
      <c r="BF411" s="928"/>
      <c r="BG411" s="928"/>
      <c r="BH411" s="928"/>
      <c r="BI411" s="928"/>
      <c r="BJ411" s="928"/>
      <c r="BK411" s="928"/>
      <c r="BL411" s="928"/>
      <c r="BM411" s="928"/>
      <c r="BN411" s="928"/>
      <c r="BO411" s="928"/>
      <c r="BP411" s="928"/>
      <c r="BQ411" s="928"/>
      <c r="BR411" s="928"/>
      <c r="BS411" s="928"/>
      <c r="BT411" s="928"/>
      <c r="BU411" s="928"/>
      <c r="BV411" s="928"/>
      <c r="BW411" s="928"/>
      <c r="BX411" s="928"/>
      <c r="BY411" s="928"/>
      <c r="BZ411" s="928"/>
      <c r="CA411" s="928"/>
      <c r="CB411" s="928"/>
      <c r="CC411" s="928"/>
      <c r="CD411" s="928"/>
      <c r="CE411" s="928"/>
      <c r="CF411" s="928"/>
      <c r="CG411" s="928"/>
      <c r="CH411" s="928"/>
      <c r="CI411" s="928"/>
      <c r="CJ411" s="928"/>
      <c r="CK411" s="928"/>
      <c r="CL411" s="928"/>
      <c r="CM411" s="928"/>
      <c r="CN411" s="928"/>
      <c r="CO411" s="928"/>
      <c r="CP411" s="928"/>
      <c r="CQ411" s="928"/>
      <c r="CR411" s="928"/>
      <c r="CS411" s="928"/>
      <c r="CT411" s="928"/>
      <c r="CU411" s="928"/>
      <c r="CV411" s="928"/>
      <c r="CW411" s="928"/>
      <c r="CX411" s="928"/>
      <c r="CY411" s="928"/>
      <c r="CZ411" s="928"/>
      <c r="DA411" s="928"/>
      <c r="DB411" s="928"/>
      <c r="DC411" s="928"/>
      <c r="DD411" s="928"/>
      <c r="DE411" s="928"/>
      <c r="DF411" s="928"/>
      <c r="DG411" s="928"/>
      <c r="DH411" s="928"/>
    </row>
    <row r="412" spans="4:112">
      <c r="H412" s="897"/>
      <c r="I412" s="897"/>
      <c r="J412" s="891"/>
      <c r="K412" s="891"/>
      <c r="L412" s="891"/>
      <c r="M412" s="891"/>
      <c r="N412" s="891"/>
      <c r="O412" s="891"/>
      <c r="P412" s="891"/>
      <c r="Q412" s="891"/>
      <c r="R412" s="891"/>
      <c r="S412" s="891"/>
      <c r="T412" s="891"/>
      <c r="U412" s="928"/>
      <c r="V412" s="928"/>
      <c r="W412" s="928"/>
      <c r="X412" s="928"/>
      <c r="Y412" s="928"/>
      <c r="Z412" s="928"/>
      <c r="AA412" s="928"/>
      <c r="AB412" s="928"/>
      <c r="AC412" s="928"/>
      <c r="AD412" s="928"/>
      <c r="AE412" s="928"/>
      <c r="AF412" s="928"/>
      <c r="AG412" s="928"/>
      <c r="AH412" s="928"/>
      <c r="AI412" s="928"/>
      <c r="AJ412" s="928"/>
      <c r="AK412" s="928"/>
      <c r="AL412" s="928"/>
      <c r="AM412" s="928"/>
      <c r="AN412" s="928"/>
      <c r="AO412" s="928"/>
      <c r="AP412" s="928"/>
      <c r="AQ412" s="928"/>
      <c r="AR412" s="928"/>
      <c r="AS412" s="928"/>
      <c r="AT412" s="928"/>
      <c r="AU412" s="928"/>
      <c r="AV412" s="928"/>
      <c r="AW412" s="928"/>
      <c r="AX412" s="928"/>
      <c r="AY412" s="928"/>
      <c r="AZ412" s="928"/>
      <c r="BA412" s="928"/>
      <c r="BB412" s="928"/>
      <c r="BC412" s="928"/>
      <c r="BD412" s="928"/>
      <c r="BE412" s="928"/>
      <c r="BF412" s="928"/>
      <c r="BG412" s="928"/>
      <c r="BH412" s="928"/>
      <c r="BI412" s="928"/>
      <c r="BJ412" s="928"/>
      <c r="BK412" s="928"/>
      <c r="BL412" s="928"/>
      <c r="BM412" s="928"/>
      <c r="BN412" s="928"/>
      <c r="BO412" s="928"/>
      <c r="BP412" s="928"/>
      <c r="BQ412" s="928"/>
      <c r="BR412" s="928"/>
      <c r="BS412" s="928"/>
      <c r="BT412" s="928"/>
      <c r="BU412" s="928"/>
      <c r="BV412" s="928"/>
      <c r="BW412" s="928"/>
      <c r="BX412" s="928"/>
      <c r="BY412" s="928"/>
      <c r="BZ412" s="928"/>
      <c r="CA412" s="928"/>
      <c r="CB412" s="928"/>
      <c r="CC412" s="928"/>
      <c r="CD412" s="928"/>
      <c r="CE412" s="928"/>
      <c r="CF412" s="928"/>
      <c r="CG412" s="928"/>
      <c r="CH412" s="928"/>
      <c r="CI412" s="928"/>
      <c r="CJ412" s="928"/>
      <c r="CK412" s="928"/>
      <c r="CL412" s="928"/>
      <c r="CM412" s="928"/>
      <c r="CN412" s="928"/>
      <c r="CO412" s="928"/>
      <c r="CP412" s="928"/>
      <c r="CQ412" s="928"/>
      <c r="CR412" s="928"/>
      <c r="CS412" s="928"/>
      <c r="CT412" s="928"/>
      <c r="CU412" s="928"/>
      <c r="CV412" s="928"/>
      <c r="CW412" s="928"/>
      <c r="CX412" s="928"/>
      <c r="CY412" s="928"/>
      <c r="CZ412" s="928"/>
      <c r="DA412" s="928"/>
      <c r="DB412" s="928"/>
      <c r="DC412" s="928"/>
      <c r="DD412" s="928"/>
      <c r="DE412" s="928"/>
      <c r="DF412" s="928"/>
      <c r="DG412" s="928"/>
      <c r="DH412" s="928"/>
    </row>
    <row r="413" spans="4:112">
      <c r="D413" s="891"/>
      <c r="H413" s="897"/>
      <c r="I413" s="897"/>
      <c r="J413" s="891"/>
      <c r="K413" s="891"/>
      <c r="L413" s="891"/>
      <c r="M413" s="891"/>
      <c r="N413" s="891"/>
      <c r="O413" s="891"/>
      <c r="P413" s="891"/>
      <c r="Q413" s="891"/>
      <c r="R413" s="891"/>
      <c r="S413" s="891"/>
      <c r="T413" s="891"/>
      <c r="U413" s="928"/>
      <c r="V413" s="928"/>
      <c r="W413" s="928"/>
      <c r="X413" s="928"/>
      <c r="Y413" s="928"/>
      <c r="Z413" s="928"/>
      <c r="AA413" s="928"/>
      <c r="AB413" s="928"/>
      <c r="AC413" s="928"/>
      <c r="AD413" s="928"/>
      <c r="AE413" s="928"/>
      <c r="AF413" s="928"/>
      <c r="AG413" s="928"/>
      <c r="AH413" s="928"/>
      <c r="AI413" s="928"/>
      <c r="AJ413" s="928"/>
      <c r="AK413" s="928"/>
      <c r="AL413" s="928"/>
      <c r="AM413" s="928"/>
      <c r="AN413" s="928"/>
      <c r="AO413" s="928"/>
      <c r="AP413" s="928"/>
      <c r="AQ413" s="928"/>
      <c r="AR413" s="928"/>
      <c r="AS413" s="928"/>
      <c r="AT413" s="928"/>
      <c r="AU413" s="928"/>
      <c r="AV413" s="928"/>
      <c r="AW413" s="928"/>
      <c r="AX413" s="928"/>
      <c r="AY413" s="928"/>
      <c r="AZ413" s="928"/>
      <c r="BA413" s="928"/>
      <c r="BB413" s="928"/>
      <c r="BC413" s="928"/>
      <c r="BD413" s="928"/>
      <c r="BE413" s="928"/>
      <c r="BF413" s="928"/>
      <c r="BG413" s="928"/>
      <c r="BH413" s="928"/>
      <c r="BI413" s="928"/>
      <c r="BJ413" s="928"/>
      <c r="BK413" s="928"/>
      <c r="BL413" s="928"/>
      <c r="BM413" s="928"/>
      <c r="BN413" s="928"/>
      <c r="BO413" s="928"/>
      <c r="BP413" s="928"/>
      <c r="BQ413" s="928"/>
      <c r="BR413" s="928"/>
      <c r="BS413" s="928"/>
      <c r="BT413" s="928"/>
      <c r="BU413" s="928"/>
      <c r="BV413" s="928"/>
      <c r="BW413" s="928"/>
      <c r="BX413" s="928"/>
      <c r="BY413" s="928"/>
      <c r="BZ413" s="928"/>
      <c r="CA413" s="928"/>
      <c r="CB413" s="928"/>
      <c r="CC413" s="928"/>
      <c r="CD413" s="928"/>
      <c r="CE413" s="928"/>
      <c r="CF413" s="928"/>
      <c r="CG413" s="928"/>
      <c r="CH413" s="928"/>
      <c r="CI413" s="928"/>
      <c r="CJ413" s="928"/>
      <c r="CK413" s="928"/>
      <c r="CL413" s="928"/>
      <c r="CM413" s="928"/>
      <c r="CN413" s="928"/>
      <c r="CO413" s="928"/>
      <c r="CP413" s="928"/>
      <c r="CQ413" s="928"/>
      <c r="CR413" s="928"/>
      <c r="CS413" s="928"/>
      <c r="CT413" s="928"/>
      <c r="CU413" s="928"/>
      <c r="CV413" s="928"/>
      <c r="CW413" s="928"/>
      <c r="CX413" s="928"/>
      <c r="CY413" s="928"/>
      <c r="CZ413" s="928"/>
      <c r="DA413" s="928"/>
      <c r="DB413" s="928"/>
      <c r="DC413" s="928"/>
      <c r="DD413" s="928"/>
      <c r="DE413" s="928"/>
      <c r="DF413" s="928"/>
      <c r="DG413" s="928"/>
      <c r="DH413" s="928"/>
    </row>
    <row r="414" spans="4:112">
      <c r="H414" s="897"/>
      <c r="I414" s="897"/>
      <c r="J414" s="891"/>
      <c r="K414" s="891"/>
      <c r="L414" s="891"/>
      <c r="M414" s="891"/>
      <c r="N414" s="891"/>
      <c r="O414" s="891"/>
      <c r="P414" s="891"/>
      <c r="Q414" s="891"/>
      <c r="R414" s="891"/>
      <c r="S414" s="891"/>
      <c r="T414" s="891"/>
      <c r="U414" s="928"/>
      <c r="V414" s="928"/>
      <c r="W414" s="928"/>
      <c r="X414" s="928"/>
      <c r="Y414" s="928"/>
      <c r="Z414" s="928"/>
      <c r="AA414" s="928"/>
      <c r="AB414" s="928"/>
      <c r="AC414" s="928"/>
      <c r="AD414" s="928"/>
      <c r="AE414" s="928"/>
      <c r="AF414" s="928"/>
      <c r="AG414" s="928"/>
      <c r="AH414" s="928"/>
      <c r="AI414" s="928"/>
      <c r="AJ414" s="928"/>
      <c r="AK414" s="928"/>
      <c r="AL414" s="928"/>
      <c r="AM414" s="928"/>
      <c r="AN414" s="928"/>
      <c r="AO414" s="928"/>
      <c r="AP414" s="928"/>
      <c r="AQ414" s="928"/>
      <c r="AR414" s="928"/>
      <c r="AS414" s="928"/>
      <c r="AT414" s="928"/>
      <c r="AU414" s="928"/>
      <c r="AV414" s="928"/>
      <c r="AW414" s="928"/>
      <c r="AX414" s="928"/>
      <c r="AY414" s="928"/>
      <c r="AZ414" s="928"/>
      <c r="BA414" s="928"/>
      <c r="BB414" s="928"/>
      <c r="BC414" s="928"/>
      <c r="BD414" s="928"/>
      <c r="BE414" s="928"/>
      <c r="BF414" s="928"/>
      <c r="BG414" s="928"/>
      <c r="BH414" s="928"/>
      <c r="BI414" s="928"/>
      <c r="BJ414" s="928"/>
      <c r="BK414" s="928"/>
      <c r="BL414" s="928"/>
      <c r="BM414" s="928"/>
      <c r="BN414" s="928"/>
      <c r="BO414" s="928"/>
      <c r="BP414" s="928"/>
      <c r="BQ414" s="928"/>
      <c r="BR414" s="928"/>
      <c r="BS414" s="928"/>
      <c r="BT414" s="928"/>
      <c r="BU414" s="928"/>
      <c r="BV414" s="928"/>
      <c r="BW414" s="928"/>
      <c r="BX414" s="928"/>
      <c r="BY414" s="928"/>
      <c r="BZ414" s="928"/>
      <c r="CA414" s="928"/>
      <c r="CB414" s="928"/>
      <c r="CC414" s="928"/>
      <c r="CD414" s="928"/>
      <c r="CE414" s="928"/>
      <c r="CF414" s="928"/>
      <c r="CG414" s="928"/>
      <c r="CH414" s="928"/>
      <c r="CI414" s="928"/>
      <c r="CJ414" s="928"/>
      <c r="CK414" s="928"/>
      <c r="CL414" s="928"/>
      <c r="CM414" s="928"/>
      <c r="CN414" s="928"/>
      <c r="CO414" s="928"/>
      <c r="CP414" s="928"/>
      <c r="CQ414" s="928"/>
      <c r="CR414" s="928"/>
      <c r="CS414" s="928"/>
      <c r="CT414" s="928"/>
      <c r="CU414" s="928"/>
      <c r="CV414" s="928"/>
      <c r="CW414" s="928"/>
      <c r="CX414" s="928"/>
      <c r="CY414" s="928"/>
      <c r="CZ414" s="928"/>
      <c r="DA414" s="928"/>
      <c r="DB414" s="928"/>
      <c r="DC414" s="928"/>
      <c r="DD414" s="928"/>
      <c r="DE414" s="928"/>
      <c r="DF414" s="928"/>
      <c r="DG414" s="928"/>
      <c r="DH414" s="928"/>
    </row>
    <row r="415" spans="4:112">
      <c r="H415" s="897"/>
      <c r="I415" s="897"/>
      <c r="J415" s="891"/>
      <c r="K415" s="891"/>
      <c r="L415" s="891"/>
      <c r="M415" s="891"/>
      <c r="N415" s="891"/>
      <c r="O415" s="891"/>
      <c r="P415" s="891"/>
      <c r="Q415" s="891"/>
      <c r="R415" s="891"/>
      <c r="S415" s="891"/>
      <c r="T415" s="891"/>
      <c r="U415" s="928"/>
      <c r="V415" s="928"/>
      <c r="W415" s="928"/>
      <c r="X415" s="928"/>
      <c r="Y415" s="928"/>
      <c r="Z415" s="928"/>
      <c r="AA415" s="928"/>
      <c r="AB415" s="928"/>
      <c r="AC415" s="928"/>
      <c r="AD415" s="928"/>
      <c r="AE415" s="928"/>
      <c r="AF415" s="928"/>
      <c r="AG415" s="928"/>
      <c r="AH415" s="928"/>
      <c r="AI415" s="928"/>
      <c r="AJ415" s="928"/>
      <c r="AK415" s="928"/>
      <c r="AL415" s="928"/>
      <c r="AM415" s="928"/>
      <c r="AN415" s="928"/>
      <c r="AO415" s="928"/>
      <c r="AP415" s="928"/>
      <c r="AQ415" s="928"/>
      <c r="AR415" s="928"/>
      <c r="AS415" s="928"/>
      <c r="AT415" s="928"/>
      <c r="AU415" s="928"/>
      <c r="AV415" s="928"/>
      <c r="AW415" s="928"/>
      <c r="AX415" s="928"/>
      <c r="AY415" s="928"/>
      <c r="AZ415" s="928"/>
      <c r="BA415" s="928"/>
      <c r="BB415" s="928"/>
      <c r="BC415" s="928"/>
      <c r="BD415" s="928"/>
      <c r="BE415" s="928"/>
      <c r="BF415" s="928"/>
      <c r="BG415" s="928"/>
      <c r="BH415" s="928"/>
      <c r="BI415" s="928"/>
      <c r="BJ415" s="928"/>
      <c r="BK415" s="928"/>
      <c r="BL415" s="928"/>
      <c r="BM415" s="928"/>
      <c r="BN415" s="928"/>
      <c r="BO415" s="928"/>
      <c r="BP415" s="928"/>
      <c r="BQ415" s="928"/>
      <c r="BR415" s="928"/>
      <c r="BS415" s="928"/>
      <c r="BT415" s="928"/>
      <c r="BU415" s="928"/>
      <c r="BV415" s="928"/>
      <c r="BW415" s="928"/>
      <c r="BX415" s="928"/>
      <c r="BY415" s="928"/>
      <c r="BZ415" s="928"/>
      <c r="CA415" s="928"/>
      <c r="CB415" s="928"/>
      <c r="CC415" s="928"/>
      <c r="CD415" s="928"/>
      <c r="CE415" s="928"/>
      <c r="CF415" s="928"/>
      <c r="CG415" s="928"/>
      <c r="CH415" s="928"/>
      <c r="CI415" s="928"/>
      <c r="CJ415" s="928"/>
      <c r="CK415" s="928"/>
      <c r="CL415" s="928"/>
      <c r="CM415" s="928"/>
      <c r="CN415" s="928"/>
      <c r="CO415" s="928"/>
      <c r="CP415" s="928"/>
      <c r="CQ415" s="928"/>
      <c r="CR415" s="928"/>
      <c r="CS415" s="928"/>
      <c r="CT415" s="928"/>
      <c r="CU415" s="928"/>
      <c r="CV415" s="928"/>
      <c r="CW415" s="928"/>
      <c r="CX415" s="928"/>
      <c r="CY415" s="928"/>
      <c r="CZ415" s="928"/>
      <c r="DA415" s="928"/>
      <c r="DB415" s="928"/>
      <c r="DC415" s="928"/>
      <c r="DD415" s="928"/>
      <c r="DE415" s="928"/>
      <c r="DF415" s="928"/>
      <c r="DG415" s="928"/>
      <c r="DH415" s="928"/>
    </row>
    <row r="416" spans="4:112">
      <c r="H416" s="897"/>
      <c r="I416" s="897"/>
      <c r="J416" s="891"/>
      <c r="K416" s="891"/>
      <c r="L416" s="891"/>
      <c r="M416" s="891"/>
      <c r="N416" s="891"/>
      <c r="O416" s="891"/>
      <c r="P416" s="891"/>
      <c r="Q416" s="891"/>
      <c r="R416" s="891"/>
      <c r="S416" s="891"/>
      <c r="T416" s="891"/>
      <c r="U416" s="928"/>
      <c r="V416" s="928"/>
      <c r="W416" s="928"/>
      <c r="X416" s="928"/>
      <c r="Y416" s="928"/>
      <c r="Z416" s="928"/>
      <c r="AA416" s="928"/>
      <c r="AB416" s="928"/>
      <c r="AC416" s="928"/>
      <c r="AD416" s="928"/>
      <c r="AE416" s="928"/>
      <c r="AF416" s="928"/>
      <c r="AG416" s="928"/>
      <c r="AH416" s="928"/>
      <c r="AI416" s="928"/>
      <c r="AJ416" s="928"/>
      <c r="AK416" s="928"/>
      <c r="AL416" s="928"/>
      <c r="AM416" s="928"/>
      <c r="AN416" s="928"/>
      <c r="AO416" s="928"/>
      <c r="AP416" s="928"/>
      <c r="AQ416" s="928"/>
      <c r="AR416" s="928"/>
      <c r="AS416" s="928"/>
      <c r="AT416" s="928"/>
      <c r="AU416" s="928"/>
      <c r="AV416" s="928"/>
      <c r="AW416" s="928"/>
      <c r="AX416" s="928"/>
      <c r="AY416" s="928"/>
      <c r="AZ416" s="928"/>
      <c r="BA416" s="928"/>
      <c r="BB416" s="928"/>
      <c r="BC416" s="928"/>
      <c r="BD416" s="928"/>
      <c r="BE416" s="928"/>
      <c r="BF416" s="928"/>
      <c r="BG416" s="928"/>
      <c r="BH416" s="928"/>
      <c r="BI416" s="928"/>
      <c r="BJ416" s="928"/>
      <c r="BK416" s="928"/>
      <c r="BL416" s="928"/>
      <c r="BM416" s="928"/>
      <c r="BN416" s="928"/>
      <c r="BO416" s="928"/>
      <c r="BP416" s="928"/>
      <c r="BQ416" s="928"/>
      <c r="BR416" s="928"/>
      <c r="BS416" s="928"/>
      <c r="BT416" s="928"/>
      <c r="BU416" s="928"/>
      <c r="BV416" s="928"/>
      <c r="BW416" s="928"/>
      <c r="BX416" s="928"/>
      <c r="BY416" s="928"/>
      <c r="BZ416" s="928"/>
      <c r="CA416" s="928"/>
      <c r="CB416" s="928"/>
      <c r="CC416" s="928"/>
      <c r="CD416" s="928"/>
      <c r="CE416" s="928"/>
      <c r="CF416" s="928"/>
      <c r="CG416" s="928"/>
      <c r="CH416" s="928"/>
      <c r="CI416" s="928"/>
      <c r="CJ416" s="928"/>
      <c r="CK416" s="928"/>
      <c r="CL416" s="928"/>
      <c r="CM416" s="928"/>
      <c r="CN416" s="928"/>
      <c r="CO416" s="928"/>
      <c r="CP416" s="928"/>
      <c r="CQ416" s="928"/>
      <c r="CR416" s="928"/>
      <c r="CS416" s="928"/>
      <c r="CT416" s="928"/>
      <c r="CU416" s="928"/>
      <c r="CV416" s="928"/>
      <c r="CW416" s="928"/>
      <c r="CX416" s="928"/>
      <c r="CY416" s="928"/>
      <c r="CZ416" s="928"/>
      <c r="DA416" s="928"/>
      <c r="DB416" s="928"/>
      <c r="DC416" s="928"/>
      <c r="DD416" s="928"/>
      <c r="DE416" s="928"/>
      <c r="DF416" s="928"/>
      <c r="DG416" s="928"/>
      <c r="DH416" s="928"/>
    </row>
    <row r="417" spans="3:112">
      <c r="H417" s="897"/>
      <c r="I417" s="897"/>
      <c r="J417" s="891"/>
      <c r="K417" s="891"/>
      <c r="L417" s="891"/>
      <c r="M417" s="891"/>
      <c r="N417" s="891"/>
      <c r="O417" s="891"/>
      <c r="P417" s="891"/>
      <c r="Q417" s="891"/>
      <c r="R417" s="891"/>
      <c r="S417" s="891"/>
      <c r="T417" s="891"/>
      <c r="U417" s="928"/>
      <c r="V417" s="928"/>
      <c r="W417" s="928"/>
      <c r="X417" s="928"/>
      <c r="Y417" s="928"/>
      <c r="Z417" s="928"/>
      <c r="AA417" s="928"/>
      <c r="AB417" s="928"/>
      <c r="AC417" s="928"/>
      <c r="AD417" s="928"/>
      <c r="AE417" s="928"/>
      <c r="AF417" s="928"/>
      <c r="AG417" s="928"/>
      <c r="AH417" s="928"/>
      <c r="AI417" s="928"/>
      <c r="AJ417" s="928"/>
      <c r="AK417" s="928"/>
      <c r="AL417" s="928"/>
      <c r="AM417" s="928"/>
      <c r="AN417" s="928"/>
      <c r="AO417" s="928"/>
      <c r="AP417" s="928"/>
      <c r="AQ417" s="928"/>
      <c r="AR417" s="928"/>
      <c r="AS417" s="928"/>
      <c r="AT417" s="928"/>
      <c r="AU417" s="928"/>
      <c r="AV417" s="928"/>
      <c r="AW417" s="928"/>
      <c r="AX417" s="928"/>
      <c r="AY417" s="928"/>
      <c r="AZ417" s="928"/>
      <c r="BA417" s="928"/>
      <c r="BB417" s="928"/>
      <c r="BC417" s="928"/>
      <c r="BD417" s="928"/>
      <c r="BE417" s="928"/>
      <c r="BF417" s="928"/>
      <c r="BG417" s="928"/>
      <c r="BH417" s="928"/>
      <c r="BI417" s="928"/>
      <c r="BJ417" s="928"/>
      <c r="BK417" s="928"/>
      <c r="BL417" s="928"/>
      <c r="BM417" s="928"/>
      <c r="BN417" s="928"/>
      <c r="BO417" s="928"/>
      <c r="BP417" s="928"/>
      <c r="BQ417" s="928"/>
      <c r="BR417" s="928"/>
      <c r="BS417" s="928"/>
      <c r="BT417" s="928"/>
      <c r="BU417" s="928"/>
      <c r="BV417" s="928"/>
      <c r="BW417" s="928"/>
      <c r="BX417" s="928"/>
      <c r="BY417" s="928"/>
      <c r="BZ417" s="928"/>
      <c r="CA417" s="928"/>
      <c r="CB417" s="928"/>
      <c r="CC417" s="928"/>
      <c r="CD417" s="928"/>
      <c r="CE417" s="928"/>
      <c r="CF417" s="928"/>
      <c r="CG417" s="928"/>
      <c r="CH417" s="928"/>
      <c r="CI417" s="928"/>
      <c r="CJ417" s="928"/>
      <c r="CK417" s="928"/>
      <c r="CL417" s="928"/>
      <c r="CM417" s="928"/>
      <c r="CN417" s="928"/>
      <c r="CO417" s="928"/>
      <c r="CP417" s="928"/>
      <c r="CQ417" s="928"/>
      <c r="CR417" s="928"/>
      <c r="CS417" s="928"/>
      <c r="CT417" s="928"/>
      <c r="CU417" s="928"/>
      <c r="CV417" s="928"/>
      <c r="CW417" s="928"/>
      <c r="CX417" s="928"/>
      <c r="CY417" s="928"/>
      <c r="CZ417" s="928"/>
      <c r="DA417" s="928"/>
      <c r="DB417" s="928"/>
      <c r="DC417" s="928"/>
      <c r="DD417" s="928"/>
      <c r="DE417" s="928"/>
      <c r="DF417" s="928"/>
      <c r="DG417" s="928"/>
      <c r="DH417" s="928"/>
    </row>
    <row r="418" spans="3:112">
      <c r="H418" s="897"/>
      <c r="I418" s="897"/>
      <c r="J418" s="891"/>
      <c r="K418" s="891"/>
      <c r="L418" s="891"/>
      <c r="M418" s="891"/>
      <c r="N418" s="891"/>
      <c r="O418" s="891"/>
      <c r="P418" s="891"/>
      <c r="Q418" s="891"/>
      <c r="R418" s="891"/>
      <c r="S418" s="891"/>
      <c r="T418" s="891"/>
      <c r="U418" s="928"/>
      <c r="V418" s="928"/>
      <c r="W418" s="928"/>
      <c r="X418" s="928"/>
      <c r="Y418" s="928"/>
      <c r="Z418" s="928"/>
      <c r="AA418" s="928"/>
      <c r="AB418" s="928"/>
      <c r="AC418" s="928"/>
      <c r="AD418" s="928"/>
      <c r="AE418" s="928"/>
      <c r="AF418" s="928"/>
      <c r="AG418" s="928"/>
      <c r="AH418" s="928"/>
      <c r="AI418" s="928"/>
      <c r="AJ418" s="928"/>
      <c r="AK418" s="928"/>
      <c r="AL418" s="928"/>
      <c r="AM418" s="928"/>
      <c r="AN418" s="928"/>
      <c r="AO418" s="928"/>
      <c r="AP418" s="928"/>
      <c r="AQ418" s="928"/>
      <c r="AR418" s="928"/>
      <c r="AS418" s="928"/>
      <c r="AT418" s="928"/>
      <c r="AU418" s="928"/>
      <c r="AV418" s="928"/>
      <c r="AW418" s="928"/>
      <c r="AX418" s="928"/>
      <c r="AY418" s="928"/>
      <c r="AZ418" s="928"/>
      <c r="BA418" s="928"/>
      <c r="BB418" s="928"/>
      <c r="BC418" s="928"/>
      <c r="BD418" s="928"/>
      <c r="BE418" s="928"/>
      <c r="BF418" s="928"/>
      <c r="BG418" s="928"/>
      <c r="BH418" s="928"/>
      <c r="BI418" s="928"/>
      <c r="BJ418" s="928"/>
      <c r="BK418" s="928"/>
      <c r="BL418" s="928"/>
      <c r="BM418" s="928"/>
      <c r="BN418" s="928"/>
      <c r="BO418" s="928"/>
      <c r="BP418" s="928"/>
      <c r="BQ418" s="928"/>
      <c r="BR418" s="928"/>
      <c r="BS418" s="928"/>
      <c r="BT418" s="928"/>
      <c r="BU418" s="928"/>
      <c r="BV418" s="928"/>
      <c r="BW418" s="928"/>
      <c r="BX418" s="928"/>
      <c r="BY418" s="928"/>
      <c r="BZ418" s="928"/>
      <c r="CA418" s="928"/>
      <c r="CB418" s="928"/>
      <c r="CC418" s="928"/>
      <c r="CD418" s="928"/>
      <c r="CE418" s="928"/>
      <c r="CF418" s="928"/>
      <c r="CG418" s="928"/>
      <c r="CH418" s="928"/>
      <c r="CI418" s="928"/>
      <c r="CJ418" s="928"/>
      <c r="CK418" s="928"/>
      <c r="CL418" s="928"/>
      <c r="CM418" s="928"/>
      <c r="CN418" s="928"/>
      <c r="CO418" s="928"/>
      <c r="CP418" s="928"/>
      <c r="CQ418" s="928"/>
      <c r="CR418" s="928"/>
      <c r="CS418" s="928"/>
      <c r="CT418" s="928"/>
      <c r="CU418" s="928"/>
      <c r="CV418" s="928"/>
      <c r="CW418" s="928"/>
      <c r="CX418" s="928"/>
      <c r="CY418" s="928"/>
      <c r="CZ418" s="928"/>
      <c r="DA418" s="928"/>
      <c r="DB418" s="928"/>
      <c r="DC418" s="928"/>
      <c r="DD418" s="928"/>
      <c r="DE418" s="928"/>
      <c r="DF418" s="928"/>
      <c r="DG418" s="928"/>
      <c r="DH418" s="928"/>
    </row>
    <row r="419" spans="3:112">
      <c r="H419" s="897"/>
      <c r="I419" s="897"/>
      <c r="J419" s="891"/>
      <c r="K419" s="891"/>
      <c r="L419" s="891"/>
      <c r="M419" s="891"/>
      <c r="N419" s="891"/>
      <c r="O419" s="891"/>
      <c r="P419" s="891"/>
      <c r="Q419" s="891"/>
      <c r="R419" s="891"/>
      <c r="S419" s="891"/>
      <c r="T419" s="891"/>
      <c r="U419" s="928"/>
      <c r="V419" s="928"/>
      <c r="W419" s="928"/>
      <c r="X419" s="928"/>
      <c r="Y419" s="928"/>
      <c r="Z419" s="928"/>
      <c r="AA419" s="928"/>
      <c r="AB419" s="928"/>
      <c r="AC419" s="928"/>
      <c r="AD419" s="928"/>
      <c r="AE419" s="928"/>
      <c r="AF419" s="928"/>
      <c r="AG419" s="928"/>
      <c r="AH419" s="928"/>
      <c r="AI419" s="928"/>
      <c r="AJ419" s="928"/>
      <c r="AK419" s="928"/>
      <c r="AL419" s="928"/>
      <c r="AM419" s="928"/>
      <c r="AN419" s="928"/>
      <c r="AO419" s="928"/>
      <c r="AP419" s="928"/>
      <c r="AQ419" s="928"/>
      <c r="AR419" s="928"/>
      <c r="AS419" s="928"/>
      <c r="AT419" s="928"/>
      <c r="AU419" s="928"/>
      <c r="AV419" s="928"/>
      <c r="AW419" s="928"/>
      <c r="AX419" s="928"/>
      <c r="AY419" s="928"/>
      <c r="AZ419" s="928"/>
      <c r="BA419" s="928"/>
      <c r="BB419" s="928"/>
      <c r="BC419" s="928"/>
      <c r="BD419" s="928"/>
      <c r="BE419" s="928"/>
      <c r="BF419" s="928"/>
      <c r="BG419" s="928"/>
      <c r="BH419" s="928"/>
      <c r="BI419" s="928"/>
      <c r="BJ419" s="928"/>
      <c r="BK419" s="928"/>
      <c r="BL419" s="928"/>
      <c r="BM419" s="928"/>
      <c r="BN419" s="928"/>
      <c r="BO419" s="928"/>
      <c r="BP419" s="928"/>
      <c r="BQ419" s="928"/>
      <c r="BR419" s="928"/>
      <c r="BS419" s="928"/>
      <c r="BT419" s="928"/>
      <c r="BU419" s="928"/>
      <c r="BV419" s="928"/>
      <c r="BW419" s="928"/>
      <c r="BX419" s="928"/>
      <c r="BY419" s="928"/>
      <c r="BZ419" s="928"/>
      <c r="CA419" s="928"/>
      <c r="CB419" s="928"/>
      <c r="CC419" s="928"/>
      <c r="CD419" s="928"/>
      <c r="CE419" s="928"/>
      <c r="CF419" s="928"/>
      <c r="CG419" s="928"/>
      <c r="CH419" s="928"/>
      <c r="CI419" s="928"/>
      <c r="CJ419" s="928"/>
      <c r="CK419" s="928"/>
      <c r="CL419" s="928"/>
      <c r="CM419" s="928"/>
      <c r="CN419" s="928"/>
      <c r="CO419" s="928"/>
      <c r="CP419" s="928"/>
      <c r="CQ419" s="928"/>
      <c r="CR419" s="928"/>
      <c r="CS419" s="928"/>
      <c r="CT419" s="928"/>
      <c r="CU419" s="928"/>
      <c r="CV419" s="928"/>
      <c r="CW419" s="928"/>
      <c r="CX419" s="928"/>
      <c r="CY419" s="928"/>
      <c r="CZ419" s="928"/>
      <c r="DA419" s="928"/>
      <c r="DB419" s="928"/>
      <c r="DC419" s="928"/>
      <c r="DD419" s="928"/>
      <c r="DE419" s="928"/>
      <c r="DF419" s="928"/>
      <c r="DG419" s="928"/>
      <c r="DH419" s="928"/>
    </row>
    <row r="420" spans="3:112">
      <c r="H420" s="897"/>
      <c r="I420" s="897"/>
      <c r="J420" s="891"/>
      <c r="K420" s="891"/>
      <c r="L420" s="891"/>
      <c r="M420" s="891"/>
      <c r="N420" s="891"/>
      <c r="O420" s="891"/>
      <c r="P420" s="891"/>
      <c r="Q420" s="891"/>
      <c r="R420" s="891"/>
      <c r="S420" s="891"/>
      <c r="T420" s="891"/>
      <c r="U420" s="928"/>
      <c r="V420" s="928"/>
      <c r="W420" s="928"/>
      <c r="X420" s="928"/>
      <c r="Y420" s="928"/>
      <c r="Z420" s="928"/>
      <c r="AA420" s="928"/>
      <c r="AB420" s="928"/>
      <c r="AC420" s="928"/>
      <c r="AD420" s="928"/>
      <c r="AE420" s="928"/>
      <c r="AF420" s="928"/>
      <c r="AG420" s="928"/>
      <c r="AH420" s="928"/>
      <c r="AI420" s="928"/>
      <c r="AJ420" s="928"/>
      <c r="AK420" s="928"/>
      <c r="AL420" s="928"/>
      <c r="AM420" s="928"/>
      <c r="AN420" s="928"/>
      <c r="AO420" s="928"/>
      <c r="AP420" s="928"/>
      <c r="AQ420" s="928"/>
      <c r="AR420" s="928"/>
      <c r="AS420" s="928"/>
      <c r="AT420" s="928"/>
      <c r="AU420" s="928"/>
      <c r="AV420" s="928"/>
      <c r="AW420" s="928"/>
      <c r="AX420" s="928"/>
      <c r="AY420" s="928"/>
      <c r="AZ420" s="928"/>
      <c r="BA420" s="928"/>
      <c r="BB420" s="928"/>
      <c r="BC420" s="928"/>
      <c r="BD420" s="928"/>
      <c r="BE420" s="928"/>
      <c r="BF420" s="928"/>
      <c r="BG420" s="928"/>
      <c r="BH420" s="928"/>
      <c r="BI420" s="928"/>
      <c r="BJ420" s="928"/>
      <c r="BK420" s="928"/>
      <c r="BL420" s="928"/>
      <c r="BM420" s="928"/>
      <c r="BN420" s="928"/>
      <c r="BO420" s="928"/>
      <c r="BP420" s="928"/>
      <c r="BQ420" s="928"/>
      <c r="BR420" s="928"/>
      <c r="BS420" s="928"/>
      <c r="BT420" s="928"/>
      <c r="BU420" s="928"/>
      <c r="BV420" s="928"/>
      <c r="BW420" s="928"/>
      <c r="BX420" s="928"/>
      <c r="BY420" s="928"/>
      <c r="BZ420" s="928"/>
      <c r="CA420" s="928"/>
      <c r="CB420" s="928"/>
      <c r="CC420" s="928"/>
      <c r="CD420" s="928"/>
      <c r="CE420" s="928"/>
      <c r="CF420" s="928"/>
      <c r="CG420" s="928"/>
      <c r="CH420" s="928"/>
      <c r="CI420" s="928"/>
      <c r="CJ420" s="928"/>
      <c r="CK420" s="928"/>
      <c r="CL420" s="928"/>
      <c r="CM420" s="928"/>
      <c r="CN420" s="928"/>
      <c r="CO420" s="928"/>
      <c r="CP420" s="928"/>
      <c r="CQ420" s="928"/>
      <c r="CR420" s="928"/>
      <c r="CS420" s="928"/>
      <c r="CT420" s="928"/>
      <c r="CU420" s="928"/>
      <c r="CV420" s="928"/>
      <c r="CW420" s="928"/>
      <c r="CX420" s="928"/>
      <c r="CY420" s="928"/>
      <c r="CZ420" s="928"/>
      <c r="DA420" s="928"/>
      <c r="DB420" s="928"/>
      <c r="DC420" s="928"/>
      <c r="DD420" s="928"/>
      <c r="DE420" s="928"/>
      <c r="DF420" s="928"/>
      <c r="DG420" s="928"/>
      <c r="DH420" s="928"/>
    </row>
    <row r="421" spans="3:112">
      <c r="H421" s="897"/>
      <c r="I421" s="897"/>
      <c r="J421" s="891"/>
      <c r="K421" s="891"/>
      <c r="L421" s="891"/>
      <c r="M421" s="891"/>
      <c r="N421" s="891"/>
      <c r="O421" s="891"/>
      <c r="P421" s="891"/>
      <c r="Q421" s="891"/>
      <c r="R421" s="891"/>
      <c r="S421" s="891"/>
      <c r="T421" s="891"/>
      <c r="U421" s="928"/>
      <c r="V421" s="928"/>
      <c r="W421" s="928"/>
      <c r="X421" s="928"/>
      <c r="Y421" s="928"/>
      <c r="Z421" s="928"/>
      <c r="AA421" s="928"/>
      <c r="AB421" s="928"/>
      <c r="AC421" s="928"/>
      <c r="AD421" s="928"/>
      <c r="AE421" s="928"/>
      <c r="AF421" s="928"/>
      <c r="AG421" s="928"/>
      <c r="AH421" s="928"/>
      <c r="AI421" s="928"/>
      <c r="AJ421" s="928"/>
      <c r="AK421" s="928"/>
      <c r="AL421" s="928"/>
      <c r="AM421" s="928"/>
      <c r="AN421" s="928"/>
      <c r="AO421" s="928"/>
      <c r="AP421" s="928"/>
      <c r="AQ421" s="928"/>
      <c r="AR421" s="928"/>
      <c r="AS421" s="928"/>
      <c r="AT421" s="928"/>
      <c r="AU421" s="928"/>
      <c r="AV421" s="928"/>
      <c r="AW421" s="928"/>
      <c r="AX421" s="928"/>
      <c r="AY421" s="928"/>
      <c r="AZ421" s="928"/>
      <c r="BA421" s="928"/>
      <c r="BB421" s="928"/>
      <c r="BC421" s="928"/>
      <c r="BD421" s="928"/>
      <c r="BE421" s="928"/>
      <c r="BF421" s="928"/>
      <c r="BG421" s="928"/>
      <c r="BH421" s="928"/>
      <c r="BI421" s="928"/>
      <c r="BJ421" s="928"/>
      <c r="BK421" s="928"/>
      <c r="BL421" s="928"/>
      <c r="BM421" s="928"/>
      <c r="BN421" s="928"/>
      <c r="BO421" s="928"/>
      <c r="BP421" s="928"/>
      <c r="BQ421" s="928"/>
      <c r="BR421" s="928"/>
      <c r="BS421" s="928"/>
      <c r="BT421" s="928"/>
      <c r="BU421" s="928"/>
      <c r="BV421" s="928"/>
      <c r="BW421" s="928"/>
      <c r="BX421" s="928"/>
      <c r="BY421" s="928"/>
      <c r="BZ421" s="928"/>
      <c r="CA421" s="928"/>
      <c r="CB421" s="928"/>
      <c r="CC421" s="928"/>
      <c r="CD421" s="928"/>
      <c r="CE421" s="928"/>
      <c r="CF421" s="928"/>
      <c r="CG421" s="928"/>
      <c r="CH421" s="928"/>
      <c r="CI421" s="928"/>
      <c r="CJ421" s="928"/>
      <c r="CK421" s="928"/>
      <c r="CL421" s="928"/>
      <c r="CM421" s="928"/>
      <c r="CN421" s="928"/>
      <c r="CO421" s="928"/>
      <c r="CP421" s="928"/>
      <c r="CQ421" s="928"/>
      <c r="CR421" s="928"/>
      <c r="CS421" s="928"/>
      <c r="CT421" s="928"/>
      <c r="CU421" s="928"/>
      <c r="CV421" s="928"/>
      <c r="CW421" s="928"/>
      <c r="CX421" s="928"/>
      <c r="CY421" s="928"/>
      <c r="CZ421" s="928"/>
      <c r="DA421" s="928"/>
      <c r="DB421" s="928"/>
      <c r="DC421" s="928"/>
      <c r="DD421" s="928"/>
      <c r="DE421" s="928"/>
      <c r="DF421" s="928"/>
      <c r="DG421" s="928"/>
      <c r="DH421" s="928"/>
    </row>
    <row r="422" spans="3:112">
      <c r="H422" s="897"/>
      <c r="I422" s="897"/>
      <c r="J422" s="891"/>
      <c r="K422" s="891"/>
      <c r="L422" s="891"/>
      <c r="M422" s="891"/>
      <c r="N422" s="891"/>
      <c r="O422" s="891"/>
      <c r="P422" s="891"/>
      <c r="Q422" s="891"/>
      <c r="R422" s="891"/>
      <c r="S422" s="891"/>
      <c r="T422" s="891"/>
      <c r="U422" s="928"/>
      <c r="V422" s="928"/>
      <c r="W422" s="928"/>
      <c r="X422" s="928"/>
      <c r="Y422" s="928"/>
      <c r="Z422" s="928"/>
      <c r="AA422" s="928"/>
      <c r="AB422" s="928"/>
      <c r="AC422" s="928"/>
      <c r="AD422" s="928"/>
      <c r="AE422" s="928"/>
      <c r="AF422" s="928"/>
      <c r="AG422" s="928"/>
      <c r="AH422" s="928"/>
      <c r="AI422" s="928"/>
      <c r="AJ422" s="928"/>
      <c r="AK422" s="928"/>
      <c r="AL422" s="928"/>
      <c r="AM422" s="928"/>
      <c r="AN422" s="928"/>
      <c r="AO422" s="928"/>
      <c r="AP422" s="928"/>
      <c r="AQ422" s="928"/>
      <c r="AR422" s="928"/>
      <c r="AS422" s="928"/>
      <c r="AT422" s="928"/>
      <c r="AU422" s="928"/>
      <c r="AV422" s="928"/>
      <c r="AW422" s="928"/>
      <c r="AX422" s="928"/>
      <c r="AY422" s="928"/>
      <c r="AZ422" s="928"/>
      <c r="BA422" s="928"/>
      <c r="BB422" s="928"/>
      <c r="BC422" s="928"/>
      <c r="BD422" s="928"/>
      <c r="BE422" s="928"/>
      <c r="BF422" s="928"/>
      <c r="BG422" s="928"/>
      <c r="BH422" s="928"/>
      <c r="BI422" s="928"/>
      <c r="BJ422" s="928"/>
      <c r="BK422" s="928"/>
      <c r="BL422" s="928"/>
      <c r="BM422" s="928"/>
      <c r="BN422" s="928"/>
      <c r="BO422" s="928"/>
      <c r="BP422" s="928"/>
      <c r="BQ422" s="928"/>
      <c r="BR422" s="928"/>
      <c r="BS422" s="928"/>
      <c r="BT422" s="928"/>
      <c r="BU422" s="928"/>
      <c r="BV422" s="928"/>
      <c r="BW422" s="928"/>
      <c r="BX422" s="928"/>
      <c r="BY422" s="928"/>
      <c r="BZ422" s="928"/>
      <c r="CA422" s="928"/>
      <c r="CB422" s="928"/>
      <c r="CC422" s="928"/>
      <c r="CD422" s="928"/>
      <c r="CE422" s="928"/>
      <c r="CF422" s="928"/>
      <c r="CG422" s="928"/>
      <c r="CH422" s="928"/>
      <c r="CI422" s="928"/>
      <c r="CJ422" s="928"/>
      <c r="CK422" s="928"/>
      <c r="CL422" s="928"/>
      <c r="CM422" s="928"/>
      <c r="CN422" s="928"/>
      <c r="CO422" s="928"/>
      <c r="CP422" s="928"/>
      <c r="CQ422" s="928"/>
      <c r="CR422" s="928"/>
      <c r="CS422" s="928"/>
      <c r="CT422" s="928"/>
      <c r="CU422" s="928"/>
      <c r="CV422" s="928"/>
      <c r="CW422" s="928"/>
      <c r="CX422" s="928"/>
      <c r="CY422" s="928"/>
      <c r="CZ422" s="928"/>
      <c r="DA422" s="928"/>
      <c r="DB422" s="928"/>
      <c r="DC422" s="928"/>
      <c r="DD422" s="928"/>
      <c r="DE422" s="928"/>
      <c r="DF422" s="928"/>
      <c r="DG422" s="928"/>
      <c r="DH422" s="928"/>
    </row>
    <row r="423" spans="3:112">
      <c r="H423" s="897"/>
      <c r="I423" s="897"/>
      <c r="J423" s="891"/>
      <c r="K423" s="891"/>
      <c r="L423" s="891"/>
      <c r="M423" s="891"/>
      <c r="N423" s="891"/>
      <c r="O423" s="891"/>
      <c r="P423" s="891"/>
      <c r="Q423" s="891"/>
      <c r="R423" s="891"/>
      <c r="S423" s="891"/>
      <c r="T423" s="891"/>
      <c r="U423" s="928"/>
      <c r="V423" s="928"/>
      <c r="W423" s="928"/>
      <c r="X423" s="928"/>
      <c r="Y423" s="928"/>
      <c r="Z423" s="928"/>
      <c r="AA423" s="928"/>
      <c r="AB423" s="928"/>
      <c r="AC423" s="928"/>
      <c r="AD423" s="928"/>
      <c r="AE423" s="928"/>
      <c r="AF423" s="928"/>
      <c r="AG423" s="928"/>
      <c r="AH423" s="928"/>
      <c r="AI423" s="928"/>
      <c r="AJ423" s="928"/>
      <c r="AK423" s="928"/>
      <c r="AL423" s="928"/>
      <c r="AM423" s="928"/>
      <c r="AN423" s="928"/>
      <c r="AO423" s="928"/>
      <c r="AP423" s="928"/>
      <c r="AQ423" s="928"/>
      <c r="AR423" s="928"/>
      <c r="AS423" s="928"/>
      <c r="AT423" s="928"/>
      <c r="AU423" s="928"/>
      <c r="AV423" s="928"/>
      <c r="AW423" s="928"/>
      <c r="AX423" s="928"/>
      <c r="AY423" s="928"/>
      <c r="AZ423" s="928"/>
      <c r="BA423" s="928"/>
      <c r="BB423" s="928"/>
      <c r="BC423" s="928"/>
      <c r="BD423" s="928"/>
      <c r="BE423" s="928"/>
      <c r="BF423" s="928"/>
      <c r="BG423" s="928"/>
      <c r="BH423" s="928"/>
      <c r="BI423" s="928"/>
      <c r="BJ423" s="928"/>
      <c r="BK423" s="928"/>
      <c r="BL423" s="928"/>
      <c r="BM423" s="928"/>
      <c r="BN423" s="928"/>
      <c r="BO423" s="928"/>
      <c r="BP423" s="928"/>
      <c r="BQ423" s="928"/>
      <c r="BR423" s="928"/>
      <c r="BS423" s="928"/>
      <c r="BT423" s="928"/>
      <c r="BU423" s="928"/>
      <c r="BV423" s="928"/>
      <c r="BW423" s="928"/>
      <c r="BX423" s="928"/>
      <c r="BY423" s="928"/>
      <c r="BZ423" s="928"/>
      <c r="CA423" s="928"/>
      <c r="CB423" s="928"/>
      <c r="CC423" s="928"/>
      <c r="CD423" s="928"/>
      <c r="CE423" s="928"/>
      <c r="CF423" s="928"/>
      <c r="CG423" s="928"/>
      <c r="CH423" s="928"/>
      <c r="CI423" s="928"/>
      <c r="CJ423" s="928"/>
      <c r="CK423" s="928"/>
      <c r="CL423" s="928"/>
      <c r="CM423" s="928"/>
      <c r="CN423" s="928"/>
      <c r="CO423" s="928"/>
      <c r="CP423" s="928"/>
      <c r="CQ423" s="928"/>
      <c r="CR423" s="928"/>
      <c r="CS423" s="928"/>
      <c r="CT423" s="928"/>
      <c r="CU423" s="928"/>
      <c r="CV423" s="928"/>
      <c r="CW423" s="928"/>
      <c r="CX423" s="928"/>
      <c r="CY423" s="928"/>
      <c r="CZ423" s="928"/>
      <c r="DA423" s="928"/>
      <c r="DB423" s="928"/>
      <c r="DC423" s="928"/>
      <c r="DD423" s="928"/>
      <c r="DE423" s="928"/>
      <c r="DF423" s="928"/>
      <c r="DG423" s="928"/>
      <c r="DH423" s="928"/>
    </row>
    <row r="424" spans="3:112">
      <c r="H424" s="897"/>
      <c r="I424" s="897"/>
      <c r="J424" s="891"/>
      <c r="K424" s="891"/>
      <c r="L424" s="891"/>
      <c r="M424" s="891"/>
      <c r="N424" s="891"/>
      <c r="O424" s="891"/>
      <c r="P424" s="891"/>
      <c r="Q424" s="891"/>
      <c r="R424" s="891"/>
      <c r="S424" s="891"/>
      <c r="T424" s="891"/>
      <c r="U424" s="928"/>
      <c r="V424" s="928"/>
      <c r="W424" s="928"/>
      <c r="X424" s="928"/>
      <c r="Y424" s="928"/>
      <c r="Z424" s="928"/>
      <c r="AA424" s="928"/>
      <c r="AB424" s="928"/>
      <c r="AC424" s="928"/>
      <c r="AD424" s="928"/>
      <c r="AE424" s="928"/>
      <c r="AF424" s="928"/>
      <c r="AG424" s="928"/>
      <c r="AH424" s="928"/>
      <c r="AI424" s="928"/>
      <c r="AJ424" s="928"/>
      <c r="AK424" s="928"/>
      <c r="AL424" s="928"/>
      <c r="AM424" s="928"/>
      <c r="AN424" s="928"/>
      <c r="AO424" s="928"/>
      <c r="AP424" s="928"/>
      <c r="AQ424" s="928"/>
      <c r="AR424" s="928"/>
      <c r="AS424" s="928"/>
      <c r="AT424" s="928"/>
      <c r="AU424" s="928"/>
      <c r="AV424" s="928"/>
      <c r="AW424" s="928"/>
      <c r="AX424" s="928"/>
      <c r="AY424" s="928"/>
      <c r="AZ424" s="928"/>
      <c r="BA424" s="928"/>
      <c r="BB424" s="928"/>
      <c r="BC424" s="928"/>
      <c r="BD424" s="928"/>
      <c r="BE424" s="928"/>
      <c r="BF424" s="928"/>
      <c r="BG424" s="928"/>
      <c r="BH424" s="928"/>
      <c r="BI424" s="928"/>
      <c r="BJ424" s="928"/>
      <c r="BK424" s="928"/>
      <c r="BL424" s="928"/>
      <c r="BM424" s="928"/>
      <c r="BN424" s="928"/>
      <c r="BO424" s="928"/>
      <c r="BP424" s="928"/>
      <c r="BQ424" s="928"/>
      <c r="BR424" s="928"/>
      <c r="BS424" s="928"/>
      <c r="BT424" s="928"/>
      <c r="BU424" s="928"/>
      <c r="BV424" s="928"/>
      <c r="BW424" s="928"/>
      <c r="BX424" s="928"/>
      <c r="BY424" s="928"/>
      <c r="BZ424" s="928"/>
      <c r="CA424" s="928"/>
      <c r="CB424" s="928"/>
      <c r="CC424" s="928"/>
      <c r="CD424" s="928"/>
      <c r="CE424" s="928"/>
      <c r="CF424" s="928"/>
      <c r="CG424" s="928"/>
      <c r="CH424" s="928"/>
      <c r="CI424" s="928"/>
      <c r="CJ424" s="928"/>
      <c r="CK424" s="928"/>
      <c r="CL424" s="928"/>
      <c r="CM424" s="928"/>
      <c r="CN424" s="928"/>
      <c r="CO424" s="928"/>
      <c r="CP424" s="928"/>
      <c r="CQ424" s="928"/>
      <c r="CR424" s="928"/>
      <c r="CS424" s="928"/>
      <c r="CT424" s="928"/>
      <c r="CU424" s="928"/>
      <c r="CV424" s="928"/>
      <c r="CW424" s="928"/>
      <c r="CX424" s="928"/>
      <c r="CY424" s="928"/>
      <c r="CZ424" s="928"/>
      <c r="DA424" s="928"/>
      <c r="DB424" s="928"/>
      <c r="DC424" s="928"/>
      <c r="DD424" s="928"/>
      <c r="DE424" s="928"/>
      <c r="DF424" s="928"/>
      <c r="DG424" s="928"/>
      <c r="DH424" s="928"/>
    </row>
    <row r="425" spans="3:112">
      <c r="H425" s="897"/>
      <c r="I425" s="897"/>
      <c r="J425" s="891"/>
      <c r="K425" s="891"/>
      <c r="L425" s="891"/>
      <c r="M425" s="891"/>
      <c r="N425" s="891"/>
      <c r="O425" s="891"/>
      <c r="P425" s="891"/>
      <c r="Q425" s="891"/>
      <c r="R425" s="891"/>
      <c r="S425" s="891"/>
      <c r="T425" s="891"/>
      <c r="U425" s="928"/>
      <c r="V425" s="928"/>
      <c r="W425" s="928"/>
      <c r="X425" s="928"/>
      <c r="Y425" s="928"/>
      <c r="Z425" s="928"/>
      <c r="AA425" s="928"/>
      <c r="AB425" s="928"/>
      <c r="AC425" s="928"/>
      <c r="AD425" s="928"/>
      <c r="AE425" s="928"/>
      <c r="AF425" s="928"/>
      <c r="AG425" s="928"/>
      <c r="AH425" s="928"/>
      <c r="AI425" s="928"/>
      <c r="AJ425" s="928"/>
      <c r="AK425" s="928"/>
      <c r="AL425" s="928"/>
      <c r="AM425" s="928"/>
      <c r="AN425" s="928"/>
      <c r="AO425" s="928"/>
      <c r="AP425" s="928"/>
      <c r="AQ425" s="928"/>
      <c r="AR425" s="928"/>
      <c r="AS425" s="928"/>
      <c r="AT425" s="928"/>
      <c r="AU425" s="928"/>
      <c r="AV425" s="928"/>
      <c r="AW425" s="928"/>
      <c r="AX425" s="928"/>
      <c r="AY425" s="928"/>
      <c r="AZ425" s="928"/>
      <c r="BA425" s="928"/>
      <c r="BB425" s="928"/>
      <c r="BC425" s="928"/>
      <c r="BD425" s="928"/>
      <c r="BE425" s="928"/>
      <c r="BF425" s="928"/>
      <c r="BG425" s="928"/>
      <c r="BH425" s="928"/>
      <c r="BI425" s="928"/>
      <c r="BJ425" s="928"/>
      <c r="BK425" s="928"/>
      <c r="BL425" s="928"/>
      <c r="BM425" s="928"/>
      <c r="BN425" s="928"/>
      <c r="BO425" s="928"/>
      <c r="BP425" s="928"/>
      <c r="BQ425" s="928"/>
      <c r="BR425" s="928"/>
      <c r="BS425" s="928"/>
      <c r="BT425" s="928"/>
      <c r="BU425" s="928"/>
      <c r="BV425" s="928"/>
      <c r="BW425" s="928"/>
      <c r="BX425" s="928"/>
      <c r="BY425" s="928"/>
      <c r="BZ425" s="928"/>
      <c r="CA425" s="928"/>
      <c r="CB425" s="928"/>
      <c r="CC425" s="928"/>
      <c r="CD425" s="928"/>
      <c r="CE425" s="928"/>
      <c r="CF425" s="928"/>
      <c r="CG425" s="928"/>
      <c r="CH425" s="928"/>
      <c r="CI425" s="928"/>
      <c r="CJ425" s="928"/>
      <c r="CK425" s="928"/>
      <c r="CL425" s="928"/>
      <c r="CM425" s="928"/>
      <c r="CN425" s="928"/>
      <c r="CO425" s="928"/>
      <c r="CP425" s="928"/>
      <c r="CQ425" s="928"/>
      <c r="CR425" s="928"/>
      <c r="CS425" s="928"/>
      <c r="CT425" s="928"/>
      <c r="CU425" s="928"/>
      <c r="CV425" s="928"/>
      <c r="CW425" s="928"/>
      <c r="CX425" s="928"/>
      <c r="CY425" s="928"/>
      <c r="CZ425" s="928"/>
      <c r="DA425" s="928"/>
      <c r="DB425" s="928"/>
      <c r="DC425" s="928"/>
      <c r="DD425" s="928"/>
      <c r="DE425" s="928"/>
      <c r="DF425" s="928"/>
      <c r="DG425" s="928"/>
      <c r="DH425" s="928"/>
    </row>
    <row r="426" spans="3:112">
      <c r="C426" s="891" t="s">
        <v>51</v>
      </c>
      <c r="D426" s="897">
        <v>933.57</v>
      </c>
      <c r="H426" s="897"/>
      <c r="I426" s="897"/>
      <c r="J426" s="891"/>
      <c r="K426" s="891"/>
      <c r="L426" s="891"/>
      <c r="M426" s="891"/>
      <c r="N426" s="891"/>
      <c r="O426" s="891"/>
      <c r="P426" s="891"/>
      <c r="Q426" s="891"/>
      <c r="R426" s="891"/>
      <c r="S426" s="891"/>
      <c r="T426" s="891"/>
      <c r="U426" s="928"/>
      <c r="V426" s="928"/>
      <c r="W426" s="928"/>
      <c r="X426" s="928"/>
      <c r="Y426" s="928"/>
      <c r="Z426" s="928"/>
      <c r="AA426" s="928"/>
      <c r="AB426" s="928"/>
      <c r="AC426" s="928"/>
      <c r="AD426" s="928"/>
      <c r="AE426" s="928"/>
      <c r="AF426" s="928"/>
      <c r="AG426" s="928"/>
      <c r="AH426" s="928"/>
      <c r="AI426" s="928"/>
      <c r="AJ426" s="928"/>
      <c r="AK426" s="928"/>
      <c r="AL426" s="928"/>
      <c r="AM426" s="928"/>
      <c r="AN426" s="928"/>
      <c r="AO426" s="928"/>
      <c r="AP426" s="928"/>
      <c r="AQ426" s="928"/>
      <c r="AR426" s="928"/>
      <c r="AS426" s="928"/>
      <c r="AT426" s="928"/>
      <c r="AU426" s="928"/>
      <c r="AV426" s="928"/>
      <c r="AW426" s="928"/>
      <c r="AX426" s="928"/>
      <c r="AY426" s="928"/>
      <c r="AZ426" s="928"/>
      <c r="BA426" s="928"/>
      <c r="BB426" s="928"/>
      <c r="BC426" s="928"/>
      <c r="BD426" s="928"/>
      <c r="BE426" s="928"/>
      <c r="BF426" s="928"/>
      <c r="BG426" s="928"/>
      <c r="BH426" s="928"/>
      <c r="BI426" s="928"/>
      <c r="BJ426" s="928"/>
      <c r="BK426" s="928"/>
      <c r="BL426" s="928"/>
      <c r="BM426" s="928"/>
      <c r="BN426" s="928"/>
      <c r="BO426" s="928"/>
      <c r="BP426" s="928"/>
      <c r="BQ426" s="928"/>
      <c r="BR426" s="928"/>
      <c r="BS426" s="928"/>
      <c r="BT426" s="928"/>
      <c r="BU426" s="928"/>
      <c r="BV426" s="928"/>
      <c r="BW426" s="928"/>
      <c r="BX426" s="928"/>
      <c r="BY426" s="928"/>
      <c r="BZ426" s="928"/>
      <c r="CA426" s="928"/>
      <c r="CB426" s="928"/>
      <c r="CC426" s="928"/>
      <c r="CD426" s="928"/>
      <c r="CE426" s="928"/>
      <c r="CF426" s="928"/>
      <c r="CG426" s="928"/>
      <c r="CH426" s="928"/>
      <c r="CI426" s="928"/>
      <c r="CJ426" s="928"/>
      <c r="CK426" s="928"/>
      <c r="CL426" s="928"/>
      <c r="CM426" s="928"/>
      <c r="CN426" s="928"/>
      <c r="CO426" s="928"/>
      <c r="CP426" s="928"/>
      <c r="CQ426" s="928"/>
      <c r="CR426" s="928"/>
      <c r="CS426" s="928"/>
      <c r="CT426" s="928"/>
      <c r="CU426" s="928"/>
      <c r="CV426" s="928"/>
      <c r="CW426" s="928"/>
      <c r="CX426" s="928"/>
      <c r="CY426" s="928"/>
      <c r="CZ426" s="928"/>
      <c r="DA426" s="928"/>
      <c r="DB426" s="928"/>
      <c r="DC426" s="928"/>
      <c r="DD426" s="928"/>
      <c r="DE426" s="928"/>
      <c r="DF426" s="928"/>
      <c r="DG426" s="928"/>
      <c r="DH426" s="928"/>
    </row>
    <row r="427" spans="3:112">
      <c r="C427" s="891" t="s">
        <v>20</v>
      </c>
      <c r="D427" s="897">
        <v>929.35</v>
      </c>
      <c r="H427" s="897"/>
      <c r="I427" s="897"/>
      <c r="J427" s="891"/>
      <c r="K427" s="891"/>
      <c r="L427" s="891"/>
      <c r="M427" s="891"/>
      <c r="N427" s="891"/>
      <c r="O427" s="891"/>
      <c r="P427" s="891"/>
      <c r="Q427" s="891"/>
      <c r="R427" s="891"/>
      <c r="S427" s="891"/>
      <c r="T427" s="891"/>
      <c r="U427" s="928"/>
      <c r="V427" s="928"/>
      <c r="W427" s="928"/>
      <c r="X427" s="928"/>
      <c r="Y427" s="928"/>
      <c r="Z427" s="928"/>
      <c r="AA427" s="928"/>
      <c r="AB427" s="928"/>
      <c r="AC427" s="928"/>
      <c r="AD427" s="928"/>
      <c r="AE427" s="928"/>
      <c r="AF427" s="928"/>
      <c r="AG427" s="928"/>
      <c r="AH427" s="928"/>
      <c r="AI427" s="928"/>
      <c r="AJ427" s="928"/>
      <c r="AK427" s="928"/>
      <c r="AL427" s="928"/>
      <c r="AM427" s="928"/>
      <c r="AN427" s="928"/>
      <c r="AO427" s="928"/>
      <c r="AP427" s="928"/>
      <c r="AQ427" s="928"/>
      <c r="AR427" s="928"/>
      <c r="AS427" s="928"/>
      <c r="AT427" s="928"/>
      <c r="AU427" s="928"/>
      <c r="AV427" s="928"/>
      <c r="AW427" s="928"/>
      <c r="AX427" s="928"/>
      <c r="AY427" s="928"/>
      <c r="AZ427" s="928"/>
      <c r="BA427" s="928"/>
      <c r="BB427" s="928"/>
      <c r="BC427" s="928"/>
      <c r="BD427" s="928"/>
      <c r="BE427" s="928"/>
      <c r="BF427" s="928"/>
      <c r="BG427" s="928"/>
      <c r="BH427" s="928"/>
      <c r="BI427" s="928"/>
      <c r="BJ427" s="928"/>
      <c r="BK427" s="928"/>
      <c r="BL427" s="928"/>
      <c r="BM427" s="928"/>
      <c r="BN427" s="928"/>
      <c r="BO427" s="928"/>
      <c r="BP427" s="928"/>
      <c r="BQ427" s="928"/>
      <c r="BR427" s="928"/>
      <c r="BS427" s="928"/>
      <c r="BT427" s="928"/>
      <c r="BU427" s="928"/>
      <c r="BV427" s="928"/>
      <c r="BW427" s="928"/>
      <c r="BX427" s="928"/>
      <c r="BY427" s="928"/>
      <c r="BZ427" s="928"/>
      <c r="CA427" s="928"/>
      <c r="CB427" s="928"/>
      <c r="CC427" s="928"/>
      <c r="CD427" s="928"/>
      <c r="CE427" s="928"/>
      <c r="CF427" s="928"/>
      <c r="CG427" s="928"/>
      <c r="CH427" s="928"/>
      <c r="CI427" s="928"/>
      <c r="CJ427" s="928"/>
      <c r="CK427" s="928"/>
      <c r="CL427" s="928"/>
      <c r="CM427" s="928"/>
      <c r="CN427" s="928"/>
      <c r="CO427" s="928"/>
      <c r="CP427" s="928"/>
      <c r="CQ427" s="928"/>
      <c r="CR427" s="928"/>
      <c r="CS427" s="928"/>
      <c r="CT427" s="928"/>
      <c r="CU427" s="928"/>
      <c r="CV427" s="928"/>
      <c r="CW427" s="928"/>
      <c r="CX427" s="928"/>
      <c r="CY427" s="928"/>
      <c r="CZ427" s="928"/>
      <c r="DA427" s="928"/>
      <c r="DB427" s="928"/>
      <c r="DC427" s="928"/>
      <c r="DD427" s="928"/>
      <c r="DE427" s="928"/>
      <c r="DF427" s="928"/>
      <c r="DG427" s="928"/>
      <c r="DH427" s="928"/>
    </row>
    <row r="428" spans="3:112">
      <c r="C428" s="891" t="s">
        <v>123</v>
      </c>
      <c r="D428" s="897">
        <v>919.78</v>
      </c>
      <c r="H428" s="897"/>
      <c r="I428" s="897"/>
      <c r="J428" s="891"/>
      <c r="K428" s="891"/>
      <c r="L428" s="891"/>
      <c r="M428" s="891"/>
      <c r="N428" s="891"/>
      <c r="O428" s="891"/>
      <c r="P428" s="891"/>
      <c r="Q428" s="891"/>
      <c r="R428" s="891"/>
      <c r="S428" s="891"/>
      <c r="T428" s="891"/>
      <c r="U428" s="928"/>
      <c r="V428" s="928"/>
      <c r="W428" s="928"/>
      <c r="X428" s="928"/>
      <c r="Y428" s="928"/>
      <c r="Z428" s="928"/>
      <c r="AA428" s="928"/>
      <c r="AB428" s="928"/>
      <c r="AC428" s="928"/>
      <c r="AD428" s="928"/>
      <c r="AE428" s="928"/>
      <c r="AF428" s="928"/>
      <c r="AG428" s="928"/>
      <c r="AH428" s="928"/>
      <c r="AI428" s="928"/>
      <c r="AJ428" s="928"/>
      <c r="AK428" s="928"/>
      <c r="AL428" s="928"/>
      <c r="AM428" s="928"/>
      <c r="AN428" s="928"/>
      <c r="AO428" s="928"/>
      <c r="AP428" s="928"/>
      <c r="AQ428" s="928"/>
      <c r="AR428" s="928"/>
      <c r="AS428" s="928"/>
      <c r="AT428" s="928"/>
      <c r="AU428" s="928"/>
      <c r="AV428" s="928"/>
      <c r="AW428" s="928"/>
      <c r="AX428" s="928"/>
      <c r="AY428" s="928"/>
      <c r="AZ428" s="928"/>
      <c r="BA428" s="928"/>
      <c r="BB428" s="928"/>
      <c r="BC428" s="928"/>
      <c r="BD428" s="928"/>
      <c r="BE428" s="928"/>
      <c r="BF428" s="928"/>
      <c r="BG428" s="928"/>
      <c r="BH428" s="928"/>
      <c r="BI428" s="928"/>
      <c r="BJ428" s="928"/>
      <c r="BK428" s="928"/>
      <c r="BL428" s="928"/>
      <c r="BM428" s="928"/>
      <c r="BN428" s="928"/>
      <c r="BO428" s="928"/>
      <c r="BP428" s="928"/>
      <c r="BQ428" s="928"/>
      <c r="BR428" s="928"/>
      <c r="BS428" s="928"/>
      <c r="BT428" s="928"/>
      <c r="BU428" s="928"/>
      <c r="BV428" s="928"/>
      <c r="BW428" s="928"/>
      <c r="BX428" s="928"/>
      <c r="BY428" s="928"/>
      <c r="BZ428" s="928"/>
      <c r="CA428" s="928"/>
      <c r="CB428" s="928"/>
      <c r="CC428" s="928"/>
      <c r="CD428" s="928"/>
      <c r="CE428" s="928"/>
      <c r="CF428" s="928"/>
      <c r="CG428" s="928"/>
      <c r="CH428" s="928"/>
      <c r="CI428" s="928"/>
      <c r="CJ428" s="928"/>
      <c r="CK428" s="928"/>
      <c r="CL428" s="928"/>
      <c r="CM428" s="928"/>
      <c r="CN428" s="928"/>
      <c r="CO428" s="928"/>
      <c r="CP428" s="928"/>
      <c r="CQ428" s="928"/>
      <c r="CR428" s="928"/>
      <c r="CS428" s="928"/>
      <c r="CT428" s="928"/>
      <c r="CU428" s="928"/>
      <c r="CV428" s="928"/>
      <c r="CW428" s="928"/>
      <c r="CX428" s="928"/>
      <c r="CY428" s="928"/>
      <c r="CZ428" s="928"/>
      <c r="DA428" s="928"/>
      <c r="DB428" s="928"/>
      <c r="DC428" s="928"/>
      <c r="DD428" s="928"/>
      <c r="DE428" s="928"/>
      <c r="DF428" s="928"/>
      <c r="DG428" s="928"/>
      <c r="DH428" s="928"/>
    </row>
    <row r="429" spans="3:112">
      <c r="C429" s="891" t="s">
        <v>169</v>
      </c>
      <c r="D429" s="897">
        <v>911.84</v>
      </c>
      <c r="H429" s="897"/>
      <c r="I429" s="897"/>
      <c r="J429" s="891"/>
      <c r="K429" s="891"/>
      <c r="L429" s="891"/>
      <c r="M429" s="891"/>
      <c r="N429" s="891"/>
      <c r="O429" s="891"/>
      <c r="P429" s="891"/>
      <c r="Q429" s="891"/>
      <c r="R429" s="891"/>
      <c r="S429" s="891"/>
      <c r="T429" s="891"/>
      <c r="U429" s="928"/>
      <c r="V429" s="928"/>
      <c r="W429" s="928"/>
      <c r="X429" s="928"/>
      <c r="Y429" s="928"/>
      <c r="Z429" s="928"/>
      <c r="AA429" s="928"/>
      <c r="AB429" s="928"/>
      <c r="AC429" s="928"/>
      <c r="AD429" s="928"/>
      <c r="AE429" s="928"/>
      <c r="AF429" s="928"/>
      <c r="AG429" s="928"/>
      <c r="AH429" s="928"/>
      <c r="AI429" s="928"/>
      <c r="AJ429" s="928"/>
      <c r="AK429" s="928"/>
      <c r="AL429" s="928"/>
      <c r="AM429" s="928"/>
      <c r="AN429" s="928"/>
      <c r="AO429" s="928"/>
      <c r="AP429" s="928"/>
      <c r="AQ429" s="928"/>
      <c r="AR429" s="928"/>
      <c r="AS429" s="928"/>
      <c r="AT429" s="928"/>
      <c r="AU429" s="928"/>
      <c r="AV429" s="928"/>
      <c r="AW429" s="928"/>
      <c r="AX429" s="928"/>
      <c r="AY429" s="928"/>
      <c r="AZ429" s="928"/>
      <c r="BA429" s="928"/>
      <c r="BB429" s="928"/>
      <c r="BC429" s="928"/>
      <c r="BD429" s="928"/>
      <c r="BE429" s="928"/>
      <c r="BF429" s="928"/>
      <c r="BG429" s="928"/>
      <c r="BH429" s="928"/>
      <c r="BI429" s="928"/>
      <c r="BJ429" s="928"/>
      <c r="BK429" s="928"/>
      <c r="BL429" s="928"/>
      <c r="BM429" s="928"/>
      <c r="BN429" s="928"/>
      <c r="BO429" s="928"/>
      <c r="BP429" s="928"/>
      <c r="BQ429" s="928"/>
      <c r="BR429" s="928"/>
      <c r="BS429" s="928"/>
      <c r="BT429" s="928"/>
      <c r="BU429" s="928"/>
      <c r="BV429" s="928"/>
      <c r="BW429" s="928"/>
      <c r="BX429" s="928"/>
      <c r="BY429" s="928"/>
      <c r="BZ429" s="928"/>
      <c r="CA429" s="928"/>
      <c r="CB429" s="928"/>
      <c r="CC429" s="928"/>
      <c r="CD429" s="928"/>
      <c r="CE429" s="928"/>
      <c r="CF429" s="928"/>
      <c r="CG429" s="928"/>
      <c r="CH429" s="928"/>
      <c r="CI429" s="928"/>
      <c r="CJ429" s="928"/>
      <c r="CK429" s="928"/>
      <c r="CL429" s="928"/>
      <c r="CM429" s="928"/>
      <c r="CN429" s="928"/>
      <c r="CO429" s="928"/>
      <c r="CP429" s="928"/>
      <c r="CQ429" s="928"/>
      <c r="CR429" s="928"/>
      <c r="CS429" s="928"/>
      <c r="CT429" s="928"/>
      <c r="CU429" s="928"/>
      <c r="CV429" s="928"/>
      <c r="CW429" s="928"/>
      <c r="CX429" s="928"/>
      <c r="CY429" s="928"/>
      <c r="CZ429" s="928"/>
      <c r="DA429" s="928"/>
      <c r="DB429" s="928"/>
      <c r="DC429" s="928"/>
      <c r="DD429" s="928"/>
      <c r="DE429" s="928"/>
      <c r="DF429" s="928"/>
      <c r="DG429" s="928"/>
      <c r="DH429" s="928"/>
    </row>
    <row r="430" spans="3:112">
      <c r="C430" s="891" t="s">
        <v>86</v>
      </c>
      <c r="D430" s="897">
        <v>903.06</v>
      </c>
      <c r="H430" s="897"/>
      <c r="I430" s="897"/>
      <c r="J430" s="891"/>
      <c r="K430" s="891"/>
      <c r="L430" s="891"/>
      <c r="M430" s="891"/>
      <c r="N430" s="891"/>
      <c r="O430" s="891"/>
      <c r="P430" s="891"/>
      <c r="Q430" s="891"/>
      <c r="R430" s="891"/>
      <c r="S430" s="891"/>
      <c r="T430" s="891"/>
      <c r="U430" s="928"/>
      <c r="V430" s="928"/>
      <c r="W430" s="928"/>
      <c r="X430" s="928"/>
      <c r="Y430" s="928"/>
      <c r="Z430" s="928"/>
      <c r="AA430" s="928"/>
      <c r="AB430" s="928"/>
      <c r="AC430" s="928"/>
      <c r="AD430" s="928"/>
      <c r="AE430" s="928"/>
      <c r="AF430" s="928"/>
      <c r="AG430" s="928"/>
      <c r="AH430" s="928"/>
      <c r="AI430" s="928"/>
      <c r="AJ430" s="928"/>
      <c r="AK430" s="928"/>
      <c r="AL430" s="928"/>
      <c r="AM430" s="928"/>
      <c r="AN430" s="928"/>
      <c r="AO430" s="928"/>
      <c r="AP430" s="928"/>
      <c r="AQ430" s="928"/>
      <c r="AR430" s="928"/>
      <c r="AS430" s="928"/>
      <c r="AT430" s="928"/>
      <c r="AU430" s="928"/>
      <c r="AV430" s="928"/>
      <c r="AW430" s="928"/>
      <c r="AX430" s="928"/>
      <c r="AY430" s="928"/>
      <c r="AZ430" s="928"/>
      <c r="BA430" s="928"/>
      <c r="BB430" s="928"/>
      <c r="BC430" s="928"/>
      <c r="BD430" s="928"/>
      <c r="BE430" s="928"/>
      <c r="BF430" s="928"/>
      <c r="BG430" s="928"/>
      <c r="BH430" s="928"/>
      <c r="BI430" s="928"/>
      <c r="BJ430" s="928"/>
      <c r="BK430" s="928"/>
      <c r="BL430" s="928"/>
      <c r="BM430" s="928"/>
      <c r="BN430" s="928"/>
      <c r="BO430" s="928"/>
      <c r="BP430" s="928"/>
      <c r="BQ430" s="928"/>
      <c r="BR430" s="928"/>
      <c r="BS430" s="928"/>
      <c r="BT430" s="928"/>
      <c r="BU430" s="928"/>
      <c r="BV430" s="928"/>
      <c r="BW430" s="928"/>
      <c r="BX430" s="928"/>
      <c r="BY430" s="928"/>
      <c r="BZ430" s="928"/>
      <c r="CA430" s="928"/>
      <c r="CB430" s="928"/>
      <c r="CC430" s="928"/>
      <c r="CD430" s="928"/>
      <c r="CE430" s="928"/>
      <c r="CF430" s="928"/>
      <c r="CG430" s="928"/>
      <c r="CH430" s="928"/>
      <c r="CI430" s="928"/>
      <c r="CJ430" s="928"/>
      <c r="CK430" s="928"/>
      <c r="CL430" s="928"/>
      <c r="CM430" s="928"/>
      <c r="CN430" s="928"/>
      <c r="CO430" s="928"/>
      <c r="CP430" s="928"/>
      <c r="CQ430" s="928"/>
      <c r="CR430" s="928"/>
      <c r="CS430" s="928"/>
      <c r="CT430" s="928"/>
      <c r="CU430" s="928"/>
      <c r="CV430" s="928"/>
      <c r="CW430" s="928"/>
      <c r="CX430" s="928"/>
      <c r="CY430" s="928"/>
      <c r="CZ430" s="928"/>
      <c r="DA430" s="928"/>
      <c r="DB430" s="928"/>
      <c r="DC430" s="928"/>
      <c r="DD430" s="928"/>
      <c r="DE430" s="928"/>
      <c r="DF430" s="928"/>
      <c r="DG430" s="928"/>
      <c r="DH430" s="928"/>
    </row>
    <row r="431" spans="3:112">
      <c r="C431" s="891" t="s">
        <v>10</v>
      </c>
      <c r="D431" s="897">
        <v>901.41</v>
      </c>
      <c r="H431" s="897"/>
      <c r="I431" s="897"/>
      <c r="J431" s="891"/>
      <c r="K431" s="891"/>
      <c r="L431" s="891"/>
      <c r="M431" s="891"/>
      <c r="N431" s="891"/>
      <c r="O431" s="891"/>
      <c r="P431" s="891"/>
      <c r="Q431" s="891"/>
      <c r="R431" s="891"/>
      <c r="S431" s="891"/>
      <c r="T431" s="891"/>
      <c r="U431" s="928"/>
      <c r="V431" s="928"/>
      <c r="W431" s="928"/>
      <c r="X431" s="928"/>
      <c r="Y431" s="928"/>
      <c r="Z431" s="928"/>
      <c r="AA431" s="928"/>
      <c r="AB431" s="928"/>
      <c r="AC431" s="928"/>
      <c r="AD431" s="928"/>
      <c r="AE431" s="928"/>
      <c r="AF431" s="928"/>
      <c r="AG431" s="928"/>
      <c r="AH431" s="928"/>
      <c r="AI431" s="928"/>
      <c r="AJ431" s="928"/>
      <c r="AK431" s="928"/>
      <c r="AL431" s="928"/>
      <c r="AM431" s="928"/>
      <c r="AN431" s="928"/>
      <c r="AO431" s="928"/>
      <c r="AP431" s="928"/>
      <c r="AQ431" s="928"/>
      <c r="AR431" s="928"/>
      <c r="AS431" s="928"/>
      <c r="AT431" s="928"/>
      <c r="AU431" s="928"/>
      <c r="AV431" s="928"/>
      <c r="AW431" s="928"/>
      <c r="AX431" s="928"/>
      <c r="AY431" s="928"/>
      <c r="AZ431" s="928"/>
      <c r="BA431" s="928"/>
      <c r="BB431" s="928"/>
      <c r="BC431" s="928"/>
      <c r="BD431" s="928"/>
      <c r="BE431" s="928"/>
      <c r="BF431" s="928"/>
      <c r="BG431" s="928"/>
      <c r="BH431" s="928"/>
      <c r="BI431" s="928"/>
      <c r="BJ431" s="928"/>
      <c r="BK431" s="928"/>
      <c r="BL431" s="928"/>
      <c r="BM431" s="928"/>
      <c r="BN431" s="928"/>
      <c r="BO431" s="928"/>
      <c r="BP431" s="928"/>
      <c r="BQ431" s="928"/>
      <c r="BR431" s="928"/>
      <c r="BS431" s="928"/>
      <c r="BT431" s="928"/>
      <c r="BU431" s="928"/>
      <c r="BV431" s="928"/>
      <c r="BW431" s="928"/>
      <c r="BX431" s="928"/>
      <c r="BY431" s="928"/>
      <c r="BZ431" s="928"/>
      <c r="CA431" s="928"/>
      <c r="CB431" s="928"/>
      <c r="CC431" s="928"/>
      <c r="CD431" s="928"/>
      <c r="CE431" s="928"/>
      <c r="CF431" s="928"/>
      <c r="CG431" s="928"/>
      <c r="CH431" s="928"/>
      <c r="CI431" s="928"/>
      <c r="CJ431" s="928"/>
      <c r="CK431" s="928"/>
      <c r="CL431" s="928"/>
      <c r="CM431" s="928"/>
      <c r="CN431" s="928"/>
      <c r="CO431" s="928"/>
      <c r="CP431" s="928"/>
      <c r="CQ431" s="928"/>
      <c r="CR431" s="928"/>
      <c r="CS431" s="928"/>
      <c r="CT431" s="928"/>
      <c r="CU431" s="928"/>
      <c r="CV431" s="928"/>
      <c r="CW431" s="928"/>
      <c r="CX431" s="928"/>
      <c r="CY431" s="928"/>
      <c r="CZ431" s="928"/>
      <c r="DA431" s="928"/>
      <c r="DB431" s="928"/>
      <c r="DC431" s="928"/>
      <c r="DD431" s="928"/>
      <c r="DE431" s="928"/>
      <c r="DF431" s="928"/>
      <c r="DG431" s="928"/>
      <c r="DH431" s="928"/>
    </row>
    <row r="432" spans="3:112">
      <c r="C432" s="891" t="s">
        <v>62</v>
      </c>
      <c r="D432" s="897">
        <v>883.16</v>
      </c>
      <c r="H432" s="897"/>
      <c r="I432" s="897"/>
      <c r="J432" s="891"/>
      <c r="K432" s="891"/>
      <c r="L432" s="891"/>
      <c r="M432" s="891"/>
      <c r="N432" s="891"/>
      <c r="O432" s="891"/>
      <c r="P432" s="891"/>
      <c r="Q432" s="891"/>
      <c r="R432" s="891"/>
      <c r="S432" s="891"/>
      <c r="T432" s="891"/>
      <c r="U432" s="928"/>
      <c r="V432" s="928"/>
      <c r="W432" s="928"/>
      <c r="X432" s="928"/>
      <c r="Y432" s="928"/>
      <c r="Z432" s="928"/>
      <c r="AA432" s="928"/>
      <c r="AB432" s="928"/>
      <c r="AC432" s="928"/>
      <c r="AD432" s="928"/>
      <c r="AE432" s="928"/>
      <c r="AF432" s="928"/>
      <c r="AG432" s="928"/>
      <c r="AH432" s="928"/>
      <c r="AI432" s="928"/>
      <c r="AJ432" s="928"/>
      <c r="AK432" s="928"/>
      <c r="AL432" s="928"/>
      <c r="AM432" s="928"/>
      <c r="AN432" s="928"/>
      <c r="AO432" s="928"/>
      <c r="AP432" s="928"/>
      <c r="AQ432" s="928"/>
      <c r="AR432" s="928"/>
      <c r="AS432" s="928"/>
      <c r="AT432" s="928"/>
      <c r="AU432" s="928"/>
      <c r="AV432" s="928"/>
      <c r="AW432" s="928"/>
      <c r="AX432" s="928"/>
      <c r="AY432" s="928"/>
      <c r="AZ432" s="928"/>
      <c r="BA432" s="928"/>
      <c r="BB432" s="928"/>
      <c r="BC432" s="928"/>
      <c r="BD432" s="928"/>
      <c r="BE432" s="928"/>
      <c r="BF432" s="928"/>
      <c r="BG432" s="928"/>
      <c r="BH432" s="928"/>
      <c r="BI432" s="928"/>
      <c r="BJ432" s="928"/>
      <c r="BK432" s="928"/>
      <c r="BL432" s="928"/>
      <c r="BM432" s="928"/>
      <c r="BN432" s="928"/>
      <c r="BO432" s="928"/>
      <c r="BP432" s="928"/>
      <c r="BQ432" s="928"/>
      <c r="BR432" s="928"/>
      <c r="BS432" s="928"/>
      <c r="BT432" s="928"/>
      <c r="BU432" s="928"/>
      <c r="BV432" s="928"/>
      <c r="BW432" s="928"/>
      <c r="BX432" s="928"/>
      <c r="BY432" s="928"/>
      <c r="BZ432" s="928"/>
      <c r="CA432" s="928"/>
      <c r="CB432" s="928"/>
      <c r="CC432" s="928"/>
      <c r="CD432" s="928"/>
      <c r="CE432" s="928"/>
      <c r="CF432" s="928"/>
      <c r="CG432" s="928"/>
      <c r="CH432" s="928"/>
      <c r="CI432" s="928"/>
      <c r="CJ432" s="928"/>
      <c r="CK432" s="928"/>
      <c r="CL432" s="928"/>
      <c r="CM432" s="928"/>
      <c r="CN432" s="928"/>
      <c r="CO432" s="928"/>
      <c r="CP432" s="928"/>
      <c r="CQ432" s="928"/>
      <c r="CR432" s="928"/>
      <c r="CS432" s="928"/>
      <c r="CT432" s="928"/>
      <c r="CU432" s="928"/>
      <c r="CV432" s="928"/>
      <c r="CW432" s="928"/>
      <c r="CX432" s="928"/>
      <c r="CY432" s="928"/>
      <c r="CZ432" s="928"/>
      <c r="DA432" s="928"/>
      <c r="DB432" s="928"/>
      <c r="DC432" s="928"/>
      <c r="DD432" s="928"/>
      <c r="DE432" s="928"/>
      <c r="DF432" s="928"/>
      <c r="DG432" s="928"/>
      <c r="DH432" s="928"/>
    </row>
    <row r="433" spans="3:112">
      <c r="C433" s="891" t="s">
        <v>173</v>
      </c>
      <c r="D433" s="897">
        <v>862.01</v>
      </c>
      <c r="H433" s="897"/>
      <c r="I433" s="897"/>
      <c r="J433" s="891"/>
      <c r="K433" s="891"/>
      <c r="L433" s="891"/>
      <c r="M433" s="891"/>
      <c r="N433" s="891"/>
      <c r="O433" s="891"/>
      <c r="P433" s="891"/>
      <c r="Q433" s="891"/>
      <c r="R433" s="891"/>
      <c r="S433" s="891"/>
      <c r="T433" s="891"/>
      <c r="U433" s="928"/>
      <c r="V433" s="928"/>
      <c r="W433" s="928"/>
      <c r="X433" s="928"/>
      <c r="Y433" s="928"/>
      <c r="Z433" s="928"/>
      <c r="AA433" s="928"/>
      <c r="AB433" s="928"/>
      <c r="AC433" s="928"/>
      <c r="AD433" s="928"/>
      <c r="AE433" s="928"/>
      <c r="AF433" s="928"/>
      <c r="AG433" s="928"/>
      <c r="AH433" s="928"/>
      <c r="AI433" s="928"/>
      <c r="AJ433" s="928"/>
      <c r="AK433" s="928"/>
      <c r="AL433" s="928"/>
      <c r="AM433" s="928"/>
      <c r="AN433" s="928"/>
      <c r="AO433" s="928"/>
      <c r="AP433" s="928"/>
      <c r="AQ433" s="928"/>
      <c r="AR433" s="928"/>
      <c r="AS433" s="928"/>
      <c r="AT433" s="928"/>
      <c r="AU433" s="928"/>
      <c r="AV433" s="928"/>
      <c r="AW433" s="928"/>
      <c r="AX433" s="928"/>
      <c r="AY433" s="928"/>
      <c r="AZ433" s="928"/>
      <c r="BA433" s="928"/>
      <c r="BB433" s="928"/>
      <c r="BC433" s="928"/>
      <c r="BD433" s="928"/>
      <c r="BE433" s="928"/>
      <c r="BF433" s="928"/>
      <c r="BG433" s="928"/>
      <c r="BH433" s="928"/>
      <c r="BI433" s="928"/>
      <c r="BJ433" s="928"/>
      <c r="BK433" s="928"/>
      <c r="BL433" s="928"/>
      <c r="BM433" s="928"/>
      <c r="BN433" s="928"/>
      <c r="BO433" s="928"/>
      <c r="BP433" s="928"/>
      <c r="BQ433" s="928"/>
      <c r="BR433" s="928"/>
      <c r="BS433" s="928"/>
      <c r="BT433" s="928"/>
      <c r="BU433" s="928"/>
      <c r="BV433" s="928"/>
      <c r="BW433" s="928"/>
      <c r="BX433" s="928"/>
      <c r="BY433" s="928"/>
      <c r="BZ433" s="928"/>
      <c r="CA433" s="928"/>
      <c r="CB433" s="928"/>
      <c r="CC433" s="928"/>
      <c r="CD433" s="928"/>
      <c r="CE433" s="928"/>
      <c r="CF433" s="928"/>
      <c r="CG433" s="928"/>
      <c r="CH433" s="928"/>
      <c r="CI433" s="928"/>
      <c r="CJ433" s="928"/>
      <c r="CK433" s="928"/>
      <c r="CL433" s="928"/>
      <c r="CM433" s="928"/>
      <c r="CN433" s="928"/>
      <c r="CO433" s="928"/>
      <c r="CP433" s="928"/>
      <c r="CQ433" s="928"/>
      <c r="CR433" s="928"/>
      <c r="CS433" s="928"/>
      <c r="CT433" s="928"/>
      <c r="CU433" s="928"/>
      <c r="CV433" s="928"/>
      <c r="CW433" s="928"/>
      <c r="CX433" s="928"/>
      <c r="CY433" s="928"/>
      <c r="CZ433" s="928"/>
      <c r="DA433" s="928"/>
      <c r="DB433" s="928"/>
      <c r="DC433" s="928"/>
      <c r="DD433" s="928"/>
      <c r="DE433" s="928"/>
      <c r="DF433" s="928"/>
      <c r="DG433" s="928"/>
      <c r="DH433" s="928"/>
    </row>
    <row r="434" spans="3:112">
      <c r="C434" s="891" t="s">
        <v>238</v>
      </c>
      <c r="D434" s="897">
        <v>860.06</v>
      </c>
      <c r="H434" s="897"/>
      <c r="I434" s="897"/>
      <c r="J434" s="891"/>
      <c r="K434" s="891"/>
      <c r="L434" s="891"/>
      <c r="M434" s="891"/>
      <c r="N434" s="891"/>
      <c r="O434" s="891"/>
      <c r="P434" s="891"/>
      <c r="Q434" s="891"/>
      <c r="R434" s="891"/>
      <c r="S434" s="891"/>
      <c r="T434" s="891"/>
      <c r="U434" s="928"/>
      <c r="V434" s="928"/>
      <c r="W434" s="928"/>
      <c r="X434" s="928"/>
      <c r="Y434" s="928"/>
      <c r="Z434" s="928"/>
      <c r="AA434" s="928"/>
      <c r="AB434" s="928"/>
      <c r="AC434" s="928"/>
      <c r="AD434" s="928"/>
      <c r="AE434" s="928"/>
      <c r="AF434" s="928"/>
      <c r="AG434" s="928"/>
      <c r="AH434" s="928"/>
      <c r="AI434" s="928"/>
      <c r="AJ434" s="928"/>
      <c r="AK434" s="928"/>
      <c r="AL434" s="928"/>
      <c r="AM434" s="928"/>
      <c r="AN434" s="928"/>
      <c r="AO434" s="928"/>
      <c r="AP434" s="928"/>
      <c r="AQ434" s="928"/>
      <c r="AR434" s="928"/>
      <c r="AS434" s="928"/>
      <c r="AT434" s="928"/>
      <c r="AU434" s="928"/>
      <c r="AV434" s="928"/>
      <c r="AW434" s="928"/>
      <c r="AX434" s="928"/>
      <c r="AY434" s="928"/>
      <c r="AZ434" s="928"/>
      <c r="BA434" s="928"/>
      <c r="BB434" s="928"/>
      <c r="BC434" s="928"/>
      <c r="BD434" s="928"/>
      <c r="BE434" s="928"/>
      <c r="BF434" s="928"/>
      <c r="BG434" s="928"/>
      <c r="BH434" s="928"/>
      <c r="BI434" s="928"/>
      <c r="BJ434" s="928"/>
      <c r="BK434" s="928"/>
      <c r="BL434" s="928"/>
      <c r="BM434" s="928"/>
      <c r="BN434" s="928"/>
      <c r="BO434" s="928"/>
      <c r="BP434" s="928"/>
      <c r="BQ434" s="928"/>
      <c r="BR434" s="928"/>
      <c r="BS434" s="928"/>
      <c r="BT434" s="928"/>
      <c r="BU434" s="928"/>
      <c r="BV434" s="928"/>
      <c r="BW434" s="928"/>
      <c r="BX434" s="928"/>
      <c r="BY434" s="928"/>
      <c r="BZ434" s="928"/>
      <c r="CA434" s="928"/>
      <c r="CB434" s="928"/>
      <c r="CC434" s="928"/>
      <c r="CD434" s="928"/>
      <c r="CE434" s="928"/>
      <c r="CF434" s="928"/>
      <c r="CG434" s="928"/>
      <c r="CH434" s="928"/>
      <c r="CI434" s="928"/>
      <c r="CJ434" s="928"/>
      <c r="CK434" s="928"/>
      <c r="CL434" s="928"/>
      <c r="CM434" s="928"/>
      <c r="CN434" s="928"/>
      <c r="CO434" s="928"/>
      <c r="CP434" s="928"/>
      <c r="CQ434" s="928"/>
      <c r="CR434" s="928"/>
      <c r="CS434" s="928"/>
      <c r="CT434" s="928"/>
      <c r="CU434" s="928"/>
      <c r="CV434" s="928"/>
      <c r="CW434" s="928"/>
      <c r="CX434" s="928"/>
      <c r="CY434" s="928"/>
      <c r="CZ434" s="928"/>
      <c r="DA434" s="928"/>
      <c r="DB434" s="928"/>
      <c r="DC434" s="928"/>
      <c r="DD434" s="928"/>
      <c r="DE434" s="928"/>
      <c r="DF434" s="928"/>
      <c r="DG434" s="928"/>
      <c r="DH434" s="928"/>
    </row>
    <row r="435" spans="3:112">
      <c r="C435" s="891" t="s">
        <v>88</v>
      </c>
      <c r="D435" s="897">
        <v>860.06</v>
      </c>
      <c r="H435" s="897"/>
      <c r="I435" s="897"/>
      <c r="J435" s="891"/>
      <c r="K435" s="891"/>
      <c r="L435" s="891"/>
      <c r="M435" s="891"/>
      <c r="N435" s="891"/>
      <c r="O435" s="891"/>
      <c r="P435" s="891"/>
      <c r="Q435" s="891"/>
      <c r="R435" s="891"/>
      <c r="S435" s="891"/>
      <c r="T435" s="891"/>
      <c r="U435" s="928"/>
      <c r="V435" s="928"/>
      <c r="W435" s="928"/>
      <c r="X435" s="928"/>
      <c r="Y435" s="928"/>
      <c r="Z435" s="928"/>
      <c r="AA435" s="928"/>
      <c r="AB435" s="928"/>
      <c r="AC435" s="928"/>
      <c r="AD435" s="928"/>
      <c r="AE435" s="928"/>
      <c r="AF435" s="928"/>
      <c r="AG435" s="928"/>
      <c r="AH435" s="928"/>
      <c r="AI435" s="928"/>
      <c r="AJ435" s="928"/>
      <c r="AK435" s="928"/>
      <c r="AL435" s="928"/>
      <c r="AM435" s="928"/>
      <c r="AN435" s="928"/>
      <c r="AO435" s="928"/>
      <c r="AP435" s="928"/>
      <c r="AQ435" s="928"/>
      <c r="AR435" s="928"/>
      <c r="AS435" s="928"/>
      <c r="AT435" s="928"/>
      <c r="AU435" s="928"/>
      <c r="AV435" s="928"/>
      <c r="AW435" s="928"/>
      <c r="AX435" s="928"/>
      <c r="AY435" s="928"/>
      <c r="AZ435" s="928"/>
      <c r="BA435" s="928"/>
      <c r="BB435" s="928"/>
      <c r="BC435" s="928"/>
      <c r="BD435" s="928"/>
      <c r="BE435" s="928"/>
      <c r="BF435" s="928"/>
      <c r="BG435" s="928"/>
      <c r="BH435" s="928"/>
      <c r="BI435" s="928"/>
      <c r="BJ435" s="928"/>
      <c r="BK435" s="928"/>
      <c r="BL435" s="928"/>
      <c r="BM435" s="928"/>
      <c r="BN435" s="928"/>
      <c r="BO435" s="928"/>
      <c r="BP435" s="928"/>
      <c r="BQ435" s="928"/>
      <c r="BR435" s="928"/>
      <c r="BS435" s="928"/>
      <c r="BT435" s="928"/>
      <c r="BU435" s="928"/>
      <c r="BV435" s="928"/>
      <c r="BW435" s="928"/>
      <c r="BX435" s="928"/>
      <c r="BY435" s="928"/>
      <c r="BZ435" s="928"/>
      <c r="CA435" s="928"/>
      <c r="CB435" s="928"/>
      <c r="CC435" s="928"/>
      <c r="CD435" s="928"/>
      <c r="CE435" s="928"/>
      <c r="CF435" s="928"/>
      <c r="CG435" s="928"/>
      <c r="CH435" s="928"/>
      <c r="CI435" s="928"/>
      <c r="CJ435" s="928"/>
      <c r="CK435" s="928"/>
      <c r="CL435" s="928"/>
      <c r="CM435" s="928"/>
      <c r="CN435" s="928"/>
      <c r="CO435" s="928"/>
      <c r="CP435" s="928"/>
      <c r="CQ435" s="928"/>
      <c r="CR435" s="928"/>
      <c r="CS435" s="928"/>
      <c r="CT435" s="928"/>
      <c r="CU435" s="928"/>
      <c r="CV435" s="928"/>
      <c r="CW435" s="928"/>
      <c r="CX435" s="928"/>
      <c r="CY435" s="928"/>
      <c r="CZ435" s="928"/>
      <c r="DA435" s="928"/>
      <c r="DB435" s="928"/>
      <c r="DC435" s="928"/>
      <c r="DD435" s="928"/>
      <c r="DE435" s="928"/>
      <c r="DF435" s="928"/>
      <c r="DG435" s="928"/>
      <c r="DH435" s="928"/>
    </row>
    <row r="436" spans="3:112">
      <c r="C436" s="891" t="s">
        <v>253</v>
      </c>
      <c r="D436" s="897">
        <v>859.99</v>
      </c>
      <c r="H436" s="897"/>
      <c r="I436" s="897"/>
      <c r="J436" s="891"/>
      <c r="K436" s="891"/>
      <c r="L436" s="891"/>
      <c r="M436" s="891"/>
      <c r="N436" s="891"/>
      <c r="O436" s="891"/>
      <c r="P436" s="891"/>
      <c r="Q436" s="891"/>
      <c r="R436" s="891"/>
      <c r="S436" s="891"/>
      <c r="T436" s="891"/>
      <c r="U436" s="928"/>
      <c r="V436" s="928"/>
      <c r="W436" s="928"/>
      <c r="X436" s="928"/>
      <c r="Y436" s="928"/>
      <c r="Z436" s="928"/>
      <c r="AA436" s="928"/>
      <c r="AB436" s="928"/>
      <c r="AC436" s="928"/>
      <c r="AD436" s="928"/>
      <c r="AE436" s="928"/>
      <c r="AF436" s="928"/>
      <c r="AG436" s="928"/>
      <c r="AH436" s="928"/>
      <c r="AI436" s="928"/>
      <c r="AJ436" s="928"/>
      <c r="AK436" s="928"/>
      <c r="AL436" s="928"/>
      <c r="AM436" s="928"/>
      <c r="AN436" s="928"/>
      <c r="AO436" s="928"/>
      <c r="AP436" s="928"/>
      <c r="AQ436" s="928"/>
      <c r="AR436" s="928"/>
      <c r="AS436" s="928"/>
      <c r="AT436" s="928"/>
      <c r="AU436" s="928"/>
      <c r="AV436" s="928"/>
      <c r="AW436" s="928"/>
      <c r="AX436" s="928"/>
      <c r="AY436" s="928"/>
      <c r="AZ436" s="928"/>
      <c r="BA436" s="928"/>
      <c r="BB436" s="928"/>
      <c r="BC436" s="928"/>
      <c r="BD436" s="928"/>
      <c r="BE436" s="928"/>
      <c r="BF436" s="928"/>
      <c r="BG436" s="928"/>
      <c r="BH436" s="928"/>
      <c r="BI436" s="928"/>
      <c r="BJ436" s="928"/>
      <c r="BK436" s="928"/>
      <c r="BL436" s="928"/>
      <c r="BM436" s="928"/>
      <c r="BN436" s="928"/>
      <c r="BO436" s="928"/>
      <c r="BP436" s="928"/>
      <c r="BQ436" s="928"/>
      <c r="BR436" s="928"/>
      <c r="BS436" s="928"/>
      <c r="BT436" s="928"/>
      <c r="BU436" s="928"/>
      <c r="BV436" s="928"/>
      <c r="BW436" s="928"/>
      <c r="BX436" s="928"/>
      <c r="BY436" s="928"/>
      <c r="BZ436" s="928"/>
      <c r="CA436" s="928"/>
      <c r="CB436" s="928"/>
      <c r="CC436" s="928"/>
      <c r="CD436" s="928"/>
      <c r="CE436" s="928"/>
      <c r="CF436" s="928"/>
      <c r="CG436" s="928"/>
      <c r="CH436" s="928"/>
      <c r="CI436" s="928"/>
      <c r="CJ436" s="928"/>
      <c r="CK436" s="928"/>
      <c r="CL436" s="928"/>
      <c r="CM436" s="928"/>
      <c r="CN436" s="928"/>
      <c r="CO436" s="928"/>
      <c r="CP436" s="928"/>
      <c r="CQ436" s="928"/>
      <c r="CR436" s="928"/>
      <c r="CS436" s="928"/>
      <c r="CT436" s="928"/>
      <c r="CU436" s="928"/>
      <c r="CV436" s="928"/>
      <c r="CW436" s="928"/>
      <c r="CX436" s="928"/>
      <c r="CY436" s="928"/>
      <c r="CZ436" s="928"/>
      <c r="DA436" s="928"/>
      <c r="DB436" s="928"/>
      <c r="DC436" s="928"/>
      <c r="DD436" s="928"/>
      <c r="DE436" s="928"/>
      <c r="DF436" s="928"/>
      <c r="DG436" s="928"/>
      <c r="DH436" s="928"/>
    </row>
    <row r="437" spans="3:112">
      <c r="C437" s="891" t="s">
        <v>45</v>
      </c>
      <c r="D437" s="897">
        <v>853.38</v>
      </c>
      <c r="H437" s="897"/>
      <c r="I437" s="897"/>
      <c r="J437" s="891"/>
      <c r="K437" s="891"/>
      <c r="L437" s="891"/>
      <c r="M437" s="891"/>
      <c r="N437" s="891"/>
      <c r="O437" s="891"/>
      <c r="P437" s="891"/>
      <c r="Q437" s="891"/>
      <c r="R437" s="891"/>
      <c r="S437" s="891"/>
      <c r="T437" s="891"/>
      <c r="U437" s="928"/>
      <c r="V437" s="928"/>
      <c r="W437" s="928"/>
      <c r="X437" s="928"/>
      <c r="Y437" s="928"/>
      <c r="Z437" s="928"/>
      <c r="AA437" s="928"/>
      <c r="AB437" s="928"/>
      <c r="AC437" s="928"/>
      <c r="AD437" s="928"/>
      <c r="AE437" s="928"/>
      <c r="AF437" s="928"/>
      <c r="AG437" s="928"/>
      <c r="AH437" s="928"/>
      <c r="AI437" s="928"/>
      <c r="AJ437" s="928"/>
      <c r="AK437" s="928"/>
      <c r="AL437" s="928"/>
      <c r="AM437" s="928"/>
      <c r="AN437" s="928"/>
      <c r="AO437" s="928"/>
      <c r="AP437" s="928"/>
      <c r="AQ437" s="928"/>
      <c r="AR437" s="928"/>
      <c r="AS437" s="928"/>
      <c r="AT437" s="928"/>
      <c r="AU437" s="928"/>
      <c r="AV437" s="928"/>
      <c r="AW437" s="928"/>
      <c r="AX437" s="928"/>
      <c r="AY437" s="928"/>
      <c r="AZ437" s="928"/>
      <c r="BA437" s="928"/>
      <c r="BB437" s="928"/>
      <c r="BC437" s="928"/>
      <c r="BD437" s="928"/>
      <c r="BE437" s="928"/>
      <c r="BF437" s="928"/>
      <c r="BG437" s="928"/>
      <c r="BH437" s="928"/>
      <c r="BI437" s="928"/>
      <c r="BJ437" s="928"/>
      <c r="BK437" s="928"/>
      <c r="BL437" s="928"/>
      <c r="BM437" s="928"/>
      <c r="BN437" s="928"/>
      <c r="BO437" s="928"/>
      <c r="BP437" s="928"/>
      <c r="BQ437" s="928"/>
      <c r="BR437" s="928"/>
      <c r="BS437" s="928"/>
      <c r="BT437" s="928"/>
      <c r="BU437" s="928"/>
      <c r="BV437" s="928"/>
      <c r="BW437" s="928"/>
      <c r="BX437" s="928"/>
      <c r="BY437" s="928"/>
      <c r="BZ437" s="928"/>
      <c r="CA437" s="928"/>
      <c r="CB437" s="928"/>
      <c r="CC437" s="928"/>
      <c r="CD437" s="928"/>
      <c r="CE437" s="928"/>
      <c r="CF437" s="928"/>
      <c r="CG437" s="928"/>
      <c r="CH437" s="928"/>
      <c r="CI437" s="928"/>
      <c r="CJ437" s="928"/>
      <c r="CK437" s="928"/>
      <c r="CL437" s="928"/>
      <c r="CM437" s="928"/>
      <c r="CN437" s="928"/>
      <c r="CO437" s="928"/>
      <c r="CP437" s="928"/>
      <c r="CQ437" s="928"/>
      <c r="CR437" s="928"/>
      <c r="CS437" s="928"/>
      <c r="CT437" s="928"/>
      <c r="CU437" s="928"/>
      <c r="CV437" s="928"/>
      <c r="CW437" s="928"/>
      <c r="CX437" s="928"/>
      <c r="CY437" s="928"/>
      <c r="CZ437" s="928"/>
      <c r="DA437" s="928"/>
      <c r="DB437" s="928"/>
      <c r="DC437" s="928"/>
      <c r="DD437" s="928"/>
      <c r="DE437" s="928"/>
      <c r="DF437" s="928"/>
      <c r="DG437" s="928"/>
      <c r="DH437" s="928"/>
    </row>
    <row r="438" spans="3:112">
      <c r="C438" s="891" t="s">
        <v>103</v>
      </c>
      <c r="D438" s="897">
        <v>852.89</v>
      </c>
      <c r="H438" s="897"/>
      <c r="I438" s="897"/>
      <c r="J438" s="891"/>
      <c r="K438" s="891"/>
      <c r="L438" s="891"/>
      <c r="M438" s="891"/>
      <c r="N438" s="891"/>
      <c r="O438" s="891"/>
      <c r="P438" s="891"/>
      <c r="Q438" s="891"/>
      <c r="R438" s="891"/>
      <c r="S438" s="891"/>
      <c r="T438" s="891"/>
      <c r="U438" s="928"/>
      <c r="V438" s="928"/>
      <c r="W438" s="928"/>
      <c r="X438" s="928"/>
      <c r="Y438" s="928"/>
      <c r="Z438" s="928"/>
      <c r="AA438" s="928"/>
      <c r="AB438" s="928"/>
      <c r="AC438" s="928"/>
      <c r="AD438" s="928"/>
      <c r="AE438" s="928"/>
      <c r="AF438" s="928"/>
      <c r="AG438" s="928"/>
      <c r="AH438" s="928"/>
      <c r="AI438" s="928"/>
      <c r="AJ438" s="928"/>
      <c r="AK438" s="928"/>
      <c r="AL438" s="928"/>
      <c r="AM438" s="928"/>
      <c r="AN438" s="928"/>
      <c r="AO438" s="928"/>
      <c r="AP438" s="928"/>
      <c r="AQ438" s="928"/>
      <c r="AR438" s="928"/>
      <c r="AS438" s="928"/>
      <c r="AT438" s="928"/>
      <c r="AU438" s="928"/>
      <c r="AV438" s="928"/>
      <c r="AW438" s="928"/>
      <c r="AX438" s="928"/>
      <c r="AY438" s="928"/>
      <c r="AZ438" s="928"/>
      <c r="BA438" s="928"/>
      <c r="BB438" s="928"/>
      <c r="BC438" s="928"/>
      <c r="BD438" s="928"/>
      <c r="BE438" s="928"/>
      <c r="BF438" s="928"/>
      <c r="BG438" s="928"/>
      <c r="BH438" s="928"/>
      <c r="BI438" s="928"/>
      <c r="BJ438" s="928"/>
      <c r="BK438" s="928"/>
      <c r="BL438" s="928"/>
      <c r="BM438" s="928"/>
      <c r="BN438" s="928"/>
      <c r="BO438" s="928"/>
      <c r="BP438" s="928"/>
      <c r="BQ438" s="928"/>
      <c r="BR438" s="928"/>
      <c r="BS438" s="928"/>
      <c r="BT438" s="928"/>
      <c r="BU438" s="928"/>
      <c r="BV438" s="928"/>
      <c r="BW438" s="928"/>
      <c r="BX438" s="928"/>
      <c r="BY438" s="928"/>
      <c r="BZ438" s="928"/>
      <c r="CA438" s="928"/>
      <c r="CB438" s="928"/>
      <c r="CC438" s="928"/>
      <c r="CD438" s="928"/>
      <c r="CE438" s="928"/>
      <c r="CF438" s="928"/>
      <c r="CG438" s="928"/>
      <c r="CH438" s="928"/>
      <c r="CI438" s="928"/>
      <c r="CJ438" s="928"/>
      <c r="CK438" s="928"/>
      <c r="CL438" s="928"/>
      <c r="CM438" s="928"/>
      <c r="CN438" s="928"/>
      <c r="CO438" s="928"/>
      <c r="CP438" s="928"/>
      <c r="CQ438" s="928"/>
      <c r="CR438" s="928"/>
      <c r="CS438" s="928"/>
      <c r="CT438" s="928"/>
      <c r="CU438" s="928"/>
      <c r="CV438" s="928"/>
      <c r="CW438" s="928"/>
      <c r="CX438" s="928"/>
      <c r="CY438" s="928"/>
      <c r="CZ438" s="928"/>
      <c r="DA438" s="928"/>
      <c r="DB438" s="928"/>
      <c r="DC438" s="928"/>
      <c r="DD438" s="928"/>
      <c r="DE438" s="928"/>
      <c r="DF438" s="928"/>
      <c r="DG438" s="928"/>
      <c r="DH438" s="928"/>
    </row>
    <row r="439" spans="3:112">
      <c r="C439" s="891" t="s">
        <v>212</v>
      </c>
      <c r="D439" s="897">
        <v>848.75</v>
      </c>
      <c r="H439" s="897"/>
      <c r="I439" s="897"/>
      <c r="J439" s="891"/>
      <c r="K439" s="891"/>
      <c r="L439" s="891"/>
      <c r="M439" s="891"/>
      <c r="N439" s="891"/>
      <c r="O439" s="891"/>
      <c r="P439" s="891"/>
      <c r="Q439" s="891"/>
      <c r="R439" s="891"/>
      <c r="S439" s="891"/>
      <c r="T439" s="891"/>
      <c r="U439" s="928"/>
      <c r="V439" s="928"/>
      <c r="W439" s="928"/>
      <c r="X439" s="928"/>
      <c r="Y439" s="928"/>
      <c r="Z439" s="928"/>
      <c r="AA439" s="928"/>
      <c r="AB439" s="928"/>
      <c r="AC439" s="928"/>
      <c r="AD439" s="928"/>
      <c r="AE439" s="928"/>
      <c r="AF439" s="928"/>
      <c r="AG439" s="928"/>
      <c r="AH439" s="928"/>
      <c r="AI439" s="928"/>
      <c r="AJ439" s="928"/>
      <c r="AK439" s="928"/>
      <c r="AL439" s="928"/>
      <c r="AM439" s="928"/>
      <c r="AN439" s="928"/>
      <c r="AO439" s="928"/>
      <c r="AP439" s="928"/>
      <c r="AQ439" s="928"/>
      <c r="AR439" s="928"/>
      <c r="AS439" s="928"/>
      <c r="AT439" s="928"/>
      <c r="AU439" s="928"/>
      <c r="AV439" s="928"/>
      <c r="AW439" s="928"/>
      <c r="AX439" s="928"/>
      <c r="AY439" s="928"/>
      <c r="AZ439" s="928"/>
      <c r="BA439" s="928"/>
      <c r="BB439" s="928"/>
      <c r="BC439" s="928"/>
      <c r="BD439" s="928"/>
      <c r="BE439" s="928"/>
      <c r="BF439" s="928"/>
      <c r="BG439" s="928"/>
      <c r="BH439" s="928"/>
      <c r="BI439" s="928"/>
      <c r="BJ439" s="928"/>
      <c r="BK439" s="928"/>
      <c r="BL439" s="928"/>
      <c r="BM439" s="928"/>
      <c r="BN439" s="928"/>
      <c r="BO439" s="928"/>
      <c r="BP439" s="928"/>
      <c r="BQ439" s="928"/>
      <c r="BR439" s="928"/>
      <c r="BS439" s="928"/>
      <c r="BT439" s="928"/>
      <c r="BU439" s="928"/>
      <c r="BV439" s="928"/>
      <c r="BW439" s="928"/>
      <c r="BX439" s="928"/>
      <c r="BY439" s="928"/>
      <c r="BZ439" s="928"/>
      <c r="CA439" s="928"/>
      <c r="CB439" s="928"/>
      <c r="CC439" s="928"/>
      <c r="CD439" s="928"/>
      <c r="CE439" s="928"/>
      <c r="CF439" s="928"/>
      <c r="CG439" s="928"/>
      <c r="CH439" s="928"/>
      <c r="CI439" s="928"/>
      <c r="CJ439" s="928"/>
      <c r="CK439" s="928"/>
      <c r="CL439" s="928"/>
      <c r="CM439" s="928"/>
      <c r="CN439" s="928"/>
      <c r="CO439" s="928"/>
      <c r="CP439" s="928"/>
      <c r="CQ439" s="928"/>
      <c r="CR439" s="928"/>
      <c r="CS439" s="928"/>
      <c r="CT439" s="928"/>
      <c r="CU439" s="928"/>
      <c r="CV439" s="928"/>
      <c r="CW439" s="928"/>
      <c r="CX439" s="928"/>
      <c r="CY439" s="928"/>
      <c r="CZ439" s="928"/>
      <c r="DA439" s="928"/>
      <c r="DB439" s="928"/>
      <c r="DC439" s="928"/>
      <c r="DD439" s="928"/>
      <c r="DE439" s="928"/>
      <c r="DF439" s="928"/>
      <c r="DG439" s="928"/>
      <c r="DH439" s="928"/>
    </row>
    <row r="440" spans="3:112">
      <c r="C440" s="891" t="s">
        <v>218</v>
      </c>
      <c r="D440" s="897">
        <v>838.56</v>
      </c>
      <c r="H440" s="897"/>
      <c r="I440" s="897"/>
      <c r="J440" s="891"/>
      <c r="K440" s="891"/>
      <c r="L440" s="891"/>
      <c r="M440" s="891"/>
      <c r="N440" s="891"/>
      <c r="O440" s="891"/>
      <c r="P440" s="891"/>
      <c r="Q440" s="891"/>
      <c r="R440" s="891"/>
      <c r="S440" s="891"/>
      <c r="T440" s="891"/>
      <c r="U440" s="928"/>
      <c r="V440" s="928"/>
      <c r="W440" s="928"/>
      <c r="X440" s="928"/>
      <c r="Y440" s="928"/>
      <c r="Z440" s="928"/>
      <c r="AA440" s="928"/>
      <c r="AB440" s="928"/>
      <c r="AC440" s="928"/>
      <c r="AD440" s="928"/>
      <c r="AE440" s="928"/>
      <c r="AF440" s="928"/>
      <c r="AG440" s="928"/>
      <c r="AH440" s="928"/>
      <c r="AI440" s="928"/>
      <c r="AJ440" s="928"/>
      <c r="AK440" s="928"/>
      <c r="AL440" s="928"/>
      <c r="AM440" s="928"/>
      <c r="AN440" s="928"/>
      <c r="AO440" s="928"/>
      <c r="AP440" s="928"/>
      <c r="AQ440" s="928"/>
      <c r="AR440" s="928"/>
      <c r="AS440" s="928"/>
      <c r="AT440" s="928"/>
      <c r="AU440" s="928"/>
      <c r="AV440" s="928"/>
      <c r="AW440" s="928"/>
      <c r="AX440" s="928"/>
      <c r="AY440" s="928"/>
      <c r="AZ440" s="928"/>
      <c r="BA440" s="928"/>
      <c r="BB440" s="928"/>
      <c r="BC440" s="928"/>
      <c r="BD440" s="928"/>
      <c r="BE440" s="928"/>
      <c r="BF440" s="928"/>
      <c r="BG440" s="928"/>
      <c r="BH440" s="928"/>
      <c r="BI440" s="928"/>
      <c r="BJ440" s="928"/>
      <c r="BK440" s="928"/>
      <c r="BL440" s="928"/>
      <c r="BM440" s="928"/>
      <c r="BN440" s="928"/>
      <c r="BO440" s="928"/>
      <c r="BP440" s="928"/>
      <c r="BQ440" s="928"/>
      <c r="BR440" s="928"/>
      <c r="BS440" s="928"/>
      <c r="BT440" s="928"/>
      <c r="BU440" s="928"/>
      <c r="BV440" s="928"/>
      <c r="BW440" s="928"/>
      <c r="BX440" s="928"/>
      <c r="BY440" s="928"/>
      <c r="BZ440" s="928"/>
      <c r="CA440" s="928"/>
      <c r="CB440" s="928"/>
      <c r="CC440" s="928"/>
      <c r="CD440" s="928"/>
      <c r="CE440" s="928"/>
      <c r="CF440" s="928"/>
      <c r="CG440" s="928"/>
      <c r="CH440" s="928"/>
      <c r="CI440" s="928"/>
      <c r="CJ440" s="928"/>
      <c r="CK440" s="928"/>
      <c r="CL440" s="928"/>
      <c r="CM440" s="928"/>
      <c r="CN440" s="928"/>
      <c r="CO440" s="928"/>
      <c r="CP440" s="928"/>
      <c r="CQ440" s="928"/>
      <c r="CR440" s="928"/>
      <c r="CS440" s="928"/>
      <c r="CT440" s="928"/>
      <c r="CU440" s="928"/>
      <c r="CV440" s="928"/>
      <c r="CW440" s="928"/>
      <c r="CX440" s="928"/>
      <c r="CY440" s="928"/>
      <c r="CZ440" s="928"/>
      <c r="DA440" s="928"/>
      <c r="DB440" s="928"/>
      <c r="DC440" s="928"/>
      <c r="DD440" s="928"/>
      <c r="DE440" s="928"/>
      <c r="DF440" s="928"/>
      <c r="DG440" s="928"/>
      <c r="DH440" s="928"/>
    </row>
    <row r="441" spans="3:112">
      <c r="C441" s="891" t="s">
        <v>4</v>
      </c>
      <c r="D441" s="897">
        <v>824.5</v>
      </c>
      <c r="H441" s="897"/>
      <c r="I441" s="897"/>
      <c r="J441" s="891"/>
      <c r="K441" s="891"/>
      <c r="L441" s="891"/>
      <c r="M441" s="891"/>
      <c r="N441" s="891"/>
      <c r="O441" s="891"/>
      <c r="P441" s="891"/>
      <c r="Q441" s="891"/>
      <c r="R441" s="891"/>
      <c r="S441" s="891"/>
      <c r="T441" s="891"/>
      <c r="U441" s="928"/>
      <c r="V441" s="928"/>
      <c r="W441" s="928"/>
      <c r="X441" s="928"/>
      <c r="Y441" s="928"/>
      <c r="Z441" s="928"/>
      <c r="AA441" s="928"/>
      <c r="AB441" s="928"/>
      <c r="AC441" s="928"/>
      <c r="AD441" s="928"/>
      <c r="AE441" s="928"/>
      <c r="AF441" s="928"/>
      <c r="AG441" s="928"/>
      <c r="AH441" s="928"/>
      <c r="AI441" s="928"/>
      <c r="AJ441" s="928"/>
      <c r="AK441" s="928"/>
      <c r="AL441" s="928"/>
      <c r="AM441" s="928"/>
      <c r="AN441" s="928"/>
      <c r="AO441" s="928"/>
      <c r="AP441" s="928"/>
      <c r="AQ441" s="928"/>
      <c r="AR441" s="928"/>
      <c r="AS441" s="928"/>
      <c r="AT441" s="928"/>
      <c r="AU441" s="928"/>
      <c r="AV441" s="928"/>
      <c r="AW441" s="928"/>
      <c r="AX441" s="928"/>
      <c r="AY441" s="928"/>
      <c r="AZ441" s="928"/>
      <c r="BA441" s="928"/>
      <c r="BB441" s="928"/>
      <c r="BC441" s="928"/>
      <c r="BD441" s="928"/>
      <c r="BE441" s="928"/>
      <c r="BF441" s="928"/>
      <c r="BG441" s="928"/>
      <c r="BH441" s="928"/>
      <c r="BI441" s="928"/>
      <c r="BJ441" s="928"/>
      <c r="BK441" s="928"/>
      <c r="BL441" s="928"/>
      <c r="BM441" s="928"/>
      <c r="BN441" s="928"/>
      <c r="BO441" s="928"/>
      <c r="BP441" s="928"/>
      <c r="BQ441" s="928"/>
      <c r="BR441" s="928"/>
      <c r="BS441" s="928"/>
      <c r="BT441" s="928"/>
      <c r="BU441" s="928"/>
      <c r="BV441" s="928"/>
      <c r="BW441" s="928"/>
      <c r="BX441" s="928"/>
      <c r="BY441" s="928"/>
      <c r="BZ441" s="928"/>
      <c r="CA441" s="928"/>
      <c r="CB441" s="928"/>
      <c r="CC441" s="928"/>
      <c r="CD441" s="928"/>
      <c r="CE441" s="928"/>
      <c r="CF441" s="928"/>
      <c r="CG441" s="928"/>
      <c r="CH441" s="928"/>
      <c r="CI441" s="928"/>
      <c r="CJ441" s="928"/>
      <c r="CK441" s="928"/>
      <c r="CL441" s="928"/>
      <c r="CM441" s="928"/>
      <c r="CN441" s="928"/>
      <c r="CO441" s="928"/>
      <c r="CP441" s="928"/>
      <c r="CQ441" s="928"/>
      <c r="CR441" s="928"/>
      <c r="CS441" s="928"/>
      <c r="CT441" s="928"/>
      <c r="CU441" s="928"/>
      <c r="CV441" s="928"/>
      <c r="CW441" s="928"/>
      <c r="CX441" s="928"/>
      <c r="CY441" s="928"/>
      <c r="CZ441" s="928"/>
      <c r="DA441" s="928"/>
      <c r="DB441" s="928"/>
      <c r="DC441" s="928"/>
      <c r="DD441" s="928"/>
      <c r="DE441" s="928"/>
      <c r="DF441" s="928"/>
      <c r="DG441" s="928"/>
      <c r="DH441" s="928"/>
    </row>
    <row r="442" spans="3:112">
      <c r="C442" s="891" t="s">
        <v>87</v>
      </c>
      <c r="D442" s="897">
        <v>813.83</v>
      </c>
      <c r="H442" s="897"/>
      <c r="I442" s="897"/>
      <c r="J442" s="891"/>
      <c r="K442" s="891"/>
      <c r="L442" s="891"/>
      <c r="M442" s="891"/>
      <c r="N442" s="891"/>
      <c r="O442" s="891"/>
      <c r="P442" s="891"/>
      <c r="Q442" s="891"/>
      <c r="R442" s="891"/>
      <c r="S442" s="891"/>
      <c r="T442" s="891"/>
      <c r="U442" s="928"/>
      <c r="V442" s="928"/>
      <c r="W442" s="928"/>
      <c r="X442" s="928"/>
      <c r="Y442" s="928"/>
      <c r="Z442" s="928"/>
      <c r="AA442" s="928"/>
      <c r="AB442" s="928"/>
      <c r="AC442" s="928"/>
      <c r="AD442" s="928"/>
      <c r="AE442" s="928"/>
      <c r="AF442" s="928"/>
      <c r="AG442" s="928"/>
      <c r="AH442" s="928"/>
      <c r="AI442" s="928"/>
      <c r="AJ442" s="928"/>
      <c r="AK442" s="928"/>
      <c r="AL442" s="928"/>
      <c r="AM442" s="928"/>
      <c r="AN442" s="928"/>
      <c r="AO442" s="928"/>
      <c r="AP442" s="928"/>
      <c r="AQ442" s="928"/>
      <c r="AR442" s="928"/>
      <c r="AS442" s="928"/>
      <c r="AT442" s="928"/>
      <c r="AU442" s="928"/>
      <c r="AV442" s="928"/>
      <c r="AW442" s="928"/>
      <c r="AX442" s="928"/>
      <c r="AY442" s="928"/>
      <c r="AZ442" s="928"/>
      <c r="BA442" s="928"/>
      <c r="BB442" s="928"/>
      <c r="BC442" s="928"/>
      <c r="BD442" s="928"/>
      <c r="BE442" s="928"/>
      <c r="BF442" s="928"/>
      <c r="BG442" s="928"/>
      <c r="BH442" s="928"/>
      <c r="BI442" s="928"/>
      <c r="BJ442" s="928"/>
      <c r="BK442" s="928"/>
      <c r="BL442" s="928"/>
      <c r="BM442" s="928"/>
      <c r="BN442" s="928"/>
      <c r="BO442" s="928"/>
      <c r="BP442" s="928"/>
      <c r="BQ442" s="928"/>
      <c r="BR442" s="928"/>
      <c r="BS442" s="928"/>
      <c r="BT442" s="928"/>
      <c r="BU442" s="928"/>
      <c r="BV442" s="928"/>
      <c r="BW442" s="928"/>
      <c r="BX442" s="928"/>
      <c r="BY442" s="928"/>
      <c r="BZ442" s="928"/>
      <c r="CA442" s="928"/>
      <c r="CB442" s="928"/>
      <c r="CC442" s="928"/>
      <c r="CD442" s="928"/>
      <c r="CE442" s="928"/>
      <c r="CF442" s="928"/>
      <c r="CG442" s="928"/>
      <c r="CH442" s="928"/>
      <c r="CI442" s="928"/>
      <c r="CJ442" s="928"/>
      <c r="CK442" s="928"/>
      <c r="CL442" s="928"/>
      <c r="CM442" s="928"/>
      <c r="CN442" s="928"/>
      <c r="CO442" s="928"/>
      <c r="CP442" s="928"/>
      <c r="CQ442" s="928"/>
      <c r="CR442" s="928"/>
      <c r="CS442" s="928"/>
      <c r="CT442" s="928"/>
      <c r="CU442" s="928"/>
      <c r="CV442" s="928"/>
      <c r="CW442" s="928"/>
      <c r="CX442" s="928"/>
      <c r="CY442" s="928"/>
      <c r="CZ442" s="928"/>
      <c r="DA442" s="928"/>
      <c r="DB442" s="928"/>
      <c r="DC442" s="928"/>
      <c r="DD442" s="928"/>
      <c r="DE442" s="928"/>
      <c r="DF442" s="928"/>
      <c r="DG442" s="928"/>
      <c r="DH442" s="928"/>
    </row>
    <row r="443" spans="3:112">
      <c r="C443" s="891" t="s">
        <v>402</v>
      </c>
      <c r="D443" s="897">
        <v>812.48</v>
      </c>
      <c r="H443" s="897"/>
      <c r="I443" s="897"/>
      <c r="J443" s="891"/>
      <c r="K443" s="891"/>
      <c r="L443" s="891"/>
      <c r="M443" s="891"/>
      <c r="N443" s="891"/>
      <c r="O443" s="891"/>
      <c r="P443" s="891"/>
      <c r="Q443" s="891"/>
      <c r="R443" s="891"/>
      <c r="S443" s="891"/>
      <c r="T443" s="891"/>
      <c r="U443" s="928"/>
      <c r="V443" s="928"/>
      <c r="W443" s="928"/>
      <c r="X443" s="928"/>
      <c r="Y443" s="928"/>
      <c r="Z443" s="928"/>
      <c r="AA443" s="928"/>
      <c r="AB443" s="928"/>
      <c r="AC443" s="928"/>
      <c r="AD443" s="928"/>
      <c r="AE443" s="928"/>
      <c r="AF443" s="928"/>
      <c r="AG443" s="928"/>
      <c r="AH443" s="928"/>
      <c r="AI443" s="928"/>
      <c r="AJ443" s="928"/>
      <c r="AK443" s="928"/>
      <c r="AL443" s="928"/>
      <c r="AM443" s="928"/>
      <c r="AN443" s="928"/>
      <c r="AO443" s="928"/>
      <c r="AP443" s="928"/>
      <c r="AQ443" s="928"/>
      <c r="AR443" s="928"/>
      <c r="AS443" s="928"/>
      <c r="AT443" s="928"/>
      <c r="AU443" s="928"/>
      <c r="AV443" s="928"/>
      <c r="AW443" s="928"/>
      <c r="AX443" s="928"/>
      <c r="AY443" s="928"/>
      <c r="AZ443" s="928"/>
      <c r="BA443" s="928"/>
      <c r="BB443" s="928"/>
      <c r="BC443" s="928"/>
      <c r="BD443" s="928"/>
      <c r="BE443" s="928"/>
      <c r="BF443" s="928"/>
      <c r="BG443" s="928"/>
      <c r="BH443" s="928"/>
      <c r="BI443" s="928"/>
      <c r="BJ443" s="928"/>
      <c r="BK443" s="928"/>
      <c r="BL443" s="928"/>
      <c r="BM443" s="928"/>
      <c r="BN443" s="928"/>
      <c r="BO443" s="928"/>
      <c r="BP443" s="928"/>
      <c r="BQ443" s="928"/>
      <c r="BR443" s="928"/>
      <c r="BS443" s="928"/>
      <c r="BT443" s="928"/>
      <c r="BU443" s="928"/>
      <c r="BV443" s="928"/>
      <c r="BW443" s="928"/>
      <c r="BX443" s="928"/>
      <c r="BY443" s="928"/>
      <c r="BZ443" s="928"/>
      <c r="CA443" s="928"/>
      <c r="CB443" s="928"/>
      <c r="CC443" s="928"/>
      <c r="CD443" s="928"/>
      <c r="CE443" s="928"/>
      <c r="CF443" s="928"/>
      <c r="CG443" s="928"/>
      <c r="CH443" s="928"/>
      <c r="CI443" s="928"/>
      <c r="CJ443" s="928"/>
      <c r="CK443" s="928"/>
      <c r="CL443" s="928"/>
      <c r="CM443" s="928"/>
      <c r="CN443" s="928"/>
      <c r="CO443" s="928"/>
      <c r="CP443" s="928"/>
      <c r="CQ443" s="928"/>
      <c r="CR443" s="928"/>
      <c r="CS443" s="928"/>
      <c r="CT443" s="928"/>
      <c r="CU443" s="928"/>
      <c r="CV443" s="928"/>
      <c r="CW443" s="928"/>
      <c r="CX443" s="928"/>
      <c r="CY443" s="928"/>
      <c r="CZ443" s="928"/>
      <c r="DA443" s="928"/>
      <c r="DB443" s="928"/>
      <c r="DC443" s="928"/>
      <c r="DD443" s="928"/>
      <c r="DE443" s="928"/>
      <c r="DF443" s="928"/>
      <c r="DG443" s="928"/>
      <c r="DH443" s="928"/>
    </row>
    <row r="444" spans="3:112">
      <c r="C444" s="891" t="s">
        <v>52</v>
      </c>
      <c r="D444" s="897">
        <v>810.33</v>
      </c>
      <c r="H444" s="897"/>
      <c r="I444" s="897"/>
      <c r="J444" s="891"/>
      <c r="K444" s="891"/>
      <c r="L444" s="891"/>
      <c r="M444" s="891"/>
      <c r="N444" s="891"/>
      <c r="O444" s="891"/>
      <c r="P444" s="891"/>
      <c r="Q444" s="891"/>
      <c r="R444" s="891"/>
      <c r="S444" s="891"/>
      <c r="T444" s="891"/>
      <c r="U444" s="928"/>
      <c r="V444" s="928"/>
      <c r="W444" s="928"/>
      <c r="X444" s="928"/>
      <c r="Y444" s="928"/>
      <c r="Z444" s="928"/>
      <c r="AA444" s="928"/>
      <c r="AB444" s="928"/>
      <c r="AC444" s="928"/>
      <c r="AD444" s="928"/>
      <c r="AE444" s="928"/>
      <c r="AF444" s="928"/>
      <c r="AG444" s="928"/>
      <c r="AH444" s="928"/>
      <c r="AI444" s="928"/>
      <c r="AJ444" s="928"/>
      <c r="AK444" s="928"/>
      <c r="AL444" s="928"/>
      <c r="AM444" s="928"/>
      <c r="AN444" s="928"/>
      <c r="AO444" s="928"/>
      <c r="AP444" s="928"/>
      <c r="AQ444" s="928"/>
      <c r="AR444" s="928"/>
      <c r="AS444" s="928"/>
      <c r="AT444" s="928"/>
      <c r="AU444" s="928"/>
      <c r="AV444" s="928"/>
      <c r="AW444" s="928"/>
      <c r="AX444" s="928"/>
      <c r="AY444" s="928"/>
      <c r="AZ444" s="928"/>
      <c r="BA444" s="928"/>
      <c r="BB444" s="928"/>
      <c r="BC444" s="928"/>
      <c r="BD444" s="928"/>
      <c r="BE444" s="928"/>
      <c r="BF444" s="928"/>
      <c r="BG444" s="928"/>
      <c r="BH444" s="928"/>
      <c r="BI444" s="928"/>
      <c r="BJ444" s="928"/>
      <c r="BK444" s="928"/>
      <c r="BL444" s="928"/>
      <c r="BM444" s="928"/>
      <c r="BN444" s="928"/>
      <c r="BO444" s="928"/>
      <c r="BP444" s="928"/>
      <c r="BQ444" s="928"/>
      <c r="BR444" s="928"/>
      <c r="BS444" s="928"/>
      <c r="BT444" s="928"/>
      <c r="BU444" s="928"/>
      <c r="BV444" s="928"/>
      <c r="BW444" s="928"/>
      <c r="BX444" s="928"/>
      <c r="BY444" s="928"/>
      <c r="BZ444" s="928"/>
      <c r="CA444" s="928"/>
      <c r="CB444" s="928"/>
      <c r="CC444" s="928"/>
      <c r="CD444" s="928"/>
      <c r="CE444" s="928"/>
      <c r="CF444" s="928"/>
      <c r="CG444" s="928"/>
      <c r="CH444" s="928"/>
      <c r="CI444" s="928"/>
      <c r="CJ444" s="928"/>
      <c r="CK444" s="928"/>
      <c r="CL444" s="928"/>
      <c r="CM444" s="928"/>
      <c r="CN444" s="928"/>
      <c r="CO444" s="928"/>
      <c r="CP444" s="928"/>
      <c r="CQ444" s="928"/>
      <c r="CR444" s="928"/>
      <c r="CS444" s="928"/>
      <c r="CT444" s="928"/>
      <c r="CU444" s="928"/>
      <c r="CV444" s="928"/>
      <c r="CW444" s="928"/>
      <c r="CX444" s="928"/>
      <c r="CY444" s="928"/>
      <c r="CZ444" s="928"/>
      <c r="DA444" s="928"/>
      <c r="DB444" s="928"/>
      <c r="DC444" s="928"/>
      <c r="DD444" s="928"/>
      <c r="DE444" s="928"/>
      <c r="DF444" s="928"/>
      <c r="DG444" s="928"/>
      <c r="DH444" s="928"/>
    </row>
    <row r="445" spans="3:112">
      <c r="C445" s="891" t="s">
        <v>168</v>
      </c>
      <c r="D445" s="897">
        <v>793.62</v>
      </c>
      <c r="H445" s="897"/>
      <c r="I445" s="897"/>
      <c r="J445" s="891"/>
      <c r="K445" s="891"/>
      <c r="L445" s="891"/>
      <c r="M445" s="891"/>
      <c r="N445" s="891"/>
      <c r="O445" s="891"/>
      <c r="P445" s="891"/>
      <c r="Q445" s="891"/>
      <c r="R445" s="891"/>
      <c r="S445" s="891"/>
      <c r="T445" s="891"/>
      <c r="U445" s="928"/>
      <c r="V445" s="928"/>
      <c r="W445" s="928"/>
      <c r="X445" s="928"/>
      <c r="Y445" s="928"/>
      <c r="Z445" s="928"/>
      <c r="AA445" s="928"/>
      <c r="AB445" s="928"/>
      <c r="AC445" s="928"/>
      <c r="AD445" s="928"/>
      <c r="AE445" s="928"/>
      <c r="AF445" s="928"/>
      <c r="AG445" s="928"/>
      <c r="AH445" s="928"/>
      <c r="AI445" s="928"/>
      <c r="AJ445" s="928"/>
      <c r="AK445" s="928"/>
      <c r="AL445" s="928"/>
      <c r="AM445" s="928"/>
      <c r="AN445" s="928"/>
      <c r="AO445" s="928"/>
      <c r="AP445" s="928"/>
      <c r="AQ445" s="928"/>
      <c r="AR445" s="928"/>
      <c r="AS445" s="928"/>
      <c r="AT445" s="928"/>
      <c r="AU445" s="928"/>
      <c r="AV445" s="928"/>
      <c r="AW445" s="928"/>
      <c r="AX445" s="928"/>
      <c r="AY445" s="928"/>
      <c r="AZ445" s="928"/>
      <c r="BA445" s="928"/>
      <c r="BB445" s="928"/>
      <c r="BC445" s="928"/>
      <c r="BD445" s="928"/>
      <c r="BE445" s="928"/>
      <c r="BF445" s="928"/>
      <c r="BG445" s="928"/>
      <c r="BH445" s="928"/>
      <c r="BI445" s="928"/>
      <c r="BJ445" s="928"/>
      <c r="BK445" s="928"/>
      <c r="BL445" s="928"/>
      <c r="BM445" s="928"/>
      <c r="BN445" s="928"/>
      <c r="BO445" s="928"/>
      <c r="BP445" s="928"/>
      <c r="BQ445" s="928"/>
      <c r="BR445" s="928"/>
      <c r="BS445" s="928"/>
      <c r="BT445" s="928"/>
      <c r="BU445" s="928"/>
      <c r="BV445" s="928"/>
      <c r="BW445" s="928"/>
      <c r="BX445" s="928"/>
      <c r="BY445" s="928"/>
      <c r="BZ445" s="928"/>
      <c r="CA445" s="928"/>
      <c r="CB445" s="928"/>
      <c r="CC445" s="928"/>
      <c r="CD445" s="928"/>
      <c r="CE445" s="928"/>
      <c r="CF445" s="928"/>
      <c r="CG445" s="928"/>
      <c r="CH445" s="928"/>
      <c r="CI445" s="928"/>
      <c r="CJ445" s="928"/>
      <c r="CK445" s="928"/>
      <c r="CL445" s="928"/>
      <c r="CM445" s="928"/>
      <c r="CN445" s="928"/>
      <c r="CO445" s="928"/>
      <c r="CP445" s="928"/>
      <c r="CQ445" s="928"/>
      <c r="CR445" s="928"/>
      <c r="CS445" s="928"/>
      <c r="CT445" s="928"/>
      <c r="CU445" s="928"/>
      <c r="CV445" s="928"/>
      <c r="CW445" s="928"/>
      <c r="CX445" s="928"/>
      <c r="CY445" s="928"/>
      <c r="CZ445" s="928"/>
      <c r="DA445" s="928"/>
      <c r="DB445" s="928"/>
      <c r="DC445" s="928"/>
      <c r="DD445" s="928"/>
      <c r="DE445" s="928"/>
      <c r="DF445" s="928"/>
      <c r="DG445" s="928"/>
      <c r="DH445" s="928"/>
    </row>
    <row r="446" spans="3:112">
      <c r="C446" s="891" t="s">
        <v>232</v>
      </c>
      <c r="D446" s="897">
        <v>783.27</v>
      </c>
      <c r="H446" s="897"/>
      <c r="I446" s="897"/>
      <c r="J446" s="891"/>
      <c r="K446" s="891"/>
      <c r="L446" s="891"/>
      <c r="M446" s="891"/>
      <c r="N446" s="891"/>
      <c r="O446" s="891"/>
      <c r="P446" s="891"/>
      <c r="Q446" s="891"/>
      <c r="R446" s="891"/>
      <c r="S446" s="891"/>
      <c r="T446" s="891"/>
      <c r="U446" s="928"/>
      <c r="V446" s="928"/>
      <c r="W446" s="928"/>
      <c r="X446" s="928"/>
      <c r="Y446" s="928"/>
      <c r="Z446" s="928"/>
      <c r="AA446" s="928"/>
      <c r="AB446" s="928"/>
      <c r="AC446" s="928"/>
      <c r="AD446" s="928"/>
      <c r="AE446" s="928"/>
      <c r="AF446" s="928"/>
      <c r="AG446" s="928"/>
      <c r="AH446" s="928"/>
      <c r="AI446" s="928"/>
      <c r="AJ446" s="928"/>
      <c r="AK446" s="928"/>
      <c r="AL446" s="928"/>
      <c r="AM446" s="928"/>
      <c r="AN446" s="928"/>
      <c r="AO446" s="928"/>
      <c r="AP446" s="928"/>
      <c r="AQ446" s="928"/>
      <c r="AR446" s="928"/>
      <c r="AS446" s="928"/>
      <c r="AT446" s="928"/>
      <c r="AU446" s="928"/>
      <c r="AV446" s="928"/>
      <c r="AW446" s="928"/>
      <c r="AX446" s="928"/>
      <c r="AY446" s="928"/>
      <c r="AZ446" s="928"/>
      <c r="BA446" s="928"/>
      <c r="BB446" s="928"/>
      <c r="BC446" s="928"/>
      <c r="BD446" s="928"/>
      <c r="BE446" s="928"/>
      <c r="BF446" s="928"/>
      <c r="BG446" s="928"/>
      <c r="BH446" s="928"/>
      <c r="BI446" s="928"/>
      <c r="BJ446" s="928"/>
      <c r="BK446" s="928"/>
      <c r="BL446" s="928"/>
      <c r="BM446" s="928"/>
      <c r="BN446" s="928"/>
      <c r="BO446" s="928"/>
      <c r="BP446" s="928"/>
      <c r="BQ446" s="928"/>
      <c r="BR446" s="928"/>
      <c r="BS446" s="928"/>
      <c r="BT446" s="928"/>
      <c r="BU446" s="928"/>
      <c r="BV446" s="928"/>
      <c r="BW446" s="928"/>
      <c r="BX446" s="928"/>
      <c r="BY446" s="928"/>
      <c r="BZ446" s="928"/>
      <c r="CA446" s="928"/>
      <c r="CB446" s="928"/>
      <c r="CC446" s="928"/>
      <c r="CD446" s="928"/>
      <c r="CE446" s="928"/>
      <c r="CF446" s="928"/>
      <c r="CG446" s="928"/>
      <c r="CH446" s="928"/>
      <c r="CI446" s="928"/>
      <c r="CJ446" s="928"/>
      <c r="CK446" s="928"/>
      <c r="CL446" s="928"/>
      <c r="CM446" s="928"/>
      <c r="CN446" s="928"/>
      <c r="CO446" s="928"/>
      <c r="CP446" s="928"/>
      <c r="CQ446" s="928"/>
      <c r="CR446" s="928"/>
      <c r="CS446" s="928"/>
      <c r="CT446" s="928"/>
      <c r="CU446" s="928"/>
      <c r="CV446" s="928"/>
      <c r="CW446" s="928"/>
      <c r="CX446" s="928"/>
      <c r="CY446" s="928"/>
      <c r="CZ446" s="928"/>
      <c r="DA446" s="928"/>
      <c r="DB446" s="928"/>
      <c r="DC446" s="928"/>
      <c r="DD446" s="928"/>
      <c r="DE446" s="928"/>
      <c r="DF446" s="928"/>
      <c r="DG446" s="928"/>
      <c r="DH446" s="928"/>
    </row>
    <row r="447" spans="3:112">
      <c r="C447" s="891" t="s">
        <v>138</v>
      </c>
      <c r="D447" s="897">
        <v>779.79</v>
      </c>
      <c r="H447" s="897"/>
      <c r="I447" s="897"/>
      <c r="J447" s="891"/>
      <c r="K447" s="891"/>
      <c r="L447" s="891"/>
      <c r="M447" s="891"/>
      <c r="N447" s="891"/>
      <c r="O447" s="891"/>
      <c r="P447" s="891"/>
      <c r="Q447" s="891"/>
      <c r="R447" s="891"/>
      <c r="S447" s="891"/>
      <c r="T447" s="891"/>
      <c r="U447" s="928"/>
      <c r="V447" s="928"/>
      <c r="W447" s="928"/>
      <c r="X447" s="928"/>
      <c r="Y447" s="928"/>
      <c r="Z447" s="928"/>
      <c r="AA447" s="928"/>
      <c r="AB447" s="928"/>
      <c r="AC447" s="928"/>
      <c r="AD447" s="928"/>
      <c r="AE447" s="928"/>
      <c r="AF447" s="928"/>
      <c r="AG447" s="928"/>
      <c r="AH447" s="928"/>
      <c r="AI447" s="928"/>
      <c r="AJ447" s="928"/>
      <c r="AK447" s="928"/>
      <c r="AL447" s="928"/>
      <c r="AM447" s="928"/>
      <c r="AN447" s="928"/>
      <c r="AO447" s="928"/>
      <c r="AP447" s="928"/>
      <c r="AQ447" s="928"/>
      <c r="AR447" s="928"/>
      <c r="AS447" s="928"/>
      <c r="AT447" s="928"/>
      <c r="AU447" s="928"/>
      <c r="AV447" s="928"/>
      <c r="AW447" s="928"/>
      <c r="AX447" s="928"/>
      <c r="AY447" s="928"/>
      <c r="AZ447" s="928"/>
      <c r="BA447" s="928"/>
      <c r="BB447" s="928"/>
      <c r="BC447" s="928"/>
      <c r="BD447" s="928"/>
      <c r="BE447" s="928"/>
      <c r="BF447" s="928"/>
      <c r="BG447" s="928"/>
      <c r="BH447" s="928"/>
      <c r="BI447" s="928"/>
      <c r="BJ447" s="928"/>
      <c r="BK447" s="928"/>
      <c r="BL447" s="928"/>
      <c r="BM447" s="928"/>
      <c r="BN447" s="928"/>
      <c r="BO447" s="928"/>
      <c r="BP447" s="928"/>
      <c r="BQ447" s="928"/>
      <c r="BR447" s="928"/>
      <c r="BS447" s="928"/>
      <c r="BT447" s="928"/>
      <c r="BU447" s="928"/>
      <c r="BV447" s="928"/>
      <c r="BW447" s="928"/>
      <c r="BX447" s="928"/>
      <c r="BY447" s="928"/>
      <c r="BZ447" s="928"/>
      <c r="CA447" s="928"/>
      <c r="CB447" s="928"/>
      <c r="CC447" s="928"/>
      <c r="CD447" s="928"/>
      <c r="CE447" s="928"/>
      <c r="CF447" s="928"/>
      <c r="CG447" s="928"/>
      <c r="CH447" s="928"/>
      <c r="CI447" s="928"/>
      <c r="CJ447" s="928"/>
      <c r="CK447" s="928"/>
      <c r="CL447" s="928"/>
      <c r="CM447" s="928"/>
      <c r="CN447" s="928"/>
      <c r="CO447" s="928"/>
      <c r="CP447" s="928"/>
      <c r="CQ447" s="928"/>
      <c r="CR447" s="928"/>
      <c r="CS447" s="928"/>
      <c r="CT447" s="928"/>
      <c r="CU447" s="928"/>
      <c r="CV447" s="928"/>
      <c r="CW447" s="928"/>
      <c r="CX447" s="928"/>
      <c r="CY447" s="928"/>
      <c r="CZ447" s="928"/>
      <c r="DA447" s="928"/>
      <c r="DB447" s="928"/>
      <c r="DC447" s="928"/>
      <c r="DD447" s="928"/>
      <c r="DE447" s="928"/>
      <c r="DF447" s="928"/>
      <c r="DG447" s="928"/>
      <c r="DH447" s="928"/>
    </row>
    <row r="448" spans="3:112">
      <c r="C448" s="891" t="s">
        <v>39</v>
      </c>
      <c r="D448" s="897">
        <v>779.43</v>
      </c>
      <c r="H448" s="897"/>
      <c r="I448" s="897"/>
      <c r="J448" s="891"/>
      <c r="K448" s="891"/>
      <c r="L448" s="891"/>
      <c r="M448" s="891"/>
      <c r="N448" s="891"/>
      <c r="O448" s="891"/>
      <c r="P448" s="891"/>
      <c r="Q448" s="891"/>
      <c r="R448" s="891"/>
      <c r="S448" s="891"/>
      <c r="T448" s="891"/>
      <c r="U448" s="928"/>
      <c r="V448" s="928"/>
      <c r="W448" s="928"/>
      <c r="X448" s="928"/>
      <c r="Y448" s="928"/>
      <c r="Z448" s="928"/>
      <c r="AA448" s="928"/>
      <c r="AB448" s="928"/>
      <c r="AC448" s="928"/>
      <c r="AD448" s="928"/>
      <c r="AE448" s="928"/>
      <c r="AF448" s="928"/>
      <c r="AG448" s="928"/>
      <c r="AH448" s="928"/>
      <c r="AI448" s="928"/>
      <c r="AJ448" s="928"/>
      <c r="AK448" s="928"/>
      <c r="AL448" s="928"/>
      <c r="AM448" s="928"/>
      <c r="AN448" s="928"/>
      <c r="AO448" s="928"/>
      <c r="AP448" s="928"/>
      <c r="AQ448" s="928"/>
      <c r="AR448" s="928"/>
      <c r="AS448" s="928"/>
      <c r="AT448" s="928"/>
      <c r="AU448" s="928"/>
      <c r="AV448" s="928"/>
      <c r="AW448" s="928"/>
      <c r="AX448" s="928"/>
      <c r="AY448" s="928"/>
      <c r="AZ448" s="928"/>
      <c r="BA448" s="928"/>
      <c r="BB448" s="928"/>
      <c r="BC448" s="928"/>
      <c r="BD448" s="928"/>
      <c r="BE448" s="928"/>
      <c r="BF448" s="928"/>
      <c r="BG448" s="928"/>
      <c r="BH448" s="928"/>
      <c r="BI448" s="928"/>
      <c r="BJ448" s="928"/>
      <c r="BK448" s="928"/>
      <c r="BL448" s="928"/>
      <c r="BM448" s="928"/>
      <c r="BN448" s="928"/>
      <c r="BO448" s="928"/>
      <c r="BP448" s="928"/>
      <c r="BQ448" s="928"/>
      <c r="BR448" s="928"/>
      <c r="BS448" s="928"/>
      <c r="BT448" s="928"/>
      <c r="BU448" s="928"/>
      <c r="BV448" s="928"/>
      <c r="BW448" s="928"/>
      <c r="BX448" s="928"/>
      <c r="BY448" s="928"/>
      <c r="BZ448" s="928"/>
      <c r="CA448" s="928"/>
      <c r="CB448" s="928"/>
      <c r="CC448" s="928"/>
      <c r="CD448" s="928"/>
      <c r="CE448" s="928"/>
      <c r="CF448" s="928"/>
      <c r="CG448" s="928"/>
      <c r="CH448" s="928"/>
      <c r="CI448" s="928"/>
      <c r="CJ448" s="928"/>
      <c r="CK448" s="928"/>
      <c r="CL448" s="928"/>
      <c r="CM448" s="928"/>
      <c r="CN448" s="928"/>
      <c r="CO448" s="928"/>
      <c r="CP448" s="928"/>
      <c r="CQ448" s="928"/>
      <c r="CR448" s="928"/>
      <c r="CS448" s="928"/>
      <c r="CT448" s="928"/>
      <c r="CU448" s="928"/>
      <c r="CV448" s="928"/>
      <c r="CW448" s="928"/>
      <c r="CX448" s="928"/>
      <c r="CY448" s="928"/>
      <c r="CZ448" s="928"/>
      <c r="DA448" s="928"/>
      <c r="DB448" s="928"/>
      <c r="DC448" s="928"/>
      <c r="DD448" s="928"/>
      <c r="DE448" s="928"/>
      <c r="DF448" s="928"/>
      <c r="DG448" s="928"/>
      <c r="DH448" s="928"/>
    </row>
    <row r="449" spans="3:112">
      <c r="C449" s="891" t="s">
        <v>32</v>
      </c>
      <c r="D449" s="897">
        <v>778.15</v>
      </c>
      <c r="H449" s="897"/>
      <c r="I449" s="897"/>
      <c r="J449" s="891"/>
      <c r="K449" s="891"/>
      <c r="L449" s="891"/>
      <c r="M449" s="891"/>
      <c r="N449" s="891"/>
      <c r="O449" s="891"/>
      <c r="P449" s="891"/>
      <c r="Q449" s="891"/>
      <c r="R449" s="891"/>
      <c r="S449" s="891"/>
      <c r="T449" s="891"/>
      <c r="U449" s="928"/>
      <c r="V449" s="928"/>
      <c r="W449" s="928"/>
      <c r="X449" s="928"/>
      <c r="Y449" s="928"/>
      <c r="Z449" s="928"/>
      <c r="AA449" s="928"/>
      <c r="AB449" s="928"/>
      <c r="AC449" s="928"/>
      <c r="AD449" s="928"/>
      <c r="AE449" s="928"/>
      <c r="AF449" s="928"/>
      <c r="AG449" s="928"/>
      <c r="AH449" s="928"/>
      <c r="AI449" s="928"/>
      <c r="AJ449" s="928"/>
      <c r="AK449" s="928"/>
      <c r="AL449" s="928"/>
      <c r="AM449" s="928"/>
      <c r="AN449" s="928"/>
      <c r="AO449" s="928"/>
      <c r="AP449" s="928"/>
      <c r="AQ449" s="928"/>
      <c r="AR449" s="928"/>
      <c r="AS449" s="928"/>
      <c r="AT449" s="928"/>
      <c r="AU449" s="928"/>
      <c r="AV449" s="928"/>
      <c r="AW449" s="928"/>
      <c r="AX449" s="928"/>
      <c r="AY449" s="928"/>
      <c r="AZ449" s="928"/>
      <c r="BA449" s="928"/>
      <c r="BB449" s="928"/>
      <c r="BC449" s="928"/>
      <c r="BD449" s="928"/>
      <c r="BE449" s="928"/>
      <c r="BF449" s="928"/>
      <c r="BG449" s="928"/>
      <c r="BH449" s="928"/>
      <c r="BI449" s="928"/>
      <c r="BJ449" s="928"/>
      <c r="BK449" s="928"/>
      <c r="BL449" s="928"/>
      <c r="BM449" s="928"/>
      <c r="BN449" s="928"/>
      <c r="BO449" s="928"/>
      <c r="BP449" s="928"/>
      <c r="BQ449" s="928"/>
      <c r="BR449" s="928"/>
      <c r="BS449" s="928"/>
      <c r="BT449" s="928"/>
      <c r="BU449" s="928"/>
      <c r="BV449" s="928"/>
      <c r="BW449" s="928"/>
      <c r="BX449" s="928"/>
      <c r="BY449" s="928"/>
      <c r="BZ449" s="928"/>
      <c r="CA449" s="928"/>
      <c r="CB449" s="928"/>
      <c r="CC449" s="928"/>
      <c r="CD449" s="928"/>
      <c r="CE449" s="928"/>
      <c r="CF449" s="928"/>
      <c r="CG449" s="928"/>
      <c r="CH449" s="928"/>
      <c r="CI449" s="928"/>
      <c r="CJ449" s="928"/>
      <c r="CK449" s="928"/>
      <c r="CL449" s="928"/>
      <c r="CM449" s="928"/>
      <c r="CN449" s="928"/>
      <c r="CO449" s="928"/>
      <c r="CP449" s="928"/>
      <c r="CQ449" s="928"/>
      <c r="CR449" s="928"/>
      <c r="CS449" s="928"/>
      <c r="CT449" s="928"/>
      <c r="CU449" s="928"/>
      <c r="CV449" s="928"/>
      <c r="CW449" s="928"/>
      <c r="CX449" s="928"/>
      <c r="CY449" s="928"/>
      <c r="CZ449" s="928"/>
      <c r="DA449" s="928"/>
      <c r="DB449" s="928"/>
      <c r="DC449" s="928"/>
      <c r="DD449" s="928"/>
      <c r="DE449" s="928"/>
      <c r="DF449" s="928"/>
      <c r="DG449" s="928"/>
      <c r="DH449" s="928"/>
    </row>
    <row r="450" spans="3:112">
      <c r="C450" s="891" t="s">
        <v>67</v>
      </c>
      <c r="D450" s="897">
        <v>777.36</v>
      </c>
      <c r="H450" s="897"/>
      <c r="I450" s="897"/>
      <c r="J450" s="891"/>
      <c r="K450" s="891"/>
      <c r="L450" s="891"/>
      <c r="M450" s="891"/>
      <c r="N450" s="891"/>
      <c r="O450" s="891"/>
      <c r="P450" s="891"/>
      <c r="Q450" s="891"/>
      <c r="R450" s="891"/>
      <c r="S450" s="891"/>
      <c r="T450" s="891"/>
      <c r="U450" s="928"/>
      <c r="V450" s="928"/>
      <c r="W450" s="928"/>
      <c r="X450" s="928"/>
      <c r="Y450" s="928"/>
      <c r="Z450" s="928"/>
      <c r="AA450" s="928"/>
      <c r="AB450" s="928"/>
      <c r="AC450" s="928"/>
      <c r="AD450" s="928"/>
      <c r="AE450" s="928"/>
      <c r="AF450" s="928"/>
      <c r="AG450" s="928"/>
      <c r="AH450" s="928"/>
      <c r="AI450" s="928"/>
      <c r="AJ450" s="928"/>
      <c r="AK450" s="928"/>
      <c r="AL450" s="928"/>
      <c r="AM450" s="928"/>
      <c r="AN450" s="928"/>
      <c r="AO450" s="928"/>
      <c r="AP450" s="928"/>
      <c r="AQ450" s="928"/>
      <c r="AR450" s="928"/>
      <c r="AS450" s="928"/>
      <c r="AT450" s="928"/>
      <c r="AU450" s="928"/>
      <c r="AV450" s="928"/>
      <c r="AW450" s="928"/>
      <c r="AX450" s="928"/>
      <c r="AY450" s="928"/>
      <c r="AZ450" s="928"/>
      <c r="BA450" s="928"/>
      <c r="BB450" s="928"/>
      <c r="BC450" s="928"/>
      <c r="BD450" s="928"/>
      <c r="BE450" s="928"/>
      <c r="BF450" s="928"/>
      <c r="BG450" s="928"/>
      <c r="BH450" s="928"/>
      <c r="BI450" s="928"/>
      <c r="BJ450" s="928"/>
      <c r="BK450" s="928"/>
      <c r="BL450" s="928"/>
      <c r="BM450" s="928"/>
      <c r="BN450" s="928"/>
      <c r="BO450" s="928"/>
      <c r="BP450" s="928"/>
      <c r="BQ450" s="928"/>
      <c r="BR450" s="928"/>
      <c r="BS450" s="928"/>
      <c r="BT450" s="928"/>
      <c r="BU450" s="928"/>
      <c r="BV450" s="928"/>
      <c r="BW450" s="928"/>
      <c r="BX450" s="928"/>
      <c r="BY450" s="928"/>
      <c r="BZ450" s="928"/>
      <c r="CA450" s="928"/>
      <c r="CB450" s="928"/>
      <c r="CC450" s="928"/>
      <c r="CD450" s="928"/>
      <c r="CE450" s="928"/>
      <c r="CF450" s="928"/>
      <c r="CG450" s="928"/>
      <c r="CH450" s="928"/>
      <c r="CI450" s="928"/>
      <c r="CJ450" s="928"/>
      <c r="CK450" s="928"/>
      <c r="CL450" s="928"/>
      <c r="CM450" s="928"/>
      <c r="CN450" s="928"/>
      <c r="CO450" s="928"/>
      <c r="CP450" s="928"/>
      <c r="CQ450" s="928"/>
      <c r="CR450" s="928"/>
      <c r="CS450" s="928"/>
      <c r="CT450" s="928"/>
      <c r="CU450" s="928"/>
      <c r="CV450" s="928"/>
      <c r="CW450" s="928"/>
      <c r="CX450" s="928"/>
      <c r="CY450" s="928"/>
      <c r="CZ450" s="928"/>
      <c r="DA450" s="928"/>
      <c r="DB450" s="928"/>
      <c r="DC450" s="928"/>
      <c r="DD450" s="928"/>
      <c r="DE450" s="928"/>
      <c r="DF450" s="928"/>
      <c r="DG450" s="928"/>
      <c r="DH450" s="928"/>
    </row>
    <row r="451" spans="3:112">
      <c r="C451" s="891" t="s">
        <v>76</v>
      </c>
      <c r="D451" s="897">
        <v>776.74</v>
      </c>
      <c r="H451" s="897"/>
      <c r="I451" s="897"/>
      <c r="J451" s="891"/>
      <c r="K451" s="891"/>
      <c r="L451" s="891"/>
      <c r="M451" s="891"/>
      <c r="N451" s="891"/>
      <c r="O451" s="891"/>
      <c r="P451" s="891"/>
      <c r="Q451" s="891"/>
      <c r="R451" s="891"/>
      <c r="S451" s="891"/>
      <c r="T451" s="891"/>
      <c r="U451" s="928"/>
      <c r="V451" s="928"/>
      <c r="W451" s="928"/>
      <c r="X451" s="928"/>
      <c r="Y451" s="928"/>
      <c r="Z451" s="928"/>
      <c r="AA451" s="928"/>
      <c r="AB451" s="928"/>
      <c r="AC451" s="928"/>
      <c r="AD451" s="928"/>
      <c r="AE451" s="928"/>
      <c r="AF451" s="928"/>
      <c r="AG451" s="928"/>
      <c r="AH451" s="928"/>
      <c r="AI451" s="928"/>
      <c r="AJ451" s="928"/>
      <c r="AK451" s="928"/>
      <c r="AL451" s="928"/>
      <c r="AM451" s="928"/>
      <c r="AN451" s="928"/>
      <c r="AO451" s="928"/>
      <c r="AP451" s="928"/>
      <c r="AQ451" s="928"/>
      <c r="AR451" s="928"/>
      <c r="AS451" s="928"/>
      <c r="AT451" s="928"/>
      <c r="AU451" s="928"/>
      <c r="AV451" s="928"/>
      <c r="AW451" s="928"/>
      <c r="AX451" s="928"/>
      <c r="AY451" s="928"/>
      <c r="AZ451" s="928"/>
      <c r="BA451" s="928"/>
      <c r="BB451" s="928"/>
      <c r="BC451" s="928"/>
      <c r="BD451" s="928"/>
      <c r="BE451" s="928"/>
      <c r="BF451" s="928"/>
      <c r="BG451" s="928"/>
      <c r="BH451" s="928"/>
      <c r="BI451" s="928"/>
      <c r="BJ451" s="928"/>
      <c r="BK451" s="928"/>
      <c r="BL451" s="928"/>
      <c r="BM451" s="928"/>
      <c r="BN451" s="928"/>
      <c r="BO451" s="928"/>
      <c r="BP451" s="928"/>
      <c r="BQ451" s="928"/>
      <c r="BR451" s="928"/>
      <c r="BS451" s="928"/>
      <c r="BT451" s="928"/>
      <c r="BU451" s="928"/>
      <c r="BV451" s="928"/>
      <c r="BW451" s="928"/>
      <c r="BX451" s="928"/>
      <c r="BY451" s="928"/>
      <c r="BZ451" s="928"/>
      <c r="CA451" s="928"/>
      <c r="CB451" s="928"/>
      <c r="CC451" s="928"/>
      <c r="CD451" s="928"/>
      <c r="CE451" s="928"/>
      <c r="CF451" s="928"/>
      <c r="CG451" s="928"/>
      <c r="CH451" s="928"/>
      <c r="CI451" s="928"/>
      <c r="CJ451" s="928"/>
      <c r="CK451" s="928"/>
      <c r="CL451" s="928"/>
      <c r="CM451" s="928"/>
      <c r="CN451" s="928"/>
      <c r="CO451" s="928"/>
      <c r="CP451" s="928"/>
      <c r="CQ451" s="928"/>
      <c r="CR451" s="928"/>
      <c r="CS451" s="928"/>
      <c r="CT451" s="928"/>
      <c r="CU451" s="928"/>
      <c r="CV451" s="928"/>
      <c r="CW451" s="928"/>
      <c r="CX451" s="928"/>
      <c r="CY451" s="928"/>
      <c r="CZ451" s="928"/>
      <c r="DA451" s="928"/>
      <c r="DB451" s="928"/>
      <c r="DC451" s="928"/>
      <c r="DD451" s="928"/>
      <c r="DE451" s="928"/>
      <c r="DF451" s="928"/>
      <c r="DG451" s="928"/>
      <c r="DH451" s="928"/>
    </row>
    <row r="452" spans="3:112">
      <c r="C452" s="891" t="s">
        <v>42</v>
      </c>
      <c r="D452" s="897">
        <v>774.05</v>
      </c>
      <c r="H452" s="897"/>
      <c r="I452" s="897"/>
      <c r="J452" s="891"/>
      <c r="K452" s="891"/>
      <c r="L452" s="891"/>
      <c r="M452" s="891"/>
      <c r="N452" s="891"/>
      <c r="O452" s="891"/>
      <c r="P452" s="891"/>
      <c r="Q452" s="891"/>
      <c r="R452" s="891"/>
      <c r="S452" s="891"/>
      <c r="T452" s="891"/>
      <c r="U452" s="928"/>
      <c r="V452" s="928"/>
      <c r="W452" s="928"/>
      <c r="X452" s="928"/>
      <c r="Y452" s="928"/>
      <c r="Z452" s="928"/>
      <c r="AA452" s="928"/>
      <c r="AB452" s="928"/>
      <c r="AC452" s="928"/>
      <c r="AD452" s="928"/>
      <c r="AE452" s="928"/>
      <c r="AF452" s="928"/>
      <c r="AG452" s="928"/>
      <c r="AH452" s="928"/>
      <c r="AI452" s="928"/>
      <c r="AJ452" s="928"/>
      <c r="AK452" s="928"/>
      <c r="AL452" s="928"/>
      <c r="AM452" s="928"/>
      <c r="AN452" s="928"/>
      <c r="AO452" s="928"/>
      <c r="AP452" s="928"/>
      <c r="AQ452" s="928"/>
      <c r="AR452" s="928"/>
      <c r="AS452" s="928"/>
      <c r="AT452" s="928"/>
      <c r="AU452" s="928"/>
      <c r="AV452" s="928"/>
      <c r="AW452" s="928"/>
      <c r="AX452" s="928"/>
      <c r="AY452" s="928"/>
      <c r="AZ452" s="928"/>
      <c r="BA452" s="928"/>
      <c r="BB452" s="928"/>
      <c r="BC452" s="928"/>
      <c r="BD452" s="928"/>
      <c r="BE452" s="928"/>
      <c r="BF452" s="928"/>
      <c r="BG452" s="928"/>
      <c r="BH452" s="928"/>
      <c r="BI452" s="928"/>
      <c r="BJ452" s="928"/>
      <c r="BK452" s="928"/>
      <c r="BL452" s="928"/>
      <c r="BM452" s="928"/>
      <c r="BN452" s="928"/>
      <c r="BO452" s="928"/>
      <c r="BP452" s="928"/>
      <c r="BQ452" s="928"/>
      <c r="BR452" s="928"/>
      <c r="BS452" s="928"/>
      <c r="BT452" s="928"/>
      <c r="BU452" s="928"/>
      <c r="BV452" s="928"/>
      <c r="BW452" s="928"/>
      <c r="BX452" s="928"/>
      <c r="BY452" s="928"/>
      <c r="BZ452" s="928"/>
      <c r="CA452" s="928"/>
      <c r="CB452" s="928"/>
      <c r="CC452" s="928"/>
      <c r="CD452" s="928"/>
      <c r="CE452" s="928"/>
      <c r="CF452" s="928"/>
      <c r="CG452" s="928"/>
      <c r="CH452" s="928"/>
      <c r="CI452" s="928"/>
      <c r="CJ452" s="928"/>
      <c r="CK452" s="928"/>
      <c r="CL452" s="928"/>
      <c r="CM452" s="928"/>
      <c r="CN452" s="928"/>
      <c r="CO452" s="928"/>
      <c r="CP452" s="928"/>
      <c r="CQ452" s="928"/>
      <c r="CR452" s="928"/>
      <c r="CS452" s="928"/>
      <c r="CT452" s="928"/>
      <c r="CU452" s="928"/>
      <c r="CV452" s="928"/>
      <c r="CW452" s="928"/>
      <c r="CX452" s="928"/>
      <c r="CY452" s="928"/>
      <c r="CZ452" s="928"/>
      <c r="DA452" s="928"/>
      <c r="DB452" s="928"/>
      <c r="DC452" s="928"/>
      <c r="DD452" s="928"/>
      <c r="DE452" s="928"/>
      <c r="DF452" s="928"/>
      <c r="DG452" s="928"/>
      <c r="DH452" s="928"/>
    </row>
    <row r="453" spans="3:112">
      <c r="C453" s="891" t="s">
        <v>30</v>
      </c>
      <c r="D453" s="897">
        <v>771.2</v>
      </c>
      <c r="H453" s="897"/>
      <c r="I453" s="897"/>
      <c r="J453" s="891"/>
      <c r="K453" s="891"/>
      <c r="L453" s="891"/>
      <c r="M453" s="891"/>
      <c r="N453" s="891"/>
      <c r="O453" s="891"/>
      <c r="P453" s="891"/>
      <c r="Q453" s="891"/>
      <c r="R453" s="891"/>
      <c r="S453" s="891"/>
      <c r="T453" s="891"/>
      <c r="U453" s="928"/>
      <c r="V453" s="928"/>
      <c r="W453" s="928"/>
      <c r="X453" s="928"/>
      <c r="Y453" s="928"/>
      <c r="Z453" s="928"/>
      <c r="AA453" s="928"/>
      <c r="AB453" s="928"/>
      <c r="AC453" s="928"/>
      <c r="AD453" s="928"/>
      <c r="AE453" s="928"/>
      <c r="AF453" s="928"/>
      <c r="AG453" s="928"/>
      <c r="AH453" s="928"/>
      <c r="AI453" s="928"/>
      <c r="AJ453" s="928"/>
      <c r="AK453" s="928"/>
      <c r="AL453" s="928"/>
      <c r="AM453" s="928"/>
      <c r="AN453" s="928"/>
      <c r="AO453" s="928"/>
      <c r="AP453" s="928"/>
      <c r="AQ453" s="928"/>
      <c r="AR453" s="928"/>
      <c r="AS453" s="928"/>
      <c r="AT453" s="928"/>
      <c r="AU453" s="928"/>
      <c r="AV453" s="928"/>
      <c r="AW453" s="928"/>
      <c r="AX453" s="928"/>
      <c r="AY453" s="928"/>
      <c r="AZ453" s="928"/>
      <c r="BA453" s="928"/>
      <c r="BB453" s="928"/>
      <c r="BC453" s="928"/>
      <c r="BD453" s="928"/>
      <c r="BE453" s="928"/>
      <c r="BF453" s="928"/>
      <c r="BG453" s="928"/>
      <c r="BH453" s="928"/>
      <c r="BI453" s="928"/>
      <c r="BJ453" s="928"/>
      <c r="BK453" s="928"/>
      <c r="BL453" s="928"/>
      <c r="BM453" s="928"/>
      <c r="BN453" s="928"/>
      <c r="BO453" s="928"/>
      <c r="BP453" s="928"/>
      <c r="BQ453" s="928"/>
      <c r="BR453" s="928"/>
      <c r="BS453" s="928"/>
      <c r="BT453" s="928"/>
      <c r="BU453" s="928"/>
      <c r="BV453" s="928"/>
      <c r="BW453" s="928"/>
      <c r="BX453" s="928"/>
      <c r="BY453" s="928"/>
      <c r="BZ453" s="928"/>
      <c r="CA453" s="928"/>
      <c r="CB453" s="928"/>
      <c r="CC453" s="928"/>
      <c r="CD453" s="928"/>
      <c r="CE453" s="928"/>
      <c r="CF453" s="928"/>
      <c r="CG453" s="928"/>
      <c r="CH453" s="928"/>
      <c r="CI453" s="928"/>
      <c r="CJ453" s="928"/>
      <c r="CK453" s="928"/>
      <c r="CL453" s="928"/>
      <c r="CM453" s="928"/>
      <c r="CN453" s="928"/>
      <c r="CO453" s="928"/>
      <c r="CP453" s="928"/>
      <c r="CQ453" s="928"/>
      <c r="CR453" s="928"/>
      <c r="CS453" s="928"/>
      <c r="CT453" s="928"/>
      <c r="CU453" s="928"/>
      <c r="CV453" s="928"/>
      <c r="CW453" s="928"/>
      <c r="CX453" s="928"/>
      <c r="CY453" s="928"/>
      <c r="CZ453" s="928"/>
      <c r="DA453" s="928"/>
      <c r="DB453" s="928"/>
      <c r="DC453" s="928"/>
      <c r="DD453" s="928"/>
      <c r="DE453" s="928"/>
      <c r="DF453" s="928"/>
      <c r="DG453" s="928"/>
      <c r="DH453" s="928"/>
    </row>
    <row r="454" spans="3:112">
      <c r="C454" s="891" t="s">
        <v>25</v>
      </c>
      <c r="D454" s="897">
        <v>769.53</v>
      </c>
      <c r="H454" s="897"/>
      <c r="I454" s="897"/>
      <c r="J454" s="891"/>
      <c r="K454" s="891"/>
      <c r="L454" s="891"/>
      <c r="M454" s="891"/>
      <c r="N454" s="891"/>
      <c r="O454" s="891"/>
      <c r="P454" s="891"/>
      <c r="Q454" s="891"/>
      <c r="R454" s="891"/>
      <c r="S454" s="891"/>
      <c r="T454" s="891"/>
      <c r="U454" s="928"/>
      <c r="V454" s="928"/>
      <c r="W454" s="928"/>
      <c r="X454" s="928"/>
      <c r="Y454" s="928"/>
      <c r="Z454" s="928"/>
      <c r="AA454" s="928"/>
      <c r="AB454" s="928"/>
      <c r="AC454" s="928"/>
      <c r="AD454" s="928"/>
      <c r="AE454" s="928"/>
      <c r="AF454" s="928"/>
      <c r="AG454" s="928"/>
      <c r="AH454" s="928"/>
      <c r="AI454" s="928"/>
      <c r="AJ454" s="928"/>
      <c r="AK454" s="928"/>
      <c r="AL454" s="928"/>
      <c r="AM454" s="928"/>
      <c r="AN454" s="928"/>
      <c r="AO454" s="928"/>
      <c r="AP454" s="928"/>
      <c r="AQ454" s="928"/>
      <c r="AR454" s="928"/>
      <c r="AS454" s="928"/>
      <c r="AT454" s="928"/>
      <c r="AU454" s="928"/>
      <c r="AV454" s="928"/>
      <c r="AW454" s="928"/>
      <c r="AX454" s="928"/>
      <c r="AY454" s="928"/>
      <c r="AZ454" s="928"/>
      <c r="BA454" s="928"/>
      <c r="BB454" s="928"/>
      <c r="BC454" s="928"/>
      <c r="BD454" s="928"/>
      <c r="BE454" s="928"/>
      <c r="BF454" s="928"/>
      <c r="BG454" s="928"/>
      <c r="BH454" s="928"/>
      <c r="BI454" s="928"/>
      <c r="BJ454" s="928"/>
      <c r="BK454" s="928"/>
      <c r="BL454" s="928"/>
      <c r="BM454" s="928"/>
      <c r="BN454" s="928"/>
      <c r="BO454" s="928"/>
      <c r="BP454" s="928"/>
      <c r="BQ454" s="928"/>
      <c r="BR454" s="928"/>
      <c r="BS454" s="928"/>
      <c r="BT454" s="928"/>
      <c r="BU454" s="928"/>
      <c r="BV454" s="928"/>
      <c r="BW454" s="928"/>
      <c r="BX454" s="928"/>
      <c r="BY454" s="928"/>
      <c r="BZ454" s="928"/>
      <c r="CA454" s="928"/>
      <c r="CB454" s="928"/>
      <c r="CC454" s="928"/>
      <c r="CD454" s="928"/>
      <c r="CE454" s="928"/>
      <c r="CF454" s="928"/>
      <c r="CG454" s="928"/>
      <c r="CH454" s="928"/>
      <c r="CI454" s="928"/>
      <c r="CJ454" s="928"/>
      <c r="CK454" s="928"/>
      <c r="CL454" s="928"/>
      <c r="CM454" s="928"/>
      <c r="CN454" s="928"/>
      <c r="CO454" s="928"/>
      <c r="CP454" s="928"/>
      <c r="CQ454" s="928"/>
      <c r="CR454" s="928"/>
      <c r="CS454" s="928"/>
      <c r="CT454" s="928"/>
      <c r="CU454" s="928"/>
      <c r="CV454" s="928"/>
      <c r="CW454" s="928"/>
      <c r="CX454" s="928"/>
      <c r="CY454" s="928"/>
      <c r="CZ454" s="928"/>
      <c r="DA454" s="928"/>
      <c r="DB454" s="928"/>
      <c r="DC454" s="928"/>
      <c r="DD454" s="928"/>
      <c r="DE454" s="928"/>
      <c r="DF454" s="928"/>
      <c r="DG454" s="928"/>
      <c r="DH454" s="928"/>
    </row>
    <row r="455" spans="3:112">
      <c r="C455" s="891" t="s">
        <v>97</v>
      </c>
      <c r="D455" s="897">
        <v>768.73</v>
      </c>
      <c r="H455" s="897"/>
      <c r="I455" s="897"/>
      <c r="J455" s="891"/>
      <c r="K455" s="891"/>
      <c r="L455" s="891"/>
      <c r="M455" s="891"/>
      <c r="N455" s="891"/>
      <c r="O455" s="891"/>
      <c r="P455" s="891"/>
      <c r="Q455" s="891"/>
      <c r="R455" s="891"/>
      <c r="S455" s="891"/>
      <c r="T455" s="891"/>
      <c r="U455" s="928"/>
      <c r="V455" s="928"/>
      <c r="W455" s="928"/>
      <c r="X455" s="928"/>
      <c r="Y455" s="928"/>
      <c r="Z455" s="928"/>
      <c r="AA455" s="928"/>
      <c r="AB455" s="928"/>
      <c r="AC455" s="928"/>
      <c r="AD455" s="928"/>
      <c r="AE455" s="928"/>
      <c r="AF455" s="928"/>
      <c r="AG455" s="928"/>
      <c r="AH455" s="928"/>
      <c r="AI455" s="928"/>
      <c r="AJ455" s="928"/>
      <c r="AK455" s="928"/>
      <c r="AL455" s="928"/>
      <c r="AM455" s="928"/>
      <c r="AN455" s="928"/>
      <c r="AO455" s="928"/>
      <c r="AP455" s="928"/>
      <c r="AQ455" s="928"/>
      <c r="AR455" s="928"/>
      <c r="AS455" s="928"/>
      <c r="AT455" s="928"/>
      <c r="AU455" s="928"/>
      <c r="AV455" s="928"/>
      <c r="AW455" s="928"/>
      <c r="AX455" s="928"/>
      <c r="AY455" s="928"/>
      <c r="AZ455" s="928"/>
      <c r="BA455" s="928"/>
      <c r="BB455" s="928"/>
      <c r="BC455" s="928"/>
      <c r="BD455" s="928"/>
      <c r="BE455" s="928"/>
      <c r="BF455" s="928"/>
      <c r="BG455" s="928"/>
      <c r="BH455" s="928"/>
      <c r="BI455" s="928"/>
      <c r="BJ455" s="928"/>
      <c r="BK455" s="928"/>
      <c r="BL455" s="928"/>
      <c r="BM455" s="928"/>
      <c r="BN455" s="928"/>
      <c r="BO455" s="928"/>
      <c r="BP455" s="928"/>
      <c r="BQ455" s="928"/>
      <c r="BR455" s="928"/>
      <c r="BS455" s="928"/>
      <c r="BT455" s="928"/>
      <c r="BU455" s="928"/>
      <c r="BV455" s="928"/>
      <c r="BW455" s="928"/>
      <c r="BX455" s="928"/>
      <c r="BY455" s="928"/>
      <c r="BZ455" s="928"/>
      <c r="CA455" s="928"/>
      <c r="CB455" s="928"/>
      <c r="CC455" s="928"/>
      <c r="CD455" s="928"/>
      <c r="CE455" s="928"/>
      <c r="CF455" s="928"/>
      <c r="CG455" s="928"/>
      <c r="CH455" s="928"/>
      <c r="CI455" s="928"/>
      <c r="CJ455" s="928"/>
      <c r="CK455" s="928"/>
      <c r="CL455" s="928"/>
      <c r="CM455" s="928"/>
      <c r="CN455" s="928"/>
      <c r="CO455" s="928"/>
      <c r="CP455" s="928"/>
      <c r="CQ455" s="928"/>
      <c r="CR455" s="928"/>
      <c r="CS455" s="928"/>
      <c r="CT455" s="928"/>
      <c r="CU455" s="928"/>
      <c r="CV455" s="928"/>
      <c r="CW455" s="928"/>
      <c r="CX455" s="928"/>
      <c r="CY455" s="928"/>
      <c r="CZ455" s="928"/>
      <c r="DA455" s="928"/>
      <c r="DB455" s="928"/>
      <c r="DC455" s="928"/>
      <c r="DD455" s="928"/>
      <c r="DE455" s="928"/>
      <c r="DF455" s="928"/>
      <c r="DG455" s="928"/>
      <c r="DH455" s="928"/>
    </row>
    <row r="456" spans="3:112">
      <c r="C456" s="891" t="s">
        <v>107</v>
      </c>
      <c r="D456" s="897">
        <v>760.06</v>
      </c>
      <c r="H456" s="897"/>
      <c r="I456" s="897"/>
      <c r="J456" s="891"/>
      <c r="K456" s="891"/>
      <c r="L456" s="891"/>
      <c r="M456" s="891"/>
      <c r="N456" s="891"/>
      <c r="O456" s="891"/>
      <c r="P456" s="891"/>
      <c r="Q456" s="891"/>
      <c r="R456" s="891"/>
      <c r="S456" s="891"/>
      <c r="T456" s="891"/>
      <c r="U456" s="928"/>
      <c r="V456" s="928"/>
      <c r="W456" s="928"/>
      <c r="X456" s="928"/>
      <c r="Y456" s="928"/>
      <c r="Z456" s="928"/>
      <c r="AA456" s="928"/>
      <c r="AB456" s="928"/>
      <c r="AC456" s="928"/>
      <c r="AD456" s="928"/>
      <c r="AE456" s="928"/>
      <c r="AF456" s="928"/>
      <c r="AG456" s="928"/>
      <c r="AH456" s="928"/>
      <c r="AI456" s="928"/>
      <c r="AJ456" s="928"/>
      <c r="AK456" s="928"/>
      <c r="AL456" s="928"/>
      <c r="AM456" s="928"/>
      <c r="AN456" s="928"/>
      <c r="AO456" s="928"/>
      <c r="AP456" s="928"/>
      <c r="AQ456" s="928"/>
      <c r="AR456" s="928"/>
      <c r="AS456" s="928"/>
      <c r="AT456" s="928"/>
      <c r="AU456" s="928"/>
      <c r="AV456" s="928"/>
      <c r="AW456" s="928"/>
      <c r="AX456" s="928"/>
      <c r="AY456" s="928"/>
      <c r="AZ456" s="928"/>
      <c r="BA456" s="928"/>
      <c r="BB456" s="928"/>
      <c r="BC456" s="928"/>
      <c r="BD456" s="928"/>
      <c r="BE456" s="928"/>
      <c r="BF456" s="928"/>
      <c r="BG456" s="928"/>
      <c r="BH456" s="928"/>
      <c r="BI456" s="928"/>
      <c r="BJ456" s="928"/>
      <c r="BK456" s="928"/>
      <c r="BL456" s="928"/>
      <c r="BM456" s="928"/>
      <c r="BN456" s="928"/>
      <c r="BO456" s="928"/>
      <c r="BP456" s="928"/>
      <c r="BQ456" s="928"/>
      <c r="BR456" s="928"/>
      <c r="BS456" s="928"/>
      <c r="BT456" s="928"/>
      <c r="BU456" s="928"/>
      <c r="BV456" s="928"/>
      <c r="BW456" s="928"/>
      <c r="BX456" s="928"/>
      <c r="BY456" s="928"/>
      <c r="BZ456" s="928"/>
      <c r="CA456" s="928"/>
      <c r="CB456" s="928"/>
      <c r="CC456" s="928"/>
      <c r="CD456" s="928"/>
      <c r="CE456" s="928"/>
      <c r="CF456" s="928"/>
      <c r="CG456" s="928"/>
      <c r="CH456" s="928"/>
      <c r="CI456" s="928"/>
      <c r="CJ456" s="928"/>
      <c r="CK456" s="928"/>
      <c r="CL456" s="928"/>
      <c r="CM456" s="928"/>
      <c r="CN456" s="928"/>
      <c r="CO456" s="928"/>
      <c r="CP456" s="928"/>
      <c r="CQ456" s="928"/>
      <c r="CR456" s="928"/>
      <c r="CS456" s="928"/>
      <c r="CT456" s="928"/>
      <c r="CU456" s="928"/>
      <c r="CV456" s="928"/>
      <c r="CW456" s="928"/>
      <c r="CX456" s="928"/>
      <c r="CY456" s="928"/>
      <c r="CZ456" s="928"/>
      <c r="DA456" s="928"/>
      <c r="DB456" s="928"/>
      <c r="DC456" s="928"/>
      <c r="DD456" s="928"/>
      <c r="DE456" s="928"/>
      <c r="DF456" s="928"/>
      <c r="DG456" s="928"/>
      <c r="DH456" s="928"/>
    </row>
    <row r="457" spans="3:112">
      <c r="C457" s="891" t="s">
        <v>105</v>
      </c>
      <c r="D457" s="897">
        <v>759.69</v>
      </c>
      <c r="H457" s="897"/>
      <c r="I457" s="897"/>
      <c r="J457" s="891"/>
      <c r="K457" s="891"/>
      <c r="L457" s="891"/>
      <c r="M457" s="891"/>
      <c r="N457" s="891"/>
      <c r="O457" s="891"/>
      <c r="P457" s="891"/>
      <c r="Q457" s="891"/>
      <c r="R457" s="891"/>
      <c r="S457" s="891"/>
      <c r="T457" s="891"/>
      <c r="U457" s="928"/>
      <c r="V457" s="928"/>
      <c r="W457" s="928"/>
      <c r="X457" s="928"/>
      <c r="Y457" s="928"/>
      <c r="Z457" s="928"/>
      <c r="AA457" s="928"/>
      <c r="AB457" s="928"/>
      <c r="AC457" s="928"/>
      <c r="AD457" s="928"/>
      <c r="AE457" s="928"/>
      <c r="AF457" s="928"/>
      <c r="AG457" s="928"/>
      <c r="AH457" s="928"/>
      <c r="AI457" s="928"/>
      <c r="AJ457" s="928"/>
      <c r="AK457" s="928"/>
      <c r="AL457" s="928"/>
      <c r="AM457" s="928"/>
      <c r="AN457" s="928"/>
      <c r="AO457" s="928"/>
      <c r="AP457" s="928"/>
      <c r="AQ457" s="928"/>
      <c r="AR457" s="928"/>
      <c r="AS457" s="928"/>
      <c r="AT457" s="928"/>
      <c r="AU457" s="928"/>
      <c r="AV457" s="928"/>
      <c r="AW457" s="928"/>
      <c r="AX457" s="928"/>
      <c r="AY457" s="928"/>
      <c r="AZ457" s="928"/>
      <c r="BA457" s="928"/>
      <c r="BB457" s="928"/>
      <c r="BC457" s="928"/>
      <c r="BD457" s="928"/>
      <c r="BE457" s="928"/>
      <c r="BF457" s="928"/>
      <c r="BG457" s="928"/>
      <c r="BH457" s="928"/>
      <c r="BI457" s="928"/>
      <c r="BJ457" s="928"/>
      <c r="BK457" s="928"/>
      <c r="BL457" s="928"/>
      <c r="BM457" s="928"/>
      <c r="BN457" s="928"/>
      <c r="BO457" s="928"/>
      <c r="BP457" s="928"/>
      <c r="BQ457" s="928"/>
      <c r="BR457" s="928"/>
      <c r="BS457" s="928"/>
      <c r="BT457" s="928"/>
      <c r="BU457" s="928"/>
      <c r="BV457" s="928"/>
      <c r="BW457" s="928"/>
      <c r="BX457" s="928"/>
      <c r="BY457" s="928"/>
      <c r="BZ457" s="928"/>
      <c r="CA457" s="928"/>
      <c r="CB457" s="928"/>
      <c r="CC457" s="928"/>
      <c r="CD457" s="928"/>
      <c r="CE457" s="928"/>
      <c r="CF457" s="928"/>
      <c r="CG457" s="928"/>
      <c r="CH457" s="928"/>
      <c r="CI457" s="928"/>
      <c r="CJ457" s="928"/>
      <c r="CK457" s="928"/>
      <c r="CL457" s="928"/>
      <c r="CM457" s="928"/>
      <c r="CN457" s="928"/>
      <c r="CO457" s="928"/>
      <c r="CP457" s="928"/>
      <c r="CQ457" s="928"/>
      <c r="CR457" s="928"/>
      <c r="CS457" s="928"/>
      <c r="CT457" s="928"/>
      <c r="CU457" s="928"/>
      <c r="CV457" s="928"/>
      <c r="CW457" s="928"/>
      <c r="CX457" s="928"/>
      <c r="CY457" s="928"/>
      <c r="CZ457" s="928"/>
      <c r="DA457" s="928"/>
      <c r="DB457" s="928"/>
      <c r="DC457" s="928"/>
      <c r="DD457" s="928"/>
      <c r="DE457" s="928"/>
      <c r="DF457" s="928"/>
      <c r="DG457" s="928"/>
      <c r="DH457" s="928"/>
    </row>
    <row r="458" spans="3:112">
      <c r="C458" s="891" t="s">
        <v>118</v>
      </c>
      <c r="D458" s="897">
        <v>759.69</v>
      </c>
      <c r="H458" s="897"/>
      <c r="I458" s="897"/>
      <c r="J458" s="891"/>
      <c r="K458" s="891"/>
      <c r="L458" s="891"/>
      <c r="M458" s="891"/>
      <c r="N458" s="891"/>
      <c r="O458" s="891"/>
      <c r="P458" s="891"/>
      <c r="Q458" s="891"/>
      <c r="R458" s="891"/>
      <c r="S458" s="891"/>
      <c r="T458" s="891"/>
      <c r="U458" s="928"/>
      <c r="V458" s="928"/>
      <c r="W458" s="928"/>
      <c r="X458" s="928"/>
      <c r="Y458" s="928"/>
      <c r="Z458" s="928"/>
      <c r="AA458" s="928"/>
      <c r="AB458" s="928"/>
      <c r="AC458" s="928"/>
      <c r="AD458" s="928"/>
      <c r="AE458" s="928"/>
      <c r="AF458" s="928"/>
      <c r="AG458" s="928"/>
      <c r="AH458" s="928"/>
      <c r="AI458" s="928"/>
      <c r="AJ458" s="928"/>
      <c r="AK458" s="928"/>
      <c r="AL458" s="928"/>
      <c r="AM458" s="928"/>
      <c r="AN458" s="928"/>
      <c r="AO458" s="928"/>
      <c r="AP458" s="928"/>
      <c r="AQ458" s="928"/>
      <c r="AR458" s="928"/>
      <c r="AS458" s="928"/>
      <c r="AT458" s="928"/>
      <c r="AU458" s="928"/>
      <c r="AV458" s="928"/>
      <c r="AW458" s="928"/>
      <c r="AX458" s="928"/>
      <c r="AY458" s="928"/>
      <c r="AZ458" s="928"/>
      <c r="BA458" s="928"/>
      <c r="BB458" s="928"/>
      <c r="BC458" s="928"/>
      <c r="BD458" s="928"/>
      <c r="BE458" s="928"/>
      <c r="BF458" s="928"/>
      <c r="BG458" s="928"/>
      <c r="BH458" s="928"/>
      <c r="BI458" s="928"/>
      <c r="BJ458" s="928"/>
      <c r="BK458" s="928"/>
      <c r="BL458" s="928"/>
      <c r="BM458" s="928"/>
      <c r="BN458" s="928"/>
      <c r="BO458" s="928"/>
      <c r="BP458" s="928"/>
      <c r="BQ458" s="928"/>
      <c r="BR458" s="928"/>
      <c r="BS458" s="928"/>
      <c r="BT458" s="928"/>
      <c r="BU458" s="928"/>
      <c r="BV458" s="928"/>
      <c r="BW458" s="928"/>
      <c r="BX458" s="928"/>
      <c r="BY458" s="928"/>
      <c r="BZ458" s="928"/>
      <c r="CA458" s="928"/>
      <c r="CB458" s="928"/>
      <c r="CC458" s="928"/>
      <c r="CD458" s="928"/>
      <c r="CE458" s="928"/>
      <c r="CF458" s="928"/>
      <c r="CG458" s="928"/>
      <c r="CH458" s="928"/>
      <c r="CI458" s="928"/>
      <c r="CJ458" s="928"/>
      <c r="CK458" s="928"/>
      <c r="CL458" s="928"/>
      <c r="CM458" s="928"/>
      <c r="CN458" s="928"/>
      <c r="CO458" s="928"/>
      <c r="CP458" s="928"/>
      <c r="CQ458" s="928"/>
      <c r="CR458" s="928"/>
      <c r="CS458" s="928"/>
      <c r="CT458" s="928"/>
      <c r="CU458" s="928"/>
      <c r="CV458" s="928"/>
      <c r="CW458" s="928"/>
      <c r="CX458" s="928"/>
      <c r="CY458" s="928"/>
      <c r="CZ458" s="928"/>
      <c r="DA458" s="928"/>
      <c r="DB458" s="928"/>
      <c r="DC458" s="928"/>
      <c r="DD458" s="928"/>
      <c r="DE458" s="928"/>
      <c r="DF458" s="928"/>
      <c r="DG458" s="928"/>
      <c r="DH458" s="928"/>
    </row>
    <row r="459" spans="3:112">
      <c r="C459" s="891" t="s">
        <v>8</v>
      </c>
      <c r="D459" s="897">
        <v>754.51</v>
      </c>
      <c r="H459" s="897"/>
      <c r="I459" s="897"/>
      <c r="J459" s="891"/>
      <c r="K459" s="891"/>
      <c r="L459" s="891"/>
      <c r="M459" s="891"/>
      <c r="N459" s="891"/>
      <c r="O459" s="891"/>
      <c r="P459" s="891"/>
      <c r="Q459" s="891"/>
      <c r="R459" s="891"/>
      <c r="S459" s="891"/>
      <c r="T459" s="891"/>
      <c r="U459" s="928"/>
      <c r="V459" s="928"/>
      <c r="W459" s="928"/>
      <c r="X459" s="928"/>
      <c r="Y459" s="928"/>
      <c r="Z459" s="928"/>
      <c r="AA459" s="928"/>
      <c r="AB459" s="928"/>
      <c r="AC459" s="928"/>
      <c r="AD459" s="928"/>
      <c r="AE459" s="928"/>
      <c r="AF459" s="928"/>
      <c r="AG459" s="928"/>
      <c r="AH459" s="928"/>
      <c r="AI459" s="928"/>
      <c r="AJ459" s="928"/>
      <c r="AK459" s="928"/>
      <c r="AL459" s="928"/>
      <c r="AM459" s="928"/>
      <c r="AN459" s="928"/>
      <c r="AO459" s="928"/>
      <c r="AP459" s="928"/>
      <c r="AQ459" s="928"/>
      <c r="AR459" s="928"/>
      <c r="AS459" s="928"/>
      <c r="AT459" s="928"/>
      <c r="AU459" s="928"/>
      <c r="AV459" s="928"/>
      <c r="AW459" s="928"/>
      <c r="AX459" s="928"/>
      <c r="AY459" s="928"/>
      <c r="AZ459" s="928"/>
      <c r="BA459" s="928"/>
      <c r="BB459" s="928"/>
      <c r="BC459" s="928"/>
      <c r="BD459" s="928"/>
      <c r="BE459" s="928"/>
      <c r="BF459" s="928"/>
      <c r="BG459" s="928"/>
      <c r="BH459" s="928"/>
      <c r="BI459" s="928"/>
      <c r="BJ459" s="928"/>
      <c r="BK459" s="928"/>
      <c r="BL459" s="928"/>
      <c r="BM459" s="928"/>
      <c r="BN459" s="928"/>
      <c r="BO459" s="928"/>
      <c r="BP459" s="928"/>
      <c r="BQ459" s="928"/>
      <c r="BR459" s="928"/>
      <c r="BS459" s="928"/>
      <c r="BT459" s="928"/>
      <c r="BU459" s="928"/>
      <c r="BV459" s="928"/>
      <c r="BW459" s="928"/>
      <c r="BX459" s="928"/>
      <c r="BY459" s="928"/>
      <c r="BZ459" s="928"/>
      <c r="CA459" s="928"/>
      <c r="CB459" s="928"/>
      <c r="CC459" s="928"/>
      <c r="CD459" s="928"/>
      <c r="CE459" s="928"/>
      <c r="CF459" s="928"/>
      <c r="CG459" s="928"/>
      <c r="CH459" s="928"/>
      <c r="CI459" s="928"/>
      <c r="CJ459" s="928"/>
      <c r="CK459" s="928"/>
      <c r="CL459" s="928"/>
      <c r="CM459" s="928"/>
      <c r="CN459" s="928"/>
      <c r="CO459" s="928"/>
      <c r="CP459" s="928"/>
      <c r="CQ459" s="928"/>
      <c r="CR459" s="928"/>
      <c r="CS459" s="928"/>
      <c r="CT459" s="928"/>
      <c r="CU459" s="928"/>
      <c r="CV459" s="928"/>
      <c r="CW459" s="928"/>
      <c r="CX459" s="928"/>
      <c r="CY459" s="928"/>
      <c r="CZ459" s="928"/>
      <c r="DA459" s="928"/>
      <c r="DB459" s="928"/>
      <c r="DC459" s="928"/>
      <c r="DD459" s="928"/>
      <c r="DE459" s="928"/>
      <c r="DF459" s="928"/>
      <c r="DG459" s="928"/>
      <c r="DH459" s="928"/>
    </row>
    <row r="460" spans="3:112">
      <c r="C460" s="891" t="s">
        <v>137</v>
      </c>
      <c r="D460" s="897">
        <v>753.94</v>
      </c>
      <c r="H460" s="897"/>
      <c r="I460" s="897"/>
      <c r="J460" s="891"/>
      <c r="K460" s="891"/>
      <c r="L460" s="891"/>
      <c r="M460" s="891"/>
      <c r="N460" s="891"/>
      <c r="O460" s="891"/>
      <c r="P460" s="891"/>
      <c r="Q460" s="891"/>
      <c r="R460" s="891"/>
      <c r="S460" s="891"/>
      <c r="T460" s="891"/>
      <c r="U460" s="928"/>
      <c r="V460" s="928"/>
      <c r="W460" s="928"/>
      <c r="X460" s="928"/>
      <c r="Y460" s="928"/>
      <c r="Z460" s="928"/>
      <c r="AA460" s="928"/>
      <c r="AB460" s="928"/>
      <c r="AC460" s="928"/>
      <c r="AD460" s="928"/>
      <c r="AE460" s="928"/>
      <c r="AF460" s="928"/>
      <c r="AG460" s="928"/>
      <c r="AH460" s="928"/>
      <c r="AI460" s="928"/>
      <c r="AJ460" s="928"/>
      <c r="AK460" s="928"/>
      <c r="AL460" s="928"/>
      <c r="AM460" s="928"/>
      <c r="AN460" s="928"/>
      <c r="AO460" s="928"/>
      <c r="AP460" s="928"/>
      <c r="AQ460" s="928"/>
      <c r="AR460" s="928"/>
      <c r="AS460" s="928"/>
      <c r="AT460" s="928"/>
      <c r="AU460" s="928"/>
      <c r="AV460" s="928"/>
      <c r="AW460" s="928"/>
      <c r="AX460" s="928"/>
      <c r="AY460" s="928"/>
      <c r="AZ460" s="928"/>
      <c r="BA460" s="928"/>
      <c r="BB460" s="928"/>
      <c r="BC460" s="928"/>
      <c r="BD460" s="928"/>
      <c r="BE460" s="928"/>
      <c r="BF460" s="928"/>
      <c r="BG460" s="928"/>
      <c r="BH460" s="928"/>
      <c r="BI460" s="928"/>
      <c r="BJ460" s="928"/>
      <c r="BK460" s="928"/>
      <c r="BL460" s="928"/>
      <c r="BM460" s="928"/>
      <c r="BN460" s="928"/>
      <c r="BO460" s="928"/>
      <c r="BP460" s="928"/>
      <c r="BQ460" s="928"/>
      <c r="BR460" s="928"/>
      <c r="BS460" s="928"/>
      <c r="BT460" s="928"/>
      <c r="BU460" s="928"/>
      <c r="BV460" s="928"/>
      <c r="BW460" s="928"/>
      <c r="BX460" s="928"/>
      <c r="BY460" s="928"/>
      <c r="BZ460" s="928"/>
      <c r="CA460" s="928"/>
      <c r="CB460" s="928"/>
      <c r="CC460" s="928"/>
      <c r="CD460" s="928"/>
      <c r="CE460" s="928"/>
      <c r="CF460" s="928"/>
      <c r="CG460" s="928"/>
      <c r="CH460" s="928"/>
      <c r="CI460" s="928"/>
      <c r="CJ460" s="928"/>
      <c r="CK460" s="928"/>
      <c r="CL460" s="928"/>
      <c r="CM460" s="928"/>
      <c r="CN460" s="928"/>
      <c r="CO460" s="928"/>
      <c r="CP460" s="928"/>
      <c r="CQ460" s="928"/>
      <c r="CR460" s="928"/>
      <c r="CS460" s="928"/>
      <c r="CT460" s="928"/>
      <c r="CU460" s="928"/>
      <c r="CV460" s="928"/>
      <c r="CW460" s="928"/>
      <c r="CX460" s="928"/>
      <c r="CY460" s="928"/>
      <c r="CZ460" s="928"/>
      <c r="DA460" s="928"/>
      <c r="DB460" s="928"/>
      <c r="DC460" s="928"/>
      <c r="DD460" s="928"/>
      <c r="DE460" s="928"/>
      <c r="DF460" s="928"/>
      <c r="DG460" s="928"/>
      <c r="DH460" s="928"/>
    </row>
    <row r="461" spans="3:112">
      <c r="C461" s="891" t="s">
        <v>22</v>
      </c>
      <c r="D461" s="897">
        <v>751.18</v>
      </c>
      <c r="H461" s="897"/>
      <c r="I461" s="897"/>
      <c r="J461" s="891"/>
      <c r="K461" s="891"/>
      <c r="L461" s="891"/>
      <c r="M461" s="891"/>
      <c r="N461" s="891"/>
      <c r="O461" s="891"/>
      <c r="P461" s="891"/>
      <c r="Q461" s="891"/>
      <c r="R461" s="891"/>
      <c r="S461" s="891"/>
      <c r="T461" s="891"/>
      <c r="U461" s="928"/>
      <c r="V461" s="928"/>
      <c r="W461" s="928"/>
      <c r="X461" s="928"/>
      <c r="Y461" s="928"/>
      <c r="Z461" s="928"/>
      <c r="AA461" s="928"/>
      <c r="AB461" s="928"/>
      <c r="AC461" s="928"/>
      <c r="AD461" s="928"/>
      <c r="AE461" s="928"/>
      <c r="AF461" s="928"/>
      <c r="AG461" s="928"/>
      <c r="AH461" s="928"/>
      <c r="AI461" s="928"/>
      <c r="AJ461" s="928"/>
      <c r="AK461" s="928"/>
      <c r="AL461" s="928"/>
      <c r="AM461" s="928"/>
      <c r="AN461" s="928"/>
      <c r="AO461" s="928"/>
      <c r="AP461" s="928"/>
      <c r="AQ461" s="928"/>
      <c r="AR461" s="928"/>
      <c r="AS461" s="928"/>
      <c r="AT461" s="928"/>
      <c r="AU461" s="928"/>
      <c r="AV461" s="928"/>
      <c r="AW461" s="928"/>
      <c r="AX461" s="928"/>
      <c r="AY461" s="928"/>
      <c r="AZ461" s="928"/>
      <c r="BA461" s="928"/>
      <c r="BB461" s="928"/>
      <c r="BC461" s="928"/>
      <c r="BD461" s="928"/>
      <c r="BE461" s="928"/>
      <c r="BF461" s="928"/>
      <c r="BG461" s="928"/>
      <c r="BH461" s="928"/>
      <c r="BI461" s="928"/>
      <c r="BJ461" s="928"/>
      <c r="BK461" s="928"/>
      <c r="BL461" s="928"/>
      <c r="BM461" s="928"/>
      <c r="BN461" s="928"/>
      <c r="BO461" s="928"/>
      <c r="BP461" s="928"/>
      <c r="BQ461" s="928"/>
      <c r="BR461" s="928"/>
      <c r="BS461" s="928"/>
      <c r="BT461" s="928"/>
      <c r="BU461" s="928"/>
      <c r="BV461" s="928"/>
      <c r="BW461" s="928"/>
      <c r="BX461" s="928"/>
      <c r="BY461" s="928"/>
      <c r="BZ461" s="928"/>
      <c r="CA461" s="928"/>
      <c r="CB461" s="928"/>
      <c r="CC461" s="928"/>
      <c r="CD461" s="928"/>
      <c r="CE461" s="928"/>
      <c r="CF461" s="928"/>
      <c r="CG461" s="928"/>
      <c r="CH461" s="928"/>
      <c r="CI461" s="928"/>
      <c r="CJ461" s="928"/>
      <c r="CK461" s="928"/>
      <c r="CL461" s="928"/>
      <c r="CM461" s="928"/>
      <c r="CN461" s="928"/>
      <c r="CO461" s="928"/>
      <c r="CP461" s="928"/>
      <c r="CQ461" s="928"/>
      <c r="CR461" s="928"/>
      <c r="CS461" s="928"/>
      <c r="CT461" s="928"/>
      <c r="CU461" s="928"/>
      <c r="CV461" s="928"/>
      <c r="CW461" s="928"/>
      <c r="CX461" s="928"/>
      <c r="CY461" s="928"/>
      <c r="CZ461" s="928"/>
      <c r="DA461" s="928"/>
      <c r="DB461" s="928"/>
      <c r="DC461" s="928"/>
      <c r="DD461" s="928"/>
      <c r="DE461" s="928"/>
      <c r="DF461" s="928"/>
      <c r="DG461" s="928"/>
      <c r="DH461" s="928"/>
    </row>
    <row r="462" spans="3:112">
      <c r="C462" s="891" t="s">
        <v>7</v>
      </c>
      <c r="D462" s="897">
        <v>745.13</v>
      </c>
      <c r="H462" s="897"/>
      <c r="I462" s="897"/>
      <c r="J462" s="891"/>
      <c r="K462" s="891"/>
      <c r="L462" s="891"/>
      <c r="M462" s="891"/>
      <c r="N462" s="891"/>
      <c r="O462" s="891"/>
      <c r="P462" s="891"/>
      <c r="Q462" s="891"/>
      <c r="R462" s="891"/>
      <c r="S462" s="891"/>
      <c r="T462" s="891"/>
      <c r="U462" s="928"/>
      <c r="V462" s="928"/>
      <c r="W462" s="928"/>
      <c r="X462" s="928"/>
      <c r="Y462" s="928"/>
      <c r="Z462" s="928"/>
      <c r="AA462" s="928"/>
      <c r="AB462" s="928"/>
      <c r="AC462" s="928"/>
      <c r="AD462" s="928"/>
      <c r="AE462" s="928"/>
      <c r="AF462" s="928"/>
      <c r="AG462" s="928"/>
      <c r="AH462" s="928"/>
      <c r="AI462" s="928"/>
      <c r="AJ462" s="928"/>
      <c r="AK462" s="928"/>
      <c r="AL462" s="928"/>
      <c r="AM462" s="928"/>
      <c r="AN462" s="928"/>
      <c r="AO462" s="928"/>
      <c r="AP462" s="928"/>
      <c r="AQ462" s="928"/>
      <c r="AR462" s="928"/>
      <c r="AS462" s="928"/>
      <c r="AT462" s="928"/>
      <c r="AU462" s="928"/>
      <c r="AV462" s="928"/>
      <c r="AW462" s="928"/>
      <c r="AX462" s="928"/>
      <c r="AY462" s="928"/>
      <c r="AZ462" s="928"/>
      <c r="BA462" s="928"/>
      <c r="BB462" s="928"/>
      <c r="BC462" s="928"/>
      <c r="BD462" s="928"/>
      <c r="BE462" s="928"/>
      <c r="BF462" s="928"/>
      <c r="BG462" s="928"/>
      <c r="BH462" s="928"/>
      <c r="BI462" s="928"/>
      <c r="BJ462" s="928"/>
      <c r="BK462" s="928"/>
      <c r="BL462" s="928"/>
      <c r="BM462" s="928"/>
      <c r="BN462" s="928"/>
      <c r="BO462" s="928"/>
      <c r="BP462" s="928"/>
      <c r="BQ462" s="928"/>
      <c r="BR462" s="928"/>
      <c r="BS462" s="928"/>
      <c r="BT462" s="928"/>
      <c r="BU462" s="928"/>
      <c r="BV462" s="928"/>
      <c r="BW462" s="928"/>
      <c r="BX462" s="928"/>
      <c r="BY462" s="928"/>
      <c r="BZ462" s="928"/>
      <c r="CA462" s="928"/>
      <c r="CB462" s="928"/>
      <c r="CC462" s="928"/>
      <c r="CD462" s="928"/>
      <c r="CE462" s="928"/>
      <c r="CF462" s="928"/>
      <c r="CG462" s="928"/>
      <c r="CH462" s="928"/>
      <c r="CI462" s="928"/>
      <c r="CJ462" s="928"/>
      <c r="CK462" s="928"/>
      <c r="CL462" s="928"/>
      <c r="CM462" s="928"/>
      <c r="CN462" s="928"/>
      <c r="CO462" s="928"/>
      <c r="CP462" s="928"/>
      <c r="CQ462" s="928"/>
      <c r="CR462" s="928"/>
      <c r="CS462" s="928"/>
      <c r="CT462" s="928"/>
      <c r="CU462" s="928"/>
      <c r="CV462" s="928"/>
      <c r="CW462" s="928"/>
      <c r="CX462" s="928"/>
      <c r="CY462" s="928"/>
      <c r="CZ462" s="928"/>
      <c r="DA462" s="928"/>
      <c r="DB462" s="928"/>
      <c r="DC462" s="928"/>
      <c r="DD462" s="928"/>
      <c r="DE462" s="928"/>
      <c r="DF462" s="928"/>
      <c r="DG462" s="928"/>
      <c r="DH462" s="928"/>
    </row>
    <row r="463" spans="3:112">
      <c r="C463" s="891" t="s">
        <v>230</v>
      </c>
      <c r="D463" s="897">
        <v>734.69</v>
      </c>
      <c r="H463" s="897"/>
      <c r="I463" s="897"/>
      <c r="J463" s="891"/>
      <c r="K463" s="891"/>
      <c r="L463" s="891"/>
      <c r="M463" s="891"/>
      <c r="N463" s="891"/>
      <c r="O463" s="891"/>
      <c r="P463" s="891"/>
      <c r="Q463" s="891"/>
      <c r="R463" s="891"/>
      <c r="S463" s="891"/>
      <c r="T463" s="891"/>
      <c r="U463" s="928"/>
      <c r="V463" s="928"/>
      <c r="W463" s="928"/>
      <c r="X463" s="928"/>
      <c r="Y463" s="928"/>
      <c r="Z463" s="928"/>
      <c r="AA463" s="928"/>
      <c r="AB463" s="928"/>
      <c r="AC463" s="928"/>
      <c r="AD463" s="928"/>
      <c r="AE463" s="928"/>
      <c r="AF463" s="928"/>
      <c r="AG463" s="928"/>
      <c r="AH463" s="928"/>
      <c r="AI463" s="928"/>
      <c r="AJ463" s="928"/>
      <c r="AK463" s="928"/>
      <c r="AL463" s="928"/>
      <c r="AM463" s="928"/>
      <c r="AN463" s="928"/>
      <c r="AO463" s="928"/>
      <c r="AP463" s="928"/>
      <c r="AQ463" s="928"/>
      <c r="AR463" s="928"/>
      <c r="AS463" s="928"/>
      <c r="AT463" s="928"/>
      <c r="AU463" s="928"/>
      <c r="AV463" s="928"/>
      <c r="AW463" s="928"/>
      <c r="AX463" s="928"/>
      <c r="AY463" s="928"/>
      <c r="AZ463" s="928"/>
      <c r="BA463" s="928"/>
      <c r="BB463" s="928"/>
      <c r="BC463" s="928"/>
      <c r="BD463" s="928"/>
      <c r="BE463" s="928"/>
      <c r="BF463" s="928"/>
      <c r="BG463" s="928"/>
      <c r="BH463" s="928"/>
      <c r="BI463" s="928"/>
      <c r="BJ463" s="928"/>
      <c r="BK463" s="928"/>
      <c r="BL463" s="928"/>
      <c r="BM463" s="928"/>
      <c r="BN463" s="928"/>
      <c r="BO463" s="928"/>
      <c r="BP463" s="928"/>
      <c r="BQ463" s="928"/>
      <c r="BR463" s="928"/>
      <c r="BS463" s="928"/>
      <c r="BT463" s="928"/>
      <c r="BU463" s="928"/>
      <c r="BV463" s="928"/>
      <c r="BW463" s="928"/>
      <c r="BX463" s="928"/>
      <c r="BY463" s="928"/>
      <c r="BZ463" s="928"/>
      <c r="CA463" s="928"/>
      <c r="CB463" s="928"/>
      <c r="CC463" s="928"/>
      <c r="CD463" s="928"/>
      <c r="CE463" s="928"/>
      <c r="CF463" s="928"/>
      <c r="CG463" s="928"/>
      <c r="CH463" s="928"/>
      <c r="CI463" s="928"/>
      <c r="CJ463" s="928"/>
      <c r="CK463" s="928"/>
      <c r="CL463" s="928"/>
      <c r="CM463" s="928"/>
      <c r="CN463" s="928"/>
      <c r="CO463" s="928"/>
      <c r="CP463" s="928"/>
      <c r="CQ463" s="928"/>
      <c r="CR463" s="928"/>
      <c r="CS463" s="928"/>
      <c r="CT463" s="928"/>
      <c r="CU463" s="928"/>
      <c r="CV463" s="928"/>
      <c r="CW463" s="928"/>
      <c r="CX463" s="928"/>
      <c r="CY463" s="928"/>
      <c r="CZ463" s="928"/>
      <c r="DA463" s="928"/>
      <c r="DB463" s="928"/>
      <c r="DC463" s="928"/>
      <c r="DD463" s="928"/>
      <c r="DE463" s="928"/>
      <c r="DF463" s="928"/>
      <c r="DG463" s="928"/>
      <c r="DH463" s="928"/>
    </row>
    <row r="464" spans="3:112">
      <c r="C464" s="891" t="s">
        <v>92</v>
      </c>
      <c r="D464" s="897">
        <v>734.36</v>
      </c>
      <c r="H464" s="897"/>
      <c r="I464" s="897"/>
      <c r="J464" s="891"/>
      <c r="K464" s="891"/>
      <c r="L464" s="891"/>
      <c r="M464" s="891"/>
      <c r="N464" s="891"/>
      <c r="O464" s="891"/>
      <c r="P464" s="891"/>
      <c r="Q464" s="891"/>
      <c r="R464" s="891"/>
      <c r="S464" s="891"/>
      <c r="T464" s="891"/>
      <c r="U464" s="928"/>
      <c r="V464" s="928"/>
      <c r="W464" s="928"/>
      <c r="X464" s="928"/>
      <c r="Y464" s="928"/>
      <c r="Z464" s="928"/>
      <c r="AA464" s="928"/>
      <c r="AB464" s="928"/>
      <c r="AC464" s="928"/>
      <c r="AD464" s="928"/>
      <c r="AE464" s="928"/>
      <c r="AF464" s="928"/>
      <c r="AG464" s="928"/>
      <c r="AH464" s="928"/>
      <c r="AI464" s="928"/>
      <c r="AJ464" s="928"/>
      <c r="AK464" s="928"/>
      <c r="AL464" s="928"/>
      <c r="AM464" s="928"/>
      <c r="AN464" s="928"/>
      <c r="AO464" s="928"/>
      <c r="AP464" s="928"/>
      <c r="AQ464" s="928"/>
      <c r="AR464" s="928"/>
      <c r="AS464" s="928"/>
      <c r="AT464" s="928"/>
      <c r="AU464" s="928"/>
      <c r="AV464" s="928"/>
      <c r="AW464" s="928"/>
      <c r="AX464" s="928"/>
      <c r="AY464" s="928"/>
      <c r="AZ464" s="928"/>
      <c r="BA464" s="928"/>
      <c r="BB464" s="928"/>
      <c r="BC464" s="928"/>
      <c r="BD464" s="928"/>
      <c r="BE464" s="928"/>
      <c r="BF464" s="928"/>
      <c r="BG464" s="928"/>
      <c r="BH464" s="928"/>
      <c r="BI464" s="928"/>
      <c r="BJ464" s="928"/>
      <c r="BK464" s="928"/>
      <c r="BL464" s="928"/>
      <c r="BM464" s="928"/>
      <c r="BN464" s="928"/>
      <c r="BO464" s="928"/>
      <c r="BP464" s="928"/>
      <c r="BQ464" s="928"/>
      <c r="BR464" s="928"/>
      <c r="BS464" s="928"/>
      <c r="BT464" s="928"/>
      <c r="BU464" s="928"/>
      <c r="BV464" s="928"/>
      <c r="BW464" s="928"/>
      <c r="BX464" s="928"/>
      <c r="BY464" s="928"/>
      <c r="BZ464" s="928"/>
      <c r="CA464" s="928"/>
      <c r="CB464" s="928"/>
      <c r="CC464" s="928"/>
      <c r="CD464" s="928"/>
      <c r="CE464" s="928"/>
      <c r="CF464" s="928"/>
      <c r="CG464" s="928"/>
      <c r="CH464" s="928"/>
      <c r="CI464" s="928"/>
      <c r="CJ464" s="928"/>
      <c r="CK464" s="928"/>
      <c r="CL464" s="928"/>
      <c r="CM464" s="928"/>
      <c r="CN464" s="928"/>
      <c r="CO464" s="928"/>
      <c r="CP464" s="928"/>
      <c r="CQ464" s="928"/>
      <c r="CR464" s="928"/>
      <c r="CS464" s="928"/>
      <c r="CT464" s="928"/>
      <c r="CU464" s="928"/>
      <c r="CV464" s="928"/>
      <c r="CW464" s="928"/>
      <c r="CX464" s="928"/>
      <c r="CY464" s="928"/>
      <c r="CZ464" s="928"/>
      <c r="DA464" s="928"/>
      <c r="DB464" s="928"/>
      <c r="DC464" s="928"/>
      <c r="DD464" s="928"/>
      <c r="DE464" s="928"/>
      <c r="DF464" s="928"/>
      <c r="DG464" s="928"/>
      <c r="DH464" s="928"/>
    </row>
    <row r="465" spans="3:112">
      <c r="C465" s="891" t="s">
        <v>263</v>
      </c>
      <c r="D465" s="897">
        <v>731.05</v>
      </c>
      <c r="H465" s="897"/>
      <c r="I465" s="897"/>
      <c r="J465" s="891"/>
      <c r="K465" s="891"/>
      <c r="L465" s="891"/>
      <c r="M465" s="891"/>
      <c r="N465" s="891"/>
      <c r="O465" s="891"/>
      <c r="P465" s="891"/>
      <c r="Q465" s="891"/>
      <c r="R465" s="891"/>
      <c r="S465" s="891"/>
      <c r="T465" s="891"/>
      <c r="U465" s="928"/>
      <c r="V465" s="928"/>
      <c r="W465" s="928"/>
      <c r="X465" s="928"/>
      <c r="Y465" s="928"/>
      <c r="Z465" s="928"/>
      <c r="AA465" s="928"/>
      <c r="AB465" s="928"/>
      <c r="AC465" s="928"/>
      <c r="AD465" s="928"/>
      <c r="AE465" s="928"/>
      <c r="AF465" s="928"/>
      <c r="AG465" s="928"/>
      <c r="AH465" s="928"/>
      <c r="AI465" s="928"/>
      <c r="AJ465" s="928"/>
      <c r="AK465" s="928"/>
      <c r="AL465" s="928"/>
      <c r="AM465" s="928"/>
      <c r="AN465" s="928"/>
      <c r="AO465" s="928"/>
      <c r="AP465" s="928"/>
      <c r="AQ465" s="928"/>
      <c r="AR465" s="928"/>
      <c r="AS465" s="928"/>
      <c r="AT465" s="928"/>
      <c r="AU465" s="928"/>
      <c r="AV465" s="928"/>
      <c r="AW465" s="928"/>
      <c r="AX465" s="928"/>
      <c r="AY465" s="928"/>
      <c r="AZ465" s="928"/>
      <c r="BA465" s="928"/>
      <c r="BB465" s="928"/>
      <c r="BC465" s="928"/>
      <c r="BD465" s="928"/>
      <c r="BE465" s="928"/>
      <c r="BF465" s="928"/>
      <c r="BG465" s="928"/>
      <c r="BH465" s="928"/>
      <c r="BI465" s="928"/>
      <c r="BJ465" s="928"/>
      <c r="BK465" s="928"/>
      <c r="BL465" s="928"/>
      <c r="BM465" s="928"/>
      <c r="BN465" s="928"/>
      <c r="BO465" s="928"/>
      <c r="BP465" s="928"/>
      <c r="BQ465" s="928"/>
      <c r="BR465" s="928"/>
      <c r="BS465" s="928"/>
      <c r="BT465" s="928"/>
      <c r="BU465" s="928"/>
      <c r="BV465" s="928"/>
      <c r="BW465" s="928"/>
      <c r="BX465" s="928"/>
      <c r="BY465" s="928"/>
      <c r="BZ465" s="928"/>
      <c r="CA465" s="928"/>
      <c r="CB465" s="928"/>
      <c r="CC465" s="928"/>
      <c r="CD465" s="928"/>
      <c r="CE465" s="928"/>
      <c r="CF465" s="928"/>
      <c r="CG465" s="928"/>
      <c r="CH465" s="928"/>
      <c r="CI465" s="928"/>
      <c r="CJ465" s="928"/>
      <c r="CK465" s="928"/>
      <c r="CL465" s="928"/>
      <c r="CM465" s="928"/>
      <c r="CN465" s="928"/>
      <c r="CO465" s="928"/>
      <c r="CP465" s="928"/>
      <c r="CQ465" s="928"/>
      <c r="CR465" s="928"/>
      <c r="CS465" s="928"/>
      <c r="CT465" s="928"/>
      <c r="CU465" s="928"/>
      <c r="CV465" s="928"/>
      <c r="CW465" s="928"/>
      <c r="CX465" s="928"/>
      <c r="CY465" s="928"/>
      <c r="CZ465" s="928"/>
      <c r="DA465" s="928"/>
      <c r="DB465" s="928"/>
      <c r="DC465" s="928"/>
      <c r="DD465" s="928"/>
      <c r="DE465" s="928"/>
      <c r="DF465" s="928"/>
      <c r="DG465" s="928"/>
      <c r="DH465" s="928"/>
    </row>
    <row r="466" spans="3:112">
      <c r="C466" s="891" t="s">
        <v>151</v>
      </c>
      <c r="D466" s="897">
        <v>731.05</v>
      </c>
      <c r="H466" s="897"/>
      <c r="I466" s="897"/>
      <c r="J466" s="891"/>
      <c r="K466" s="891"/>
      <c r="L466" s="891"/>
      <c r="M466" s="891"/>
      <c r="N466" s="891"/>
      <c r="O466" s="891"/>
      <c r="P466" s="891"/>
      <c r="Q466" s="891"/>
      <c r="R466" s="891"/>
      <c r="S466" s="891"/>
      <c r="T466" s="891"/>
      <c r="U466" s="928"/>
      <c r="V466" s="928"/>
      <c r="W466" s="928"/>
      <c r="X466" s="928"/>
      <c r="Y466" s="928"/>
      <c r="Z466" s="928"/>
      <c r="AA466" s="928"/>
      <c r="AB466" s="928"/>
      <c r="AC466" s="928"/>
      <c r="AD466" s="928"/>
      <c r="AE466" s="928"/>
      <c r="AF466" s="928"/>
      <c r="AG466" s="928"/>
      <c r="AH466" s="928"/>
      <c r="AI466" s="928"/>
      <c r="AJ466" s="928"/>
      <c r="AK466" s="928"/>
      <c r="AL466" s="928"/>
      <c r="AM466" s="928"/>
      <c r="AN466" s="928"/>
      <c r="AO466" s="928"/>
      <c r="AP466" s="928"/>
      <c r="AQ466" s="928"/>
      <c r="AR466" s="928"/>
      <c r="AS466" s="928"/>
      <c r="AT466" s="928"/>
      <c r="AU466" s="928"/>
      <c r="AV466" s="928"/>
      <c r="AW466" s="928"/>
      <c r="AX466" s="928"/>
      <c r="AY466" s="928"/>
      <c r="AZ466" s="928"/>
      <c r="BA466" s="928"/>
      <c r="BB466" s="928"/>
      <c r="BC466" s="928"/>
      <c r="BD466" s="928"/>
      <c r="BE466" s="928"/>
      <c r="BF466" s="928"/>
      <c r="BG466" s="928"/>
      <c r="BH466" s="928"/>
      <c r="BI466" s="928"/>
      <c r="BJ466" s="928"/>
      <c r="BK466" s="928"/>
      <c r="BL466" s="928"/>
      <c r="BM466" s="928"/>
      <c r="BN466" s="928"/>
      <c r="BO466" s="928"/>
      <c r="BP466" s="928"/>
      <c r="BQ466" s="928"/>
      <c r="BR466" s="928"/>
      <c r="BS466" s="928"/>
      <c r="BT466" s="928"/>
      <c r="BU466" s="928"/>
      <c r="BV466" s="928"/>
      <c r="BW466" s="928"/>
      <c r="BX466" s="928"/>
      <c r="BY466" s="928"/>
      <c r="BZ466" s="928"/>
      <c r="CA466" s="928"/>
      <c r="CB466" s="928"/>
      <c r="CC466" s="928"/>
      <c r="CD466" s="928"/>
      <c r="CE466" s="928"/>
      <c r="CF466" s="928"/>
      <c r="CG466" s="928"/>
      <c r="CH466" s="928"/>
      <c r="CI466" s="928"/>
      <c r="CJ466" s="928"/>
      <c r="CK466" s="928"/>
      <c r="CL466" s="928"/>
      <c r="CM466" s="928"/>
      <c r="CN466" s="928"/>
      <c r="CO466" s="928"/>
      <c r="CP466" s="928"/>
      <c r="CQ466" s="928"/>
      <c r="CR466" s="928"/>
      <c r="CS466" s="928"/>
      <c r="CT466" s="928"/>
      <c r="CU466" s="928"/>
      <c r="CV466" s="928"/>
      <c r="CW466" s="928"/>
      <c r="CX466" s="928"/>
      <c r="CY466" s="928"/>
      <c r="CZ466" s="928"/>
      <c r="DA466" s="928"/>
      <c r="DB466" s="928"/>
      <c r="DC466" s="928"/>
      <c r="DD466" s="928"/>
      <c r="DE466" s="928"/>
      <c r="DF466" s="928"/>
      <c r="DG466" s="928"/>
      <c r="DH466" s="928"/>
    </row>
    <row r="467" spans="3:112">
      <c r="C467" s="891" t="s">
        <v>209</v>
      </c>
      <c r="D467" s="897">
        <v>731.05</v>
      </c>
      <c r="H467" s="897"/>
      <c r="I467" s="897"/>
      <c r="J467" s="891"/>
      <c r="K467" s="891"/>
      <c r="L467" s="891"/>
      <c r="M467" s="891"/>
      <c r="N467" s="891"/>
      <c r="O467" s="891"/>
      <c r="P467" s="891"/>
      <c r="Q467" s="891"/>
      <c r="R467" s="891"/>
      <c r="S467" s="891"/>
      <c r="T467" s="891"/>
      <c r="U467" s="928"/>
      <c r="V467" s="928"/>
      <c r="W467" s="928"/>
      <c r="X467" s="928"/>
      <c r="Y467" s="928"/>
      <c r="Z467" s="928"/>
      <c r="AA467" s="928"/>
      <c r="AB467" s="928"/>
      <c r="AC467" s="928"/>
      <c r="AD467" s="928"/>
      <c r="AE467" s="928"/>
      <c r="AF467" s="928"/>
      <c r="AG467" s="928"/>
      <c r="AH467" s="928"/>
      <c r="AI467" s="928"/>
      <c r="AJ467" s="928"/>
      <c r="AK467" s="928"/>
      <c r="AL467" s="928"/>
      <c r="AM467" s="928"/>
      <c r="AN467" s="928"/>
      <c r="AO467" s="928"/>
      <c r="AP467" s="928"/>
      <c r="AQ467" s="928"/>
      <c r="AR467" s="928"/>
      <c r="AS467" s="928"/>
      <c r="AT467" s="928"/>
      <c r="AU467" s="928"/>
      <c r="AV467" s="928"/>
      <c r="AW467" s="928"/>
      <c r="AX467" s="928"/>
      <c r="AY467" s="928"/>
      <c r="AZ467" s="928"/>
      <c r="BA467" s="928"/>
      <c r="BB467" s="928"/>
      <c r="BC467" s="928"/>
      <c r="BD467" s="928"/>
      <c r="BE467" s="928"/>
      <c r="BF467" s="928"/>
      <c r="BG467" s="928"/>
      <c r="BH467" s="928"/>
      <c r="BI467" s="928"/>
      <c r="BJ467" s="928"/>
      <c r="BK467" s="928"/>
      <c r="BL467" s="928"/>
      <c r="BM467" s="928"/>
      <c r="BN467" s="928"/>
      <c r="BO467" s="928"/>
      <c r="BP467" s="928"/>
      <c r="BQ467" s="928"/>
      <c r="BR467" s="928"/>
      <c r="BS467" s="928"/>
      <c r="BT467" s="928"/>
      <c r="BU467" s="928"/>
      <c r="BV467" s="928"/>
      <c r="BW467" s="928"/>
      <c r="BX467" s="928"/>
      <c r="BY467" s="928"/>
      <c r="BZ467" s="928"/>
      <c r="CA467" s="928"/>
      <c r="CB467" s="928"/>
      <c r="CC467" s="928"/>
      <c r="CD467" s="928"/>
      <c r="CE467" s="928"/>
      <c r="CF467" s="928"/>
      <c r="CG467" s="928"/>
      <c r="CH467" s="928"/>
      <c r="CI467" s="928"/>
      <c r="CJ467" s="928"/>
      <c r="CK467" s="928"/>
      <c r="CL467" s="928"/>
      <c r="CM467" s="928"/>
      <c r="CN467" s="928"/>
      <c r="CO467" s="928"/>
      <c r="CP467" s="928"/>
      <c r="CQ467" s="928"/>
      <c r="CR467" s="928"/>
      <c r="CS467" s="928"/>
      <c r="CT467" s="928"/>
      <c r="CU467" s="928"/>
      <c r="CV467" s="928"/>
      <c r="CW467" s="928"/>
      <c r="CX467" s="928"/>
      <c r="CY467" s="928"/>
      <c r="CZ467" s="928"/>
      <c r="DA467" s="928"/>
      <c r="DB467" s="928"/>
      <c r="DC467" s="928"/>
      <c r="DD467" s="928"/>
      <c r="DE467" s="928"/>
      <c r="DF467" s="928"/>
      <c r="DG467" s="928"/>
      <c r="DH467" s="928"/>
    </row>
    <row r="468" spans="3:112">
      <c r="C468" s="891" t="s">
        <v>75</v>
      </c>
      <c r="D468" s="897">
        <v>731.05</v>
      </c>
      <c r="H468" s="897"/>
      <c r="I468" s="897"/>
      <c r="J468" s="891"/>
      <c r="K468" s="891"/>
      <c r="L468" s="891"/>
      <c r="M468" s="891"/>
      <c r="N468" s="891"/>
      <c r="O468" s="891"/>
      <c r="P468" s="891"/>
      <c r="Q468" s="891"/>
      <c r="R468" s="891"/>
      <c r="S468" s="891"/>
      <c r="T468" s="891"/>
      <c r="U468" s="928"/>
      <c r="V468" s="928"/>
      <c r="W468" s="928"/>
      <c r="X468" s="928"/>
      <c r="Y468" s="928"/>
      <c r="Z468" s="928"/>
      <c r="AA468" s="928"/>
      <c r="AB468" s="928"/>
      <c r="AC468" s="928"/>
      <c r="AD468" s="928"/>
      <c r="AE468" s="928"/>
      <c r="AF468" s="928"/>
      <c r="AG468" s="928"/>
      <c r="AH468" s="928"/>
      <c r="AI468" s="928"/>
      <c r="AJ468" s="928"/>
      <c r="AK468" s="928"/>
      <c r="AL468" s="928"/>
      <c r="AM468" s="928"/>
      <c r="AN468" s="928"/>
      <c r="AO468" s="928"/>
      <c r="AP468" s="928"/>
      <c r="AQ468" s="928"/>
      <c r="AR468" s="928"/>
      <c r="AS468" s="928"/>
      <c r="AT468" s="928"/>
      <c r="AU468" s="928"/>
      <c r="AV468" s="928"/>
      <c r="AW468" s="928"/>
      <c r="AX468" s="928"/>
      <c r="AY468" s="928"/>
      <c r="AZ468" s="928"/>
      <c r="BA468" s="928"/>
      <c r="BB468" s="928"/>
      <c r="BC468" s="928"/>
      <c r="BD468" s="928"/>
      <c r="BE468" s="928"/>
      <c r="BF468" s="928"/>
      <c r="BG468" s="928"/>
      <c r="BH468" s="928"/>
      <c r="BI468" s="928"/>
      <c r="BJ468" s="928"/>
      <c r="BK468" s="928"/>
      <c r="BL468" s="928"/>
      <c r="BM468" s="928"/>
      <c r="BN468" s="928"/>
      <c r="BO468" s="928"/>
      <c r="BP468" s="928"/>
      <c r="BQ468" s="928"/>
      <c r="BR468" s="928"/>
      <c r="BS468" s="928"/>
      <c r="BT468" s="928"/>
      <c r="BU468" s="928"/>
      <c r="BV468" s="928"/>
      <c r="BW468" s="928"/>
      <c r="BX468" s="928"/>
      <c r="BY468" s="928"/>
      <c r="BZ468" s="928"/>
      <c r="CA468" s="928"/>
      <c r="CB468" s="928"/>
      <c r="CC468" s="928"/>
      <c r="CD468" s="928"/>
      <c r="CE468" s="928"/>
      <c r="CF468" s="928"/>
      <c r="CG468" s="928"/>
      <c r="CH468" s="928"/>
      <c r="CI468" s="928"/>
      <c r="CJ468" s="928"/>
      <c r="CK468" s="928"/>
      <c r="CL468" s="928"/>
      <c r="CM468" s="928"/>
      <c r="CN468" s="928"/>
      <c r="CO468" s="928"/>
      <c r="CP468" s="928"/>
      <c r="CQ468" s="928"/>
      <c r="CR468" s="928"/>
      <c r="CS468" s="928"/>
      <c r="CT468" s="928"/>
      <c r="CU468" s="928"/>
      <c r="CV468" s="928"/>
      <c r="CW468" s="928"/>
      <c r="CX468" s="928"/>
      <c r="CY468" s="928"/>
      <c r="CZ468" s="928"/>
      <c r="DA468" s="928"/>
      <c r="DB468" s="928"/>
      <c r="DC468" s="928"/>
      <c r="DD468" s="928"/>
      <c r="DE468" s="928"/>
      <c r="DF468" s="928"/>
      <c r="DG468" s="928"/>
      <c r="DH468" s="928"/>
    </row>
    <row r="469" spans="3:112">
      <c r="C469" s="891" t="s">
        <v>190</v>
      </c>
      <c r="D469" s="897">
        <v>730.08</v>
      </c>
      <c r="H469" s="897"/>
      <c r="I469" s="897"/>
      <c r="J469" s="891"/>
      <c r="K469" s="891"/>
      <c r="L469" s="891"/>
      <c r="M469" s="891"/>
      <c r="N469" s="891"/>
      <c r="O469" s="891"/>
      <c r="P469" s="891"/>
      <c r="Q469" s="891"/>
      <c r="R469" s="891"/>
      <c r="S469" s="891"/>
      <c r="T469" s="891"/>
      <c r="U469" s="928"/>
      <c r="V469" s="928"/>
      <c r="W469" s="928"/>
      <c r="X469" s="928"/>
      <c r="Y469" s="928"/>
      <c r="Z469" s="928"/>
      <c r="AA469" s="928"/>
      <c r="AB469" s="928"/>
      <c r="AC469" s="928"/>
      <c r="AD469" s="928"/>
      <c r="AE469" s="928"/>
      <c r="AF469" s="928"/>
      <c r="AG469" s="928"/>
      <c r="AH469" s="928"/>
      <c r="AI469" s="928"/>
      <c r="AJ469" s="928"/>
      <c r="AK469" s="928"/>
      <c r="AL469" s="928"/>
      <c r="AM469" s="928"/>
      <c r="AN469" s="928"/>
      <c r="AO469" s="928"/>
      <c r="AP469" s="928"/>
      <c r="AQ469" s="928"/>
      <c r="AR469" s="928"/>
      <c r="AS469" s="928"/>
      <c r="AT469" s="928"/>
      <c r="AU469" s="928"/>
      <c r="AV469" s="928"/>
      <c r="AW469" s="928"/>
      <c r="AX469" s="928"/>
      <c r="AY469" s="928"/>
      <c r="AZ469" s="928"/>
      <c r="BA469" s="928"/>
      <c r="BB469" s="928"/>
      <c r="BC469" s="928"/>
      <c r="BD469" s="928"/>
      <c r="BE469" s="928"/>
      <c r="BF469" s="928"/>
      <c r="BG469" s="928"/>
      <c r="BH469" s="928"/>
      <c r="BI469" s="928"/>
      <c r="BJ469" s="928"/>
      <c r="BK469" s="928"/>
      <c r="BL469" s="928"/>
      <c r="BM469" s="928"/>
      <c r="BN469" s="928"/>
      <c r="BO469" s="928"/>
      <c r="BP469" s="928"/>
      <c r="BQ469" s="928"/>
      <c r="BR469" s="928"/>
      <c r="BS469" s="928"/>
      <c r="BT469" s="928"/>
      <c r="BU469" s="928"/>
      <c r="BV469" s="928"/>
      <c r="BW469" s="928"/>
      <c r="BX469" s="928"/>
      <c r="BY469" s="928"/>
      <c r="BZ469" s="928"/>
      <c r="CA469" s="928"/>
      <c r="CB469" s="928"/>
      <c r="CC469" s="928"/>
      <c r="CD469" s="928"/>
      <c r="CE469" s="928"/>
      <c r="CF469" s="928"/>
      <c r="CG469" s="928"/>
      <c r="CH469" s="928"/>
      <c r="CI469" s="928"/>
      <c r="CJ469" s="928"/>
      <c r="CK469" s="928"/>
      <c r="CL469" s="928"/>
      <c r="CM469" s="928"/>
      <c r="CN469" s="928"/>
      <c r="CO469" s="928"/>
      <c r="CP469" s="928"/>
      <c r="CQ469" s="928"/>
      <c r="CR469" s="928"/>
      <c r="CS469" s="928"/>
      <c r="CT469" s="928"/>
      <c r="CU469" s="928"/>
      <c r="CV469" s="928"/>
      <c r="CW469" s="928"/>
      <c r="CX469" s="928"/>
      <c r="CY469" s="928"/>
      <c r="CZ469" s="928"/>
      <c r="DA469" s="928"/>
      <c r="DB469" s="928"/>
      <c r="DC469" s="928"/>
      <c r="DD469" s="928"/>
      <c r="DE469" s="928"/>
      <c r="DF469" s="928"/>
      <c r="DG469" s="928"/>
      <c r="DH469" s="928"/>
    </row>
    <row r="470" spans="3:112">
      <c r="C470" s="891" t="s">
        <v>261</v>
      </c>
      <c r="D470" s="897">
        <v>728.84</v>
      </c>
      <c r="H470" s="897"/>
      <c r="I470" s="897"/>
      <c r="J470" s="891"/>
      <c r="K470" s="891"/>
      <c r="L470" s="891"/>
      <c r="M470" s="891"/>
      <c r="N470" s="891"/>
      <c r="O470" s="891"/>
      <c r="P470" s="891"/>
      <c r="Q470" s="891"/>
      <c r="R470" s="891"/>
      <c r="S470" s="891"/>
      <c r="T470" s="891"/>
      <c r="U470" s="928"/>
      <c r="V470" s="928"/>
      <c r="W470" s="928"/>
      <c r="X470" s="928"/>
      <c r="Y470" s="928"/>
      <c r="Z470" s="928"/>
      <c r="AA470" s="928"/>
      <c r="AB470" s="928"/>
      <c r="AC470" s="928"/>
      <c r="AD470" s="928"/>
      <c r="AE470" s="928"/>
      <c r="AF470" s="928"/>
      <c r="AG470" s="928"/>
      <c r="AH470" s="928"/>
      <c r="AI470" s="928"/>
      <c r="AJ470" s="928"/>
      <c r="AK470" s="928"/>
      <c r="AL470" s="928"/>
      <c r="AM470" s="928"/>
      <c r="AN470" s="928"/>
      <c r="AO470" s="928"/>
      <c r="AP470" s="928"/>
      <c r="AQ470" s="928"/>
      <c r="AR470" s="928"/>
      <c r="AS470" s="928"/>
      <c r="AT470" s="928"/>
      <c r="AU470" s="928"/>
      <c r="AV470" s="928"/>
      <c r="AW470" s="928"/>
      <c r="AX470" s="928"/>
      <c r="AY470" s="928"/>
      <c r="AZ470" s="928"/>
      <c r="BA470" s="928"/>
      <c r="BB470" s="928"/>
      <c r="BC470" s="928"/>
      <c r="BD470" s="928"/>
      <c r="BE470" s="928"/>
      <c r="BF470" s="928"/>
      <c r="BG470" s="928"/>
      <c r="BH470" s="928"/>
      <c r="BI470" s="928"/>
      <c r="BJ470" s="928"/>
      <c r="BK470" s="928"/>
      <c r="BL470" s="928"/>
      <c r="BM470" s="928"/>
      <c r="BN470" s="928"/>
      <c r="BO470" s="928"/>
      <c r="BP470" s="928"/>
      <c r="BQ470" s="928"/>
      <c r="BR470" s="928"/>
      <c r="BS470" s="928"/>
      <c r="BT470" s="928"/>
      <c r="BU470" s="928"/>
      <c r="BV470" s="928"/>
      <c r="BW470" s="928"/>
      <c r="BX470" s="928"/>
      <c r="BY470" s="928"/>
      <c r="BZ470" s="928"/>
      <c r="CA470" s="928"/>
      <c r="CB470" s="928"/>
      <c r="CC470" s="928"/>
      <c r="CD470" s="928"/>
      <c r="CE470" s="928"/>
      <c r="CF470" s="928"/>
      <c r="CG470" s="928"/>
      <c r="CH470" s="928"/>
      <c r="CI470" s="928"/>
      <c r="CJ470" s="928"/>
      <c r="CK470" s="928"/>
      <c r="CL470" s="928"/>
      <c r="CM470" s="928"/>
      <c r="CN470" s="928"/>
      <c r="CO470" s="928"/>
      <c r="CP470" s="928"/>
      <c r="CQ470" s="928"/>
      <c r="CR470" s="928"/>
      <c r="CS470" s="928"/>
      <c r="CT470" s="928"/>
      <c r="CU470" s="928"/>
      <c r="CV470" s="928"/>
      <c r="CW470" s="928"/>
      <c r="CX470" s="928"/>
      <c r="CY470" s="928"/>
      <c r="CZ470" s="928"/>
      <c r="DA470" s="928"/>
      <c r="DB470" s="928"/>
      <c r="DC470" s="928"/>
      <c r="DD470" s="928"/>
      <c r="DE470" s="928"/>
      <c r="DF470" s="928"/>
      <c r="DG470" s="928"/>
      <c r="DH470" s="928"/>
    </row>
    <row r="471" spans="3:112">
      <c r="C471" s="891" t="s">
        <v>6</v>
      </c>
      <c r="D471" s="897">
        <v>722.66</v>
      </c>
      <c r="H471" s="897"/>
      <c r="I471" s="897"/>
      <c r="J471" s="891"/>
      <c r="K471" s="891"/>
      <c r="L471" s="891"/>
      <c r="M471" s="891"/>
      <c r="N471" s="891"/>
      <c r="O471" s="891"/>
      <c r="P471" s="891"/>
      <c r="Q471" s="891"/>
      <c r="R471" s="891"/>
      <c r="S471" s="891"/>
      <c r="T471" s="891"/>
      <c r="U471" s="928"/>
      <c r="V471" s="928"/>
      <c r="W471" s="928"/>
      <c r="X471" s="928"/>
      <c r="Y471" s="928"/>
      <c r="Z471" s="928"/>
      <c r="AA471" s="928"/>
      <c r="AB471" s="928"/>
      <c r="AC471" s="928"/>
      <c r="AD471" s="928"/>
      <c r="AE471" s="928"/>
      <c r="AF471" s="928"/>
      <c r="AG471" s="928"/>
      <c r="AH471" s="928"/>
      <c r="AI471" s="928"/>
      <c r="AJ471" s="928"/>
      <c r="AK471" s="928"/>
      <c r="AL471" s="928"/>
      <c r="AM471" s="928"/>
      <c r="AN471" s="928"/>
      <c r="AO471" s="928"/>
      <c r="AP471" s="928"/>
      <c r="AQ471" s="928"/>
      <c r="AR471" s="928"/>
      <c r="AS471" s="928"/>
      <c r="AT471" s="928"/>
      <c r="AU471" s="928"/>
      <c r="AV471" s="928"/>
      <c r="AW471" s="928"/>
      <c r="AX471" s="928"/>
      <c r="AY471" s="928"/>
      <c r="AZ471" s="928"/>
      <c r="BA471" s="928"/>
      <c r="BB471" s="928"/>
      <c r="BC471" s="928"/>
      <c r="BD471" s="928"/>
      <c r="BE471" s="928"/>
      <c r="BF471" s="928"/>
      <c r="BG471" s="928"/>
      <c r="BH471" s="928"/>
      <c r="BI471" s="928"/>
      <c r="BJ471" s="928"/>
      <c r="BK471" s="928"/>
      <c r="BL471" s="928"/>
      <c r="BM471" s="928"/>
      <c r="BN471" s="928"/>
      <c r="BO471" s="928"/>
      <c r="BP471" s="928"/>
      <c r="BQ471" s="928"/>
      <c r="BR471" s="928"/>
      <c r="BS471" s="928"/>
      <c r="BT471" s="928"/>
      <c r="BU471" s="928"/>
      <c r="BV471" s="928"/>
      <c r="BW471" s="928"/>
      <c r="BX471" s="928"/>
      <c r="BY471" s="928"/>
      <c r="BZ471" s="928"/>
      <c r="CA471" s="928"/>
      <c r="CB471" s="928"/>
      <c r="CC471" s="928"/>
      <c r="CD471" s="928"/>
      <c r="CE471" s="928"/>
      <c r="CF471" s="928"/>
      <c r="CG471" s="928"/>
      <c r="CH471" s="928"/>
      <c r="CI471" s="928"/>
      <c r="CJ471" s="928"/>
      <c r="CK471" s="928"/>
      <c r="CL471" s="928"/>
      <c r="CM471" s="928"/>
      <c r="CN471" s="928"/>
      <c r="CO471" s="928"/>
      <c r="CP471" s="928"/>
      <c r="CQ471" s="928"/>
      <c r="CR471" s="928"/>
      <c r="CS471" s="928"/>
      <c r="CT471" s="928"/>
      <c r="CU471" s="928"/>
      <c r="CV471" s="928"/>
      <c r="CW471" s="928"/>
      <c r="CX471" s="928"/>
      <c r="CY471" s="928"/>
      <c r="CZ471" s="928"/>
      <c r="DA471" s="928"/>
      <c r="DB471" s="928"/>
      <c r="DC471" s="928"/>
      <c r="DD471" s="928"/>
      <c r="DE471" s="928"/>
      <c r="DF471" s="928"/>
      <c r="DG471" s="928"/>
      <c r="DH471" s="928"/>
    </row>
    <row r="472" spans="3:112">
      <c r="C472" s="891" t="s">
        <v>207</v>
      </c>
      <c r="D472" s="897">
        <v>721.43</v>
      </c>
      <c r="H472" s="897"/>
      <c r="I472" s="897"/>
      <c r="J472" s="891"/>
      <c r="K472" s="891"/>
      <c r="L472" s="891"/>
      <c r="M472" s="891"/>
      <c r="N472" s="891"/>
      <c r="O472" s="891"/>
      <c r="P472" s="891"/>
      <c r="Q472" s="891"/>
      <c r="R472" s="891"/>
      <c r="S472" s="891"/>
      <c r="T472" s="891"/>
      <c r="U472" s="928"/>
      <c r="V472" s="928"/>
      <c r="W472" s="928"/>
      <c r="X472" s="928"/>
      <c r="Y472" s="928"/>
      <c r="Z472" s="928"/>
      <c r="AA472" s="928"/>
      <c r="AB472" s="928"/>
      <c r="AC472" s="928"/>
      <c r="AD472" s="928"/>
      <c r="AE472" s="928"/>
      <c r="AF472" s="928"/>
      <c r="AG472" s="928"/>
      <c r="AH472" s="928"/>
      <c r="AI472" s="928"/>
      <c r="AJ472" s="928"/>
      <c r="AK472" s="928"/>
      <c r="AL472" s="928"/>
      <c r="AM472" s="928"/>
      <c r="AN472" s="928"/>
      <c r="AO472" s="928"/>
      <c r="AP472" s="928"/>
      <c r="AQ472" s="928"/>
      <c r="AR472" s="928"/>
      <c r="AS472" s="928"/>
      <c r="AT472" s="928"/>
      <c r="AU472" s="928"/>
      <c r="AV472" s="928"/>
      <c r="AW472" s="928"/>
      <c r="AX472" s="928"/>
      <c r="AY472" s="928"/>
      <c r="AZ472" s="928"/>
      <c r="BA472" s="928"/>
      <c r="BB472" s="928"/>
      <c r="BC472" s="928"/>
      <c r="BD472" s="928"/>
      <c r="BE472" s="928"/>
      <c r="BF472" s="928"/>
      <c r="BG472" s="928"/>
      <c r="BH472" s="928"/>
      <c r="BI472" s="928"/>
      <c r="BJ472" s="928"/>
      <c r="BK472" s="928"/>
      <c r="BL472" s="928"/>
      <c r="BM472" s="928"/>
      <c r="BN472" s="928"/>
      <c r="BO472" s="928"/>
      <c r="BP472" s="928"/>
      <c r="BQ472" s="928"/>
      <c r="BR472" s="928"/>
      <c r="BS472" s="928"/>
      <c r="BT472" s="928"/>
      <c r="BU472" s="928"/>
      <c r="BV472" s="928"/>
      <c r="BW472" s="928"/>
      <c r="BX472" s="928"/>
      <c r="BY472" s="928"/>
      <c r="BZ472" s="928"/>
      <c r="CA472" s="928"/>
      <c r="CB472" s="928"/>
      <c r="CC472" s="928"/>
      <c r="CD472" s="928"/>
      <c r="CE472" s="928"/>
      <c r="CF472" s="928"/>
      <c r="CG472" s="928"/>
      <c r="CH472" s="928"/>
      <c r="CI472" s="928"/>
      <c r="CJ472" s="928"/>
      <c r="CK472" s="928"/>
      <c r="CL472" s="928"/>
      <c r="CM472" s="928"/>
      <c r="CN472" s="928"/>
      <c r="CO472" s="928"/>
      <c r="CP472" s="928"/>
      <c r="CQ472" s="928"/>
      <c r="CR472" s="928"/>
      <c r="CS472" s="928"/>
      <c r="CT472" s="928"/>
      <c r="CU472" s="928"/>
      <c r="CV472" s="928"/>
      <c r="CW472" s="928"/>
      <c r="CX472" s="928"/>
      <c r="CY472" s="928"/>
      <c r="CZ472" s="928"/>
      <c r="DA472" s="928"/>
      <c r="DB472" s="928"/>
      <c r="DC472" s="928"/>
      <c r="DD472" s="928"/>
      <c r="DE472" s="928"/>
      <c r="DF472" s="928"/>
      <c r="DG472" s="928"/>
      <c r="DH472" s="928"/>
    </row>
    <row r="473" spans="3:112">
      <c r="C473" s="891" t="s">
        <v>74</v>
      </c>
      <c r="D473" s="897">
        <v>717.48</v>
      </c>
      <c r="H473" s="897"/>
      <c r="I473" s="897"/>
      <c r="J473" s="891"/>
      <c r="K473" s="891"/>
      <c r="L473" s="891"/>
      <c r="M473" s="891"/>
      <c r="N473" s="891"/>
      <c r="O473" s="891"/>
      <c r="P473" s="891"/>
      <c r="Q473" s="891"/>
      <c r="R473" s="891"/>
      <c r="S473" s="891"/>
      <c r="T473" s="891"/>
      <c r="U473" s="928"/>
      <c r="V473" s="928"/>
      <c r="W473" s="928"/>
      <c r="X473" s="928"/>
      <c r="Y473" s="928"/>
      <c r="Z473" s="928"/>
      <c r="AA473" s="928"/>
      <c r="AB473" s="928"/>
      <c r="AC473" s="928"/>
      <c r="AD473" s="928"/>
      <c r="AE473" s="928"/>
      <c r="AF473" s="928"/>
      <c r="AG473" s="928"/>
      <c r="AH473" s="928"/>
      <c r="AI473" s="928"/>
      <c r="AJ473" s="928"/>
      <c r="AK473" s="928"/>
      <c r="AL473" s="928"/>
      <c r="AM473" s="928"/>
      <c r="AN473" s="928"/>
      <c r="AO473" s="928"/>
      <c r="AP473" s="928"/>
      <c r="AQ473" s="928"/>
      <c r="AR473" s="928"/>
      <c r="AS473" s="928"/>
      <c r="AT473" s="928"/>
      <c r="AU473" s="928"/>
      <c r="AV473" s="928"/>
      <c r="AW473" s="928"/>
      <c r="AX473" s="928"/>
      <c r="AY473" s="928"/>
      <c r="AZ473" s="928"/>
      <c r="BA473" s="928"/>
      <c r="BB473" s="928"/>
      <c r="BC473" s="928"/>
      <c r="BD473" s="928"/>
      <c r="BE473" s="928"/>
      <c r="BF473" s="928"/>
      <c r="BG473" s="928"/>
      <c r="BH473" s="928"/>
      <c r="BI473" s="928"/>
      <c r="BJ473" s="928"/>
      <c r="BK473" s="928"/>
      <c r="BL473" s="928"/>
      <c r="BM473" s="928"/>
      <c r="BN473" s="928"/>
      <c r="BO473" s="928"/>
      <c r="BP473" s="928"/>
      <c r="BQ473" s="928"/>
      <c r="BR473" s="928"/>
      <c r="BS473" s="928"/>
      <c r="BT473" s="928"/>
      <c r="BU473" s="928"/>
      <c r="BV473" s="928"/>
      <c r="BW473" s="928"/>
      <c r="BX473" s="928"/>
      <c r="BY473" s="928"/>
      <c r="BZ473" s="928"/>
      <c r="CA473" s="928"/>
      <c r="CB473" s="928"/>
      <c r="CC473" s="928"/>
      <c r="CD473" s="928"/>
      <c r="CE473" s="928"/>
      <c r="CF473" s="928"/>
      <c r="CG473" s="928"/>
      <c r="CH473" s="928"/>
      <c r="CI473" s="928"/>
      <c r="CJ473" s="928"/>
      <c r="CK473" s="928"/>
      <c r="CL473" s="928"/>
      <c r="CM473" s="928"/>
      <c r="CN473" s="928"/>
      <c r="CO473" s="928"/>
      <c r="CP473" s="928"/>
      <c r="CQ473" s="928"/>
      <c r="CR473" s="928"/>
      <c r="CS473" s="928"/>
      <c r="CT473" s="928"/>
      <c r="CU473" s="928"/>
      <c r="CV473" s="928"/>
      <c r="CW473" s="928"/>
      <c r="CX473" s="928"/>
      <c r="CY473" s="928"/>
      <c r="CZ473" s="928"/>
      <c r="DA473" s="928"/>
      <c r="DB473" s="928"/>
      <c r="DC473" s="928"/>
      <c r="DD473" s="928"/>
      <c r="DE473" s="928"/>
      <c r="DF473" s="928"/>
      <c r="DG473" s="928"/>
      <c r="DH473" s="928"/>
    </row>
    <row r="474" spans="3:112">
      <c r="C474" s="891" t="s">
        <v>330</v>
      </c>
      <c r="D474" s="897">
        <v>697.76</v>
      </c>
      <c r="H474" s="897"/>
      <c r="I474" s="897"/>
      <c r="J474" s="891"/>
      <c r="K474" s="891"/>
      <c r="L474" s="891"/>
      <c r="M474" s="891"/>
      <c r="N474" s="891"/>
      <c r="O474" s="891"/>
      <c r="P474" s="891"/>
      <c r="Q474" s="891"/>
      <c r="R474" s="891"/>
      <c r="S474" s="891"/>
      <c r="T474" s="891"/>
      <c r="U474" s="928"/>
      <c r="V474" s="928"/>
      <c r="W474" s="928"/>
      <c r="X474" s="928"/>
      <c r="Y474" s="928"/>
      <c r="Z474" s="928"/>
      <c r="AA474" s="928"/>
      <c r="AB474" s="928"/>
      <c r="AC474" s="928"/>
      <c r="AD474" s="928"/>
      <c r="AE474" s="928"/>
      <c r="AF474" s="928"/>
      <c r="AG474" s="928"/>
      <c r="AH474" s="928"/>
      <c r="AI474" s="928"/>
      <c r="AJ474" s="928"/>
      <c r="AK474" s="928"/>
      <c r="AL474" s="928"/>
      <c r="AM474" s="928"/>
      <c r="AN474" s="928"/>
      <c r="AO474" s="928"/>
      <c r="AP474" s="928"/>
      <c r="AQ474" s="928"/>
      <c r="AR474" s="928"/>
      <c r="AS474" s="928"/>
      <c r="AT474" s="928"/>
      <c r="AU474" s="928"/>
      <c r="AV474" s="928"/>
      <c r="AW474" s="928"/>
      <c r="AX474" s="928"/>
      <c r="AY474" s="928"/>
      <c r="AZ474" s="928"/>
      <c r="BA474" s="928"/>
      <c r="BB474" s="928"/>
      <c r="BC474" s="928"/>
      <c r="BD474" s="928"/>
      <c r="BE474" s="928"/>
      <c r="BF474" s="928"/>
      <c r="BG474" s="928"/>
      <c r="BH474" s="928"/>
      <c r="BI474" s="928"/>
      <c r="BJ474" s="928"/>
      <c r="BK474" s="928"/>
      <c r="BL474" s="928"/>
      <c r="BM474" s="928"/>
      <c r="BN474" s="928"/>
      <c r="BO474" s="928"/>
      <c r="BP474" s="928"/>
      <c r="BQ474" s="928"/>
      <c r="BR474" s="928"/>
      <c r="BS474" s="928"/>
      <c r="BT474" s="928"/>
      <c r="BU474" s="928"/>
      <c r="BV474" s="928"/>
      <c r="BW474" s="928"/>
      <c r="BX474" s="928"/>
      <c r="BY474" s="928"/>
      <c r="BZ474" s="928"/>
      <c r="CA474" s="928"/>
      <c r="CB474" s="928"/>
      <c r="CC474" s="928"/>
      <c r="CD474" s="928"/>
      <c r="CE474" s="928"/>
      <c r="CF474" s="928"/>
      <c r="CG474" s="928"/>
      <c r="CH474" s="928"/>
      <c r="CI474" s="928"/>
      <c r="CJ474" s="928"/>
      <c r="CK474" s="928"/>
      <c r="CL474" s="928"/>
      <c r="CM474" s="928"/>
      <c r="CN474" s="928"/>
      <c r="CO474" s="928"/>
      <c r="CP474" s="928"/>
      <c r="CQ474" s="928"/>
      <c r="CR474" s="928"/>
      <c r="CS474" s="928"/>
      <c r="CT474" s="928"/>
      <c r="CU474" s="928"/>
      <c r="CV474" s="928"/>
      <c r="CW474" s="928"/>
      <c r="CX474" s="928"/>
      <c r="CY474" s="928"/>
      <c r="CZ474" s="928"/>
      <c r="DA474" s="928"/>
      <c r="DB474" s="928"/>
      <c r="DC474" s="928"/>
      <c r="DD474" s="928"/>
      <c r="DE474" s="928"/>
      <c r="DF474" s="928"/>
      <c r="DG474" s="928"/>
      <c r="DH474" s="928"/>
    </row>
    <row r="475" spans="3:112">
      <c r="C475" s="891" t="s">
        <v>85</v>
      </c>
      <c r="D475" s="897">
        <v>688.05</v>
      </c>
      <c r="H475" s="897"/>
      <c r="I475" s="897"/>
      <c r="J475" s="891"/>
      <c r="K475" s="891"/>
      <c r="L475" s="891"/>
      <c r="M475" s="891"/>
      <c r="N475" s="891"/>
      <c r="O475" s="891"/>
      <c r="P475" s="891"/>
      <c r="Q475" s="891"/>
      <c r="R475" s="891"/>
      <c r="S475" s="891"/>
      <c r="T475" s="891"/>
      <c r="U475" s="928"/>
      <c r="V475" s="928"/>
      <c r="W475" s="928"/>
      <c r="X475" s="928"/>
      <c r="Y475" s="928"/>
      <c r="Z475" s="928"/>
      <c r="AA475" s="928"/>
      <c r="AB475" s="928"/>
      <c r="AC475" s="928"/>
      <c r="AD475" s="928"/>
      <c r="AE475" s="928"/>
      <c r="AF475" s="928"/>
      <c r="AG475" s="928"/>
      <c r="AH475" s="928"/>
      <c r="AI475" s="928"/>
      <c r="AJ475" s="928"/>
      <c r="AK475" s="928"/>
      <c r="AL475" s="928"/>
      <c r="AM475" s="928"/>
      <c r="AN475" s="928"/>
      <c r="AO475" s="928"/>
      <c r="AP475" s="928"/>
      <c r="AQ475" s="928"/>
      <c r="AR475" s="928"/>
      <c r="AS475" s="928"/>
      <c r="AT475" s="928"/>
      <c r="AU475" s="928"/>
      <c r="AV475" s="928"/>
      <c r="AW475" s="928"/>
      <c r="AX475" s="928"/>
      <c r="AY475" s="928"/>
      <c r="AZ475" s="928"/>
      <c r="BA475" s="928"/>
      <c r="BB475" s="928"/>
      <c r="BC475" s="928"/>
      <c r="BD475" s="928"/>
      <c r="BE475" s="928"/>
      <c r="BF475" s="928"/>
      <c r="BG475" s="928"/>
      <c r="BH475" s="928"/>
      <c r="BI475" s="928"/>
      <c r="BJ475" s="928"/>
      <c r="BK475" s="928"/>
      <c r="BL475" s="928"/>
      <c r="BM475" s="928"/>
      <c r="BN475" s="928"/>
      <c r="BO475" s="928"/>
      <c r="BP475" s="928"/>
      <c r="BQ475" s="928"/>
      <c r="BR475" s="928"/>
      <c r="BS475" s="928"/>
      <c r="BT475" s="928"/>
      <c r="BU475" s="928"/>
      <c r="BV475" s="928"/>
      <c r="BW475" s="928"/>
      <c r="BX475" s="928"/>
      <c r="BY475" s="928"/>
      <c r="BZ475" s="928"/>
      <c r="CA475" s="928"/>
      <c r="CB475" s="928"/>
      <c r="CC475" s="928"/>
      <c r="CD475" s="928"/>
      <c r="CE475" s="928"/>
      <c r="CF475" s="928"/>
      <c r="CG475" s="928"/>
      <c r="CH475" s="928"/>
      <c r="CI475" s="928"/>
      <c r="CJ475" s="928"/>
      <c r="CK475" s="928"/>
      <c r="CL475" s="928"/>
      <c r="CM475" s="928"/>
      <c r="CN475" s="928"/>
      <c r="CO475" s="928"/>
      <c r="CP475" s="928"/>
      <c r="CQ475" s="928"/>
      <c r="CR475" s="928"/>
      <c r="CS475" s="928"/>
      <c r="CT475" s="928"/>
      <c r="CU475" s="928"/>
      <c r="CV475" s="928"/>
      <c r="CW475" s="928"/>
      <c r="CX475" s="928"/>
      <c r="CY475" s="928"/>
      <c r="CZ475" s="928"/>
      <c r="DA475" s="928"/>
      <c r="DB475" s="928"/>
      <c r="DC475" s="928"/>
      <c r="DD475" s="928"/>
      <c r="DE475" s="928"/>
      <c r="DF475" s="928"/>
      <c r="DG475" s="928"/>
      <c r="DH475" s="928"/>
    </row>
    <row r="476" spans="3:112">
      <c r="C476" s="891" t="s">
        <v>122</v>
      </c>
      <c r="D476" s="897">
        <v>688.05</v>
      </c>
      <c r="H476" s="897"/>
      <c r="I476" s="897"/>
      <c r="J476" s="891"/>
      <c r="K476" s="891"/>
      <c r="L476" s="891"/>
      <c r="M476" s="891"/>
      <c r="N476" s="891"/>
      <c r="O476" s="891"/>
      <c r="P476" s="891"/>
      <c r="Q476" s="891"/>
      <c r="R476" s="891"/>
      <c r="S476" s="891"/>
      <c r="T476" s="891"/>
      <c r="U476" s="928"/>
      <c r="V476" s="928"/>
      <c r="W476" s="928"/>
      <c r="X476" s="928"/>
      <c r="Y476" s="928"/>
      <c r="Z476" s="928"/>
      <c r="AA476" s="928"/>
      <c r="AB476" s="928"/>
      <c r="AC476" s="928"/>
      <c r="AD476" s="928"/>
      <c r="AE476" s="928"/>
      <c r="AF476" s="928"/>
      <c r="AG476" s="928"/>
      <c r="AH476" s="928"/>
      <c r="AI476" s="928"/>
      <c r="AJ476" s="928"/>
      <c r="AK476" s="928"/>
      <c r="AL476" s="928"/>
      <c r="AM476" s="928"/>
      <c r="AN476" s="928"/>
      <c r="AO476" s="928"/>
      <c r="AP476" s="928"/>
      <c r="AQ476" s="928"/>
      <c r="AR476" s="928"/>
      <c r="AS476" s="928"/>
      <c r="AT476" s="928"/>
      <c r="AU476" s="928"/>
      <c r="AV476" s="928"/>
      <c r="AW476" s="928"/>
      <c r="AX476" s="928"/>
      <c r="AY476" s="928"/>
      <c r="AZ476" s="928"/>
      <c r="BA476" s="928"/>
      <c r="BB476" s="928"/>
      <c r="BC476" s="928"/>
      <c r="BD476" s="928"/>
      <c r="BE476" s="928"/>
      <c r="BF476" s="928"/>
      <c r="BG476" s="928"/>
      <c r="BH476" s="928"/>
      <c r="BI476" s="928"/>
      <c r="BJ476" s="928"/>
      <c r="BK476" s="928"/>
      <c r="BL476" s="928"/>
      <c r="BM476" s="928"/>
      <c r="BN476" s="928"/>
      <c r="BO476" s="928"/>
      <c r="BP476" s="928"/>
      <c r="BQ476" s="928"/>
      <c r="BR476" s="928"/>
      <c r="BS476" s="928"/>
      <c r="BT476" s="928"/>
      <c r="BU476" s="928"/>
      <c r="BV476" s="928"/>
      <c r="BW476" s="928"/>
      <c r="BX476" s="928"/>
      <c r="BY476" s="928"/>
      <c r="BZ476" s="928"/>
      <c r="CA476" s="928"/>
      <c r="CB476" s="928"/>
      <c r="CC476" s="928"/>
      <c r="CD476" s="928"/>
      <c r="CE476" s="928"/>
      <c r="CF476" s="928"/>
      <c r="CG476" s="928"/>
      <c r="CH476" s="928"/>
      <c r="CI476" s="928"/>
      <c r="CJ476" s="928"/>
      <c r="CK476" s="928"/>
      <c r="CL476" s="928"/>
      <c r="CM476" s="928"/>
      <c r="CN476" s="928"/>
      <c r="CO476" s="928"/>
      <c r="CP476" s="928"/>
      <c r="CQ476" s="928"/>
      <c r="CR476" s="928"/>
      <c r="CS476" s="928"/>
      <c r="CT476" s="928"/>
      <c r="CU476" s="928"/>
      <c r="CV476" s="928"/>
      <c r="CW476" s="928"/>
      <c r="CX476" s="928"/>
      <c r="CY476" s="928"/>
      <c r="CZ476" s="928"/>
      <c r="DA476" s="928"/>
      <c r="DB476" s="928"/>
      <c r="DC476" s="928"/>
      <c r="DD476" s="928"/>
      <c r="DE476" s="928"/>
      <c r="DF476" s="928"/>
      <c r="DG476" s="928"/>
      <c r="DH476" s="928"/>
    </row>
    <row r="477" spans="3:112">
      <c r="C477" s="891" t="s">
        <v>41</v>
      </c>
      <c r="D477" s="897">
        <v>688.05</v>
      </c>
      <c r="H477" s="897"/>
      <c r="I477" s="897"/>
      <c r="J477" s="891"/>
      <c r="K477" s="891"/>
      <c r="L477" s="891"/>
      <c r="M477" s="891"/>
      <c r="N477" s="891"/>
      <c r="O477" s="891"/>
      <c r="P477" s="891"/>
      <c r="Q477" s="891"/>
      <c r="R477" s="891"/>
      <c r="S477" s="891"/>
      <c r="T477" s="891"/>
      <c r="U477" s="928"/>
      <c r="V477" s="928"/>
      <c r="W477" s="928"/>
      <c r="X477" s="928"/>
      <c r="Y477" s="928"/>
      <c r="Z477" s="928"/>
      <c r="AA477" s="928"/>
      <c r="AB477" s="928"/>
      <c r="AC477" s="928"/>
      <c r="AD477" s="928"/>
      <c r="AE477" s="928"/>
      <c r="AF477" s="928"/>
      <c r="AG477" s="928"/>
      <c r="AH477" s="928"/>
      <c r="AI477" s="928"/>
      <c r="AJ477" s="928"/>
      <c r="AK477" s="928"/>
      <c r="AL477" s="928"/>
      <c r="AM477" s="928"/>
      <c r="AN477" s="928"/>
      <c r="AO477" s="928"/>
      <c r="AP477" s="928"/>
      <c r="AQ477" s="928"/>
      <c r="AR477" s="928"/>
      <c r="AS477" s="928"/>
      <c r="AT477" s="928"/>
      <c r="AU477" s="928"/>
      <c r="AV477" s="928"/>
      <c r="AW477" s="928"/>
      <c r="AX477" s="928"/>
      <c r="AY477" s="928"/>
      <c r="AZ477" s="928"/>
      <c r="BA477" s="928"/>
      <c r="BB477" s="928"/>
      <c r="BC477" s="928"/>
      <c r="BD477" s="928"/>
      <c r="BE477" s="928"/>
      <c r="BF477" s="928"/>
      <c r="BG477" s="928"/>
      <c r="BH477" s="928"/>
      <c r="BI477" s="928"/>
      <c r="BJ477" s="928"/>
      <c r="BK477" s="928"/>
      <c r="BL477" s="928"/>
      <c r="BM477" s="928"/>
      <c r="BN477" s="928"/>
      <c r="BO477" s="928"/>
      <c r="BP477" s="928"/>
      <c r="BQ477" s="928"/>
      <c r="BR477" s="928"/>
      <c r="BS477" s="928"/>
      <c r="BT477" s="928"/>
      <c r="BU477" s="928"/>
      <c r="BV477" s="928"/>
      <c r="BW477" s="928"/>
      <c r="BX477" s="928"/>
      <c r="BY477" s="928"/>
      <c r="BZ477" s="928"/>
      <c r="CA477" s="928"/>
      <c r="CB477" s="928"/>
      <c r="CC477" s="928"/>
      <c r="CD477" s="928"/>
      <c r="CE477" s="928"/>
      <c r="CF477" s="928"/>
      <c r="CG477" s="928"/>
      <c r="CH477" s="928"/>
      <c r="CI477" s="928"/>
      <c r="CJ477" s="928"/>
      <c r="CK477" s="928"/>
      <c r="CL477" s="928"/>
      <c r="CM477" s="928"/>
      <c r="CN477" s="928"/>
      <c r="CO477" s="928"/>
      <c r="CP477" s="928"/>
      <c r="CQ477" s="928"/>
      <c r="CR477" s="928"/>
      <c r="CS477" s="928"/>
      <c r="CT477" s="928"/>
      <c r="CU477" s="928"/>
      <c r="CV477" s="928"/>
      <c r="CW477" s="928"/>
      <c r="CX477" s="928"/>
      <c r="CY477" s="928"/>
      <c r="CZ477" s="928"/>
      <c r="DA477" s="928"/>
      <c r="DB477" s="928"/>
      <c r="DC477" s="928"/>
      <c r="DD477" s="928"/>
      <c r="DE477" s="928"/>
      <c r="DF477" s="928"/>
      <c r="DG477" s="928"/>
      <c r="DH477" s="928"/>
    </row>
    <row r="478" spans="3:112">
      <c r="C478" s="891" t="s">
        <v>69</v>
      </c>
      <c r="D478" s="897">
        <v>688.05</v>
      </c>
      <c r="H478" s="897"/>
      <c r="I478" s="897"/>
      <c r="J478" s="891"/>
      <c r="K478" s="891"/>
      <c r="L478" s="891"/>
      <c r="M478" s="891"/>
      <c r="N478" s="891"/>
      <c r="O478" s="891"/>
      <c r="P478" s="891"/>
      <c r="Q478" s="891"/>
      <c r="R478" s="891"/>
      <c r="S478" s="891"/>
      <c r="T478" s="891"/>
      <c r="U478" s="928"/>
      <c r="V478" s="928"/>
      <c r="W478" s="928"/>
      <c r="X478" s="928"/>
      <c r="Y478" s="928"/>
      <c r="Z478" s="928"/>
      <c r="AA478" s="928"/>
      <c r="AB478" s="928"/>
      <c r="AC478" s="928"/>
      <c r="AD478" s="928"/>
      <c r="AE478" s="928"/>
      <c r="AF478" s="928"/>
      <c r="AG478" s="928"/>
      <c r="AH478" s="928"/>
      <c r="AI478" s="928"/>
      <c r="AJ478" s="928"/>
      <c r="AK478" s="928"/>
      <c r="AL478" s="928"/>
      <c r="AM478" s="928"/>
      <c r="AN478" s="928"/>
      <c r="AO478" s="928"/>
      <c r="AP478" s="928"/>
      <c r="AQ478" s="928"/>
      <c r="AR478" s="928"/>
      <c r="AS478" s="928"/>
      <c r="AT478" s="928"/>
      <c r="AU478" s="928"/>
      <c r="AV478" s="928"/>
      <c r="AW478" s="928"/>
      <c r="AX478" s="928"/>
      <c r="AY478" s="928"/>
      <c r="AZ478" s="928"/>
      <c r="BA478" s="928"/>
      <c r="BB478" s="928"/>
      <c r="BC478" s="928"/>
      <c r="BD478" s="928"/>
      <c r="BE478" s="928"/>
      <c r="BF478" s="928"/>
      <c r="BG478" s="928"/>
      <c r="BH478" s="928"/>
      <c r="BI478" s="928"/>
      <c r="BJ478" s="928"/>
      <c r="BK478" s="928"/>
      <c r="BL478" s="928"/>
      <c r="BM478" s="928"/>
      <c r="BN478" s="928"/>
      <c r="BO478" s="928"/>
      <c r="BP478" s="928"/>
      <c r="BQ478" s="928"/>
      <c r="BR478" s="928"/>
      <c r="BS478" s="928"/>
      <c r="BT478" s="928"/>
      <c r="BU478" s="928"/>
      <c r="BV478" s="928"/>
      <c r="BW478" s="928"/>
      <c r="BX478" s="928"/>
      <c r="BY478" s="928"/>
      <c r="BZ478" s="928"/>
      <c r="CA478" s="928"/>
      <c r="CB478" s="928"/>
      <c r="CC478" s="928"/>
      <c r="CD478" s="928"/>
      <c r="CE478" s="928"/>
      <c r="CF478" s="928"/>
      <c r="CG478" s="928"/>
      <c r="CH478" s="928"/>
      <c r="CI478" s="928"/>
      <c r="CJ478" s="928"/>
      <c r="CK478" s="928"/>
      <c r="CL478" s="928"/>
      <c r="CM478" s="928"/>
      <c r="CN478" s="928"/>
      <c r="CO478" s="928"/>
      <c r="CP478" s="928"/>
      <c r="CQ478" s="928"/>
      <c r="CR478" s="928"/>
      <c r="CS478" s="928"/>
      <c r="CT478" s="928"/>
      <c r="CU478" s="928"/>
      <c r="CV478" s="928"/>
      <c r="CW478" s="928"/>
      <c r="CX478" s="928"/>
      <c r="CY478" s="928"/>
      <c r="CZ478" s="928"/>
      <c r="DA478" s="928"/>
      <c r="DB478" s="928"/>
      <c r="DC478" s="928"/>
      <c r="DD478" s="928"/>
      <c r="DE478" s="928"/>
      <c r="DF478" s="928"/>
      <c r="DG478" s="928"/>
      <c r="DH478" s="928"/>
    </row>
    <row r="479" spans="3:112">
      <c r="C479" s="891" t="s">
        <v>38</v>
      </c>
      <c r="D479" s="897">
        <v>683.72</v>
      </c>
      <c r="H479" s="897"/>
      <c r="I479" s="897"/>
      <c r="J479" s="891"/>
      <c r="K479" s="891"/>
      <c r="L479" s="891"/>
      <c r="M479" s="891"/>
      <c r="N479" s="891"/>
      <c r="O479" s="891"/>
      <c r="P479" s="891"/>
      <c r="Q479" s="891"/>
      <c r="R479" s="891"/>
      <c r="S479" s="891"/>
      <c r="T479" s="891"/>
      <c r="U479" s="928"/>
      <c r="V479" s="928"/>
      <c r="W479" s="928"/>
      <c r="X479" s="928"/>
      <c r="Y479" s="928"/>
      <c r="Z479" s="928"/>
      <c r="AA479" s="928"/>
      <c r="AB479" s="928"/>
      <c r="AC479" s="928"/>
      <c r="AD479" s="928"/>
      <c r="AE479" s="928"/>
      <c r="AF479" s="928"/>
      <c r="AG479" s="928"/>
      <c r="AH479" s="928"/>
      <c r="AI479" s="928"/>
      <c r="AJ479" s="928"/>
      <c r="AK479" s="928"/>
      <c r="AL479" s="928"/>
      <c r="AM479" s="928"/>
      <c r="AN479" s="928"/>
      <c r="AO479" s="928"/>
      <c r="AP479" s="928"/>
      <c r="AQ479" s="928"/>
      <c r="AR479" s="928"/>
      <c r="AS479" s="928"/>
      <c r="AT479" s="928"/>
      <c r="AU479" s="928"/>
      <c r="AV479" s="928"/>
      <c r="AW479" s="928"/>
      <c r="AX479" s="928"/>
      <c r="AY479" s="928"/>
      <c r="AZ479" s="928"/>
      <c r="BA479" s="928"/>
      <c r="BB479" s="928"/>
      <c r="BC479" s="928"/>
      <c r="BD479" s="928"/>
      <c r="BE479" s="928"/>
      <c r="BF479" s="928"/>
      <c r="BG479" s="928"/>
      <c r="BH479" s="928"/>
      <c r="BI479" s="928"/>
      <c r="BJ479" s="928"/>
      <c r="BK479" s="928"/>
      <c r="BL479" s="928"/>
      <c r="BM479" s="928"/>
      <c r="BN479" s="928"/>
      <c r="BO479" s="928"/>
      <c r="BP479" s="928"/>
      <c r="BQ479" s="928"/>
      <c r="BR479" s="928"/>
      <c r="BS479" s="928"/>
      <c r="BT479" s="928"/>
      <c r="BU479" s="928"/>
      <c r="BV479" s="928"/>
      <c r="BW479" s="928"/>
      <c r="BX479" s="928"/>
      <c r="BY479" s="928"/>
      <c r="BZ479" s="928"/>
      <c r="CA479" s="928"/>
      <c r="CB479" s="928"/>
      <c r="CC479" s="928"/>
      <c r="CD479" s="928"/>
      <c r="CE479" s="928"/>
      <c r="CF479" s="928"/>
      <c r="CG479" s="928"/>
      <c r="CH479" s="928"/>
      <c r="CI479" s="928"/>
      <c r="CJ479" s="928"/>
      <c r="CK479" s="928"/>
      <c r="CL479" s="928"/>
      <c r="CM479" s="928"/>
      <c r="CN479" s="928"/>
      <c r="CO479" s="928"/>
      <c r="CP479" s="928"/>
      <c r="CQ479" s="928"/>
      <c r="CR479" s="928"/>
      <c r="CS479" s="928"/>
      <c r="CT479" s="928"/>
      <c r="CU479" s="928"/>
      <c r="CV479" s="928"/>
      <c r="CW479" s="928"/>
      <c r="CX479" s="928"/>
      <c r="CY479" s="928"/>
      <c r="CZ479" s="928"/>
      <c r="DA479" s="928"/>
      <c r="DB479" s="928"/>
      <c r="DC479" s="928"/>
      <c r="DD479" s="928"/>
      <c r="DE479" s="928"/>
      <c r="DF479" s="928"/>
      <c r="DG479" s="928"/>
      <c r="DH479" s="928"/>
    </row>
    <row r="480" spans="3:112">
      <c r="C480" s="891" t="s">
        <v>18</v>
      </c>
      <c r="D480" s="897">
        <v>679.94</v>
      </c>
      <c r="H480" s="897"/>
      <c r="I480" s="897"/>
      <c r="J480" s="891"/>
      <c r="K480" s="891"/>
      <c r="L480" s="891"/>
      <c r="M480" s="891"/>
      <c r="N480" s="891"/>
      <c r="O480" s="891"/>
      <c r="P480" s="891"/>
      <c r="Q480" s="891"/>
      <c r="R480" s="891"/>
      <c r="S480" s="891"/>
      <c r="T480" s="891"/>
      <c r="U480" s="928"/>
      <c r="V480" s="928"/>
      <c r="W480" s="928"/>
      <c r="X480" s="928"/>
      <c r="Y480" s="928"/>
      <c r="Z480" s="928"/>
      <c r="AA480" s="928"/>
      <c r="AB480" s="928"/>
      <c r="AC480" s="928"/>
      <c r="AD480" s="928"/>
      <c r="AE480" s="928"/>
      <c r="AF480" s="928"/>
      <c r="AG480" s="928"/>
      <c r="AH480" s="928"/>
      <c r="AI480" s="928"/>
      <c r="AJ480" s="928"/>
      <c r="AK480" s="928"/>
      <c r="AL480" s="928"/>
      <c r="AM480" s="928"/>
      <c r="AN480" s="928"/>
      <c r="AO480" s="928"/>
      <c r="AP480" s="928"/>
      <c r="AQ480" s="928"/>
      <c r="AR480" s="928"/>
      <c r="AS480" s="928"/>
      <c r="AT480" s="928"/>
      <c r="AU480" s="928"/>
      <c r="AV480" s="928"/>
      <c r="AW480" s="928"/>
      <c r="AX480" s="928"/>
      <c r="AY480" s="928"/>
      <c r="AZ480" s="928"/>
      <c r="BA480" s="928"/>
      <c r="BB480" s="928"/>
      <c r="BC480" s="928"/>
      <c r="BD480" s="928"/>
      <c r="BE480" s="928"/>
      <c r="BF480" s="928"/>
      <c r="BG480" s="928"/>
      <c r="BH480" s="928"/>
      <c r="BI480" s="928"/>
      <c r="BJ480" s="928"/>
      <c r="BK480" s="928"/>
      <c r="BL480" s="928"/>
      <c r="BM480" s="928"/>
      <c r="BN480" s="928"/>
      <c r="BO480" s="928"/>
      <c r="BP480" s="928"/>
      <c r="BQ480" s="928"/>
      <c r="BR480" s="928"/>
      <c r="BS480" s="928"/>
      <c r="BT480" s="928"/>
      <c r="BU480" s="928"/>
      <c r="BV480" s="928"/>
      <c r="BW480" s="928"/>
      <c r="BX480" s="928"/>
      <c r="BY480" s="928"/>
      <c r="BZ480" s="928"/>
      <c r="CA480" s="928"/>
      <c r="CB480" s="928"/>
      <c r="CC480" s="928"/>
      <c r="CD480" s="928"/>
      <c r="CE480" s="928"/>
      <c r="CF480" s="928"/>
      <c r="CG480" s="928"/>
      <c r="CH480" s="928"/>
      <c r="CI480" s="928"/>
      <c r="CJ480" s="928"/>
      <c r="CK480" s="928"/>
      <c r="CL480" s="928"/>
      <c r="CM480" s="928"/>
      <c r="CN480" s="928"/>
      <c r="CO480" s="928"/>
      <c r="CP480" s="928"/>
      <c r="CQ480" s="928"/>
      <c r="CR480" s="928"/>
      <c r="CS480" s="928"/>
      <c r="CT480" s="928"/>
      <c r="CU480" s="928"/>
      <c r="CV480" s="928"/>
      <c r="CW480" s="928"/>
      <c r="CX480" s="928"/>
      <c r="CY480" s="928"/>
      <c r="CZ480" s="928"/>
      <c r="DA480" s="928"/>
      <c r="DB480" s="928"/>
      <c r="DC480" s="928"/>
      <c r="DD480" s="928"/>
      <c r="DE480" s="928"/>
      <c r="DF480" s="928"/>
      <c r="DG480" s="928"/>
      <c r="DH480" s="928"/>
    </row>
    <row r="481" spans="3:112">
      <c r="C481" s="891" t="s">
        <v>5</v>
      </c>
      <c r="D481" s="897">
        <v>678.61</v>
      </c>
      <c r="H481" s="897"/>
      <c r="I481" s="897"/>
      <c r="J481" s="891"/>
      <c r="K481" s="891"/>
      <c r="L481" s="891"/>
      <c r="M481" s="891"/>
      <c r="N481" s="891"/>
      <c r="O481" s="891"/>
      <c r="P481" s="891"/>
      <c r="Q481" s="891"/>
      <c r="R481" s="891"/>
      <c r="S481" s="891"/>
      <c r="T481" s="891"/>
      <c r="U481" s="928"/>
      <c r="V481" s="928"/>
      <c r="W481" s="928"/>
      <c r="X481" s="928"/>
      <c r="Y481" s="928"/>
      <c r="Z481" s="928"/>
      <c r="AA481" s="928"/>
      <c r="AB481" s="928"/>
      <c r="AC481" s="928"/>
      <c r="AD481" s="928"/>
      <c r="AE481" s="928"/>
      <c r="AF481" s="928"/>
      <c r="AG481" s="928"/>
      <c r="AH481" s="928"/>
      <c r="AI481" s="928"/>
      <c r="AJ481" s="928"/>
      <c r="AK481" s="928"/>
      <c r="AL481" s="928"/>
      <c r="AM481" s="928"/>
      <c r="AN481" s="928"/>
      <c r="AO481" s="928"/>
      <c r="AP481" s="928"/>
      <c r="AQ481" s="928"/>
      <c r="AR481" s="928"/>
      <c r="AS481" s="928"/>
      <c r="AT481" s="928"/>
      <c r="AU481" s="928"/>
      <c r="AV481" s="928"/>
      <c r="AW481" s="928"/>
      <c r="AX481" s="928"/>
      <c r="AY481" s="928"/>
      <c r="AZ481" s="928"/>
      <c r="BA481" s="928"/>
      <c r="BB481" s="928"/>
      <c r="BC481" s="928"/>
      <c r="BD481" s="928"/>
      <c r="BE481" s="928"/>
      <c r="BF481" s="928"/>
      <c r="BG481" s="928"/>
      <c r="BH481" s="928"/>
      <c r="BI481" s="928"/>
      <c r="BJ481" s="928"/>
      <c r="BK481" s="928"/>
      <c r="BL481" s="928"/>
      <c r="BM481" s="928"/>
      <c r="BN481" s="928"/>
      <c r="BO481" s="928"/>
      <c r="BP481" s="928"/>
      <c r="BQ481" s="928"/>
      <c r="BR481" s="928"/>
      <c r="BS481" s="928"/>
      <c r="BT481" s="928"/>
      <c r="BU481" s="928"/>
      <c r="BV481" s="928"/>
      <c r="BW481" s="928"/>
      <c r="BX481" s="928"/>
      <c r="BY481" s="928"/>
      <c r="BZ481" s="928"/>
      <c r="CA481" s="928"/>
      <c r="CB481" s="928"/>
      <c r="CC481" s="928"/>
      <c r="CD481" s="928"/>
      <c r="CE481" s="928"/>
      <c r="CF481" s="928"/>
      <c r="CG481" s="928"/>
      <c r="CH481" s="928"/>
      <c r="CI481" s="928"/>
      <c r="CJ481" s="928"/>
      <c r="CK481" s="928"/>
      <c r="CL481" s="928"/>
      <c r="CM481" s="928"/>
      <c r="CN481" s="928"/>
      <c r="CO481" s="928"/>
      <c r="CP481" s="928"/>
      <c r="CQ481" s="928"/>
      <c r="CR481" s="928"/>
      <c r="CS481" s="928"/>
      <c r="CT481" s="928"/>
      <c r="CU481" s="928"/>
      <c r="CV481" s="928"/>
      <c r="CW481" s="928"/>
      <c r="CX481" s="928"/>
      <c r="CY481" s="928"/>
      <c r="CZ481" s="928"/>
      <c r="DA481" s="928"/>
      <c r="DB481" s="928"/>
      <c r="DC481" s="928"/>
      <c r="DD481" s="928"/>
      <c r="DE481" s="928"/>
      <c r="DF481" s="928"/>
      <c r="DG481" s="928"/>
      <c r="DH481" s="928"/>
    </row>
    <row r="482" spans="3:112">
      <c r="C482" s="891" t="s">
        <v>84</v>
      </c>
      <c r="D482" s="897">
        <v>676.17</v>
      </c>
      <c r="H482" s="897"/>
      <c r="I482" s="897"/>
      <c r="J482" s="891"/>
      <c r="K482" s="891"/>
      <c r="L482" s="891"/>
      <c r="M482" s="891"/>
      <c r="N482" s="891"/>
      <c r="O482" s="891"/>
      <c r="P482" s="891"/>
      <c r="Q482" s="891"/>
      <c r="R482" s="891"/>
      <c r="S482" s="891"/>
      <c r="T482" s="891"/>
      <c r="U482" s="928"/>
      <c r="V482" s="928"/>
      <c r="W482" s="928"/>
      <c r="X482" s="928"/>
      <c r="Y482" s="928"/>
      <c r="Z482" s="928"/>
      <c r="AA482" s="928"/>
      <c r="AB482" s="928"/>
      <c r="AC482" s="928"/>
      <c r="AD482" s="928"/>
      <c r="AE482" s="928"/>
      <c r="AF482" s="928"/>
      <c r="AG482" s="928"/>
      <c r="AH482" s="928"/>
      <c r="AI482" s="928"/>
      <c r="AJ482" s="928"/>
      <c r="AK482" s="928"/>
      <c r="AL482" s="928"/>
      <c r="AM482" s="928"/>
      <c r="AN482" s="928"/>
      <c r="AO482" s="928"/>
      <c r="AP482" s="928"/>
      <c r="AQ482" s="928"/>
      <c r="AR482" s="928"/>
      <c r="AS482" s="928"/>
      <c r="AT482" s="928"/>
      <c r="AU482" s="928"/>
      <c r="AV482" s="928"/>
      <c r="AW482" s="928"/>
      <c r="AX482" s="928"/>
      <c r="AY482" s="928"/>
      <c r="AZ482" s="928"/>
      <c r="BA482" s="928"/>
      <c r="BB482" s="928"/>
      <c r="BC482" s="928"/>
      <c r="BD482" s="928"/>
      <c r="BE482" s="928"/>
      <c r="BF482" s="928"/>
      <c r="BG482" s="928"/>
      <c r="BH482" s="928"/>
      <c r="BI482" s="928"/>
      <c r="BJ482" s="928"/>
      <c r="BK482" s="928"/>
      <c r="BL482" s="928"/>
      <c r="BM482" s="928"/>
      <c r="BN482" s="928"/>
      <c r="BO482" s="928"/>
      <c r="BP482" s="928"/>
      <c r="BQ482" s="928"/>
      <c r="BR482" s="928"/>
      <c r="BS482" s="928"/>
      <c r="BT482" s="928"/>
      <c r="BU482" s="928"/>
      <c r="BV482" s="928"/>
      <c r="BW482" s="928"/>
      <c r="BX482" s="928"/>
      <c r="BY482" s="928"/>
      <c r="BZ482" s="928"/>
      <c r="CA482" s="928"/>
      <c r="CB482" s="928"/>
      <c r="CC482" s="928"/>
      <c r="CD482" s="928"/>
      <c r="CE482" s="928"/>
      <c r="CF482" s="928"/>
      <c r="CG482" s="928"/>
      <c r="CH482" s="928"/>
      <c r="CI482" s="928"/>
      <c r="CJ482" s="928"/>
      <c r="CK482" s="928"/>
      <c r="CL482" s="928"/>
      <c r="CM482" s="928"/>
      <c r="CN482" s="928"/>
      <c r="CO482" s="928"/>
      <c r="CP482" s="928"/>
      <c r="CQ482" s="928"/>
      <c r="CR482" s="928"/>
      <c r="CS482" s="928"/>
      <c r="CT482" s="928"/>
      <c r="CU482" s="928"/>
      <c r="CV482" s="928"/>
      <c r="CW482" s="928"/>
      <c r="CX482" s="928"/>
      <c r="CY482" s="928"/>
      <c r="CZ482" s="928"/>
      <c r="DA482" s="928"/>
      <c r="DB482" s="928"/>
      <c r="DC482" s="928"/>
      <c r="DD482" s="928"/>
      <c r="DE482" s="928"/>
      <c r="DF482" s="928"/>
      <c r="DG482" s="928"/>
      <c r="DH482" s="928"/>
    </row>
    <row r="483" spans="3:112">
      <c r="C483" s="891" t="s">
        <v>27</v>
      </c>
      <c r="D483" s="897">
        <v>676.16</v>
      </c>
      <c r="H483" s="897"/>
      <c r="I483" s="897"/>
      <c r="J483" s="891"/>
      <c r="K483" s="891"/>
      <c r="L483" s="891"/>
      <c r="M483" s="891"/>
      <c r="N483" s="891"/>
      <c r="O483" s="891"/>
      <c r="P483" s="891"/>
      <c r="Q483" s="891"/>
      <c r="R483" s="891"/>
      <c r="S483" s="891"/>
      <c r="T483" s="891"/>
      <c r="U483" s="928"/>
      <c r="V483" s="928"/>
      <c r="W483" s="928"/>
      <c r="X483" s="928"/>
      <c r="Y483" s="928"/>
      <c r="Z483" s="928"/>
      <c r="AA483" s="928"/>
      <c r="AB483" s="928"/>
      <c r="AC483" s="928"/>
      <c r="AD483" s="928"/>
      <c r="AE483" s="928"/>
      <c r="AF483" s="928"/>
      <c r="AG483" s="928"/>
      <c r="AH483" s="928"/>
      <c r="AI483" s="928"/>
      <c r="AJ483" s="928"/>
      <c r="AK483" s="928"/>
      <c r="AL483" s="928"/>
      <c r="AM483" s="928"/>
      <c r="AN483" s="928"/>
      <c r="AO483" s="928"/>
      <c r="AP483" s="928"/>
      <c r="AQ483" s="928"/>
      <c r="AR483" s="928"/>
      <c r="AS483" s="928"/>
      <c r="AT483" s="928"/>
      <c r="AU483" s="928"/>
      <c r="AV483" s="928"/>
      <c r="AW483" s="928"/>
      <c r="AX483" s="928"/>
      <c r="AY483" s="928"/>
      <c r="AZ483" s="928"/>
      <c r="BA483" s="928"/>
      <c r="BB483" s="928"/>
      <c r="BC483" s="928"/>
      <c r="BD483" s="928"/>
      <c r="BE483" s="928"/>
      <c r="BF483" s="928"/>
      <c r="BG483" s="928"/>
      <c r="BH483" s="928"/>
      <c r="BI483" s="928"/>
      <c r="BJ483" s="928"/>
      <c r="BK483" s="928"/>
      <c r="BL483" s="928"/>
      <c r="BM483" s="928"/>
      <c r="BN483" s="928"/>
      <c r="BO483" s="928"/>
      <c r="BP483" s="928"/>
      <c r="BQ483" s="928"/>
      <c r="BR483" s="928"/>
      <c r="BS483" s="928"/>
      <c r="BT483" s="928"/>
      <c r="BU483" s="928"/>
      <c r="BV483" s="928"/>
      <c r="BW483" s="928"/>
      <c r="BX483" s="928"/>
      <c r="BY483" s="928"/>
      <c r="BZ483" s="928"/>
      <c r="CA483" s="928"/>
      <c r="CB483" s="928"/>
      <c r="CC483" s="928"/>
      <c r="CD483" s="928"/>
      <c r="CE483" s="928"/>
      <c r="CF483" s="928"/>
      <c r="CG483" s="928"/>
      <c r="CH483" s="928"/>
      <c r="CI483" s="928"/>
      <c r="CJ483" s="928"/>
      <c r="CK483" s="928"/>
      <c r="CL483" s="928"/>
      <c r="CM483" s="928"/>
      <c r="CN483" s="928"/>
      <c r="CO483" s="928"/>
      <c r="CP483" s="928"/>
      <c r="CQ483" s="928"/>
      <c r="CR483" s="928"/>
      <c r="CS483" s="928"/>
      <c r="CT483" s="928"/>
      <c r="CU483" s="928"/>
      <c r="CV483" s="928"/>
      <c r="CW483" s="928"/>
      <c r="CX483" s="928"/>
      <c r="CY483" s="928"/>
      <c r="CZ483" s="928"/>
      <c r="DA483" s="928"/>
      <c r="DB483" s="928"/>
      <c r="DC483" s="928"/>
      <c r="DD483" s="928"/>
      <c r="DE483" s="928"/>
      <c r="DF483" s="928"/>
      <c r="DG483" s="928"/>
      <c r="DH483" s="928"/>
    </row>
    <row r="484" spans="3:112">
      <c r="C484" s="891" t="s">
        <v>273</v>
      </c>
      <c r="D484" s="897">
        <v>673.75</v>
      </c>
      <c r="H484" s="897"/>
      <c r="I484" s="897"/>
      <c r="J484" s="891"/>
      <c r="K484" s="891"/>
      <c r="L484" s="891"/>
      <c r="M484" s="891"/>
      <c r="N484" s="891"/>
      <c r="O484" s="891"/>
      <c r="P484" s="891"/>
      <c r="Q484" s="891"/>
      <c r="R484" s="891"/>
      <c r="S484" s="891"/>
      <c r="T484" s="891"/>
      <c r="U484" s="928"/>
      <c r="V484" s="928"/>
      <c r="W484" s="928"/>
      <c r="X484" s="928"/>
      <c r="Y484" s="928"/>
      <c r="Z484" s="928"/>
      <c r="AA484" s="928"/>
      <c r="AB484" s="928"/>
      <c r="AC484" s="928"/>
      <c r="AD484" s="928"/>
      <c r="AE484" s="928"/>
      <c r="AF484" s="928"/>
      <c r="AG484" s="928"/>
      <c r="AH484" s="928"/>
      <c r="AI484" s="928"/>
      <c r="AJ484" s="928"/>
      <c r="AK484" s="928"/>
      <c r="AL484" s="928"/>
      <c r="AM484" s="928"/>
      <c r="AN484" s="928"/>
      <c r="AO484" s="928"/>
      <c r="AP484" s="928"/>
      <c r="AQ484" s="928"/>
      <c r="AR484" s="928"/>
      <c r="AS484" s="928"/>
      <c r="AT484" s="928"/>
      <c r="AU484" s="928"/>
      <c r="AV484" s="928"/>
      <c r="AW484" s="928"/>
      <c r="AX484" s="928"/>
      <c r="AY484" s="928"/>
      <c r="AZ484" s="928"/>
      <c r="BA484" s="928"/>
      <c r="BB484" s="928"/>
      <c r="BC484" s="928"/>
      <c r="BD484" s="928"/>
      <c r="BE484" s="928"/>
      <c r="BF484" s="928"/>
      <c r="BG484" s="928"/>
      <c r="BH484" s="928"/>
      <c r="BI484" s="928"/>
      <c r="BJ484" s="928"/>
      <c r="BK484" s="928"/>
      <c r="BL484" s="928"/>
      <c r="BM484" s="928"/>
      <c r="BN484" s="928"/>
      <c r="BO484" s="928"/>
      <c r="BP484" s="928"/>
      <c r="BQ484" s="928"/>
      <c r="BR484" s="928"/>
      <c r="BS484" s="928"/>
      <c r="BT484" s="928"/>
      <c r="BU484" s="928"/>
      <c r="BV484" s="928"/>
      <c r="BW484" s="928"/>
      <c r="BX484" s="928"/>
      <c r="BY484" s="928"/>
      <c r="BZ484" s="928"/>
      <c r="CA484" s="928"/>
      <c r="CB484" s="928"/>
      <c r="CC484" s="928"/>
      <c r="CD484" s="928"/>
      <c r="CE484" s="928"/>
      <c r="CF484" s="928"/>
      <c r="CG484" s="928"/>
      <c r="CH484" s="928"/>
      <c r="CI484" s="928"/>
      <c r="CJ484" s="928"/>
      <c r="CK484" s="928"/>
      <c r="CL484" s="928"/>
      <c r="CM484" s="928"/>
      <c r="CN484" s="928"/>
      <c r="CO484" s="928"/>
      <c r="CP484" s="928"/>
      <c r="CQ484" s="928"/>
      <c r="CR484" s="928"/>
      <c r="CS484" s="928"/>
      <c r="CT484" s="928"/>
      <c r="CU484" s="928"/>
      <c r="CV484" s="928"/>
      <c r="CW484" s="928"/>
      <c r="CX484" s="928"/>
      <c r="CY484" s="928"/>
      <c r="CZ484" s="928"/>
      <c r="DA484" s="928"/>
      <c r="DB484" s="928"/>
      <c r="DC484" s="928"/>
      <c r="DD484" s="928"/>
      <c r="DE484" s="928"/>
      <c r="DF484" s="928"/>
      <c r="DG484" s="928"/>
      <c r="DH484" s="928"/>
    </row>
    <row r="485" spans="3:112">
      <c r="C485" s="891" t="s">
        <v>155</v>
      </c>
      <c r="D485" s="897">
        <v>673</v>
      </c>
      <c r="H485" s="897"/>
      <c r="I485" s="897"/>
      <c r="J485" s="891"/>
      <c r="K485" s="891"/>
      <c r="L485" s="891"/>
      <c r="M485" s="891"/>
      <c r="N485" s="891"/>
      <c r="O485" s="891"/>
      <c r="P485" s="891"/>
      <c r="Q485" s="891"/>
      <c r="R485" s="891"/>
      <c r="S485" s="891"/>
      <c r="T485" s="891"/>
      <c r="U485" s="928"/>
      <c r="V485" s="928"/>
      <c r="W485" s="928"/>
      <c r="X485" s="928"/>
      <c r="Y485" s="928"/>
      <c r="Z485" s="928"/>
      <c r="AA485" s="928"/>
      <c r="AB485" s="928"/>
      <c r="AC485" s="928"/>
      <c r="AD485" s="928"/>
      <c r="AE485" s="928"/>
      <c r="AF485" s="928"/>
      <c r="AG485" s="928"/>
      <c r="AH485" s="928"/>
      <c r="AI485" s="928"/>
      <c r="AJ485" s="928"/>
      <c r="AK485" s="928"/>
      <c r="AL485" s="928"/>
      <c r="AM485" s="928"/>
      <c r="AN485" s="928"/>
      <c r="AO485" s="928"/>
      <c r="AP485" s="928"/>
      <c r="AQ485" s="928"/>
      <c r="AR485" s="928"/>
      <c r="AS485" s="928"/>
      <c r="AT485" s="928"/>
      <c r="AU485" s="928"/>
      <c r="AV485" s="928"/>
      <c r="AW485" s="928"/>
      <c r="AX485" s="928"/>
      <c r="AY485" s="928"/>
      <c r="AZ485" s="928"/>
      <c r="BA485" s="928"/>
      <c r="BB485" s="928"/>
      <c r="BC485" s="928"/>
      <c r="BD485" s="928"/>
      <c r="BE485" s="928"/>
      <c r="BF485" s="928"/>
      <c r="BG485" s="928"/>
      <c r="BH485" s="928"/>
      <c r="BI485" s="928"/>
      <c r="BJ485" s="928"/>
      <c r="BK485" s="928"/>
      <c r="BL485" s="928"/>
      <c r="BM485" s="928"/>
      <c r="BN485" s="928"/>
      <c r="BO485" s="928"/>
      <c r="BP485" s="928"/>
      <c r="BQ485" s="928"/>
      <c r="BR485" s="928"/>
      <c r="BS485" s="928"/>
      <c r="BT485" s="928"/>
      <c r="BU485" s="928"/>
      <c r="BV485" s="928"/>
      <c r="BW485" s="928"/>
      <c r="BX485" s="928"/>
      <c r="BY485" s="928"/>
      <c r="BZ485" s="928"/>
      <c r="CA485" s="928"/>
      <c r="CB485" s="928"/>
      <c r="CC485" s="928"/>
      <c r="CD485" s="928"/>
      <c r="CE485" s="928"/>
      <c r="CF485" s="928"/>
      <c r="CG485" s="928"/>
      <c r="CH485" s="928"/>
      <c r="CI485" s="928"/>
      <c r="CJ485" s="928"/>
      <c r="CK485" s="928"/>
      <c r="CL485" s="928"/>
      <c r="CM485" s="928"/>
      <c r="CN485" s="928"/>
      <c r="CO485" s="928"/>
      <c r="CP485" s="928"/>
      <c r="CQ485" s="928"/>
      <c r="CR485" s="928"/>
      <c r="CS485" s="928"/>
      <c r="CT485" s="928"/>
      <c r="CU485" s="928"/>
      <c r="CV485" s="928"/>
      <c r="CW485" s="928"/>
      <c r="CX485" s="928"/>
      <c r="CY485" s="928"/>
      <c r="CZ485" s="928"/>
      <c r="DA485" s="928"/>
      <c r="DB485" s="928"/>
      <c r="DC485" s="928"/>
      <c r="DD485" s="928"/>
      <c r="DE485" s="928"/>
      <c r="DF485" s="928"/>
      <c r="DG485" s="928"/>
      <c r="DH485" s="928"/>
    </row>
    <row r="486" spans="3:112">
      <c r="C486" s="891" t="s">
        <v>113</v>
      </c>
      <c r="D486" s="897">
        <v>669.65</v>
      </c>
      <c r="H486" s="897"/>
      <c r="I486" s="897"/>
      <c r="J486" s="891"/>
      <c r="K486" s="891"/>
      <c r="L486" s="891"/>
      <c r="M486" s="891"/>
      <c r="N486" s="891"/>
      <c r="O486" s="891"/>
      <c r="P486" s="891"/>
      <c r="Q486" s="891"/>
      <c r="R486" s="891"/>
      <c r="S486" s="891"/>
      <c r="T486" s="891"/>
      <c r="U486" s="928"/>
      <c r="V486" s="928"/>
      <c r="W486" s="928"/>
      <c r="X486" s="928"/>
      <c r="Y486" s="928"/>
      <c r="Z486" s="928"/>
      <c r="AA486" s="928"/>
      <c r="AB486" s="928"/>
      <c r="AC486" s="928"/>
      <c r="AD486" s="928"/>
      <c r="AE486" s="928"/>
      <c r="AF486" s="928"/>
      <c r="AG486" s="928"/>
      <c r="AH486" s="928"/>
      <c r="AI486" s="928"/>
      <c r="AJ486" s="928"/>
      <c r="AK486" s="928"/>
      <c r="AL486" s="928"/>
      <c r="AM486" s="928"/>
      <c r="AN486" s="928"/>
      <c r="AO486" s="928"/>
      <c r="AP486" s="928"/>
      <c r="AQ486" s="928"/>
      <c r="AR486" s="928"/>
      <c r="AS486" s="928"/>
      <c r="AT486" s="928"/>
      <c r="AU486" s="928"/>
      <c r="AV486" s="928"/>
      <c r="AW486" s="928"/>
      <c r="AX486" s="928"/>
      <c r="AY486" s="928"/>
      <c r="AZ486" s="928"/>
      <c r="BA486" s="928"/>
      <c r="BB486" s="928"/>
      <c r="BC486" s="928"/>
      <c r="BD486" s="928"/>
      <c r="BE486" s="928"/>
      <c r="BF486" s="928"/>
      <c r="BG486" s="928"/>
      <c r="BH486" s="928"/>
      <c r="BI486" s="928"/>
      <c r="BJ486" s="928"/>
      <c r="BK486" s="928"/>
      <c r="BL486" s="928"/>
      <c r="BM486" s="928"/>
      <c r="BN486" s="928"/>
      <c r="BO486" s="928"/>
      <c r="BP486" s="928"/>
      <c r="BQ486" s="928"/>
      <c r="BR486" s="928"/>
      <c r="BS486" s="928"/>
      <c r="BT486" s="928"/>
      <c r="BU486" s="928"/>
      <c r="BV486" s="928"/>
      <c r="BW486" s="928"/>
      <c r="BX486" s="928"/>
      <c r="BY486" s="928"/>
      <c r="BZ486" s="928"/>
      <c r="CA486" s="928"/>
      <c r="CB486" s="928"/>
      <c r="CC486" s="928"/>
      <c r="CD486" s="928"/>
      <c r="CE486" s="928"/>
      <c r="CF486" s="928"/>
      <c r="CG486" s="928"/>
      <c r="CH486" s="928"/>
      <c r="CI486" s="928"/>
      <c r="CJ486" s="928"/>
      <c r="CK486" s="928"/>
      <c r="CL486" s="928"/>
      <c r="CM486" s="928"/>
      <c r="CN486" s="928"/>
      <c r="CO486" s="928"/>
      <c r="CP486" s="928"/>
      <c r="CQ486" s="928"/>
      <c r="CR486" s="928"/>
      <c r="CS486" s="928"/>
      <c r="CT486" s="928"/>
      <c r="CU486" s="928"/>
      <c r="CV486" s="928"/>
      <c r="CW486" s="928"/>
      <c r="CX486" s="928"/>
      <c r="CY486" s="928"/>
      <c r="CZ486" s="928"/>
      <c r="DA486" s="928"/>
      <c r="DB486" s="928"/>
      <c r="DC486" s="928"/>
      <c r="DD486" s="928"/>
      <c r="DE486" s="928"/>
      <c r="DF486" s="928"/>
      <c r="DG486" s="928"/>
      <c r="DH486" s="928"/>
    </row>
    <row r="487" spans="3:112">
      <c r="C487" s="891" t="s">
        <v>63</v>
      </c>
      <c r="D487" s="897">
        <v>664.59</v>
      </c>
      <c r="H487" s="897"/>
      <c r="I487" s="897"/>
      <c r="J487" s="891"/>
      <c r="K487" s="891"/>
      <c r="L487" s="891"/>
      <c r="M487" s="891"/>
      <c r="N487" s="891"/>
      <c r="O487" s="891"/>
      <c r="P487" s="891"/>
      <c r="Q487" s="891"/>
      <c r="R487" s="891"/>
      <c r="S487" s="891"/>
      <c r="T487" s="891"/>
      <c r="U487" s="928"/>
      <c r="V487" s="928"/>
      <c r="W487" s="928"/>
      <c r="X487" s="928"/>
      <c r="Y487" s="928"/>
      <c r="Z487" s="928"/>
      <c r="AA487" s="928"/>
      <c r="AB487" s="928"/>
      <c r="AC487" s="928"/>
      <c r="AD487" s="928"/>
      <c r="AE487" s="928"/>
      <c r="AF487" s="928"/>
      <c r="AG487" s="928"/>
      <c r="AH487" s="928"/>
      <c r="AI487" s="928"/>
      <c r="AJ487" s="928"/>
      <c r="AK487" s="928"/>
      <c r="AL487" s="928"/>
      <c r="AM487" s="928"/>
      <c r="AN487" s="928"/>
      <c r="AO487" s="928"/>
      <c r="AP487" s="928"/>
      <c r="AQ487" s="928"/>
      <c r="AR487" s="928"/>
      <c r="AS487" s="928"/>
      <c r="AT487" s="928"/>
      <c r="AU487" s="928"/>
      <c r="AV487" s="928"/>
      <c r="AW487" s="928"/>
      <c r="AX487" s="928"/>
      <c r="AY487" s="928"/>
      <c r="AZ487" s="928"/>
      <c r="BA487" s="928"/>
      <c r="BB487" s="928"/>
      <c r="BC487" s="928"/>
      <c r="BD487" s="928"/>
      <c r="BE487" s="928"/>
      <c r="BF487" s="928"/>
      <c r="BG487" s="928"/>
      <c r="BH487" s="928"/>
      <c r="BI487" s="928"/>
      <c r="BJ487" s="928"/>
      <c r="BK487" s="928"/>
      <c r="BL487" s="928"/>
      <c r="BM487" s="928"/>
      <c r="BN487" s="928"/>
      <c r="BO487" s="928"/>
      <c r="BP487" s="928"/>
      <c r="BQ487" s="928"/>
      <c r="BR487" s="928"/>
      <c r="BS487" s="928"/>
      <c r="BT487" s="928"/>
      <c r="BU487" s="928"/>
      <c r="BV487" s="928"/>
      <c r="BW487" s="928"/>
      <c r="BX487" s="928"/>
      <c r="BY487" s="928"/>
      <c r="BZ487" s="928"/>
      <c r="CA487" s="928"/>
      <c r="CB487" s="928"/>
      <c r="CC487" s="928"/>
      <c r="CD487" s="928"/>
      <c r="CE487" s="928"/>
      <c r="CF487" s="928"/>
      <c r="CG487" s="928"/>
      <c r="CH487" s="928"/>
      <c r="CI487" s="928"/>
      <c r="CJ487" s="928"/>
      <c r="CK487" s="928"/>
      <c r="CL487" s="928"/>
      <c r="CM487" s="928"/>
      <c r="CN487" s="928"/>
      <c r="CO487" s="928"/>
      <c r="CP487" s="928"/>
      <c r="CQ487" s="928"/>
      <c r="CR487" s="928"/>
      <c r="CS487" s="928"/>
      <c r="CT487" s="928"/>
      <c r="CU487" s="928"/>
      <c r="CV487" s="928"/>
      <c r="CW487" s="928"/>
      <c r="CX487" s="928"/>
      <c r="CY487" s="928"/>
      <c r="CZ487" s="928"/>
      <c r="DA487" s="928"/>
      <c r="DB487" s="928"/>
      <c r="DC487" s="928"/>
      <c r="DD487" s="928"/>
      <c r="DE487" s="928"/>
      <c r="DF487" s="928"/>
      <c r="DG487" s="928"/>
      <c r="DH487" s="928"/>
    </row>
    <row r="488" spans="3:112">
      <c r="C488" s="891" t="s">
        <v>33</v>
      </c>
      <c r="D488" s="897">
        <v>661.46</v>
      </c>
      <c r="H488" s="897"/>
      <c r="I488" s="897"/>
      <c r="J488" s="891"/>
      <c r="K488" s="891"/>
      <c r="L488" s="891"/>
      <c r="M488" s="891"/>
      <c r="N488" s="891"/>
      <c r="O488" s="891"/>
      <c r="P488" s="891"/>
      <c r="Q488" s="891"/>
      <c r="R488" s="891"/>
      <c r="S488" s="891"/>
      <c r="T488" s="891"/>
      <c r="U488" s="928"/>
      <c r="V488" s="928"/>
      <c r="W488" s="928"/>
      <c r="X488" s="928"/>
      <c r="Y488" s="928"/>
      <c r="Z488" s="928"/>
      <c r="AA488" s="928"/>
      <c r="AB488" s="928"/>
      <c r="AC488" s="928"/>
      <c r="AD488" s="928"/>
      <c r="AE488" s="928"/>
      <c r="AF488" s="928"/>
      <c r="AG488" s="928"/>
      <c r="AH488" s="928"/>
      <c r="AI488" s="928"/>
      <c r="AJ488" s="928"/>
      <c r="AK488" s="928"/>
      <c r="AL488" s="928"/>
      <c r="AM488" s="928"/>
      <c r="AN488" s="928"/>
      <c r="AO488" s="928"/>
      <c r="AP488" s="928"/>
      <c r="AQ488" s="928"/>
      <c r="AR488" s="928"/>
      <c r="AS488" s="928"/>
      <c r="AT488" s="928"/>
      <c r="AU488" s="928"/>
      <c r="AV488" s="928"/>
      <c r="AW488" s="928"/>
      <c r="AX488" s="928"/>
      <c r="AY488" s="928"/>
      <c r="AZ488" s="928"/>
      <c r="BA488" s="928"/>
      <c r="BB488" s="928"/>
      <c r="BC488" s="928"/>
      <c r="BD488" s="928"/>
      <c r="BE488" s="928"/>
      <c r="BF488" s="928"/>
      <c r="BG488" s="928"/>
      <c r="BH488" s="928"/>
      <c r="BI488" s="928"/>
      <c r="BJ488" s="928"/>
      <c r="BK488" s="928"/>
      <c r="BL488" s="928"/>
      <c r="BM488" s="928"/>
      <c r="BN488" s="928"/>
      <c r="BO488" s="928"/>
      <c r="BP488" s="928"/>
      <c r="BQ488" s="928"/>
      <c r="BR488" s="928"/>
      <c r="BS488" s="928"/>
      <c r="BT488" s="928"/>
      <c r="BU488" s="928"/>
      <c r="BV488" s="928"/>
      <c r="BW488" s="928"/>
      <c r="BX488" s="928"/>
      <c r="BY488" s="928"/>
      <c r="BZ488" s="928"/>
      <c r="CA488" s="928"/>
      <c r="CB488" s="928"/>
      <c r="CC488" s="928"/>
      <c r="CD488" s="928"/>
      <c r="CE488" s="928"/>
      <c r="CF488" s="928"/>
      <c r="CG488" s="928"/>
      <c r="CH488" s="928"/>
      <c r="CI488" s="928"/>
      <c r="CJ488" s="928"/>
      <c r="CK488" s="928"/>
      <c r="CL488" s="928"/>
      <c r="CM488" s="928"/>
      <c r="CN488" s="928"/>
      <c r="CO488" s="928"/>
      <c r="CP488" s="928"/>
      <c r="CQ488" s="928"/>
      <c r="CR488" s="928"/>
      <c r="CS488" s="928"/>
      <c r="CT488" s="928"/>
      <c r="CU488" s="928"/>
      <c r="CV488" s="928"/>
      <c r="CW488" s="928"/>
      <c r="CX488" s="928"/>
      <c r="CY488" s="928"/>
      <c r="CZ488" s="928"/>
      <c r="DA488" s="928"/>
      <c r="DB488" s="928"/>
      <c r="DC488" s="928"/>
      <c r="DD488" s="928"/>
      <c r="DE488" s="928"/>
      <c r="DF488" s="928"/>
      <c r="DG488" s="928"/>
      <c r="DH488" s="928"/>
    </row>
    <row r="489" spans="3:112">
      <c r="C489" s="891" t="s">
        <v>34</v>
      </c>
      <c r="D489" s="897">
        <v>656.92</v>
      </c>
      <c r="H489" s="897"/>
      <c r="I489" s="897"/>
      <c r="J489" s="891"/>
      <c r="K489" s="891"/>
      <c r="L489" s="891"/>
      <c r="M489" s="891"/>
      <c r="N489" s="891"/>
      <c r="O489" s="891"/>
      <c r="P489" s="891"/>
      <c r="Q489" s="891"/>
      <c r="R489" s="891"/>
      <c r="S489" s="891"/>
      <c r="T489" s="891"/>
      <c r="U489" s="928"/>
      <c r="V489" s="928"/>
      <c r="W489" s="928"/>
      <c r="X489" s="928"/>
      <c r="Y489" s="928"/>
      <c r="Z489" s="928"/>
      <c r="AA489" s="928"/>
      <c r="AB489" s="928"/>
      <c r="AC489" s="928"/>
      <c r="AD489" s="928"/>
      <c r="AE489" s="928"/>
      <c r="AF489" s="928"/>
      <c r="AG489" s="928"/>
      <c r="AH489" s="928"/>
      <c r="AI489" s="928"/>
      <c r="AJ489" s="928"/>
      <c r="AK489" s="928"/>
      <c r="AL489" s="928"/>
      <c r="AM489" s="928"/>
      <c r="AN489" s="928"/>
      <c r="AO489" s="928"/>
      <c r="AP489" s="928"/>
      <c r="AQ489" s="928"/>
      <c r="AR489" s="928"/>
      <c r="AS489" s="928"/>
      <c r="AT489" s="928"/>
      <c r="AU489" s="928"/>
      <c r="AV489" s="928"/>
      <c r="AW489" s="928"/>
      <c r="AX489" s="928"/>
      <c r="AY489" s="928"/>
      <c r="AZ489" s="928"/>
      <c r="BA489" s="928"/>
      <c r="BB489" s="928"/>
      <c r="BC489" s="928"/>
      <c r="BD489" s="928"/>
      <c r="BE489" s="928"/>
      <c r="BF489" s="928"/>
      <c r="BG489" s="928"/>
      <c r="BH489" s="928"/>
      <c r="BI489" s="928"/>
      <c r="BJ489" s="928"/>
      <c r="BK489" s="928"/>
      <c r="BL489" s="928"/>
      <c r="BM489" s="928"/>
      <c r="BN489" s="928"/>
      <c r="BO489" s="928"/>
      <c r="BP489" s="928"/>
      <c r="BQ489" s="928"/>
      <c r="BR489" s="928"/>
      <c r="BS489" s="928"/>
      <c r="BT489" s="928"/>
      <c r="BU489" s="928"/>
      <c r="BV489" s="928"/>
      <c r="BW489" s="928"/>
      <c r="BX489" s="928"/>
      <c r="BY489" s="928"/>
      <c r="BZ489" s="928"/>
      <c r="CA489" s="928"/>
      <c r="CB489" s="928"/>
      <c r="CC489" s="928"/>
      <c r="CD489" s="928"/>
      <c r="CE489" s="928"/>
      <c r="CF489" s="928"/>
      <c r="CG489" s="928"/>
      <c r="CH489" s="928"/>
      <c r="CI489" s="928"/>
      <c r="CJ489" s="928"/>
      <c r="CK489" s="928"/>
      <c r="CL489" s="928"/>
      <c r="CM489" s="928"/>
      <c r="CN489" s="928"/>
      <c r="CO489" s="928"/>
      <c r="CP489" s="928"/>
      <c r="CQ489" s="928"/>
      <c r="CR489" s="928"/>
      <c r="CS489" s="928"/>
      <c r="CT489" s="928"/>
      <c r="CU489" s="928"/>
      <c r="CV489" s="928"/>
      <c r="CW489" s="928"/>
      <c r="CX489" s="928"/>
      <c r="CY489" s="928"/>
      <c r="CZ489" s="928"/>
      <c r="DA489" s="928"/>
      <c r="DB489" s="928"/>
      <c r="DC489" s="928"/>
      <c r="DD489" s="928"/>
      <c r="DE489" s="928"/>
      <c r="DF489" s="928"/>
      <c r="DG489" s="928"/>
      <c r="DH489" s="928"/>
    </row>
    <row r="490" spans="3:112">
      <c r="C490" s="891" t="s">
        <v>95</v>
      </c>
      <c r="D490" s="897">
        <v>654.82000000000005</v>
      </c>
      <c r="H490" s="897"/>
      <c r="I490" s="897"/>
      <c r="J490" s="891"/>
      <c r="K490" s="891"/>
      <c r="L490" s="891"/>
      <c r="M490" s="891"/>
      <c r="N490" s="891"/>
      <c r="O490" s="891"/>
      <c r="P490" s="891"/>
      <c r="Q490" s="891"/>
      <c r="R490" s="891"/>
      <c r="S490" s="891"/>
      <c r="T490" s="891"/>
      <c r="U490" s="928"/>
      <c r="V490" s="928"/>
      <c r="W490" s="928"/>
      <c r="X490" s="928"/>
      <c r="Y490" s="928"/>
      <c r="Z490" s="928"/>
      <c r="AA490" s="928"/>
      <c r="AB490" s="928"/>
      <c r="AC490" s="928"/>
      <c r="AD490" s="928"/>
      <c r="AE490" s="928"/>
      <c r="AF490" s="928"/>
      <c r="AG490" s="928"/>
      <c r="AH490" s="928"/>
      <c r="AI490" s="928"/>
      <c r="AJ490" s="928"/>
      <c r="AK490" s="928"/>
      <c r="AL490" s="928"/>
      <c r="AM490" s="928"/>
      <c r="AN490" s="928"/>
      <c r="AO490" s="928"/>
      <c r="AP490" s="928"/>
      <c r="AQ490" s="928"/>
      <c r="AR490" s="928"/>
      <c r="AS490" s="928"/>
      <c r="AT490" s="928"/>
      <c r="AU490" s="928"/>
      <c r="AV490" s="928"/>
      <c r="AW490" s="928"/>
      <c r="AX490" s="928"/>
      <c r="AY490" s="928"/>
      <c r="AZ490" s="928"/>
      <c r="BA490" s="928"/>
      <c r="BB490" s="928"/>
      <c r="BC490" s="928"/>
      <c r="BD490" s="928"/>
      <c r="BE490" s="928"/>
      <c r="BF490" s="928"/>
      <c r="BG490" s="928"/>
      <c r="BH490" s="928"/>
      <c r="BI490" s="928"/>
      <c r="BJ490" s="928"/>
      <c r="BK490" s="928"/>
      <c r="BL490" s="928"/>
      <c r="BM490" s="928"/>
      <c r="BN490" s="928"/>
      <c r="BO490" s="928"/>
      <c r="BP490" s="928"/>
      <c r="BQ490" s="928"/>
      <c r="BR490" s="928"/>
      <c r="BS490" s="928"/>
      <c r="BT490" s="928"/>
      <c r="BU490" s="928"/>
      <c r="BV490" s="928"/>
      <c r="BW490" s="928"/>
      <c r="BX490" s="928"/>
      <c r="BY490" s="928"/>
      <c r="BZ490" s="928"/>
      <c r="CA490" s="928"/>
      <c r="CB490" s="928"/>
      <c r="CC490" s="928"/>
      <c r="CD490" s="928"/>
      <c r="CE490" s="928"/>
      <c r="CF490" s="928"/>
      <c r="CG490" s="928"/>
      <c r="CH490" s="928"/>
      <c r="CI490" s="928"/>
      <c r="CJ490" s="928"/>
      <c r="CK490" s="928"/>
      <c r="CL490" s="928"/>
      <c r="CM490" s="928"/>
      <c r="CN490" s="928"/>
      <c r="CO490" s="928"/>
      <c r="CP490" s="928"/>
      <c r="CQ490" s="928"/>
      <c r="CR490" s="928"/>
      <c r="CS490" s="928"/>
      <c r="CT490" s="928"/>
      <c r="CU490" s="928"/>
      <c r="CV490" s="928"/>
      <c r="CW490" s="928"/>
      <c r="CX490" s="928"/>
      <c r="CY490" s="928"/>
      <c r="CZ490" s="928"/>
      <c r="DA490" s="928"/>
      <c r="DB490" s="928"/>
      <c r="DC490" s="928"/>
      <c r="DD490" s="928"/>
      <c r="DE490" s="928"/>
      <c r="DF490" s="928"/>
      <c r="DG490" s="928"/>
      <c r="DH490" s="928"/>
    </row>
    <row r="491" spans="3:112">
      <c r="C491" s="891" t="s">
        <v>213</v>
      </c>
      <c r="D491" s="897">
        <v>654.74</v>
      </c>
      <c r="H491" s="897"/>
      <c r="I491" s="897"/>
      <c r="J491" s="891"/>
      <c r="K491" s="891"/>
      <c r="L491" s="891"/>
      <c r="M491" s="891"/>
      <c r="N491" s="891"/>
      <c r="O491" s="891"/>
      <c r="P491" s="891"/>
      <c r="Q491" s="891"/>
      <c r="R491" s="891"/>
      <c r="S491" s="891"/>
      <c r="T491" s="891"/>
      <c r="U491" s="928"/>
      <c r="V491" s="928"/>
      <c r="W491" s="928"/>
      <c r="X491" s="928"/>
      <c r="Y491" s="928"/>
      <c r="Z491" s="928"/>
      <c r="AA491" s="928"/>
      <c r="AB491" s="928"/>
      <c r="AC491" s="928"/>
      <c r="AD491" s="928"/>
      <c r="AE491" s="928"/>
      <c r="AF491" s="928"/>
      <c r="AG491" s="928"/>
      <c r="AH491" s="928"/>
      <c r="AI491" s="928"/>
      <c r="AJ491" s="928"/>
      <c r="AK491" s="928"/>
      <c r="AL491" s="928"/>
      <c r="AM491" s="928"/>
      <c r="AN491" s="928"/>
      <c r="AO491" s="928"/>
      <c r="AP491" s="928"/>
      <c r="AQ491" s="928"/>
      <c r="AR491" s="928"/>
      <c r="AS491" s="928"/>
      <c r="AT491" s="928"/>
      <c r="AU491" s="928"/>
      <c r="AV491" s="928"/>
      <c r="AW491" s="928"/>
      <c r="AX491" s="928"/>
      <c r="AY491" s="928"/>
      <c r="AZ491" s="928"/>
      <c r="BA491" s="928"/>
      <c r="BB491" s="928"/>
      <c r="BC491" s="928"/>
      <c r="BD491" s="928"/>
      <c r="BE491" s="928"/>
      <c r="BF491" s="928"/>
      <c r="BG491" s="928"/>
      <c r="BH491" s="928"/>
      <c r="BI491" s="928"/>
      <c r="BJ491" s="928"/>
      <c r="BK491" s="928"/>
      <c r="BL491" s="928"/>
      <c r="BM491" s="928"/>
      <c r="BN491" s="928"/>
      <c r="BO491" s="928"/>
      <c r="BP491" s="928"/>
      <c r="BQ491" s="928"/>
      <c r="BR491" s="928"/>
      <c r="BS491" s="928"/>
      <c r="BT491" s="928"/>
      <c r="BU491" s="928"/>
      <c r="BV491" s="928"/>
      <c r="BW491" s="928"/>
      <c r="BX491" s="928"/>
      <c r="BY491" s="928"/>
      <c r="BZ491" s="928"/>
      <c r="CA491" s="928"/>
      <c r="CB491" s="928"/>
      <c r="CC491" s="928"/>
      <c r="CD491" s="928"/>
      <c r="CE491" s="928"/>
      <c r="CF491" s="928"/>
      <c r="CG491" s="928"/>
      <c r="CH491" s="928"/>
      <c r="CI491" s="928"/>
      <c r="CJ491" s="928"/>
      <c r="CK491" s="928"/>
      <c r="CL491" s="928"/>
      <c r="CM491" s="928"/>
      <c r="CN491" s="928"/>
      <c r="CO491" s="928"/>
      <c r="CP491" s="928"/>
      <c r="CQ491" s="928"/>
      <c r="CR491" s="928"/>
      <c r="CS491" s="928"/>
      <c r="CT491" s="928"/>
      <c r="CU491" s="928"/>
      <c r="CV491" s="928"/>
      <c r="CW491" s="928"/>
      <c r="CX491" s="928"/>
      <c r="CY491" s="928"/>
      <c r="CZ491" s="928"/>
      <c r="DA491" s="928"/>
      <c r="DB491" s="928"/>
      <c r="DC491" s="928"/>
      <c r="DD491" s="928"/>
      <c r="DE491" s="928"/>
      <c r="DF491" s="928"/>
      <c r="DG491" s="928"/>
      <c r="DH491" s="928"/>
    </row>
    <row r="492" spans="3:112">
      <c r="C492" s="891" t="s">
        <v>106</v>
      </c>
      <c r="D492" s="897">
        <v>653.88</v>
      </c>
      <c r="H492" s="897"/>
      <c r="I492" s="897"/>
      <c r="J492" s="891"/>
      <c r="K492" s="891"/>
      <c r="L492" s="891"/>
      <c r="M492" s="891"/>
      <c r="N492" s="891"/>
      <c r="O492" s="891"/>
      <c r="P492" s="891"/>
      <c r="Q492" s="891"/>
      <c r="R492" s="891"/>
      <c r="S492" s="891"/>
      <c r="T492" s="891"/>
      <c r="U492" s="928"/>
      <c r="V492" s="928"/>
      <c r="W492" s="928"/>
      <c r="X492" s="928"/>
      <c r="Y492" s="928"/>
      <c r="Z492" s="928"/>
      <c r="AA492" s="928"/>
      <c r="AB492" s="928"/>
      <c r="AC492" s="928"/>
      <c r="AD492" s="928"/>
      <c r="AE492" s="928"/>
      <c r="AF492" s="928"/>
      <c r="AG492" s="928"/>
      <c r="AH492" s="928"/>
      <c r="AI492" s="928"/>
      <c r="AJ492" s="928"/>
      <c r="AK492" s="928"/>
      <c r="AL492" s="928"/>
      <c r="AM492" s="928"/>
      <c r="AN492" s="928"/>
      <c r="AO492" s="928"/>
      <c r="AP492" s="928"/>
      <c r="AQ492" s="928"/>
      <c r="AR492" s="928"/>
      <c r="AS492" s="928"/>
      <c r="AT492" s="928"/>
      <c r="AU492" s="928"/>
      <c r="AV492" s="928"/>
      <c r="AW492" s="928"/>
      <c r="AX492" s="928"/>
      <c r="AY492" s="928"/>
      <c r="AZ492" s="928"/>
      <c r="BA492" s="928"/>
      <c r="BB492" s="928"/>
      <c r="BC492" s="928"/>
      <c r="BD492" s="928"/>
      <c r="BE492" s="928"/>
      <c r="BF492" s="928"/>
      <c r="BG492" s="928"/>
      <c r="BH492" s="928"/>
      <c r="BI492" s="928"/>
      <c r="BJ492" s="928"/>
      <c r="BK492" s="928"/>
      <c r="BL492" s="928"/>
      <c r="BM492" s="928"/>
      <c r="BN492" s="928"/>
      <c r="BO492" s="928"/>
      <c r="BP492" s="928"/>
      <c r="BQ492" s="928"/>
      <c r="BR492" s="928"/>
      <c r="BS492" s="928"/>
      <c r="BT492" s="928"/>
      <c r="BU492" s="928"/>
      <c r="BV492" s="928"/>
      <c r="BW492" s="928"/>
      <c r="BX492" s="928"/>
      <c r="BY492" s="928"/>
      <c r="BZ492" s="928"/>
      <c r="CA492" s="928"/>
      <c r="CB492" s="928"/>
      <c r="CC492" s="928"/>
      <c r="CD492" s="928"/>
      <c r="CE492" s="928"/>
      <c r="CF492" s="928"/>
      <c r="CG492" s="928"/>
      <c r="CH492" s="928"/>
      <c r="CI492" s="928"/>
      <c r="CJ492" s="928"/>
      <c r="CK492" s="928"/>
      <c r="CL492" s="928"/>
      <c r="CM492" s="928"/>
      <c r="CN492" s="928"/>
      <c r="CO492" s="928"/>
      <c r="CP492" s="928"/>
      <c r="CQ492" s="928"/>
      <c r="CR492" s="928"/>
      <c r="CS492" s="928"/>
      <c r="CT492" s="928"/>
      <c r="CU492" s="928"/>
      <c r="CV492" s="928"/>
      <c r="CW492" s="928"/>
      <c r="CX492" s="928"/>
      <c r="CY492" s="928"/>
      <c r="CZ492" s="928"/>
      <c r="DA492" s="928"/>
      <c r="DB492" s="928"/>
      <c r="DC492" s="928"/>
      <c r="DD492" s="928"/>
      <c r="DE492" s="928"/>
      <c r="DF492" s="928"/>
      <c r="DG492" s="928"/>
      <c r="DH492" s="928"/>
    </row>
    <row r="493" spans="3:112">
      <c r="C493" s="891" t="s">
        <v>110</v>
      </c>
      <c r="D493" s="897">
        <v>649.17999999999995</v>
      </c>
      <c r="H493" s="897"/>
      <c r="I493" s="897"/>
      <c r="J493" s="891"/>
      <c r="K493" s="891"/>
      <c r="L493" s="891"/>
      <c r="M493" s="891"/>
      <c r="N493" s="891"/>
      <c r="O493" s="891"/>
      <c r="P493" s="891"/>
      <c r="Q493" s="891"/>
      <c r="R493" s="891"/>
      <c r="S493" s="891"/>
      <c r="T493" s="891"/>
      <c r="U493" s="928"/>
      <c r="V493" s="928"/>
      <c r="W493" s="928"/>
      <c r="X493" s="928"/>
      <c r="Y493" s="928"/>
      <c r="Z493" s="928"/>
      <c r="AA493" s="928"/>
      <c r="AB493" s="928"/>
      <c r="AC493" s="928"/>
      <c r="AD493" s="928"/>
      <c r="AE493" s="928"/>
      <c r="AF493" s="928"/>
      <c r="AG493" s="928"/>
      <c r="AH493" s="928"/>
      <c r="AI493" s="928"/>
      <c r="AJ493" s="928"/>
      <c r="AK493" s="928"/>
      <c r="AL493" s="928"/>
      <c r="AM493" s="928"/>
      <c r="AN493" s="928"/>
      <c r="AO493" s="928"/>
      <c r="AP493" s="928"/>
      <c r="AQ493" s="928"/>
      <c r="AR493" s="928"/>
      <c r="AS493" s="928"/>
      <c r="AT493" s="928"/>
      <c r="AU493" s="928"/>
      <c r="AV493" s="928"/>
      <c r="AW493" s="928"/>
      <c r="AX493" s="928"/>
      <c r="AY493" s="928"/>
      <c r="AZ493" s="928"/>
      <c r="BA493" s="928"/>
      <c r="BB493" s="928"/>
      <c r="BC493" s="928"/>
      <c r="BD493" s="928"/>
      <c r="BE493" s="928"/>
      <c r="BF493" s="928"/>
      <c r="BG493" s="928"/>
      <c r="BH493" s="928"/>
      <c r="BI493" s="928"/>
      <c r="BJ493" s="928"/>
      <c r="BK493" s="928"/>
      <c r="BL493" s="928"/>
      <c r="BM493" s="928"/>
      <c r="BN493" s="928"/>
      <c r="BO493" s="928"/>
      <c r="BP493" s="928"/>
      <c r="BQ493" s="928"/>
      <c r="BR493" s="928"/>
      <c r="BS493" s="928"/>
      <c r="BT493" s="928"/>
      <c r="BU493" s="928"/>
      <c r="BV493" s="928"/>
      <c r="BW493" s="928"/>
      <c r="BX493" s="928"/>
      <c r="BY493" s="928"/>
      <c r="BZ493" s="928"/>
      <c r="CA493" s="928"/>
      <c r="CB493" s="928"/>
      <c r="CC493" s="928"/>
      <c r="CD493" s="928"/>
      <c r="CE493" s="928"/>
      <c r="CF493" s="928"/>
      <c r="CG493" s="928"/>
      <c r="CH493" s="928"/>
      <c r="CI493" s="928"/>
      <c r="CJ493" s="928"/>
      <c r="CK493" s="928"/>
      <c r="CL493" s="928"/>
      <c r="CM493" s="928"/>
      <c r="CN493" s="928"/>
      <c r="CO493" s="928"/>
      <c r="CP493" s="928"/>
      <c r="CQ493" s="928"/>
      <c r="CR493" s="928"/>
      <c r="CS493" s="928"/>
      <c r="CT493" s="928"/>
      <c r="CU493" s="928"/>
      <c r="CV493" s="928"/>
      <c r="CW493" s="928"/>
      <c r="CX493" s="928"/>
      <c r="CY493" s="928"/>
      <c r="CZ493" s="928"/>
      <c r="DA493" s="928"/>
      <c r="DB493" s="928"/>
      <c r="DC493" s="928"/>
      <c r="DD493" s="928"/>
      <c r="DE493" s="928"/>
      <c r="DF493" s="928"/>
      <c r="DG493" s="928"/>
      <c r="DH493" s="928"/>
    </row>
    <row r="494" spans="3:112">
      <c r="C494" s="891" t="s">
        <v>280</v>
      </c>
      <c r="D494" s="897">
        <v>648.96</v>
      </c>
      <c r="H494" s="897"/>
      <c r="I494" s="897"/>
      <c r="J494" s="891"/>
      <c r="K494" s="891"/>
      <c r="L494" s="891"/>
      <c r="M494" s="891"/>
      <c r="N494" s="891"/>
      <c r="O494" s="891"/>
      <c r="P494" s="891"/>
      <c r="Q494" s="891"/>
      <c r="R494" s="891"/>
      <c r="S494" s="891"/>
      <c r="T494" s="891"/>
      <c r="U494" s="928"/>
      <c r="V494" s="928"/>
      <c r="W494" s="928"/>
      <c r="X494" s="928"/>
      <c r="Y494" s="928"/>
      <c r="Z494" s="928"/>
      <c r="AA494" s="928"/>
      <c r="AB494" s="928"/>
      <c r="AC494" s="928"/>
      <c r="AD494" s="928"/>
      <c r="AE494" s="928"/>
      <c r="AF494" s="928"/>
      <c r="AG494" s="928"/>
      <c r="AH494" s="928"/>
      <c r="AI494" s="928"/>
      <c r="AJ494" s="928"/>
      <c r="AK494" s="928"/>
      <c r="AL494" s="928"/>
      <c r="AM494" s="928"/>
      <c r="AN494" s="928"/>
      <c r="AO494" s="928"/>
      <c r="AP494" s="928"/>
      <c r="AQ494" s="928"/>
      <c r="AR494" s="928"/>
      <c r="AS494" s="928"/>
      <c r="AT494" s="928"/>
      <c r="AU494" s="928"/>
      <c r="AV494" s="928"/>
      <c r="AW494" s="928"/>
      <c r="AX494" s="928"/>
      <c r="AY494" s="928"/>
      <c r="AZ494" s="928"/>
      <c r="BA494" s="928"/>
      <c r="BB494" s="928"/>
      <c r="BC494" s="928"/>
      <c r="BD494" s="928"/>
      <c r="BE494" s="928"/>
      <c r="BF494" s="928"/>
      <c r="BG494" s="928"/>
      <c r="BH494" s="928"/>
      <c r="BI494" s="928"/>
      <c r="BJ494" s="928"/>
      <c r="BK494" s="928"/>
      <c r="BL494" s="928"/>
      <c r="BM494" s="928"/>
      <c r="BN494" s="928"/>
      <c r="BO494" s="928"/>
      <c r="BP494" s="928"/>
      <c r="BQ494" s="928"/>
      <c r="BR494" s="928"/>
      <c r="BS494" s="928"/>
      <c r="BT494" s="928"/>
      <c r="BU494" s="928"/>
      <c r="BV494" s="928"/>
      <c r="BW494" s="928"/>
      <c r="BX494" s="928"/>
      <c r="BY494" s="928"/>
      <c r="BZ494" s="928"/>
      <c r="CA494" s="928"/>
      <c r="CB494" s="928"/>
      <c r="CC494" s="928"/>
      <c r="CD494" s="928"/>
      <c r="CE494" s="928"/>
      <c r="CF494" s="928"/>
      <c r="CG494" s="928"/>
      <c r="CH494" s="928"/>
      <c r="CI494" s="928"/>
      <c r="CJ494" s="928"/>
      <c r="CK494" s="928"/>
      <c r="CL494" s="928"/>
      <c r="CM494" s="928"/>
      <c r="CN494" s="928"/>
      <c r="CO494" s="928"/>
      <c r="CP494" s="928"/>
      <c r="CQ494" s="928"/>
      <c r="CR494" s="928"/>
      <c r="CS494" s="928"/>
      <c r="CT494" s="928"/>
      <c r="CU494" s="928"/>
      <c r="CV494" s="928"/>
      <c r="CW494" s="928"/>
      <c r="CX494" s="928"/>
      <c r="CY494" s="928"/>
      <c r="CZ494" s="928"/>
      <c r="DA494" s="928"/>
      <c r="DB494" s="928"/>
      <c r="DC494" s="928"/>
      <c r="DD494" s="928"/>
      <c r="DE494" s="928"/>
      <c r="DF494" s="928"/>
      <c r="DG494" s="928"/>
      <c r="DH494" s="928"/>
    </row>
    <row r="495" spans="3:112">
      <c r="C495" s="891" t="s">
        <v>225</v>
      </c>
      <c r="D495" s="897">
        <v>648.4</v>
      </c>
      <c r="H495" s="897"/>
      <c r="I495" s="897"/>
      <c r="J495" s="891"/>
      <c r="K495" s="891"/>
      <c r="L495" s="891"/>
      <c r="M495" s="891"/>
      <c r="N495" s="891"/>
      <c r="O495" s="891"/>
      <c r="P495" s="891"/>
      <c r="Q495" s="891"/>
      <c r="R495" s="891"/>
      <c r="S495" s="891"/>
      <c r="T495" s="891"/>
      <c r="U495" s="928"/>
      <c r="V495" s="928"/>
      <c r="W495" s="928"/>
      <c r="X495" s="928"/>
      <c r="Y495" s="928"/>
      <c r="Z495" s="928"/>
      <c r="AA495" s="928"/>
      <c r="AB495" s="928"/>
      <c r="AC495" s="928"/>
      <c r="AD495" s="928"/>
      <c r="AE495" s="928"/>
      <c r="AF495" s="928"/>
      <c r="AG495" s="928"/>
      <c r="AH495" s="928"/>
      <c r="AI495" s="928"/>
      <c r="AJ495" s="928"/>
      <c r="AK495" s="928"/>
      <c r="AL495" s="928"/>
      <c r="AM495" s="928"/>
      <c r="AN495" s="928"/>
      <c r="AO495" s="928"/>
      <c r="AP495" s="928"/>
      <c r="AQ495" s="928"/>
      <c r="AR495" s="928"/>
      <c r="AS495" s="928"/>
      <c r="AT495" s="928"/>
      <c r="AU495" s="928"/>
      <c r="AV495" s="928"/>
      <c r="AW495" s="928"/>
      <c r="AX495" s="928"/>
      <c r="AY495" s="928"/>
      <c r="AZ495" s="928"/>
      <c r="BA495" s="928"/>
      <c r="BB495" s="928"/>
      <c r="BC495" s="928"/>
      <c r="BD495" s="928"/>
      <c r="BE495" s="928"/>
      <c r="BF495" s="928"/>
      <c r="BG495" s="928"/>
      <c r="BH495" s="928"/>
      <c r="BI495" s="928"/>
      <c r="BJ495" s="928"/>
      <c r="BK495" s="928"/>
      <c r="BL495" s="928"/>
      <c r="BM495" s="928"/>
      <c r="BN495" s="928"/>
      <c r="BO495" s="928"/>
      <c r="BP495" s="928"/>
      <c r="BQ495" s="928"/>
      <c r="BR495" s="928"/>
      <c r="BS495" s="928"/>
      <c r="BT495" s="928"/>
      <c r="BU495" s="928"/>
      <c r="BV495" s="928"/>
      <c r="BW495" s="928"/>
      <c r="BX495" s="928"/>
      <c r="BY495" s="928"/>
      <c r="BZ495" s="928"/>
      <c r="CA495" s="928"/>
      <c r="CB495" s="928"/>
      <c r="CC495" s="928"/>
      <c r="CD495" s="928"/>
      <c r="CE495" s="928"/>
      <c r="CF495" s="928"/>
      <c r="CG495" s="928"/>
      <c r="CH495" s="928"/>
      <c r="CI495" s="928"/>
      <c r="CJ495" s="928"/>
      <c r="CK495" s="928"/>
      <c r="CL495" s="928"/>
      <c r="CM495" s="928"/>
      <c r="CN495" s="928"/>
      <c r="CO495" s="928"/>
      <c r="CP495" s="928"/>
      <c r="CQ495" s="928"/>
      <c r="CR495" s="928"/>
      <c r="CS495" s="928"/>
      <c r="CT495" s="928"/>
      <c r="CU495" s="928"/>
      <c r="CV495" s="928"/>
      <c r="CW495" s="928"/>
      <c r="CX495" s="928"/>
      <c r="CY495" s="928"/>
      <c r="CZ495" s="928"/>
      <c r="DA495" s="928"/>
      <c r="DB495" s="928"/>
      <c r="DC495" s="928"/>
      <c r="DD495" s="928"/>
      <c r="DE495" s="928"/>
      <c r="DF495" s="928"/>
      <c r="DG495" s="928"/>
      <c r="DH495" s="928"/>
    </row>
    <row r="496" spans="3:112">
      <c r="C496" s="891" t="s">
        <v>90</v>
      </c>
      <c r="D496" s="897">
        <v>647.89</v>
      </c>
      <c r="H496" s="897"/>
      <c r="I496" s="897"/>
      <c r="J496" s="891"/>
      <c r="K496" s="891"/>
      <c r="L496" s="891"/>
      <c r="M496" s="891"/>
      <c r="N496" s="891"/>
      <c r="O496" s="891"/>
      <c r="P496" s="891"/>
      <c r="Q496" s="891"/>
      <c r="R496" s="891"/>
      <c r="S496" s="891"/>
      <c r="T496" s="891"/>
      <c r="U496" s="928"/>
      <c r="V496" s="928"/>
      <c r="W496" s="928"/>
      <c r="X496" s="928"/>
      <c r="Y496" s="928"/>
      <c r="Z496" s="928"/>
      <c r="AA496" s="928"/>
      <c r="AB496" s="928"/>
      <c r="AC496" s="928"/>
      <c r="AD496" s="928"/>
      <c r="AE496" s="928"/>
      <c r="AF496" s="928"/>
      <c r="AG496" s="928"/>
      <c r="AH496" s="928"/>
      <c r="AI496" s="928"/>
      <c r="AJ496" s="928"/>
      <c r="AK496" s="928"/>
      <c r="AL496" s="928"/>
      <c r="AM496" s="928"/>
      <c r="AN496" s="928"/>
      <c r="AO496" s="928"/>
      <c r="AP496" s="928"/>
      <c r="AQ496" s="928"/>
      <c r="AR496" s="928"/>
      <c r="AS496" s="928"/>
      <c r="AT496" s="928"/>
      <c r="AU496" s="928"/>
      <c r="AV496" s="928"/>
      <c r="AW496" s="928"/>
      <c r="AX496" s="928"/>
      <c r="AY496" s="928"/>
      <c r="AZ496" s="928"/>
      <c r="BA496" s="928"/>
      <c r="BB496" s="928"/>
      <c r="BC496" s="928"/>
      <c r="BD496" s="928"/>
      <c r="BE496" s="928"/>
      <c r="BF496" s="928"/>
      <c r="BG496" s="928"/>
      <c r="BH496" s="928"/>
      <c r="BI496" s="928"/>
      <c r="BJ496" s="928"/>
      <c r="BK496" s="928"/>
      <c r="BL496" s="928"/>
      <c r="BM496" s="928"/>
      <c r="BN496" s="928"/>
      <c r="BO496" s="928"/>
      <c r="BP496" s="928"/>
      <c r="BQ496" s="928"/>
      <c r="BR496" s="928"/>
      <c r="BS496" s="928"/>
      <c r="BT496" s="928"/>
      <c r="BU496" s="928"/>
      <c r="BV496" s="928"/>
      <c r="BW496" s="928"/>
      <c r="BX496" s="928"/>
      <c r="BY496" s="928"/>
      <c r="BZ496" s="928"/>
      <c r="CA496" s="928"/>
      <c r="CB496" s="928"/>
      <c r="CC496" s="928"/>
      <c r="CD496" s="928"/>
      <c r="CE496" s="928"/>
      <c r="CF496" s="928"/>
      <c r="CG496" s="928"/>
      <c r="CH496" s="928"/>
      <c r="CI496" s="928"/>
      <c r="CJ496" s="928"/>
      <c r="CK496" s="928"/>
      <c r="CL496" s="928"/>
      <c r="CM496" s="928"/>
      <c r="CN496" s="928"/>
      <c r="CO496" s="928"/>
      <c r="CP496" s="928"/>
      <c r="CQ496" s="928"/>
      <c r="CR496" s="928"/>
      <c r="CS496" s="928"/>
      <c r="CT496" s="928"/>
      <c r="CU496" s="928"/>
      <c r="CV496" s="928"/>
      <c r="CW496" s="928"/>
      <c r="CX496" s="928"/>
      <c r="CY496" s="928"/>
      <c r="CZ496" s="928"/>
      <c r="DA496" s="928"/>
      <c r="DB496" s="928"/>
      <c r="DC496" s="928"/>
      <c r="DD496" s="928"/>
      <c r="DE496" s="928"/>
      <c r="DF496" s="928"/>
      <c r="DG496" s="928"/>
      <c r="DH496" s="928"/>
    </row>
    <row r="497" spans="3:112">
      <c r="C497" s="891" t="s">
        <v>82</v>
      </c>
      <c r="D497" s="897">
        <v>645.04</v>
      </c>
      <c r="H497" s="897"/>
      <c r="I497" s="897"/>
      <c r="J497" s="891"/>
      <c r="K497" s="891"/>
      <c r="L497" s="891"/>
      <c r="M497" s="891"/>
      <c r="N497" s="891"/>
      <c r="O497" s="891"/>
      <c r="P497" s="891"/>
      <c r="Q497" s="891"/>
      <c r="R497" s="891"/>
      <c r="S497" s="891"/>
      <c r="T497" s="891"/>
      <c r="U497" s="928"/>
      <c r="V497" s="928"/>
      <c r="W497" s="928"/>
      <c r="X497" s="928"/>
      <c r="Y497" s="928"/>
      <c r="Z497" s="928"/>
      <c r="AA497" s="928"/>
      <c r="AB497" s="928"/>
      <c r="AC497" s="928"/>
      <c r="AD497" s="928"/>
      <c r="AE497" s="928"/>
      <c r="AF497" s="928"/>
      <c r="AG497" s="928"/>
      <c r="AH497" s="928"/>
      <c r="AI497" s="928"/>
      <c r="AJ497" s="928"/>
      <c r="AK497" s="928"/>
      <c r="AL497" s="928"/>
      <c r="AM497" s="928"/>
      <c r="AN497" s="928"/>
      <c r="AO497" s="928"/>
      <c r="AP497" s="928"/>
      <c r="AQ497" s="928"/>
      <c r="AR497" s="928"/>
      <c r="AS497" s="928"/>
      <c r="AT497" s="928"/>
      <c r="AU497" s="928"/>
      <c r="AV497" s="928"/>
      <c r="AW497" s="928"/>
      <c r="AX497" s="928"/>
      <c r="AY497" s="928"/>
      <c r="AZ497" s="928"/>
      <c r="BA497" s="928"/>
      <c r="BB497" s="928"/>
      <c r="BC497" s="928"/>
      <c r="BD497" s="928"/>
      <c r="BE497" s="928"/>
      <c r="BF497" s="928"/>
      <c r="BG497" s="928"/>
      <c r="BH497" s="928"/>
      <c r="BI497" s="928"/>
      <c r="BJ497" s="928"/>
      <c r="BK497" s="928"/>
      <c r="BL497" s="928"/>
      <c r="BM497" s="928"/>
      <c r="BN497" s="928"/>
      <c r="BO497" s="928"/>
      <c r="BP497" s="928"/>
      <c r="BQ497" s="928"/>
      <c r="BR497" s="928"/>
      <c r="BS497" s="928"/>
      <c r="BT497" s="928"/>
      <c r="BU497" s="928"/>
      <c r="BV497" s="928"/>
      <c r="BW497" s="928"/>
      <c r="BX497" s="928"/>
      <c r="BY497" s="928"/>
      <c r="BZ497" s="928"/>
      <c r="CA497" s="928"/>
      <c r="CB497" s="928"/>
      <c r="CC497" s="928"/>
      <c r="CD497" s="928"/>
      <c r="CE497" s="928"/>
      <c r="CF497" s="928"/>
      <c r="CG497" s="928"/>
      <c r="CH497" s="928"/>
      <c r="CI497" s="928"/>
      <c r="CJ497" s="928"/>
      <c r="CK497" s="928"/>
      <c r="CL497" s="928"/>
      <c r="CM497" s="928"/>
      <c r="CN497" s="928"/>
      <c r="CO497" s="928"/>
      <c r="CP497" s="928"/>
      <c r="CQ497" s="928"/>
      <c r="CR497" s="928"/>
      <c r="CS497" s="928"/>
      <c r="CT497" s="928"/>
      <c r="CU497" s="928"/>
      <c r="CV497" s="928"/>
      <c r="CW497" s="928"/>
      <c r="CX497" s="928"/>
      <c r="CY497" s="928"/>
      <c r="CZ497" s="928"/>
      <c r="DA497" s="928"/>
      <c r="DB497" s="928"/>
      <c r="DC497" s="928"/>
      <c r="DD497" s="928"/>
      <c r="DE497" s="928"/>
      <c r="DF497" s="928"/>
      <c r="DG497" s="928"/>
      <c r="DH497" s="928"/>
    </row>
    <row r="498" spans="3:112">
      <c r="C498" s="891" t="s">
        <v>13</v>
      </c>
      <c r="D498" s="897">
        <v>645.04</v>
      </c>
      <c r="H498" s="897"/>
      <c r="I498" s="897"/>
      <c r="J498" s="891"/>
      <c r="K498" s="891"/>
      <c r="L498" s="891"/>
      <c r="M498" s="891"/>
      <c r="N498" s="891"/>
      <c r="O498" s="891"/>
      <c r="P498" s="891"/>
      <c r="Q498" s="891"/>
      <c r="R498" s="891"/>
      <c r="S498" s="891"/>
      <c r="T498" s="891"/>
      <c r="U498" s="928"/>
      <c r="V498" s="928"/>
      <c r="W498" s="928"/>
      <c r="X498" s="928"/>
      <c r="Y498" s="928"/>
      <c r="Z498" s="928"/>
      <c r="AA498" s="928"/>
      <c r="AB498" s="928"/>
      <c r="AC498" s="928"/>
      <c r="AD498" s="928"/>
      <c r="AE498" s="928"/>
      <c r="AF498" s="928"/>
      <c r="AG498" s="928"/>
      <c r="AH498" s="928"/>
      <c r="AI498" s="928"/>
      <c r="AJ498" s="928"/>
      <c r="AK498" s="928"/>
      <c r="AL498" s="928"/>
      <c r="AM498" s="928"/>
      <c r="AN498" s="928"/>
      <c r="AO498" s="928"/>
      <c r="AP498" s="928"/>
      <c r="AQ498" s="928"/>
      <c r="AR498" s="928"/>
      <c r="AS498" s="928"/>
      <c r="AT498" s="928"/>
      <c r="AU498" s="928"/>
      <c r="AV498" s="928"/>
      <c r="AW498" s="928"/>
      <c r="AX498" s="928"/>
      <c r="AY498" s="928"/>
      <c r="AZ498" s="928"/>
      <c r="BA498" s="928"/>
      <c r="BB498" s="928"/>
      <c r="BC498" s="928"/>
      <c r="BD498" s="928"/>
      <c r="BE498" s="928"/>
      <c r="BF498" s="928"/>
      <c r="BG498" s="928"/>
      <c r="BH498" s="928"/>
      <c r="BI498" s="928"/>
      <c r="BJ498" s="928"/>
      <c r="BK498" s="928"/>
      <c r="BL498" s="928"/>
      <c r="BM498" s="928"/>
      <c r="BN498" s="928"/>
      <c r="BO498" s="928"/>
      <c r="BP498" s="928"/>
      <c r="BQ498" s="928"/>
      <c r="BR498" s="928"/>
      <c r="BS498" s="928"/>
      <c r="BT498" s="928"/>
      <c r="BU498" s="928"/>
      <c r="BV498" s="928"/>
      <c r="BW498" s="928"/>
      <c r="BX498" s="928"/>
      <c r="BY498" s="928"/>
      <c r="BZ498" s="928"/>
      <c r="CA498" s="928"/>
      <c r="CB498" s="928"/>
      <c r="CC498" s="928"/>
      <c r="CD498" s="928"/>
      <c r="CE498" s="928"/>
      <c r="CF498" s="928"/>
      <c r="CG498" s="928"/>
      <c r="CH498" s="928"/>
      <c r="CI498" s="928"/>
      <c r="CJ498" s="928"/>
      <c r="CK498" s="928"/>
      <c r="CL498" s="928"/>
      <c r="CM498" s="928"/>
      <c r="CN498" s="928"/>
      <c r="CO498" s="928"/>
      <c r="CP498" s="928"/>
      <c r="CQ498" s="928"/>
      <c r="CR498" s="928"/>
      <c r="CS498" s="928"/>
      <c r="CT498" s="928"/>
      <c r="CU498" s="928"/>
      <c r="CV498" s="928"/>
      <c r="CW498" s="928"/>
      <c r="CX498" s="928"/>
      <c r="CY498" s="928"/>
      <c r="CZ498" s="928"/>
      <c r="DA498" s="928"/>
      <c r="DB498" s="928"/>
      <c r="DC498" s="928"/>
      <c r="DD498" s="928"/>
      <c r="DE498" s="928"/>
      <c r="DF498" s="928"/>
      <c r="DG498" s="928"/>
      <c r="DH498" s="928"/>
    </row>
    <row r="499" spans="3:112">
      <c r="C499" s="891" t="s">
        <v>21</v>
      </c>
      <c r="D499" s="897">
        <v>645.04</v>
      </c>
      <c r="H499" s="897"/>
      <c r="I499" s="897"/>
      <c r="J499" s="891"/>
      <c r="K499" s="891"/>
      <c r="L499" s="891"/>
      <c r="M499" s="891"/>
      <c r="N499" s="891"/>
      <c r="O499" s="891"/>
      <c r="P499" s="891"/>
      <c r="Q499" s="891"/>
      <c r="R499" s="891"/>
      <c r="S499" s="891"/>
      <c r="T499" s="891"/>
      <c r="U499" s="928"/>
      <c r="V499" s="928"/>
      <c r="W499" s="928"/>
      <c r="X499" s="928"/>
      <c r="Y499" s="928"/>
      <c r="Z499" s="928"/>
      <c r="AA499" s="928"/>
      <c r="AB499" s="928"/>
      <c r="AC499" s="928"/>
      <c r="AD499" s="928"/>
      <c r="AE499" s="928"/>
      <c r="AF499" s="928"/>
      <c r="AG499" s="928"/>
      <c r="AH499" s="928"/>
      <c r="AI499" s="928"/>
      <c r="AJ499" s="928"/>
      <c r="AK499" s="928"/>
      <c r="AL499" s="928"/>
      <c r="AM499" s="928"/>
      <c r="AN499" s="928"/>
      <c r="AO499" s="928"/>
      <c r="AP499" s="928"/>
      <c r="AQ499" s="928"/>
      <c r="AR499" s="928"/>
      <c r="AS499" s="928"/>
      <c r="AT499" s="928"/>
      <c r="AU499" s="928"/>
      <c r="AV499" s="928"/>
      <c r="AW499" s="928"/>
      <c r="AX499" s="928"/>
      <c r="AY499" s="928"/>
      <c r="AZ499" s="928"/>
      <c r="BA499" s="928"/>
      <c r="BB499" s="928"/>
      <c r="BC499" s="928"/>
      <c r="BD499" s="928"/>
      <c r="BE499" s="928"/>
      <c r="BF499" s="928"/>
      <c r="BG499" s="928"/>
      <c r="BH499" s="928"/>
      <c r="BI499" s="928"/>
      <c r="BJ499" s="928"/>
      <c r="BK499" s="928"/>
      <c r="BL499" s="928"/>
      <c r="BM499" s="928"/>
      <c r="BN499" s="928"/>
      <c r="BO499" s="928"/>
      <c r="BP499" s="928"/>
      <c r="BQ499" s="928"/>
      <c r="BR499" s="928"/>
      <c r="BS499" s="928"/>
      <c r="BT499" s="928"/>
      <c r="BU499" s="928"/>
      <c r="BV499" s="928"/>
      <c r="BW499" s="928"/>
      <c r="BX499" s="928"/>
      <c r="BY499" s="928"/>
      <c r="BZ499" s="928"/>
      <c r="CA499" s="928"/>
      <c r="CB499" s="928"/>
      <c r="CC499" s="928"/>
      <c r="CD499" s="928"/>
      <c r="CE499" s="928"/>
      <c r="CF499" s="928"/>
      <c r="CG499" s="928"/>
      <c r="CH499" s="928"/>
      <c r="CI499" s="928"/>
      <c r="CJ499" s="928"/>
      <c r="CK499" s="928"/>
      <c r="CL499" s="928"/>
      <c r="CM499" s="928"/>
      <c r="CN499" s="928"/>
      <c r="CO499" s="928"/>
      <c r="CP499" s="928"/>
      <c r="CQ499" s="928"/>
      <c r="CR499" s="928"/>
      <c r="CS499" s="928"/>
      <c r="CT499" s="928"/>
      <c r="CU499" s="928"/>
      <c r="CV499" s="928"/>
      <c r="CW499" s="928"/>
      <c r="CX499" s="928"/>
      <c r="CY499" s="928"/>
      <c r="CZ499" s="928"/>
      <c r="DA499" s="928"/>
      <c r="DB499" s="928"/>
      <c r="DC499" s="928"/>
      <c r="DD499" s="928"/>
      <c r="DE499" s="928"/>
      <c r="DF499" s="928"/>
      <c r="DG499" s="928"/>
      <c r="DH499" s="928"/>
    </row>
    <row r="500" spans="3:112">
      <c r="C500" s="891" t="s">
        <v>148</v>
      </c>
      <c r="D500" s="897">
        <v>645.04</v>
      </c>
      <c r="H500" s="897"/>
      <c r="I500" s="897"/>
      <c r="J500" s="891"/>
      <c r="K500" s="891"/>
      <c r="L500" s="891"/>
      <c r="M500" s="891"/>
      <c r="N500" s="891"/>
      <c r="O500" s="891"/>
      <c r="P500" s="891"/>
      <c r="Q500" s="891"/>
      <c r="R500" s="891"/>
      <c r="S500" s="891"/>
      <c r="T500" s="891"/>
      <c r="U500" s="928"/>
      <c r="V500" s="928"/>
      <c r="W500" s="928"/>
      <c r="X500" s="928"/>
      <c r="Y500" s="928"/>
      <c r="Z500" s="928"/>
      <c r="AA500" s="928"/>
      <c r="AB500" s="928"/>
      <c r="AC500" s="928"/>
      <c r="AD500" s="928"/>
      <c r="AE500" s="928"/>
      <c r="AF500" s="928"/>
      <c r="AG500" s="928"/>
      <c r="AH500" s="928"/>
      <c r="AI500" s="928"/>
      <c r="AJ500" s="928"/>
      <c r="AK500" s="928"/>
      <c r="AL500" s="928"/>
      <c r="AM500" s="928"/>
      <c r="AN500" s="928"/>
      <c r="AO500" s="928"/>
      <c r="AP500" s="928"/>
      <c r="AQ500" s="928"/>
      <c r="AR500" s="928"/>
      <c r="AS500" s="928"/>
      <c r="AT500" s="928"/>
      <c r="AU500" s="928"/>
      <c r="AV500" s="928"/>
      <c r="AW500" s="928"/>
      <c r="AX500" s="928"/>
      <c r="AY500" s="928"/>
      <c r="AZ500" s="928"/>
      <c r="BA500" s="928"/>
      <c r="BB500" s="928"/>
      <c r="BC500" s="928"/>
      <c r="BD500" s="928"/>
      <c r="BE500" s="928"/>
      <c r="BF500" s="928"/>
      <c r="BG500" s="928"/>
      <c r="BH500" s="928"/>
      <c r="BI500" s="928"/>
      <c r="BJ500" s="928"/>
      <c r="BK500" s="928"/>
      <c r="BL500" s="928"/>
      <c r="BM500" s="928"/>
      <c r="BN500" s="928"/>
      <c r="BO500" s="928"/>
      <c r="BP500" s="928"/>
      <c r="BQ500" s="928"/>
      <c r="BR500" s="928"/>
      <c r="BS500" s="928"/>
      <c r="BT500" s="928"/>
      <c r="BU500" s="928"/>
      <c r="BV500" s="928"/>
      <c r="BW500" s="928"/>
      <c r="BX500" s="928"/>
      <c r="BY500" s="928"/>
      <c r="BZ500" s="928"/>
      <c r="CA500" s="928"/>
      <c r="CB500" s="928"/>
      <c r="CC500" s="928"/>
      <c r="CD500" s="928"/>
      <c r="CE500" s="928"/>
      <c r="CF500" s="928"/>
      <c r="CG500" s="928"/>
      <c r="CH500" s="928"/>
      <c r="CI500" s="928"/>
      <c r="CJ500" s="928"/>
      <c r="CK500" s="928"/>
      <c r="CL500" s="928"/>
      <c r="CM500" s="928"/>
      <c r="CN500" s="928"/>
      <c r="CO500" s="928"/>
      <c r="CP500" s="928"/>
      <c r="CQ500" s="928"/>
      <c r="CR500" s="928"/>
      <c r="CS500" s="928"/>
      <c r="CT500" s="928"/>
      <c r="CU500" s="928"/>
      <c r="CV500" s="928"/>
      <c r="CW500" s="928"/>
      <c r="CX500" s="928"/>
      <c r="CY500" s="928"/>
      <c r="CZ500" s="928"/>
      <c r="DA500" s="928"/>
      <c r="DB500" s="928"/>
      <c r="DC500" s="928"/>
      <c r="DD500" s="928"/>
      <c r="DE500" s="928"/>
      <c r="DF500" s="928"/>
      <c r="DG500" s="928"/>
      <c r="DH500" s="928"/>
    </row>
    <row r="501" spans="3:112">
      <c r="C501" s="891" t="s">
        <v>196</v>
      </c>
      <c r="D501" s="897">
        <v>645.04</v>
      </c>
      <c r="H501" s="897"/>
      <c r="I501" s="897"/>
      <c r="J501" s="891"/>
      <c r="K501" s="891"/>
      <c r="L501" s="891"/>
      <c r="M501" s="891"/>
      <c r="N501" s="891"/>
      <c r="O501" s="891"/>
      <c r="P501" s="891"/>
      <c r="Q501" s="891"/>
      <c r="R501" s="891"/>
      <c r="S501" s="891"/>
      <c r="T501" s="891"/>
      <c r="U501" s="928"/>
      <c r="V501" s="928"/>
      <c r="W501" s="928"/>
      <c r="X501" s="928"/>
      <c r="Y501" s="928"/>
      <c r="Z501" s="928"/>
      <c r="AA501" s="928"/>
      <c r="AB501" s="928"/>
      <c r="AC501" s="928"/>
      <c r="AD501" s="928"/>
      <c r="AE501" s="928"/>
      <c r="AF501" s="928"/>
      <c r="AG501" s="928"/>
      <c r="AH501" s="928"/>
      <c r="AI501" s="928"/>
      <c r="AJ501" s="928"/>
      <c r="AK501" s="928"/>
      <c r="AL501" s="928"/>
      <c r="AM501" s="928"/>
      <c r="AN501" s="928"/>
      <c r="AO501" s="928"/>
      <c r="AP501" s="928"/>
      <c r="AQ501" s="928"/>
      <c r="AR501" s="928"/>
      <c r="AS501" s="928"/>
      <c r="AT501" s="928"/>
      <c r="AU501" s="928"/>
      <c r="AV501" s="928"/>
      <c r="AW501" s="928"/>
      <c r="AX501" s="928"/>
      <c r="AY501" s="928"/>
      <c r="AZ501" s="928"/>
      <c r="BA501" s="928"/>
      <c r="BB501" s="928"/>
      <c r="BC501" s="928"/>
      <c r="BD501" s="928"/>
      <c r="BE501" s="928"/>
      <c r="BF501" s="928"/>
      <c r="BG501" s="928"/>
      <c r="BH501" s="928"/>
      <c r="BI501" s="928"/>
      <c r="BJ501" s="928"/>
      <c r="BK501" s="928"/>
      <c r="BL501" s="928"/>
      <c r="BM501" s="928"/>
      <c r="BN501" s="928"/>
      <c r="BO501" s="928"/>
      <c r="BP501" s="928"/>
      <c r="BQ501" s="928"/>
      <c r="BR501" s="928"/>
      <c r="BS501" s="928"/>
      <c r="BT501" s="928"/>
      <c r="BU501" s="928"/>
      <c r="BV501" s="928"/>
      <c r="BW501" s="928"/>
      <c r="BX501" s="928"/>
      <c r="BY501" s="928"/>
      <c r="BZ501" s="928"/>
      <c r="CA501" s="928"/>
      <c r="CB501" s="928"/>
      <c r="CC501" s="928"/>
      <c r="CD501" s="928"/>
      <c r="CE501" s="928"/>
      <c r="CF501" s="928"/>
      <c r="CG501" s="928"/>
      <c r="CH501" s="928"/>
      <c r="CI501" s="928"/>
      <c r="CJ501" s="928"/>
      <c r="CK501" s="928"/>
      <c r="CL501" s="928"/>
      <c r="CM501" s="928"/>
      <c r="CN501" s="928"/>
      <c r="CO501" s="928"/>
      <c r="CP501" s="928"/>
      <c r="CQ501" s="928"/>
      <c r="CR501" s="928"/>
      <c r="CS501" s="928"/>
      <c r="CT501" s="928"/>
      <c r="CU501" s="928"/>
      <c r="CV501" s="928"/>
      <c r="CW501" s="928"/>
      <c r="CX501" s="928"/>
      <c r="CY501" s="928"/>
      <c r="CZ501" s="928"/>
      <c r="DA501" s="928"/>
      <c r="DB501" s="928"/>
      <c r="DC501" s="928"/>
      <c r="DD501" s="928"/>
      <c r="DE501" s="928"/>
      <c r="DF501" s="928"/>
      <c r="DG501" s="928"/>
      <c r="DH501" s="928"/>
    </row>
    <row r="502" spans="3:112">
      <c r="C502" s="891" t="s">
        <v>243</v>
      </c>
      <c r="D502" s="897">
        <v>645.04</v>
      </c>
      <c r="H502" s="897"/>
      <c r="I502" s="897"/>
      <c r="J502" s="891"/>
      <c r="K502" s="891"/>
      <c r="L502" s="891"/>
      <c r="M502" s="891"/>
      <c r="N502" s="891"/>
      <c r="O502" s="891"/>
      <c r="P502" s="891"/>
      <c r="Q502" s="891"/>
      <c r="R502" s="891"/>
      <c r="S502" s="891"/>
      <c r="T502" s="891"/>
      <c r="U502" s="928"/>
      <c r="V502" s="928"/>
      <c r="W502" s="928"/>
      <c r="X502" s="928"/>
      <c r="Y502" s="928"/>
      <c r="Z502" s="928"/>
      <c r="AA502" s="928"/>
      <c r="AB502" s="928"/>
      <c r="AC502" s="928"/>
      <c r="AD502" s="928"/>
      <c r="AE502" s="928"/>
      <c r="AF502" s="928"/>
      <c r="AG502" s="928"/>
      <c r="AH502" s="928"/>
      <c r="AI502" s="928"/>
      <c r="AJ502" s="928"/>
      <c r="AK502" s="928"/>
      <c r="AL502" s="928"/>
      <c r="AM502" s="928"/>
      <c r="AN502" s="928"/>
      <c r="AO502" s="928"/>
      <c r="AP502" s="928"/>
      <c r="AQ502" s="928"/>
      <c r="AR502" s="928"/>
      <c r="AS502" s="928"/>
      <c r="AT502" s="928"/>
      <c r="AU502" s="928"/>
      <c r="AV502" s="928"/>
      <c r="AW502" s="928"/>
      <c r="AX502" s="928"/>
      <c r="AY502" s="928"/>
      <c r="AZ502" s="928"/>
      <c r="BA502" s="928"/>
      <c r="BB502" s="928"/>
      <c r="BC502" s="928"/>
      <c r="BD502" s="928"/>
      <c r="BE502" s="928"/>
      <c r="BF502" s="928"/>
      <c r="BG502" s="928"/>
      <c r="BH502" s="928"/>
      <c r="BI502" s="928"/>
      <c r="BJ502" s="928"/>
      <c r="BK502" s="928"/>
      <c r="BL502" s="928"/>
      <c r="BM502" s="928"/>
      <c r="BN502" s="928"/>
      <c r="BO502" s="928"/>
      <c r="BP502" s="928"/>
      <c r="BQ502" s="928"/>
      <c r="BR502" s="928"/>
      <c r="BS502" s="928"/>
      <c r="BT502" s="928"/>
      <c r="BU502" s="928"/>
      <c r="BV502" s="928"/>
      <c r="BW502" s="928"/>
      <c r="BX502" s="928"/>
      <c r="BY502" s="928"/>
      <c r="BZ502" s="928"/>
      <c r="CA502" s="928"/>
      <c r="CB502" s="928"/>
      <c r="CC502" s="928"/>
      <c r="CD502" s="928"/>
      <c r="CE502" s="928"/>
      <c r="CF502" s="928"/>
      <c r="CG502" s="928"/>
      <c r="CH502" s="928"/>
      <c r="CI502" s="928"/>
      <c r="CJ502" s="928"/>
      <c r="CK502" s="928"/>
      <c r="CL502" s="928"/>
      <c r="CM502" s="928"/>
      <c r="CN502" s="928"/>
      <c r="CO502" s="928"/>
      <c r="CP502" s="928"/>
      <c r="CQ502" s="928"/>
      <c r="CR502" s="928"/>
      <c r="CS502" s="928"/>
      <c r="CT502" s="928"/>
      <c r="CU502" s="928"/>
      <c r="CV502" s="928"/>
      <c r="CW502" s="928"/>
      <c r="CX502" s="928"/>
      <c r="CY502" s="928"/>
      <c r="CZ502" s="928"/>
      <c r="DA502" s="928"/>
      <c r="DB502" s="928"/>
      <c r="DC502" s="928"/>
      <c r="DD502" s="928"/>
      <c r="DE502" s="928"/>
      <c r="DF502" s="928"/>
      <c r="DG502" s="928"/>
      <c r="DH502" s="928"/>
    </row>
    <row r="503" spans="3:112">
      <c r="C503" s="891" t="s">
        <v>89</v>
      </c>
      <c r="D503" s="897">
        <v>645.04</v>
      </c>
      <c r="H503" s="897"/>
      <c r="I503" s="897"/>
      <c r="J503" s="891"/>
      <c r="K503" s="891"/>
      <c r="L503" s="891"/>
      <c r="M503" s="891"/>
      <c r="N503" s="891"/>
      <c r="O503" s="891"/>
      <c r="P503" s="891"/>
      <c r="Q503" s="891"/>
      <c r="R503" s="891"/>
      <c r="S503" s="891"/>
      <c r="T503" s="891"/>
      <c r="U503" s="928"/>
      <c r="V503" s="928"/>
      <c r="W503" s="928"/>
      <c r="X503" s="928"/>
      <c r="Y503" s="928"/>
      <c r="Z503" s="928"/>
      <c r="AA503" s="928"/>
      <c r="AB503" s="928"/>
      <c r="AC503" s="928"/>
      <c r="AD503" s="928"/>
      <c r="AE503" s="928"/>
      <c r="AF503" s="928"/>
      <c r="AG503" s="928"/>
      <c r="AH503" s="928"/>
      <c r="AI503" s="928"/>
      <c r="AJ503" s="928"/>
      <c r="AK503" s="928"/>
      <c r="AL503" s="928"/>
      <c r="AM503" s="928"/>
      <c r="AN503" s="928"/>
      <c r="AO503" s="928"/>
      <c r="AP503" s="928"/>
      <c r="AQ503" s="928"/>
      <c r="AR503" s="928"/>
      <c r="AS503" s="928"/>
      <c r="AT503" s="928"/>
      <c r="AU503" s="928"/>
      <c r="AV503" s="928"/>
      <c r="AW503" s="928"/>
      <c r="AX503" s="928"/>
      <c r="AY503" s="928"/>
      <c r="AZ503" s="928"/>
      <c r="BA503" s="928"/>
      <c r="BB503" s="928"/>
      <c r="BC503" s="928"/>
      <c r="BD503" s="928"/>
      <c r="BE503" s="928"/>
      <c r="BF503" s="928"/>
      <c r="BG503" s="928"/>
      <c r="BH503" s="928"/>
      <c r="BI503" s="928"/>
      <c r="BJ503" s="928"/>
      <c r="BK503" s="928"/>
      <c r="BL503" s="928"/>
      <c r="BM503" s="928"/>
      <c r="BN503" s="928"/>
      <c r="BO503" s="928"/>
      <c r="BP503" s="928"/>
      <c r="BQ503" s="928"/>
      <c r="BR503" s="928"/>
      <c r="BS503" s="928"/>
      <c r="BT503" s="928"/>
      <c r="BU503" s="928"/>
      <c r="BV503" s="928"/>
      <c r="BW503" s="928"/>
      <c r="BX503" s="928"/>
      <c r="BY503" s="928"/>
      <c r="BZ503" s="928"/>
      <c r="CA503" s="928"/>
      <c r="CB503" s="928"/>
      <c r="CC503" s="928"/>
      <c r="CD503" s="928"/>
      <c r="CE503" s="928"/>
      <c r="CF503" s="928"/>
      <c r="CG503" s="928"/>
      <c r="CH503" s="928"/>
      <c r="CI503" s="928"/>
      <c r="CJ503" s="928"/>
      <c r="CK503" s="928"/>
      <c r="CL503" s="928"/>
      <c r="CM503" s="928"/>
      <c r="CN503" s="928"/>
      <c r="CO503" s="928"/>
      <c r="CP503" s="928"/>
      <c r="CQ503" s="928"/>
      <c r="CR503" s="928"/>
      <c r="CS503" s="928"/>
      <c r="CT503" s="928"/>
      <c r="CU503" s="928"/>
      <c r="CV503" s="928"/>
      <c r="CW503" s="928"/>
      <c r="CX503" s="928"/>
      <c r="CY503" s="928"/>
      <c r="CZ503" s="928"/>
      <c r="DA503" s="928"/>
      <c r="DB503" s="928"/>
      <c r="DC503" s="928"/>
      <c r="DD503" s="928"/>
      <c r="DE503" s="928"/>
      <c r="DF503" s="928"/>
      <c r="DG503" s="928"/>
      <c r="DH503" s="928"/>
    </row>
    <row r="504" spans="3:112">
      <c r="C504" s="891" t="s">
        <v>134</v>
      </c>
      <c r="D504" s="897">
        <v>645.04</v>
      </c>
      <c r="H504" s="897"/>
      <c r="I504" s="897"/>
      <c r="J504" s="891"/>
      <c r="K504" s="891"/>
      <c r="L504" s="891"/>
      <c r="M504" s="891"/>
      <c r="N504" s="891"/>
      <c r="O504" s="891"/>
      <c r="P504" s="891"/>
      <c r="Q504" s="891"/>
      <c r="R504" s="891"/>
      <c r="S504" s="891"/>
      <c r="T504" s="891"/>
      <c r="U504" s="928"/>
      <c r="V504" s="928"/>
      <c r="W504" s="928"/>
      <c r="X504" s="928"/>
      <c r="Y504" s="928"/>
      <c r="Z504" s="928"/>
      <c r="AA504" s="928"/>
      <c r="AB504" s="928"/>
      <c r="AC504" s="928"/>
      <c r="AD504" s="928"/>
      <c r="AE504" s="928"/>
      <c r="AF504" s="928"/>
      <c r="AG504" s="928"/>
      <c r="AH504" s="928"/>
      <c r="AI504" s="928"/>
      <c r="AJ504" s="928"/>
      <c r="AK504" s="928"/>
      <c r="AL504" s="928"/>
      <c r="AM504" s="928"/>
      <c r="AN504" s="928"/>
      <c r="AO504" s="928"/>
      <c r="AP504" s="928"/>
      <c r="AQ504" s="928"/>
      <c r="AR504" s="928"/>
      <c r="AS504" s="928"/>
      <c r="AT504" s="928"/>
      <c r="AU504" s="928"/>
      <c r="AV504" s="928"/>
      <c r="AW504" s="928"/>
      <c r="AX504" s="928"/>
      <c r="AY504" s="928"/>
      <c r="AZ504" s="928"/>
      <c r="BA504" s="928"/>
      <c r="BB504" s="928"/>
      <c r="BC504" s="928"/>
      <c r="BD504" s="928"/>
      <c r="BE504" s="928"/>
      <c r="BF504" s="928"/>
      <c r="BG504" s="928"/>
      <c r="BH504" s="928"/>
      <c r="BI504" s="928"/>
      <c r="BJ504" s="928"/>
      <c r="BK504" s="928"/>
      <c r="BL504" s="928"/>
      <c r="BM504" s="928"/>
      <c r="BN504" s="928"/>
      <c r="BO504" s="928"/>
      <c r="BP504" s="928"/>
      <c r="BQ504" s="928"/>
      <c r="BR504" s="928"/>
      <c r="BS504" s="928"/>
      <c r="BT504" s="928"/>
      <c r="BU504" s="928"/>
      <c r="BV504" s="928"/>
      <c r="BW504" s="928"/>
      <c r="BX504" s="928"/>
      <c r="BY504" s="928"/>
      <c r="BZ504" s="928"/>
      <c r="CA504" s="928"/>
      <c r="CB504" s="928"/>
      <c r="CC504" s="928"/>
      <c r="CD504" s="928"/>
      <c r="CE504" s="928"/>
      <c r="CF504" s="928"/>
      <c r="CG504" s="928"/>
      <c r="CH504" s="928"/>
      <c r="CI504" s="928"/>
      <c r="CJ504" s="928"/>
      <c r="CK504" s="928"/>
      <c r="CL504" s="928"/>
      <c r="CM504" s="928"/>
      <c r="CN504" s="928"/>
      <c r="CO504" s="928"/>
      <c r="CP504" s="928"/>
      <c r="CQ504" s="928"/>
      <c r="CR504" s="928"/>
      <c r="CS504" s="928"/>
      <c r="CT504" s="928"/>
      <c r="CU504" s="928"/>
      <c r="CV504" s="928"/>
      <c r="CW504" s="928"/>
      <c r="CX504" s="928"/>
      <c r="CY504" s="928"/>
      <c r="CZ504" s="928"/>
      <c r="DA504" s="928"/>
      <c r="DB504" s="928"/>
      <c r="DC504" s="928"/>
      <c r="DD504" s="928"/>
      <c r="DE504" s="928"/>
      <c r="DF504" s="928"/>
      <c r="DG504" s="928"/>
      <c r="DH504" s="928"/>
    </row>
    <row r="505" spans="3:112">
      <c r="C505" s="891" t="s">
        <v>101</v>
      </c>
      <c r="D505" s="897">
        <v>645.04</v>
      </c>
      <c r="H505" s="897"/>
      <c r="I505" s="897"/>
      <c r="J505" s="891"/>
      <c r="K505" s="891"/>
      <c r="L505" s="891"/>
      <c r="M505" s="891"/>
      <c r="N505" s="891"/>
      <c r="O505" s="891"/>
      <c r="P505" s="891"/>
      <c r="Q505" s="891"/>
      <c r="R505" s="891"/>
      <c r="S505" s="891"/>
      <c r="T505" s="891"/>
      <c r="U505" s="928"/>
      <c r="V505" s="928"/>
      <c r="W505" s="928"/>
      <c r="X505" s="928"/>
      <c r="Y505" s="928"/>
      <c r="Z505" s="928"/>
      <c r="AA505" s="928"/>
      <c r="AB505" s="928"/>
      <c r="AC505" s="928"/>
      <c r="AD505" s="928"/>
      <c r="AE505" s="928"/>
      <c r="AF505" s="928"/>
      <c r="AG505" s="928"/>
      <c r="AH505" s="928"/>
      <c r="AI505" s="928"/>
      <c r="AJ505" s="928"/>
      <c r="AK505" s="928"/>
      <c r="AL505" s="928"/>
      <c r="AM505" s="928"/>
      <c r="AN505" s="928"/>
      <c r="AO505" s="928"/>
      <c r="AP505" s="928"/>
      <c r="AQ505" s="928"/>
      <c r="AR505" s="928"/>
      <c r="AS505" s="928"/>
      <c r="AT505" s="928"/>
      <c r="AU505" s="928"/>
      <c r="AV505" s="928"/>
      <c r="AW505" s="928"/>
      <c r="AX505" s="928"/>
      <c r="AY505" s="928"/>
      <c r="AZ505" s="928"/>
      <c r="BA505" s="928"/>
      <c r="BB505" s="928"/>
      <c r="BC505" s="928"/>
      <c r="BD505" s="928"/>
      <c r="BE505" s="928"/>
      <c r="BF505" s="928"/>
      <c r="BG505" s="928"/>
      <c r="BH505" s="928"/>
      <c r="BI505" s="928"/>
      <c r="BJ505" s="928"/>
      <c r="BK505" s="928"/>
      <c r="BL505" s="928"/>
      <c r="BM505" s="928"/>
      <c r="BN505" s="928"/>
      <c r="BO505" s="928"/>
      <c r="BP505" s="928"/>
      <c r="BQ505" s="928"/>
      <c r="BR505" s="928"/>
      <c r="BS505" s="928"/>
      <c r="BT505" s="928"/>
      <c r="BU505" s="928"/>
      <c r="BV505" s="928"/>
      <c r="BW505" s="928"/>
      <c r="BX505" s="928"/>
      <c r="BY505" s="928"/>
      <c r="BZ505" s="928"/>
      <c r="CA505" s="928"/>
      <c r="CB505" s="928"/>
      <c r="CC505" s="928"/>
      <c r="CD505" s="928"/>
      <c r="CE505" s="928"/>
      <c r="CF505" s="928"/>
      <c r="CG505" s="928"/>
      <c r="CH505" s="928"/>
      <c r="CI505" s="928"/>
      <c r="CJ505" s="928"/>
      <c r="CK505" s="928"/>
      <c r="CL505" s="928"/>
      <c r="CM505" s="928"/>
      <c r="CN505" s="928"/>
      <c r="CO505" s="928"/>
      <c r="CP505" s="928"/>
      <c r="CQ505" s="928"/>
      <c r="CR505" s="928"/>
      <c r="CS505" s="928"/>
      <c r="CT505" s="928"/>
      <c r="CU505" s="928"/>
      <c r="CV505" s="928"/>
      <c r="CW505" s="928"/>
      <c r="CX505" s="928"/>
      <c r="CY505" s="928"/>
      <c r="CZ505" s="928"/>
      <c r="DA505" s="928"/>
      <c r="DB505" s="928"/>
      <c r="DC505" s="928"/>
      <c r="DD505" s="928"/>
      <c r="DE505" s="928"/>
      <c r="DF505" s="928"/>
      <c r="DG505" s="928"/>
      <c r="DH505" s="928"/>
    </row>
    <row r="506" spans="3:112">
      <c r="C506" s="891" t="s">
        <v>192</v>
      </c>
      <c r="D506" s="897">
        <v>644.20000000000005</v>
      </c>
      <c r="H506" s="897"/>
      <c r="I506" s="897"/>
      <c r="J506" s="891"/>
      <c r="K506" s="891"/>
      <c r="L506" s="891"/>
      <c r="M506" s="891"/>
      <c r="N506" s="891"/>
      <c r="O506" s="891"/>
      <c r="P506" s="891"/>
      <c r="Q506" s="891"/>
      <c r="R506" s="891"/>
      <c r="S506" s="891"/>
      <c r="T506" s="891"/>
      <c r="U506" s="928"/>
      <c r="V506" s="928"/>
      <c r="W506" s="928"/>
      <c r="X506" s="928"/>
      <c r="Y506" s="928"/>
      <c r="Z506" s="928"/>
      <c r="AA506" s="928"/>
      <c r="AB506" s="928"/>
      <c r="AC506" s="928"/>
      <c r="AD506" s="928"/>
      <c r="AE506" s="928"/>
      <c r="AF506" s="928"/>
      <c r="AG506" s="928"/>
      <c r="AH506" s="928"/>
      <c r="AI506" s="928"/>
      <c r="AJ506" s="928"/>
      <c r="AK506" s="928"/>
      <c r="AL506" s="928"/>
      <c r="AM506" s="928"/>
      <c r="AN506" s="928"/>
      <c r="AO506" s="928"/>
      <c r="AP506" s="928"/>
      <c r="AQ506" s="928"/>
      <c r="AR506" s="928"/>
      <c r="AS506" s="928"/>
      <c r="AT506" s="928"/>
      <c r="AU506" s="928"/>
      <c r="AV506" s="928"/>
      <c r="AW506" s="928"/>
      <c r="AX506" s="928"/>
      <c r="AY506" s="928"/>
      <c r="AZ506" s="928"/>
      <c r="BA506" s="928"/>
      <c r="BB506" s="928"/>
      <c r="BC506" s="928"/>
      <c r="BD506" s="928"/>
      <c r="BE506" s="928"/>
      <c r="BF506" s="928"/>
      <c r="BG506" s="928"/>
      <c r="BH506" s="928"/>
      <c r="BI506" s="928"/>
      <c r="BJ506" s="928"/>
      <c r="BK506" s="928"/>
      <c r="BL506" s="928"/>
      <c r="BM506" s="928"/>
      <c r="BN506" s="928"/>
      <c r="BO506" s="928"/>
      <c r="BP506" s="928"/>
      <c r="BQ506" s="928"/>
      <c r="BR506" s="928"/>
      <c r="BS506" s="928"/>
      <c r="BT506" s="928"/>
      <c r="BU506" s="928"/>
      <c r="BV506" s="928"/>
      <c r="BW506" s="928"/>
      <c r="BX506" s="928"/>
      <c r="BY506" s="928"/>
      <c r="BZ506" s="928"/>
      <c r="CA506" s="928"/>
      <c r="CB506" s="928"/>
      <c r="CC506" s="928"/>
      <c r="CD506" s="928"/>
      <c r="CE506" s="928"/>
      <c r="CF506" s="928"/>
      <c r="CG506" s="928"/>
      <c r="CH506" s="928"/>
      <c r="CI506" s="928"/>
      <c r="CJ506" s="928"/>
      <c r="CK506" s="928"/>
      <c r="CL506" s="928"/>
      <c r="CM506" s="928"/>
      <c r="CN506" s="928"/>
      <c r="CO506" s="928"/>
      <c r="CP506" s="928"/>
      <c r="CQ506" s="928"/>
      <c r="CR506" s="928"/>
      <c r="CS506" s="928"/>
      <c r="CT506" s="928"/>
      <c r="CU506" s="928"/>
      <c r="CV506" s="928"/>
      <c r="CW506" s="928"/>
      <c r="CX506" s="928"/>
      <c r="CY506" s="928"/>
      <c r="CZ506" s="928"/>
      <c r="DA506" s="928"/>
      <c r="DB506" s="928"/>
      <c r="DC506" s="928"/>
      <c r="DD506" s="928"/>
      <c r="DE506" s="928"/>
      <c r="DF506" s="928"/>
      <c r="DG506" s="928"/>
      <c r="DH506" s="928"/>
    </row>
    <row r="507" spans="3:112">
      <c r="C507" s="891" t="s">
        <v>68</v>
      </c>
      <c r="D507" s="897">
        <v>641.70000000000005</v>
      </c>
      <c r="H507" s="897"/>
      <c r="I507" s="897"/>
      <c r="J507" s="891"/>
      <c r="K507" s="891"/>
      <c r="L507" s="891"/>
      <c r="M507" s="891"/>
      <c r="N507" s="891"/>
      <c r="O507" s="891"/>
      <c r="P507" s="891"/>
      <c r="Q507" s="891"/>
      <c r="R507" s="891"/>
      <c r="S507" s="891"/>
      <c r="T507" s="891"/>
      <c r="U507" s="928"/>
      <c r="V507" s="928"/>
      <c r="W507" s="928"/>
      <c r="X507" s="928"/>
      <c r="Y507" s="928"/>
      <c r="Z507" s="928"/>
      <c r="AA507" s="928"/>
      <c r="AB507" s="928"/>
      <c r="AC507" s="928"/>
      <c r="AD507" s="928"/>
      <c r="AE507" s="928"/>
      <c r="AF507" s="928"/>
      <c r="AG507" s="928"/>
      <c r="AH507" s="928"/>
      <c r="AI507" s="928"/>
      <c r="AJ507" s="928"/>
      <c r="AK507" s="928"/>
      <c r="AL507" s="928"/>
      <c r="AM507" s="928"/>
      <c r="AN507" s="928"/>
      <c r="AO507" s="928"/>
      <c r="AP507" s="928"/>
      <c r="AQ507" s="928"/>
      <c r="AR507" s="928"/>
      <c r="AS507" s="928"/>
      <c r="AT507" s="928"/>
      <c r="AU507" s="928"/>
      <c r="AV507" s="928"/>
      <c r="AW507" s="928"/>
      <c r="AX507" s="928"/>
      <c r="AY507" s="928"/>
      <c r="AZ507" s="928"/>
      <c r="BA507" s="928"/>
      <c r="BB507" s="928"/>
      <c r="BC507" s="928"/>
      <c r="BD507" s="928"/>
      <c r="BE507" s="928"/>
      <c r="BF507" s="928"/>
      <c r="BG507" s="928"/>
      <c r="BH507" s="928"/>
      <c r="BI507" s="928"/>
      <c r="BJ507" s="928"/>
      <c r="BK507" s="928"/>
      <c r="BL507" s="928"/>
      <c r="BM507" s="928"/>
      <c r="BN507" s="928"/>
      <c r="BO507" s="928"/>
      <c r="BP507" s="928"/>
      <c r="BQ507" s="928"/>
      <c r="BR507" s="928"/>
      <c r="BS507" s="928"/>
      <c r="BT507" s="928"/>
      <c r="BU507" s="928"/>
      <c r="BV507" s="928"/>
      <c r="BW507" s="928"/>
      <c r="BX507" s="928"/>
      <c r="BY507" s="928"/>
      <c r="BZ507" s="928"/>
      <c r="CA507" s="928"/>
      <c r="CB507" s="928"/>
      <c r="CC507" s="928"/>
      <c r="CD507" s="928"/>
      <c r="CE507" s="928"/>
      <c r="CF507" s="928"/>
      <c r="CG507" s="928"/>
      <c r="CH507" s="928"/>
      <c r="CI507" s="928"/>
      <c r="CJ507" s="928"/>
      <c r="CK507" s="928"/>
      <c r="CL507" s="928"/>
      <c r="CM507" s="928"/>
      <c r="CN507" s="928"/>
      <c r="CO507" s="928"/>
      <c r="CP507" s="928"/>
      <c r="CQ507" s="928"/>
      <c r="CR507" s="928"/>
      <c r="CS507" s="928"/>
      <c r="CT507" s="928"/>
      <c r="CU507" s="928"/>
      <c r="CV507" s="928"/>
      <c r="CW507" s="928"/>
      <c r="CX507" s="928"/>
      <c r="CY507" s="928"/>
      <c r="CZ507" s="928"/>
      <c r="DA507" s="928"/>
      <c r="DB507" s="928"/>
      <c r="DC507" s="928"/>
      <c r="DD507" s="928"/>
      <c r="DE507" s="928"/>
      <c r="DF507" s="928"/>
      <c r="DG507" s="928"/>
      <c r="DH507" s="928"/>
    </row>
    <row r="508" spans="3:112">
      <c r="C508" s="891" t="s">
        <v>100</v>
      </c>
      <c r="D508" s="897">
        <v>641.16999999999996</v>
      </c>
      <c r="H508" s="897"/>
      <c r="I508" s="897"/>
      <c r="J508" s="891"/>
      <c r="K508" s="891"/>
      <c r="L508" s="891"/>
      <c r="M508" s="891"/>
      <c r="N508" s="891"/>
      <c r="O508" s="891"/>
      <c r="P508" s="891"/>
      <c r="Q508" s="891"/>
      <c r="R508" s="891"/>
      <c r="S508" s="891"/>
      <c r="T508" s="891"/>
    </row>
    <row r="509" spans="3:112">
      <c r="C509" s="891" t="s">
        <v>172</v>
      </c>
      <c r="D509" s="897">
        <v>634.9</v>
      </c>
      <c r="H509" s="897"/>
      <c r="I509" s="897"/>
      <c r="J509" s="891"/>
      <c r="K509" s="891"/>
      <c r="L509" s="891"/>
      <c r="M509" s="891"/>
      <c r="N509" s="891"/>
      <c r="O509" s="891"/>
      <c r="P509" s="891"/>
      <c r="Q509" s="891"/>
      <c r="R509" s="891"/>
      <c r="S509" s="891"/>
      <c r="T509" s="891"/>
    </row>
    <row r="510" spans="3:112">
      <c r="C510" s="891" t="s">
        <v>141</v>
      </c>
      <c r="D510" s="897">
        <v>634.9</v>
      </c>
      <c r="H510" s="897"/>
      <c r="I510" s="897"/>
      <c r="J510" s="891"/>
      <c r="K510" s="891"/>
      <c r="L510" s="891"/>
      <c r="M510" s="891"/>
      <c r="N510" s="891"/>
      <c r="O510" s="891"/>
      <c r="P510" s="891"/>
      <c r="Q510" s="891"/>
      <c r="R510" s="891"/>
      <c r="S510" s="891"/>
      <c r="T510" s="891"/>
    </row>
    <row r="511" spans="3:112">
      <c r="C511" s="891" t="s">
        <v>55</v>
      </c>
      <c r="D511" s="897">
        <v>634.29</v>
      </c>
      <c r="H511" s="897"/>
      <c r="I511" s="897"/>
      <c r="J511" s="891"/>
      <c r="K511" s="891"/>
      <c r="L511" s="891"/>
      <c r="M511" s="891"/>
      <c r="N511" s="891"/>
      <c r="O511" s="891"/>
      <c r="P511" s="891"/>
      <c r="Q511" s="891"/>
      <c r="R511" s="891"/>
      <c r="S511" s="891"/>
      <c r="T511" s="891"/>
    </row>
    <row r="512" spans="3:112">
      <c r="C512" s="891" t="s">
        <v>117</v>
      </c>
      <c r="D512" s="897">
        <v>631.4</v>
      </c>
      <c r="H512" s="897"/>
      <c r="I512" s="897"/>
      <c r="J512" s="891"/>
      <c r="K512" s="891"/>
      <c r="L512" s="891"/>
      <c r="M512" s="891"/>
      <c r="N512" s="891"/>
      <c r="O512" s="891"/>
      <c r="P512" s="891"/>
      <c r="Q512" s="891"/>
      <c r="R512" s="891"/>
      <c r="S512" s="891"/>
      <c r="T512" s="891"/>
    </row>
    <row r="513" spans="3:20">
      <c r="C513" s="891" t="s">
        <v>15</v>
      </c>
      <c r="D513" s="897">
        <v>628.67999999999995</v>
      </c>
      <c r="H513" s="897"/>
      <c r="I513" s="897"/>
      <c r="J513" s="891"/>
      <c r="K513" s="891"/>
      <c r="L513" s="891"/>
      <c r="M513" s="891"/>
      <c r="N513" s="891"/>
      <c r="O513" s="891"/>
      <c r="P513" s="891"/>
      <c r="Q513" s="891"/>
      <c r="R513" s="891"/>
      <c r="S513" s="891"/>
      <c r="T513" s="891"/>
    </row>
    <row r="514" spans="3:20">
      <c r="H514" s="897"/>
      <c r="I514" s="897"/>
      <c r="J514" s="891"/>
      <c r="K514" s="891"/>
      <c r="L514" s="891"/>
      <c r="M514" s="891"/>
      <c r="N514" s="891"/>
      <c r="O514" s="891"/>
      <c r="P514" s="891"/>
      <c r="Q514" s="891"/>
      <c r="R514" s="891"/>
      <c r="S514" s="891"/>
      <c r="T514" s="891"/>
    </row>
    <row r="515" spans="3:20">
      <c r="H515" s="897"/>
      <c r="I515" s="897"/>
      <c r="J515" s="891"/>
      <c r="K515" s="891"/>
      <c r="L515" s="891"/>
      <c r="M515" s="891"/>
      <c r="N515" s="891"/>
      <c r="O515" s="891"/>
      <c r="P515" s="891"/>
      <c r="Q515" s="891"/>
      <c r="R515" s="891"/>
      <c r="S515" s="891"/>
      <c r="T515" s="891"/>
    </row>
    <row r="516" spans="3:20">
      <c r="H516" s="897"/>
      <c r="I516" s="897"/>
      <c r="J516" s="891"/>
      <c r="K516" s="891"/>
      <c r="L516" s="891"/>
      <c r="M516" s="891"/>
      <c r="N516" s="891"/>
      <c r="O516" s="891"/>
      <c r="P516" s="891"/>
      <c r="Q516" s="891"/>
      <c r="R516" s="891"/>
      <c r="S516" s="891"/>
      <c r="T516" s="891"/>
    </row>
    <row r="517" spans="3:20">
      <c r="H517" s="897"/>
      <c r="I517" s="897"/>
      <c r="J517" s="891"/>
      <c r="K517" s="891"/>
      <c r="L517" s="891"/>
      <c r="M517" s="891"/>
      <c r="N517" s="891"/>
      <c r="O517" s="891"/>
      <c r="P517" s="891"/>
      <c r="Q517" s="891"/>
      <c r="R517" s="891"/>
      <c r="S517" s="891"/>
      <c r="T517" s="891"/>
    </row>
    <row r="518" spans="3:20">
      <c r="H518" s="897"/>
      <c r="I518" s="897"/>
      <c r="J518" s="891"/>
      <c r="K518" s="891"/>
      <c r="L518" s="891"/>
      <c r="M518" s="891"/>
      <c r="N518" s="891"/>
      <c r="O518" s="891"/>
      <c r="P518" s="891"/>
      <c r="Q518" s="891"/>
      <c r="R518" s="891"/>
      <c r="S518" s="891"/>
      <c r="T518" s="891"/>
    </row>
    <row r="519" spans="3:20">
      <c r="H519" s="897"/>
      <c r="I519" s="897"/>
      <c r="J519" s="891"/>
      <c r="K519" s="891"/>
      <c r="L519" s="891"/>
      <c r="M519" s="891"/>
      <c r="N519" s="891"/>
      <c r="O519" s="891"/>
      <c r="P519" s="891"/>
      <c r="Q519" s="891"/>
      <c r="R519" s="891"/>
      <c r="S519" s="891"/>
      <c r="T519" s="891"/>
    </row>
  </sheetData>
  <sheetProtection password="C9F9" sheet="1" objects="1" scenarios="1"/>
  <scenarios current="0" show="0">
    <scenario name="Rent" locked="1" count="1" user="Aspire V2000" comment="Created by Aspire V2000 on 10/14/2013">
      <inputCells r="A93" val="12"/>
    </scenario>
  </scenarios>
  <dataConsolidate/>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dimension ref="A1:BI426"/>
  <sheetViews>
    <sheetView showGridLines="0" topLeftCell="A2" zoomScale="96" zoomScaleNormal="96" workbookViewId="0">
      <selection activeCell="A2" sqref="A2:BF407"/>
    </sheetView>
  </sheetViews>
  <sheetFormatPr defaultRowHeight="15"/>
  <cols>
    <col min="1" max="1" width="17" customWidth="1"/>
    <col min="2" max="2" width="21.7109375" style="6" customWidth="1"/>
    <col min="3" max="3" width="38.42578125" customWidth="1"/>
    <col min="4" max="4" width="18.85546875" customWidth="1"/>
    <col min="7" max="7" width="12.28515625" customWidth="1"/>
    <col min="19" max="19" width="11.28515625" customWidth="1"/>
    <col min="20" max="20" width="10.5703125" bestFit="1" customWidth="1"/>
    <col min="24" max="24" width="11.5703125" style="4" bestFit="1" customWidth="1"/>
    <col min="41" max="41" width="10.42578125" customWidth="1"/>
    <col min="42" max="42" width="12.42578125" customWidth="1"/>
    <col min="54" max="54" width="12.140625" customWidth="1"/>
  </cols>
  <sheetData>
    <row r="1" spans="1:61">
      <c r="A1" s="928"/>
      <c r="B1" s="929"/>
      <c r="C1" s="928">
        <v>1</v>
      </c>
      <c r="D1" s="928">
        <v>2</v>
      </c>
      <c r="E1" s="928">
        <v>3</v>
      </c>
      <c r="F1" s="928">
        <v>4</v>
      </c>
      <c r="G1" s="928">
        <v>5</v>
      </c>
      <c r="H1" s="928">
        <v>6</v>
      </c>
      <c r="I1" s="928">
        <v>7</v>
      </c>
      <c r="J1" s="928">
        <v>8</v>
      </c>
      <c r="K1" s="928">
        <v>9</v>
      </c>
      <c r="L1" s="928">
        <v>10</v>
      </c>
      <c r="M1" s="928">
        <v>11</v>
      </c>
      <c r="N1" s="928">
        <v>12</v>
      </c>
      <c r="O1" s="928">
        <v>13</v>
      </c>
      <c r="P1" s="928">
        <v>14</v>
      </c>
      <c r="Q1" s="928">
        <v>15</v>
      </c>
      <c r="R1" s="928">
        <v>16</v>
      </c>
      <c r="S1" s="928">
        <v>17</v>
      </c>
      <c r="T1" s="928">
        <v>18</v>
      </c>
      <c r="U1" s="928">
        <v>19</v>
      </c>
      <c r="V1" s="928">
        <v>20</v>
      </c>
      <c r="W1" s="928">
        <v>21</v>
      </c>
      <c r="X1" s="928">
        <v>22</v>
      </c>
      <c r="Y1" s="928">
        <v>23</v>
      </c>
      <c r="Z1" s="928">
        <v>24</v>
      </c>
      <c r="AA1" s="928">
        <v>25</v>
      </c>
      <c r="AB1" s="928">
        <v>26</v>
      </c>
      <c r="AC1" s="928">
        <v>27</v>
      </c>
      <c r="AD1" s="928">
        <v>28</v>
      </c>
      <c r="AE1" s="928">
        <v>29</v>
      </c>
      <c r="AF1" s="928">
        <v>30</v>
      </c>
      <c r="AG1" s="928">
        <v>31</v>
      </c>
      <c r="AH1" s="928">
        <v>32</v>
      </c>
      <c r="AI1" s="928">
        <v>33</v>
      </c>
      <c r="AJ1" s="928">
        <v>34</v>
      </c>
      <c r="AK1" s="928">
        <v>35</v>
      </c>
      <c r="AL1" s="928">
        <v>36</v>
      </c>
      <c r="AM1" s="928">
        <v>37</v>
      </c>
      <c r="AN1" s="928">
        <v>38</v>
      </c>
      <c r="AO1" s="928">
        <v>39</v>
      </c>
      <c r="AP1" s="928">
        <v>40</v>
      </c>
      <c r="AQ1" s="928">
        <v>41</v>
      </c>
      <c r="AR1" s="928">
        <v>42</v>
      </c>
      <c r="AS1" s="928">
        <v>43</v>
      </c>
      <c r="AT1" s="928">
        <v>44</v>
      </c>
      <c r="AU1" s="928">
        <v>45</v>
      </c>
      <c r="AV1" s="928">
        <v>46</v>
      </c>
      <c r="AW1" s="928">
        <v>47</v>
      </c>
      <c r="AX1" s="928">
        <v>48</v>
      </c>
      <c r="AY1" s="928">
        <v>49</v>
      </c>
      <c r="AZ1" s="928">
        <v>50</v>
      </c>
      <c r="BA1" s="928">
        <v>51</v>
      </c>
      <c r="BB1" s="928">
        <v>52</v>
      </c>
      <c r="BC1" s="928">
        <v>53</v>
      </c>
      <c r="BD1" s="928"/>
      <c r="BE1" s="928"/>
      <c r="BF1" s="928"/>
      <c r="BG1" s="928"/>
      <c r="BH1" s="928"/>
      <c r="BI1" s="928"/>
    </row>
    <row r="2" spans="1:61" s="7" customFormat="1" ht="102">
      <c r="A2" s="924"/>
      <c r="B2" s="924"/>
      <c r="C2" s="924" t="s">
        <v>401</v>
      </c>
      <c r="D2" s="924" t="s">
        <v>1223</v>
      </c>
      <c r="E2" s="924" t="s">
        <v>415</v>
      </c>
      <c r="F2" s="924" t="s">
        <v>416</v>
      </c>
      <c r="G2" s="924" t="s">
        <v>417</v>
      </c>
      <c r="H2" s="924" t="s">
        <v>418</v>
      </c>
      <c r="I2" s="924" t="s">
        <v>419</v>
      </c>
      <c r="J2" s="924" t="s">
        <v>420</v>
      </c>
      <c r="K2" s="924" t="s">
        <v>421</v>
      </c>
      <c r="L2" s="924" t="s">
        <v>422</v>
      </c>
      <c r="M2" s="924" t="s">
        <v>423</v>
      </c>
      <c r="N2" s="924" t="s">
        <v>424</v>
      </c>
      <c r="O2" s="924" t="s">
        <v>425</v>
      </c>
      <c r="P2" s="924" t="s">
        <v>426</v>
      </c>
      <c r="Q2" s="924" t="s">
        <v>427</v>
      </c>
      <c r="R2" s="924" t="s">
        <v>418</v>
      </c>
      <c r="S2" s="924" t="s">
        <v>428</v>
      </c>
      <c r="T2" s="924" t="s">
        <v>403</v>
      </c>
      <c r="U2" s="924" t="s">
        <v>429</v>
      </c>
      <c r="V2" s="924" t="s">
        <v>404</v>
      </c>
      <c r="W2" s="924" t="s">
        <v>405</v>
      </c>
      <c r="X2" s="925" t="s">
        <v>406</v>
      </c>
      <c r="Y2" s="924" t="s">
        <v>430</v>
      </c>
      <c r="Z2" s="924" t="s">
        <v>431</v>
      </c>
      <c r="AA2" s="924" t="s">
        <v>432</v>
      </c>
      <c r="AB2" s="924" t="s">
        <v>433</v>
      </c>
      <c r="AC2" s="924" t="s">
        <v>1</v>
      </c>
      <c r="AD2" s="924" t="s">
        <v>407</v>
      </c>
      <c r="AE2" s="924" t="s">
        <v>408</v>
      </c>
      <c r="AF2" s="924" t="s">
        <v>434</v>
      </c>
      <c r="AG2" s="924" t="s">
        <v>435</v>
      </c>
      <c r="AH2" s="924" t="s">
        <v>436</v>
      </c>
      <c r="AI2" s="924" t="s">
        <v>437</v>
      </c>
      <c r="AJ2" s="924" t="s">
        <v>438</v>
      </c>
      <c r="AK2" s="924" t="s">
        <v>439</v>
      </c>
      <c r="AL2" s="924" t="s">
        <v>440</v>
      </c>
      <c r="AM2" s="924" t="s">
        <v>441</v>
      </c>
      <c r="AN2" s="924" t="s">
        <v>442</v>
      </c>
      <c r="AO2" s="924" t="s">
        <v>443</v>
      </c>
      <c r="AP2" s="924" t="s">
        <v>444</v>
      </c>
      <c r="AQ2" s="924" t="s">
        <v>409</v>
      </c>
      <c r="AR2" s="924" t="s">
        <v>410</v>
      </c>
      <c r="AS2" s="924" t="s">
        <v>411</v>
      </c>
      <c r="AT2" s="924" t="s">
        <v>445</v>
      </c>
      <c r="AU2" s="924" t="s">
        <v>446</v>
      </c>
      <c r="AV2" s="924" t="s">
        <v>447</v>
      </c>
      <c r="AW2" s="924" t="s">
        <v>448</v>
      </c>
      <c r="AX2" s="924" t="s">
        <v>449</v>
      </c>
      <c r="AY2" s="924" t="s">
        <v>450</v>
      </c>
      <c r="AZ2" s="924" t="s">
        <v>451</v>
      </c>
      <c r="BA2" s="924" t="s">
        <v>452</v>
      </c>
      <c r="BB2" s="924" t="s">
        <v>453</v>
      </c>
      <c r="BC2" s="924" t="s">
        <v>454</v>
      </c>
      <c r="BD2" s="924"/>
      <c r="BE2" s="924"/>
      <c r="BF2" s="924"/>
      <c r="BG2" s="930"/>
      <c r="BH2" s="930"/>
      <c r="BI2" s="930"/>
    </row>
    <row r="3" spans="1:61">
      <c r="A3" s="891"/>
      <c r="B3" s="923"/>
      <c r="C3" s="891"/>
      <c r="D3" s="891"/>
      <c r="E3" s="891"/>
      <c r="F3" s="891"/>
      <c r="G3" s="891"/>
      <c r="H3" s="891"/>
      <c r="I3" s="891"/>
      <c r="J3" s="891"/>
      <c r="K3" s="891"/>
      <c r="L3" s="891"/>
      <c r="M3" s="891"/>
      <c r="N3" s="891"/>
      <c r="O3" s="891"/>
      <c r="P3" s="891"/>
      <c r="Q3" s="891"/>
      <c r="R3" s="891"/>
      <c r="S3" s="891"/>
      <c r="T3" s="926">
        <f>T4+X4+AQ4+AR4+AS4+W4</f>
        <v>45520.959999999999</v>
      </c>
      <c r="U3" s="891"/>
      <c r="V3" s="891"/>
      <c r="W3" s="891"/>
      <c r="X3" s="927"/>
      <c r="Y3" s="891"/>
      <c r="Z3" s="891"/>
      <c r="AA3" s="891"/>
      <c r="AB3" s="891"/>
      <c r="AC3" s="891"/>
      <c r="AD3" s="891"/>
      <c r="AE3" s="891"/>
      <c r="AF3" s="891"/>
      <c r="AG3" s="891"/>
      <c r="AH3" s="891"/>
      <c r="AI3" s="891"/>
      <c r="AJ3" s="891"/>
      <c r="AK3" s="891"/>
      <c r="AL3" s="891"/>
      <c r="AM3" s="891"/>
      <c r="AN3" s="891"/>
      <c r="AO3" s="891"/>
      <c r="AP3" s="891"/>
      <c r="AQ3" s="891"/>
      <c r="AR3" s="891"/>
      <c r="AS3" s="891"/>
      <c r="AT3" s="891"/>
      <c r="AU3" s="891"/>
      <c r="AV3" s="891"/>
      <c r="AW3" s="891"/>
      <c r="AX3" s="891"/>
      <c r="AY3" s="891"/>
      <c r="AZ3" s="891"/>
      <c r="BA3" s="891" t="s">
        <v>0</v>
      </c>
      <c r="BB3" s="891"/>
      <c r="BC3" s="891"/>
      <c r="BD3" s="891"/>
      <c r="BE3" s="891"/>
      <c r="BF3" s="891"/>
      <c r="BG3" s="928"/>
      <c r="BH3" s="928"/>
      <c r="BI3" s="928"/>
    </row>
    <row r="4" spans="1:61">
      <c r="A4" s="891" t="s">
        <v>776</v>
      </c>
      <c r="B4" s="891" t="s">
        <v>581</v>
      </c>
      <c r="C4" s="891" t="s">
        <v>33</v>
      </c>
      <c r="D4" s="891">
        <v>18.07</v>
      </c>
      <c r="E4" s="891">
        <v>63.55</v>
      </c>
      <c r="F4" s="891">
        <v>9.99</v>
      </c>
      <c r="G4" s="891">
        <v>6.36</v>
      </c>
      <c r="H4" s="891">
        <v>9.08</v>
      </c>
      <c r="I4" s="891">
        <v>3.63</v>
      </c>
      <c r="J4" s="891">
        <v>3.09</v>
      </c>
      <c r="K4" s="891">
        <v>0.91</v>
      </c>
      <c r="L4" s="891">
        <v>3.27</v>
      </c>
      <c r="M4" s="891">
        <v>4.18</v>
      </c>
      <c r="N4" s="891">
        <v>11.26</v>
      </c>
      <c r="O4" s="891">
        <v>2.72</v>
      </c>
      <c r="P4" s="891">
        <v>10.9</v>
      </c>
      <c r="Q4" s="891">
        <v>2.54</v>
      </c>
      <c r="R4" s="891">
        <v>6.17</v>
      </c>
      <c r="S4" s="891">
        <v>7.44</v>
      </c>
      <c r="T4" s="891">
        <v>3.63</v>
      </c>
      <c r="U4" s="891">
        <v>11.8</v>
      </c>
      <c r="V4" s="891">
        <v>68.09</v>
      </c>
      <c r="W4" s="891">
        <v>2</v>
      </c>
      <c r="X4" s="927">
        <v>45395.94</v>
      </c>
      <c r="Y4" s="891">
        <v>617.38</v>
      </c>
      <c r="Z4" s="891">
        <v>453.96</v>
      </c>
      <c r="AA4" s="891">
        <v>1361.88</v>
      </c>
      <c r="AB4" s="891">
        <v>907.92</v>
      </c>
      <c r="AC4" s="891">
        <v>208.37</v>
      </c>
      <c r="AD4" s="891">
        <v>0.13</v>
      </c>
      <c r="AE4" s="891">
        <v>36.229999999999997</v>
      </c>
      <c r="AF4" s="891">
        <v>34.409999999999997</v>
      </c>
      <c r="AG4" s="891">
        <v>36.32</v>
      </c>
      <c r="AH4" s="891">
        <v>18.16</v>
      </c>
      <c r="AI4" s="891">
        <v>108.95</v>
      </c>
      <c r="AJ4" s="891">
        <v>49.94</v>
      </c>
      <c r="AK4" s="891">
        <v>108.95</v>
      </c>
      <c r="AL4" s="891">
        <v>136.19</v>
      </c>
      <c r="AM4" s="891">
        <v>2723.76</v>
      </c>
      <c r="AN4" s="891">
        <v>2542.17</v>
      </c>
      <c r="AO4" s="891">
        <v>2723.76</v>
      </c>
      <c r="AP4" s="891">
        <v>2.5</v>
      </c>
      <c r="AQ4" s="891">
        <v>6.72</v>
      </c>
      <c r="AR4" s="891">
        <v>3.72</v>
      </c>
      <c r="AS4" s="891">
        <v>108.95</v>
      </c>
      <c r="AT4" s="891">
        <v>2.72</v>
      </c>
      <c r="AU4" s="891">
        <v>2.91</v>
      </c>
      <c r="AV4" s="891">
        <v>2.1800000000000002</v>
      </c>
      <c r="AW4" s="891">
        <v>1.82</v>
      </c>
      <c r="AX4" s="891">
        <v>4.2699999999999996</v>
      </c>
      <c r="AY4" s="891">
        <v>2.36</v>
      </c>
      <c r="AZ4" s="891">
        <v>3.63</v>
      </c>
      <c r="BA4" s="891">
        <f t="shared" ref="BA4:BA63" si="0">AC4+AD4+AE4</f>
        <v>244.73</v>
      </c>
      <c r="BB4" s="926">
        <f t="shared" ref="BB4:BB63" si="1">T4+V4+W4+X4+AQ4+AR4+AS4</f>
        <v>45589.05</v>
      </c>
      <c r="BC4" s="926">
        <f t="shared" ref="BC4:BC63" si="2">BB4-X4-W4</f>
        <v>191.11000000000058</v>
      </c>
      <c r="BD4" s="891"/>
      <c r="BE4" s="891"/>
      <c r="BF4" s="891"/>
      <c r="BG4" s="928"/>
      <c r="BH4" s="928"/>
      <c r="BI4" s="928"/>
    </row>
    <row r="5" spans="1:61">
      <c r="A5" s="891" t="s">
        <v>777</v>
      </c>
      <c r="B5" s="891" t="s">
        <v>1569</v>
      </c>
      <c r="C5" s="891" t="s">
        <v>20</v>
      </c>
      <c r="D5" s="891">
        <v>23.93</v>
      </c>
      <c r="E5" s="891">
        <v>95.72</v>
      </c>
      <c r="F5" s="891">
        <v>7.98</v>
      </c>
      <c r="G5" s="891">
        <v>4.79</v>
      </c>
      <c r="H5" s="891">
        <v>5.42</v>
      </c>
      <c r="I5" s="891">
        <v>1.91</v>
      </c>
      <c r="J5" s="891">
        <v>1.44</v>
      </c>
      <c r="K5" s="891">
        <v>1.6</v>
      </c>
      <c r="L5" s="891">
        <v>1.55</v>
      </c>
      <c r="M5" s="891">
        <v>4.3600000000000003</v>
      </c>
      <c r="N5" s="891">
        <v>14.36</v>
      </c>
      <c r="O5" s="891">
        <v>1.83</v>
      </c>
      <c r="P5" s="891">
        <v>9.57</v>
      </c>
      <c r="Q5" s="891">
        <v>3.19</v>
      </c>
      <c r="R5" s="891">
        <v>3.19</v>
      </c>
      <c r="S5" s="891">
        <v>11.97</v>
      </c>
      <c r="T5" s="891">
        <v>3.91</v>
      </c>
      <c r="U5" s="891">
        <v>9.9600000000000009</v>
      </c>
      <c r="V5" s="891">
        <v>103.7</v>
      </c>
      <c r="W5" s="891">
        <v>2.19</v>
      </c>
      <c r="X5" s="927">
        <v>23923.1</v>
      </c>
      <c r="Y5" s="891">
        <v>1037.01</v>
      </c>
      <c r="Z5" s="891">
        <v>877.47</v>
      </c>
      <c r="AA5" s="891">
        <v>1994.26</v>
      </c>
      <c r="AB5" s="891">
        <v>1595.41</v>
      </c>
      <c r="AC5" s="891">
        <v>292.76</v>
      </c>
      <c r="AD5" s="891">
        <v>0.21</v>
      </c>
      <c r="AE5" s="891">
        <v>31.91</v>
      </c>
      <c r="AF5" s="891">
        <v>59.83</v>
      </c>
      <c r="AG5" s="891">
        <v>17.55</v>
      </c>
      <c r="AH5" s="891">
        <v>12.76</v>
      </c>
      <c r="AI5" s="891">
        <v>119.66</v>
      </c>
      <c r="AJ5" s="891">
        <v>55.84</v>
      </c>
      <c r="AK5" s="891">
        <v>103.7</v>
      </c>
      <c r="AL5" s="891">
        <v>123.64</v>
      </c>
      <c r="AM5" s="891">
        <v>5105.3</v>
      </c>
      <c r="AN5" s="891">
        <v>3908.74</v>
      </c>
      <c r="AO5" s="891">
        <v>2871.73</v>
      </c>
      <c r="AP5" s="891">
        <v>4</v>
      </c>
      <c r="AQ5" s="891">
        <v>4.2300000000000004</v>
      </c>
      <c r="AR5" s="891">
        <v>3.47</v>
      </c>
      <c r="AS5" s="891">
        <v>20.74</v>
      </c>
      <c r="AT5" s="891">
        <v>2.75</v>
      </c>
      <c r="AU5" s="891">
        <v>2.39</v>
      </c>
      <c r="AV5" s="891">
        <v>3.19</v>
      </c>
      <c r="AW5" s="891">
        <v>1.6</v>
      </c>
      <c r="AX5" s="891">
        <v>3.99</v>
      </c>
      <c r="AY5" s="891">
        <v>1.6</v>
      </c>
      <c r="AZ5" s="891">
        <v>3.18</v>
      </c>
      <c r="BA5" s="891">
        <f t="shared" si="0"/>
        <v>324.88</v>
      </c>
      <c r="BB5" s="926">
        <f t="shared" si="1"/>
        <v>24061.34</v>
      </c>
      <c r="BC5" s="926">
        <f t="shared" si="2"/>
        <v>136.0500000000016</v>
      </c>
      <c r="BD5" s="891"/>
      <c r="BE5" s="891"/>
      <c r="BF5" s="891"/>
      <c r="BG5" s="928"/>
      <c r="BH5" s="928"/>
      <c r="BI5" s="928"/>
    </row>
    <row r="6" spans="1:61">
      <c r="A6" s="891" t="s">
        <v>1570</v>
      </c>
      <c r="B6" s="891" t="s">
        <v>1571</v>
      </c>
      <c r="C6" s="891" t="s">
        <v>252</v>
      </c>
      <c r="D6" s="891">
        <v>8.17</v>
      </c>
      <c r="E6" s="891">
        <v>40.840000000000003</v>
      </c>
      <c r="F6" s="891">
        <v>5.45</v>
      </c>
      <c r="G6" s="891">
        <v>8.15</v>
      </c>
      <c r="H6" s="891">
        <v>5.45</v>
      </c>
      <c r="I6" s="891">
        <v>0.41</v>
      </c>
      <c r="J6" s="891">
        <v>0.27</v>
      </c>
      <c r="K6" s="891">
        <v>1.36</v>
      </c>
      <c r="L6" s="891">
        <v>1.0900000000000001</v>
      </c>
      <c r="M6" s="891">
        <v>2.5</v>
      </c>
      <c r="N6" s="891">
        <v>5.45</v>
      </c>
      <c r="O6" s="891">
        <v>0.54</v>
      </c>
      <c r="P6" s="891">
        <v>18.170000000000002</v>
      </c>
      <c r="Q6" s="891">
        <v>2.72</v>
      </c>
      <c r="R6" s="891">
        <v>2.31</v>
      </c>
      <c r="S6" s="891">
        <v>2.1800000000000002</v>
      </c>
      <c r="T6" s="891">
        <v>0.54</v>
      </c>
      <c r="U6" s="891">
        <v>5.45</v>
      </c>
      <c r="V6" s="891">
        <v>27.23</v>
      </c>
      <c r="W6" s="891">
        <v>0.47</v>
      </c>
      <c r="X6" s="927">
        <v>20000</v>
      </c>
      <c r="Y6" s="891">
        <v>1633.54</v>
      </c>
      <c r="Z6" s="891">
        <v>1089.03</v>
      </c>
      <c r="AA6" s="891">
        <v>4219.9799999999996</v>
      </c>
      <c r="AB6" s="891">
        <v>3000</v>
      </c>
      <c r="AC6" s="891">
        <v>77.14</v>
      </c>
      <c r="AD6" s="891">
        <v>0.1</v>
      </c>
      <c r="AE6" s="891">
        <v>81.680000000000007</v>
      </c>
      <c r="AF6" s="891">
        <v>100</v>
      </c>
      <c r="AG6" s="891">
        <v>27.23</v>
      </c>
      <c r="AH6" s="891">
        <v>9.5299999999999994</v>
      </c>
      <c r="AI6" s="891">
        <v>54.45</v>
      </c>
      <c r="AJ6" s="891">
        <v>50</v>
      </c>
      <c r="AK6" s="891">
        <v>81.680000000000007</v>
      </c>
      <c r="AL6" s="891">
        <v>81.680000000000007</v>
      </c>
      <c r="AM6" s="891">
        <v>2826.56</v>
      </c>
      <c r="AN6" s="891">
        <v>1695.94</v>
      </c>
      <c r="AO6" s="891">
        <v>3000</v>
      </c>
      <c r="AP6" s="891">
        <v>6.75</v>
      </c>
      <c r="AQ6" s="891">
        <v>0.95</v>
      </c>
      <c r="AR6" s="891">
        <v>0.46</v>
      </c>
      <c r="AS6" s="891">
        <v>6.81</v>
      </c>
      <c r="AT6" s="891">
        <v>1.91</v>
      </c>
      <c r="AU6" s="891">
        <v>1.57</v>
      </c>
      <c r="AV6" s="891">
        <v>1.36</v>
      </c>
      <c r="AW6" s="891">
        <v>1.63</v>
      </c>
      <c r="AX6" s="891">
        <v>4.08</v>
      </c>
      <c r="AY6" s="891">
        <v>1.23</v>
      </c>
      <c r="AZ6" s="891">
        <v>1.36</v>
      </c>
      <c r="BA6" s="891">
        <f t="shared" si="0"/>
        <v>158.92000000000002</v>
      </c>
      <c r="BB6" s="926">
        <f t="shared" si="1"/>
        <v>20036.460000000003</v>
      </c>
      <c r="BC6" s="926">
        <f t="shared" si="2"/>
        <v>35.990000000002766</v>
      </c>
      <c r="BD6" s="891"/>
      <c r="BE6" s="891"/>
      <c r="BF6" s="891"/>
      <c r="BG6" s="928"/>
      <c r="BH6" s="928"/>
      <c r="BI6" s="928"/>
    </row>
    <row r="7" spans="1:61">
      <c r="A7" s="891" t="s">
        <v>779</v>
      </c>
      <c r="B7" s="891" t="s">
        <v>565</v>
      </c>
      <c r="C7" s="891" t="s">
        <v>246</v>
      </c>
      <c r="D7" s="891">
        <v>6.77</v>
      </c>
      <c r="E7" s="891">
        <v>60</v>
      </c>
      <c r="F7" s="891">
        <v>10</v>
      </c>
      <c r="G7" s="891">
        <v>2</v>
      </c>
      <c r="H7" s="891">
        <v>3</v>
      </c>
      <c r="I7" s="891">
        <v>1.18</v>
      </c>
      <c r="J7" s="891">
        <v>0.98</v>
      </c>
      <c r="K7" s="891">
        <v>2.5</v>
      </c>
      <c r="L7" s="891">
        <v>1.91</v>
      </c>
      <c r="M7" s="891">
        <v>2.4700000000000002</v>
      </c>
      <c r="N7" s="891">
        <v>3.23</v>
      </c>
      <c r="O7" s="891">
        <v>0.96</v>
      </c>
      <c r="P7" s="891">
        <v>9.5</v>
      </c>
      <c r="Q7" s="891">
        <v>1.45</v>
      </c>
      <c r="R7" s="891">
        <v>2.5</v>
      </c>
      <c r="S7" s="891">
        <v>3</v>
      </c>
      <c r="T7" s="891">
        <v>0.75</v>
      </c>
      <c r="U7" s="891">
        <v>6.43</v>
      </c>
      <c r="V7" s="891">
        <v>30</v>
      </c>
      <c r="W7" s="891">
        <v>1</v>
      </c>
      <c r="X7" s="927">
        <v>18900.97</v>
      </c>
      <c r="Y7" s="891">
        <v>950</v>
      </c>
      <c r="Z7" s="891">
        <v>103.07</v>
      </c>
      <c r="AA7" s="891">
        <v>2500</v>
      </c>
      <c r="AB7" s="891">
        <v>1350</v>
      </c>
      <c r="AC7" s="891">
        <v>64.84</v>
      </c>
      <c r="AD7" s="891">
        <v>0.09</v>
      </c>
      <c r="AE7" s="891">
        <v>52.67</v>
      </c>
      <c r="AF7" s="891">
        <v>37.67</v>
      </c>
      <c r="AG7" s="891">
        <v>7.9</v>
      </c>
      <c r="AH7" s="891">
        <v>7.73</v>
      </c>
      <c r="AI7" s="891">
        <v>36.590000000000003</v>
      </c>
      <c r="AJ7" s="891">
        <v>30</v>
      </c>
      <c r="AK7" s="891">
        <v>128</v>
      </c>
      <c r="AL7" s="891">
        <v>132.80000000000001</v>
      </c>
      <c r="AM7" s="891">
        <v>2000</v>
      </c>
      <c r="AN7" s="891">
        <v>750</v>
      </c>
      <c r="AO7" s="891">
        <v>300</v>
      </c>
      <c r="AP7" s="891">
        <v>24</v>
      </c>
      <c r="AQ7" s="891">
        <v>1.59</v>
      </c>
      <c r="AR7" s="891">
        <v>2</v>
      </c>
      <c r="AS7" s="891">
        <v>5.67</v>
      </c>
      <c r="AT7" s="891">
        <v>3.9</v>
      </c>
      <c r="AU7" s="891">
        <v>3</v>
      </c>
      <c r="AV7" s="891">
        <v>1.97</v>
      </c>
      <c r="AW7" s="891">
        <v>1.05</v>
      </c>
      <c r="AX7" s="891">
        <v>2.63</v>
      </c>
      <c r="AY7" s="891">
        <v>2.66</v>
      </c>
      <c r="AZ7" s="891">
        <v>1</v>
      </c>
      <c r="BA7" s="891">
        <f t="shared" si="0"/>
        <v>117.60000000000001</v>
      </c>
      <c r="BB7" s="926">
        <f t="shared" si="1"/>
        <v>18941.98</v>
      </c>
      <c r="BC7" s="926">
        <f t="shared" si="2"/>
        <v>40.009999999998399</v>
      </c>
      <c r="BD7" s="891"/>
      <c r="BE7" s="891"/>
      <c r="BF7" s="891"/>
      <c r="BG7" s="928"/>
      <c r="BH7" s="928"/>
      <c r="BI7" s="928"/>
    </row>
    <row r="8" spans="1:61">
      <c r="A8" s="891" t="s">
        <v>1572</v>
      </c>
      <c r="B8" s="891" t="s">
        <v>1573</v>
      </c>
      <c r="C8" s="891" t="s">
        <v>220</v>
      </c>
      <c r="D8" s="891">
        <v>5</v>
      </c>
      <c r="E8" s="891">
        <v>26.67</v>
      </c>
      <c r="F8" s="891">
        <v>4.8</v>
      </c>
      <c r="G8" s="891">
        <v>0.8</v>
      </c>
      <c r="H8" s="891">
        <v>1.07</v>
      </c>
      <c r="I8" s="891">
        <v>0.4</v>
      </c>
      <c r="J8" s="891">
        <v>0.27</v>
      </c>
      <c r="K8" s="891">
        <v>1.07</v>
      </c>
      <c r="L8" s="891">
        <v>0.8</v>
      </c>
      <c r="M8" s="891">
        <v>1.87</v>
      </c>
      <c r="N8" s="891">
        <v>10.67</v>
      </c>
      <c r="O8" s="891">
        <v>0.7</v>
      </c>
      <c r="P8" s="891">
        <v>100</v>
      </c>
      <c r="Q8" s="891">
        <v>1.07</v>
      </c>
      <c r="R8" s="891">
        <v>1.07</v>
      </c>
      <c r="S8" s="891">
        <v>2.13</v>
      </c>
      <c r="T8" s="891">
        <v>0.8</v>
      </c>
      <c r="U8" s="891">
        <v>8</v>
      </c>
      <c r="V8" s="891">
        <v>28</v>
      </c>
      <c r="W8" s="891">
        <v>0.13</v>
      </c>
      <c r="X8" s="927">
        <v>21371.03</v>
      </c>
      <c r="Y8" s="891">
        <v>487.44</v>
      </c>
      <c r="Z8" s="891">
        <v>399.98</v>
      </c>
      <c r="AA8" s="891">
        <v>544.24</v>
      </c>
      <c r="AB8" s="891">
        <v>522.11</v>
      </c>
      <c r="AC8" s="891">
        <v>80</v>
      </c>
      <c r="AD8" s="891">
        <v>0.15</v>
      </c>
      <c r="AE8" s="891">
        <v>53.33</v>
      </c>
      <c r="AF8" s="891">
        <v>66.66</v>
      </c>
      <c r="AG8" s="891">
        <v>8.33</v>
      </c>
      <c r="AH8" s="891">
        <v>26.67</v>
      </c>
      <c r="AI8" s="891">
        <v>67</v>
      </c>
      <c r="AJ8" s="891">
        <v>60</v>
      </c>
      <c r="AK8" s="891">
        <v>92.5</v>
      </c>
      <c r="AL8" s="891">
        <v>80</v>
      </c>
      <c r="AM8" s="891">
        <v>1433.26</v>
      </c>
      <c r="AN8" s="891">
        <v>1533.25</v>
      </c>
      <c r="AO8" s="891">
        <v>1333.26</v>
      </c>
      <c r="AP8" s="891">
        <v>4</v>
      </c>
      <c r="AQ8" s="891">
        <v>2.67</v>
      </c>
      <c r="AR8" s="891">
        <v>1.87</v>
      </c>
      <c r="AS8" s="891">
        <v>1.87</v>
      </c>
      <c r="AT8" s="891">
        <v>1.93</v>
      </c>
      <c r="AU8" s="891">
        <v>1.33</v>
      </c>
      <c r="AV8" s="891">
        <v>1.1000000000000001</v>
      </c>
      <c r="AW8" s="891">
        <v>1</v>
      </c>
      <c r="AX8" s="891">
        <v>2.6</v>
      </c>
      <c r="AY8" s="891">
        <v>1.6</v>
      </c>
      <c r="AZ8" s="891">
        <v>1.6</v>
      </c>
      <c r="BA8" s="891">
        <f t="shared" si="0"/>
        <v>133.48000000000002</v>
      </c>
      <c r="BB8" s="926">
        <f t="shared" si="1"/>
        <v>21406.369999999995</v>
      </c>
      <c r="BC8" s="926">
        <f t="shared" si="2"/>
        <v>35.209999999996505</v>
      </c>
      <c r="BD8" s="891"/>
      <c r="BE8" s="891"/>
      <c r="BF8" s="891"/>
      <c r="BG8" s="928"/>
      <c r="BH8" s="928"/>
      <c r="BI8" s="928"/>
    </row>
    <row r="9" spans="1:61">
      <c r="A9" s="891" t="s">
        <v>1574</v>
      </c>
      <c r="B9" s="891" t="s">
        <v>624</v>
      </c>
      <c r="C9" s="891" t="s">
        <v>278</v>
      </c>
      <c r="D9" s="891">
        <v>3.8</v>
      </c>
      <c r="E9" s="891">
        <v>15</v>
      </c>
      <c r="F9" s="891">
        <v>3.28</v>
      </c>
      <c r="G9" s="891">
        <v>1</v>
      </c>
      <c r="H9" s="891">
        <v>2</v>
      </c>
      <c r="I9" s="891">
        <v>0.75</v>
      </c>
      <c r="J9" s="891">
        <v>0.4</v>
      </c>
      <c r="K9" s="891">
        <v>0.86</v>
      </c>
      <c r="L9" s="891">
        <v>0.56999999999999995</v>
      </c>
      <c r="M9" s="891">
        <v>1.83</v>
      </c>
      <c r="N9" s="891">
        <v>9.1</v>
      </c>
      <c r="O9" s="891">
        <v>0.65</v>
      </c>
      <c r="P9" s="891">
        <v>5.7</v>
      </c>
      <c r="Q9" s="891">
        <v>0.82</v>
      </c>
      <c r="R9" s="891">
        <v>2.17</v>
      </c>
      <c r="S9" s="891">
        <v>2.16</v>
      </c>
      <c r="T9" s="891">
        <v>0.3</v>
      </c>
      <c r="U9" s="891">
        <v>8.15</v>
      </c>
      <c r="V9" s="891">
        <v>10</v>
      </c>
      <c r="W9" s="891">
        <v>1.1299999999999999</v>
      </c>
      <c r="X9" s="927">
        <v>35873.99</v>
      </c>
      <c r="Y9" s="891">
        <v>387.5</v>
      </c>
      <c r="Z9" s="891">
        <v>158.5</v>
      </c>
      <c r="AA9" s="891">
        <v>1200</v>
      </c>
      <c r="AB9" s="891">
        <v>1100</v>
      </c>
      <c r="AC9" s="891">
        <v>21.64</v>
      </c>
      <c r="AD9" s="891">
        <v>0.04</v>
      </c>
      <c r="AE9" s="891">
        <v>305</v>
      </c>
      <c r="AF9" s="891">
        <v>37.5</v>
      </c>
      <c r="AG9" s="891">
        <v>15</v>
      </c>
      <c r="AH9" s="891">
        <v>3.25</v>
      </c>
      <c r="AI9" s="891">
        <v>26.79</v>
      </c>
      <c r="AJ9" s="891">
        <v>25</v>
      </c>
      <c r="AK9" s="891">
        <v>100</v>
      </c>
      <c r="AL9" s="891">
        <v>75</v>
      </c>
      <c r="AM9" s="891">
        <v>1000</v>
      </c>
      <c r="AN9" s="891">
        <v>600</v>
      </c>
      <c r="AO9" s="891">
        <v>200</v>
      </c>
      <c r="AP9" s="891">
        <v>11</v>
      </c>
      <c r="AQ9" s="891">
        <v>2.2999999999999998</v>
      </c>
      <c r="AR9" s="891">
        <v>2.95</v>
      </c>
      <c r="AS9" s="891">
        <v>8.0399999999999991</v>
      </c>
      <c r="AT9" s="891">
        <v>4.5999999999999996</v>
      </c>
      <c r="AU9" s="891">
        <v>1</v>
      </c>
      <c r="AV9" s="891">
        <v>0.54</v>
      </c>
      <c r="AW9" s="891">
        <v>0.55000000000000004</v>
      </c>
      <c r="AX9" s="891">
        <v>0.7</v>
      </c>
      <c r="AY9" s="891">
        <v>1.0900000000000001</v>
      </c>
      <c r="AZ9" s="891">
        <v>0.71</v>
      </c>
      <c r="BA9" s="891">
        <f t="shared" si="0"/>
        <v>326.68</v>
      </c>
      <c r="BB9" s="926">
        <f t="shared" si="1"/>
        <v>35898.71</v>
      </c>
      <c r="BC9" s="926">
        <f t="shared" si="2"/>
        <v>23.590000000001165</v>
      </c>
      <c r="BD9" s="891"/>
      <c r="BE9" s="891"/>
      <c r="BF9" s="891"/>
      <c r="BG9" s="928"/>
      <c r="BH9" s="928"/>
      <c r="BI9" s="928"/>
    </row>
    <row r="10" spans="1:61">
      <c r="A10" s="891" t="s">
        <v>782</v>
      </c>
      <c r="B10" s="891" t="s">
        <v>579</v>
      </c>
      <c r="C10" s="891" t="s">
        <v>24</v>
      </c>
      <c r="D10" s="891">
        <v>14.2</v>
      </c>
      <c r="E10" s="891">
        <v>75.72</v>
      </c>
      <c r="F10" s="891">
        <v>7.57</v>
      </c>
      <c r="G10" s="891">
        <v>5.68</v>
      </c>
      <c r="H10" s="891">
        <v>5.92</v>
      </c>
      <c r="I10" s="891">
        <v>2.84</v>
      </c>
      <c r="J10" s="891">
        <v>2.37</v>
      </c>
      <c r="K10" s="891">
        <v>1.42</v>
      </c>
      <c r="L10" s="891">
        <v>2.59</v>
      </c>
      <c r="M10" s="891">
        <v>3.79</v>
      </c>
      <c r="N10" s="891">
        <v>9.4700000000000006</v>
      </c>
      <c r="O10" s="891">
        <v>2.13</v>
      </c>
      <c r="P10" s="891">
        <v>14.2</v>
      </c>
      <c r="Q10" s="891">
        <v>4.7300000000000004</v>
      </c>
      <c r="R10" s="891">
        <v>5.68</v>
      </c>
      <c r="S10" s="891">
        <v>16.09</v>
      </c>
      <c r="T10" s="891">
        <v>4.59</v>
      </c>
      <c r="U10" s="891">
        <v>9.4700000000000006</v>
      </c>
      <c r="V10" s="891">
        <v>121.15</v>
      </c>
      <c r="W10" s="891">
        <v>1.37</v>
      </c>
      <c r="X10" s="927">
        <v>26887.84</v>
      </c>
      <c r="Y10" s="891">
        <v>1142.92</v>
      </c>
      <c r="Z10" s="891">
        <v>993.85</v>
      </c>
      <c r="AA10" s="891">
        <v>2271.65</v>
      </c>
      <c r="AB10" s="891">
        <v>1379.08</v>
      </c>
      <c r="AC10" s="891">
        <v>148.08000000000001</v>
      </c>
      <c r="AD10" s="891">
        <v>0.88</v>
      </c>
      <c r="AE10" s="891">
        <v>56.79</v>
      </c>
      <c r="AF10" s="891">
        <v>56.79</v>
      </c>
      <c r="AG10" s="891">
        <v>20.82</v>
      </c>
      <c r="AH10" s="891">
        <v>17.04</v>
      </c>
      <c r="AI10" s="891">
        <v>94.65</v>
      </c>
      <c r="AJ10" s="891">
        <v>75.72</v>
      </c>
      <c r="AK10" s="891">
        <v>118.32</v>
      </c>
      <c r="AL10" s="891">
        <v>113.58</v>
      </c>
      <c r="AM10" s="891">
        <v>2271.65</v>
      </c>
      <c r="AN10" s="891">
        <v>3312.83</v>
      </c>
      <c r="AO10" s="891">
        <v>3786.09</v>
      </c>
      <c r="AP10" s="891">
        <v>6.5</v>
      </c>
      <c r="AQ10" s="891">
        <v>3.5</v>
      </c>
      <c r="AR10" s="891">
        <v>1.6</v>
      </c>
      <c r="AS10" s="891">
        <v>34.549999999999997</v>
      </c>
      <c r="AT10" s="891">
        <v>3.63</v>
      </c>
      <c r="AU10" s="891">
        <v>2.84</v>
      </c>
      <c r="AV10" s="891">
        <v>1.89</v>
      </c>
      <c r="AW10" s="891">
        <v>2.37</v>
      </c>
      <c r="AX10" s="891">
        <v>3.5</v>
      </c>
      <c r="AY10" s="891">
        <v>2.84</v>
      </c>
      <c r="AZ10" s="891">
        <v>4.68</v>
      </c>
      <c r="BA10" s="891">
        <f t="shared" si="0"/>
        <v>205.75</v>
      </c>
      <c r="BB10" s="926">
        <f t="shared" si="1"/>
        <v>27054.6</v>
      </c>
      <c r="BC10" s="926">
        <f t="shared" si="2"/>
        <v>165.38999999999839</v>
      </c>
      <c r="BD10" s="891"/>
      <c r="BE10" s="891"/>
      <c r="BF10" s="891"/>
      <c r="BG10" s="928"/>
      <c r="BH10" s="928"/>
      <c r="BI10" s="928"/>
    </row>
    <row r="11" spans="1:61">
      <c r="A11" s="891" t="s">
        <v>783</v>
      </c>
      <c r="B11" s="891" t="s">
        <v>560</v>
      </c>
      <c r="C11" s="891" t="s">
        <v>383</v>
      </c>
      <c r="D11" s="891">
        <v>1.64</v>
      </c>
      <c r="E11" s="891">
        <v>8.1999999999999993</v>
      </c>
      <c r="F11" s="891">
        <v>3.28</v>
      </c>
      <c r="G11" s="891">
        <v>1.64</v>
      </c>
      <c r="H11" s="891">
        <v>2.46</v>
      </c>
      <c r="I11" s="891">
        <v>0.33</v>
      </c>
      <c r="J11" s="891">
        <v>0.25</v>
      </c>
      <c r="K11" s="891">
        <v>0.66</v>
      </c>
      <c r="L11" s="891">
        <v>0.48</v>
      </c>
      <c r="M11" s="891">
        <v>0.86</v>
      </c>
      <c r="N11" s="891">
        <v>4.92</v>
      </c>
      <c r="O11" s="891">
        <v>0.38</v>
      </c>
      <c r="P11" s="891">
        <v>5.74</v>
      </c>
      <c r="Q11" s="891">
        <v>2.21</v>
      </c>
      <c r="R11" s="891">
        <v>3.28</v>
      </c>
      <c r="S11" s="891">
        <v>1.97</v>
      </c>
      <c r="T11" s="891">
        <v>0.2</v>
      </c>
      <c r="U11" s="891">
        <v>3.44</v>
      </c>
      <c r="V11" s="891">
        <v>4.92</v>
      </c>
      <c r="W11" s="891">
        <v>1.18</v>
      </c>
      <c r="X11" s="927">
        <v>9838.48</v>
      </c>
      <c r="Y11" s="891">
        <v>114.78</v>
      </c>
      <c r="Z11" s="891">
        <v>81.99</v>
      </c>
      <c r="AA11" s="891">
        <v>278.76</v>
      </c>
      <c r="AB11" s="891">
        <v>245.96</v>
      </c>
      <c r="AC11" s="891">
        <v>45.09</v>
      </c>
      <c r="AD11" s="891">
        <v>0.02</v>
      </c>
      <c r="AE11" s="891">
        <v>16.399999999999999</v>
      </c>
      <c r="AF11" s="891">
        <v>16.399999999999999</v>
      </c>
      <c r="AG11" s="891">
        <v>4.0999999999999996</v>
      </c>
      <c r="AH11" s="891">
        <v>2.87</v>
      </c>
      <c r="AI11" s="891">
        <v>32.79</v>
      </c>
      <c r="AJ11" s="891">
        <v>32.79</v>
      </c>
      <c r="AK11" s="891">
        <v>51.65</v>
      </c>
      <c r="AL11" s="891">
        <v>40.99</v>
      </c>
      <c r="AM11" s="891">
        <v>819.87</v>
      </c>
      <c r="AN11" s="891">
        <v>532.91999999999996</v>
      </c>
      <c r="AO11" s="891">
        <v>409.94</v>
      </c>
      <c r="AP11" s="891">
        <v>12</v>
      </c>
      <c r="AQ11" s="891">
        <v>0.33</v>
      </c>
      <c r="AR11" s="891">
        <v>0.25</v>
      </c>
      <c r="AS11" s="891">
        <v>2.0099999999999998</v>
      </c>
      <c r="AT11" s="891">
        <v>1.97</v>
      </c>
      <c r="AU11" s="891">
        <v>0.98</v>
      </c>
      <c r="AV11" s="891">
        <v>0.33</v>
      </c>
      <c r="AW11" s="891">
        <v>0.25</v>
      </c>
      <c r="AX11" s="891">
        <v>1.1499999999999999</v>
      </c>
      <c r="AY11" s="891">
        <v>0.78</v>
      </c>
      <c r="AZ11" s="891">
        <v>0.49</v>
      </c>
      <c r="BA11" s="891">
        <f t="shared" si="0"/>
        <v>61.510000000000005</v>
      </c>
      <c r="BB11" s="926">
        <f t="shared" si="1"/>
        <v>9847.369999999999</v>
      </c>
      <c r="BC11" s="926">
        <f t="shared" si="2"/>
        <v>7.7099999999994182</v>
      </c>
      <c r="BD11" s="891"/>
      <c r="BE11" s="891"/>
      <c r="BF11" s="891"/>
      <c r="BG11" s="928"/>
      <c r="BH11" s="928"/>
      <c r="BI11" s="928"/>
    </row>
    <row r="12" spans="1:61">
      <c r="A12" s="891" t="s">
        <v>784</v>
      </c>
      <c r="B12" s="891" t="s">
        <v>1575</v>
      </c>
      <c r="C12" s="891" t="s">
        <v>203</v>
      </c>
      <c r="D12" s="891">
        <v>7.74</v>
      </c>
      <c r="E12" s="891">
        <v>40</v>
      </c>
      <c r="F12" s="891">
        <v>6</v>
      </c>
      <c r="G12" s="891">
        <v>3</v>
      </c>
      <c r="H12" s="891">
        <v>4.5</v>
      </c>
      <c r="I12" s="891">
        <v>1.5</v>
      </c>
      <c r="J12" s="891">
        <v>1.32</v>
      </c>
      <c r="K12" s="891">
        <v>0.92</v>
      </c>
      <c r="L12" s="891">
        <v>2.87</v>
      </c>
      <c r="M12" s="891">
        <v>2.2400000000000002</v>
      </c>
      <c r="N12" s="891">
        <v>14.36</v>
      </c>
      <c r="O12" s="891">
        <v>2</v>
      </c>
      <c r="P12" s="891">
        <v>12</v>
      </c>
      <c r="Q12" s="891">
        <v>1.75</v>
      </c>
      <c r="R12" s="891">
        <v>2.75</v>
      </c>
      <c r="S12" s="891">
        <v>4.95</v>
      </c>
      <c r="T12" s="891">
        <v>1</v>
      </c>
      <c r="U12" s="891">
        <v>7.69</v>
      </c>
      <c r="V12" s="891">
        <v>27</v>
      </c>
      <c r="W12" s="891">
        <v>0.91</v>
      </c>
      <c r="X12" s="927">
        <v>25705</v>
      </c>
      <c r="Y12" s="891">
        <v>800</v>
      </c>
      <c r="Z12" s="891">
        <v>550</v>
      </c>
      <c r="AA12" s="891">
        <v>1225</v>
      </c>
      <c r="AB12" s="891">
        <v>850</v>
      </c>
      <c r="AC12" s="891">
        <v>178.82</v>
      </c>
      <c r="AD12" s="891">
        <v>0.1</v>
      </c>
      <c r="AE12" s="891">
        <v>50</v>
      </c>
      <c r="AF12" s="891">
        <v>32.5</v>
      </c>
      <c r="AG12" s="891">
        <v>4</v>
      </c>
      <c r="AH12" s="891">
        <v>10.75</v>
      </c>
      <c r="AI12" s="891">
        <v>32.5</v>
      </c>
      <c r="AJ12" s="891">
        <v>25.5</v>
      </c>
      <c r="AK12" s="891">
        <v>60</v>
      </c>
      <c r="AL12" s="891">
        <v>70</v>
      </c>
      <c r="AM12" s="891">
        <v>1237.8499999999999</v>
      </c>
      <c r="AN12" s="891">
        <v>861.11</v>
      </c>
      <c r="AO12" s="891">
        <v>3090</v>
      </c>
      <c r="AP12" s="891">
        <v>4.5</v>
      </c>
      <c r="AQ12" s="891">
        <v>2.5</v>
      </c>
      <c r="AR12" s="891">
        <v>1.37</v>
      </c>
      <c r="AS12" s="891">
        <v>34.5</v>
      </c>
      <c r="AT12" s="891">
        <v>3.61</v>
      </c>
      <c r="AU12" s="891">
        <v>3.4</v>
      </c>
      <c r="AV12" s="891">
        <v>0.56999999999999995</v>
      </c>
      <c r="AW12" s="891">
        <v>1.75</v>
      </c>
      <c r="AX12" s="891">
        <v>3.75</v>
      </c>
      <c r="AY12" s="891">
        <v>2.2000000000000002</v>
      </c>
      <c r="AZ12" s="891">
        <v>3.5</v>
      </c>
      <c r="BA12" s="891">
        <f t="shared" si="0"/>
        <v>228.92</v>
      </c>
      <c r="BB12" s="926">
        <f t="shared" si="1"/>
        <v>25772.28</v>
      </c>
      <c r="BC12" s="926">
        <f t="shared" si="2"/>
        <v>66.369999999998839</v>
      </c>
      <c r="BD12" s="891"/>
      <c r="BE12" s="891"/>
      <c r="BF12" s="891"/>
      <c r="BG12" s="928"/>
      <c r="BH12" s="928"/>
      <c r="BI12" s="928"/>
    </row>
    <row r="13" spans="1:61">
      <c r="A13" s="891" t="s">
        <v>785</v>
      </c>
      <c r="B13" s="891" t="s">
        <v>652</v>
      </c>
      <c r="C13" s="891" t="s">
        <v>368</v>
      </c>
      <c r="D13" s="891">
        <v>4.3499999999999996</v>
      </c>
      <c r="E13" s="891">
        <v>17</v>
      </c>
      <c r="F13" s="891">
        <v>4.0599999999999996</v>
      </c>
      <c r="G13" s="891">
        <v>1.6</v>
      </c>
      <c r="H13" s="891">
        <v>4</v>
      </c>
      <c r="I13" s="891">
        <v>0.38</v>
      </c>
      <c r="J13" s="891">
        <v>0.22</v>
      </c>
      <c r="K13" s="891">
        <v>1.0900000000000001</v>
      </c>
      <c r="L13" s="891">
        <v>1.1599999999999999</v>
      </c>
      <c r="M13" s="891">
        <v>1.21</v>
      </c>
      <c r="N13" s="891">
        <v>5.8</v>
      </c>
      <c r="O13" s="891">
        <v>0.44</v>
      </c>
      <c r="P13" s="891">
        <v>10.93</v>
      </c>
      <c r="Q13" s="891">
        <v>1.74</v>
      </c>
      <c r="R13" s="891">
        <v>1.87</v>
      </c>
      <c r="S13" s="891">
        <v>2.1800000000000002</v>
      </c>
      <c r="T13" s="891">
        <v>0.2</v>
      </c>
      <c r="U13" s="891">
        <v>5.44</v>
      </c>
      <c r="V13" s="891">
        <v>21.76</v>
      </c>
      <c r="W13" s="891">
        <v>0.25</v>
      </c>
      <c r="X13" s="927">
        <v>26666</v>
      </c>
      <c r="Y13" s="891">
        <v>150</v>
      </c>
      <c r="Z13" s="891">
        <v>101.56</v>
      </c>
      <c r="AA13" s="891">
        <v>503.9</v>
      </c>
      <c r="AB13" s="891">
        <v>250</v>
      </c>
      <c r="AC13" s="891">
        <v>28.29</v>
      </c>
      <c r="AD13" s="891">
        <v>0.04</v>
      </c>
      <c r="AE13" s="891">
        <v>61.27</v>
      </c>
      <c r="AF13" s="891">
        <v>31.73</v>
      </c>
      <c r="AG13" s="891">
        <v>5.8</v>
      </c>
      <c r="AH13" s="891">
        <v>3.63</v>
      </c>
      <c r="AI13" s="891">
        <v>58.03</v>
      </c>
      <c r="AJ13" s="891">
        <v>47.15</v>
      </c>
      <c r="AK13" s="891">
        <v>72.540000000000006</v>
      </c>
      <c r="AL13" s="891">
        <v>62.52</v>
      </c>
      <c r="AM13" s="891">
        <v>797.97</v>
      </c>
      <c r="AN13" s="891">
        <v>290.17</v>
      </c>
      <c r="AO13" s="891">
        <v>174.1</v>
      </c>
      <c r="AP13" s="891">
        <v>10.75</v>
      </c>
      <c r="AQ13" s="891">
        <v>0.48</v>
      </c>
      <c r="AR13" s="891">
        <v>0.44</v>
      </c>
      <c r="AS13" s="891">
        <v>3.63</v>
      </c>
      <c r="AT13" s="891">
        <v>1.45</v>
      </c>
      <c r="AU13" s="891">
        <v>0.57999999999999996</v>
      </c>
      <c r="AV13" s="891">
        <v>0.47</v>
      </c>
      <c r="AW13" s="891">
        <v>0.28999999999999998</v>
      </c>
      <c r="AX13" s="891">
        <v>2.08</v>
      </c>
      <c r="AY13" s="891">
        <v>0.65</v>
      </c>
      <c r="AZ13" s="891">
        <v>0.36</v>
      </c>
      <c r="BA13" s="891">
        <f t="shared" si="0"/>
        <v>89.6</v>
      </c>
      <c r="BB13" s="926">
        <f t="shared" si="1"/>
        <v>26692.76</v>
      </c>
      <c r="BC13" s="926">
        <f t="shared" si="2"/>
        <v>26.509999999998399</v>
      </c>
      <c r="BD13" s="891"/>
      <c r="BE13" s="891"/>
      <c r="BF13" s="891"/>
      <c r="BG13" s="928"/>
      <c r="BH13" s="928"/>
      <c r="BI13" s="928"/>
    </row>
    <row r="14" spans="1:61">
      <c r="A14" s="891" t="s">
        <v>786</v>
      </c>
      <c r="B14" s="891" t="s">
        <v>555</v>
      </c>
      <c r="C14" s="891" t="s">
        <v>370</v>
      </c>
      <c r="D14" s="891">
        <v>5.14</v>
      </c>
      <c r="E14" s="891">
        <v>14.63</v>
      </c>
      <c r="F14" s="891">
        <v>4.38</v>
      </c>
      <c r="G14" s="891">
        <v>1.58</v>
      </c>
      <c r="H14" s="891">
        <v>2.19</v>
      </c>
      <c r="I14" s="891">
        <v>0.61</v>
      </c>
      <c r="J14" s="891">
        <v>0.3</v>
      </c>
      <c r="K14" s="891">
        <v>0.55000000000000004</v>
      </c>
      <c r="L14" s="891">
        <v>0.12</v>
      </c>
      <c r="M14" s="891">
        <v>1.58</v>
      </c>
      <c r="N14" s="891">
        <v>5.84</v>
      </c>
      <c r="O14" s="891">
        <v>0.3</v>
      </c>
      <c r="P14" s="891">
        <v>6.69</v>
      </c>
      <c r="Q14" s="891">
        <v>1.82</v>
      </c>
      <c r="R14" s="891">
        <v>2.19</v>
      </c>
      <c r="S14" s="891">
        <v>1.82</v>
      </c>
      <c r="T14" s="891">
        <v>0.5</v>
      </c>
      <c r="U14" s="891">
        <v>3.89</v>
      </c>
      <c r="V14" s="891">
        <v>10.34</v>
      </c>
      <c r="W14" s="891">
        <v>0.28000000000000003</v>
      </c>
      <c r="X14" s="927">
        <v>22859.16</v>
      </c>
      <c r="Y14" s="891">
        <v>425.71</v>
      </c>
      <c r="Z14" s="891">
        <v>304.08</v>
      </c>
      <c r="AA14" s="891">
        <v>584.49</v>
      </c>
      <c r="AB14" s="891">
        <v>387.86</v>
      </c>
      <c r="AC14" s="891">
        <v>45.61</v>
      </c>
      <c r="AD14" s="891">
        <v>0.11</v>
      </c>
      <c r="AE14" s="891">
        <v>24.33</v>
      </c>
      <c r="AF14" s="891">
        <v>29.66</v>
      </c>
      <c r="AG14" s="891">
        <v>7.3</v>
      </c>
      <c r="AH14" s="891">
        <v>2.4300000000000002</v>
      </c>
      <c r="AI14" s="891">
        <v>77.569999999999993</v>
      </c>
      <c r="AJ14" s="891">
        <v>57.5</v>
      </c>
      <c r="AK14" s="891">
        <v>97.31</v>
      </c>
      <c r="AL14" s="891">
        <v>85.14</v>
      </c>
      <c r="AM14" s="891">
        <v>1946.12</v>
      </c>
      <c r="AN14" s="891">
        <v>1337.96</v>
      </c>
      <c r="AO14" s="891">
        <v>300</v>
      </c>
      <c r="AP14" s="891">
        <v>5.5</v>
      </c>
      <c r="AQ14" s="891">
        <v>0.61</v>
      </c>
      <c r="AR14" s="891">
        <v>0.61</v>
      </c>
      <c r="AS14" s="891">
        <v>10.34</v>
      </c>
      <c r="AT14" s="891">
        <v>1.75</v>
      </c>
      <c r="AU14" s="891">
        <v>1.91</v>
      </c>
      <c r="AV14" s="891">
        <v>0.67</v>
      </c>
      <c r="AW14" s="891">
        <v>0.85</v>
      </c>
      <c r="AX14" s="891">
        <v>0.97</v>
      </c>
      <c r="AY14" s="891">
        <v>1.41</v>
      </c>
      <c r="AZ14" s="891">
        <v>1.1100000000000001</v>
      </c>
      <c r="BA14" s="891">
        <f t="shared" si="0"/>
        <v>70.05</v>
      </c>
      <c r="BB14" s="926">
        <f t="shared" si="1"/>
        <v>22881.84</v>
      </c>
      <c r="BC14" s="926">
        <f t="shared" si="2"/>
        <v>22.40000000000029</v>
      </c>
      <c r="BD14" s="891"/>
      <c r="BE14" s="891"/>
      <c r="BF14" s="891"/>
      <c r="BG14" s="928"/>
      <c r="BH14" s="928"/>
      <c r="BI14" s="928"/>
    </row>
    <row r="15" spans="1:61">
      <c r="A15" s="891" t="s">
        <v>787</v>
      </c>
      <c r="B15" s="891" t="s">
        <v>596</v>
      </c>
      <c r="C15" s="891" t="s">
        <v>187</v>
      </c>
      <c r="D15" s="891">
        <v>11.18</v>
      </c>
      <c r="E15" s="891">
        <v>40.64</v>
      </c>
      <c r="F15" s="891">
        <v>9.48</v>
      </c>
      <c r="G15" s="891">
        <v>2.71</v>
      </c>
      <c r="H15" s="891">
        <v>4.0599999999999996</v>
      </c>
      <c r="I15" s="891">
        <v>1.63</v>
      </c>
      <c r="J15" s="891">
        <v>1.35</v>
      </c>
      <c r="K15" s="891">
        <v>1.3</v>
      </c>
      <c r="L15" s="891">
        <v>1.08</v>
      </c>
      <c r="M15" s="891">
        <v>1.93</v>
      </c>
      <c r="N15" s="891">
        <v>13.55</v>
      </c>
      <c r="O15" s="891">
        <v>0.88</v>
      </c>
      <c r="P15" s="891">
        <v>5.42</v>
      </c>
      <c r="Q15" s="891">
        <v>1.35</v>
      </c>
      <c r="R15" s="891">
        <v>2.0299999999999998</v>
      </c>
      <c r="S15" s="891">
        <v>6.1</v>
      </c>
      <c r="T15" s="891">
        <v>1.96</v>
      </c>
      <c r="U15" s="891">
        <v>8.81</v>
      </c>
      <c r="V15" s="891">
        <v>40.64</v>
      </c>
      <c r="W15" s="891">
        <v>1.9</v>
      </c>
      <c r="X15" s="927">
        <v>25060.959999999999</v>
      </c>
      <c r="Y15" s="891">
        <v>609.59</v>
      </c>
      <c r="Z15" s="891">
        <v>474.13</v>
      </c>
      <c r="AA15" s="891">
        <v>812.79</v>
      </c>
      <c r="AB15" s="891">
        <v>711.19</v>
      </c>
      <c r="AC15" s="891">
        <v>151.27000000000001</v>
      </c>
      <c r="AD15" s="891">
        <v>0.1</v>
      </c>
      <c r="AE15" s="891">
        <v>40.64</v>
      </c>
      <c r="AF15" s="891">
        <v>67.73</v>
      </c>
      <c r="AG15" s="891">
        <v>18.29</v>
      </c>
      <c r="AH15" s="891">
        <v>9.82</v>
      </c>
      <c r="AI15" s="891">
        <v>115.14</v>
      </c>
      <c r="AJ15" s="891">
        <v>54.19</v>
      </c>
      <c r="AK15" s="891">
        <v>101.6</v>
      </c>
      <c r="AL15" s="891">
        <v>108.37</v>
      </c>
      <c r="AM15" s="891">
        <v>1761.04</v>
      </c>
      <c r="AN15" s="891">
        <v>1219.18</v>
      </c>
      <c r="AO15" s="891">
        <v>1219.18</v>
      </c>
      <c r="AP15" s="891">
        <v>3</v>
      </c>
      <c r="AQ15" s="891">
        <v>4.0599999999999996</v>
      </c>
      <c r="AR15" s="891">
        <v>2.91</v>
      </c>
      <c r="AS15" s="891">
        <v>13.55</v>
      </c>
      <c r="AT15" s="891">
        <v>1.76</v>
      </c>
      <c r="AU15" s="891">
        <v>1.35</v>
      </c>
      <c r="AV15" s="891">
        <v>1.35</v>
      </c>
      <c r="AW15" s="891">
        <v>1.35</v>
      </c>
      <c r="AX15" s="891">
        <v>2.0299999999999998</v>
      </c>
      <c r="AY15" s="891">
        <v>1.66</v>
      </c>
      <c r="AZ15" s="891">
        <v>2.0299999999999998</v>
      </c>
      <c r="BA15" s="891">
        <f t="shared" si="0"/>
        <v>192.01</v>
      </c>
      <c r="BB15" s="926">
        <f t="shared" si="1"/>
        <v>25125.98</v>
      </c>
      <c r="BC15" s="926">
        <f t="shared" si="2"/>
        <v>63.120000000000438</v>
      </c>
      <c r="BD15" s="891"/>
      <c r="BE15" s="891"/>
      <c r="BF15" s="891"/>
      <c r="BG15" s="928"/>
      <c r="BH15" s="928"/>
      <c r="BI15" s="928"/>
    </row>
    <row r="16" spans="1:61">
      <c r="A16" s="891" t="s">
        <v>788</v>
      </c>
      <c r="B16" s="891" t="s">
        <v>573</v>
      </c>
      <c r="C16" s="891" t="s">
        <v>227</v>
      </c>
      <c r="D16" s="891">
        <v>13.01</v>
      </c>
      <c r="E16" s="891">
        <v>50</v>
      </c>
      <c r="F16" s="891">
        <v>7.81</v>
      </c>
      <c r="G16" s="891">
        <v>1.63</v>
      </c>
      <c r="H16" s="891">
        <v>2.6</v>
      </c>
      <c r="I16" s="891">
        <v>0.65</v>
      </c>
      <c r="J16" s="891">
        <v>0.5</v>
      </c>
      <c r="K16" s="891">
        <v>1.3</v>
      </c>
      <c r="L16" s="891">
        <v>0.42</v>
      </c>
      <c r="M16" s="891">
        <v>1.95</v>
      </c>
      <c r="N16" s="891">
        <v>9.76</v>
      </c>
      <c r="O16" s="891">
        <v>0.65</v>
      </c>
      <c r="P16" s="891">
        <v>9.76</v>
      </c>
      <c r="Q16" s="891">
        <v>1.1399999999999999</v>
      </c>
      <c r="R16" s="891">
        <v>1.63</v>
      </c>
      <c r="S16" s="891">
        <v>1.3</v>
      </c>
      <c r="T16" s="891">
        <v>0.52</v>
      </c>
      <c r="U16" s="891">
        <v>6.5</v>
      </c>
      <c r="V16" s="891">
        <v>21.41</v>
      </c>
      <c r="W16" s="891">
        <v>0.81</v>
      </c>
      <c r="X16" s="927">
        <v>22882.49</v>
      </c>
      <c r="Y16" s="891">
        <v>630.01</v>
      </c>
      <c r="Z16" s="891">
        <v>428.2</v>
      </c>
      <c r="AA16" s="891">
        <v>1315.47</v>
      </c>
      <c r="AB16" s="891">
        <v>845.56</v>
      </c>
      <c r="AC16" s="891">
        <v>138.22</v>
      </c>
      <c r="AD16" s="891">
        <v>7.0000000000000007E-2</v>
      </c>
      <c r="AE16" s="891">
        <v>29.27</v>
      </c>
      <c r="AF16" s="891">
        <v>97.56</v>
      </c>
      <c r="AG16" s="891">
        <v>16.260000000000002</v>
      </c>
      <c r="AH16" s="891">
        <v>7.81</v>
      </c>
      <c r="AI16" s="891">
        <v>79.03</v>
      </c>
      <c r="AJ16" s="891">
        <v>78.05</v>
      </c>
      <c r="AK16" s="891">
        <v>97.56</v>
      </c>
      <c r="AL16" s="891">
        <v>130.09</v>
      </c>
      <c r="AM16" s="891">
        <v>1951.28</v>
      </c>
      <c r="AN16" s="891">
        <v>1235.81</v>
      </c>
      <c r="AO16" s="891">
        <v>780.51</v>
      </c>
      <c r="AP16" s="891">
        <v>13</v>
      </c>
      <c r="AQ16" s="891">
        <v>1.95</v>
      </c>
      <c r="AR16" s="891">
        <v>1.1499999999999999</v>
      </c>
      <c r="AS16" s="891">
        <v>9.76</v>
      </c>
      <c r="AT16" s="891">
        <v>2.14</v>
      </c>
      <c r="AU16" s="891">
        <v>2.6</v>
      </c>
      <c r="AV16" s="891">
        <v>0.68</v>
      </c>
      <c r="AW16" s="891">
        <v>1</v>
      </c>
      <c r="AX16" s="891">
        <v>3.13</v>
      </c>
      <c r="AY16" s="891">
        <v>1.69</v>
      </c>
      <c r="AZ16" s="891">
        <v>2.87</v>
      </c>
      <c r="BA16" s="891">
        <f t="shared" si="0"/>
        <v>167.56</v>
      </c>
      <c r="BB16" s="926">
        <f t="shared" si="1"/>
        <v>22918.090000000004</v>
      </c>
      <c r="BC16" s="926">
        <f t="shared" si="2"/>
        <v>34.790000000002181</v>
      </c>
      <c r="BD16" s="891"/>
      <c r="BE16" s="891"/>
      <c r="BF16" s="891"/>
      <c r="BG16" s="928"/>
      <c r="BH16" s="928"/>
      <c r="BI16" s="928"/>
    </row>
    <row r="17" spans="1:61">
      <c r="A17" s="891" t="s">
        <v>789</v>
      </c>
      <c r="B17" s="891" t="s">
        <v>572</v>
      </c>
      <c r="C17" s="891" t="s">
        <v>247</v>
      </c>
      <c r="D17" s="891">
        <v>6.68</v>
      </c>
      <c r="E17" s="891">
        <v>35.35</v>
      </c>
      <c r="F17" s="891">
        <v>7</v>
      </c>
      <c r="G17" s="891">
        <v>4.95</v>
      </c>
      <c r="H17" s="891">
        <v>7.03</v>
      </c>
      <c r="I17" s="891">
        <v>0.5</v>
      </c>
      <c r="J17" s="891">
        <v>0.42</v>
      </c>
      <c r="K17" s="891">
        <v>1.41</v>
      </c>
      <c r="L17" s="891">
        <v>0.5</v>
      </c>
      <c r="M17" s="891">
        <v>2.52</v>
      </c>
      <c r="N17" s="891">
        <v>7.92</v>
      </c>
      <c r="O17" s="891">
        <v>0.64</v>
      </c>
      <c r="P17" s="891">
        <v>17.48</v>
      </c>
      <c r="Q17" s="891">
        <v>3.68</v>
      </c>
      <c r="R17" s="891">
        <v>5</v>
      </c>
      <c r="S17" s="891">
        <v>2.5</v>
      </c>
      <c r="T17" s="891">
        <v>0.71</v>
      </c>
      <c r="U17" s="891">
        <v>5.66</v>
      </c>
      <c r="V17" s="891">
        <v>49</v>
      </c>
      <c r="W17" s="891">
        <v>1.37</v>
      </c>
      <c r="X17" s="927">
        <v>35172.839999999997</v>
      </c>
      <c r="Y17" s="891">
        <v>353.46</v>
      </c>
      <c r="Z17" s="891">
        <v>282.77</v>
      </c>
      <c r="AA17" s="891">
        <v>811</v>
      </c>
      <c r="AB17" s="891">
        <v>494.84</v>
      </c>
      <c r="AC17" s="891">
        <v>68.38</v>
      </c>
      <c r="AD17" s="891">
        <v>7.0000000000000007E-2</v>
      </c>
      <c r="AE17" s="891">
        <v>42.41</v>
      </c>
      <c r="AF17" s="891">
        <v>67.849999999999994</v>
      </c>
      <c r="AG17" s="891">
        <v>14.14</v>
      </c>
      <c r="AH17" s="891">
        <v>9.9</v>
      </c>
      <c r="AI17" s="891">
        <v>84.83</v>
      </c>
      <c r="AJ17" s="891">
        <v>91.9</v>
      </c>
      <c r="AK17" s="891">
        <v>113.11</v>
      </c>
      <c r="AL17" s="891">
        <v>100</v>
      </c>
      <c r="AM17" s="891">
        <v>1165.53</v>
      </c>
      <c r="AN17" s="891">
        <v>848.3</v>
      </c>
      <c r="AO17" s="891">
        <v>700</v>
      </c>
      <c r="AP17" s="891">
        <v>8.25</v>
      </c>
      <c r="AQ17" s="891">
        <v>0.38</v>
      </c>
      <c r="AR17" s="891">
        <v>0.42</v>
      </c>
      <c r="AS17" s="891">
        <v>7.07</v>
      </c>
      <c r="AT17" s="891">
        <v>2.12</v>
      </c>
      <c r="AU17" s="891">
        <v>1.7</v>
      </c>
      <c r="AV17" s="891">
        <v>0.99</v>
      </c>
      <c r="AW17" s="891">
        <v>0.71</v>
      </c>
      <c r="AX17" s="891">
        <v>4.24</v>
      </c>
      <c r="AY17" s="891">
        <v>1.38</v>
      </c>
      <c r="AZ17" s="891">
        <v>0.99</v>
      </c>
      <c r="BA17" s="891">
        <f t="shared" si="0"/>
        <v>110.85999999999999</v>
      </c>
      <c r="BB17" s="926">
        <f t="shared" si="1"/>
        <v>35231.789999999994</v>
      </c>
      <c r="BC17" s="926">
        <f t="shared" si="2"/>
        <v>57.579999999997092</v>
      </c>
      <c r="BD17" s="891"/>
      <c r="BE17" s="891"/>
      <c r="BF17" s="891"/>
      <c r="BG17" s="928"/>
      <c r="BH17" s="928"/>
      <c r="BI17" s="928"/>
    </row>
    <row r="18" spans="1:61">
      <c r="A18" s="891" t="s">
        <v>790</v>
      </c>
      <c r="B18" s="891" t="s">
        <v>590</v>
      </c>
      <c r="C18" s="891" t="s">
        <v>68</v>
      </c>
      <c r="D18" s="891">
        <v>20.32</v>
      </c>
      <c r="E18" s="891">
        <v>81.28</v>
      </c>
      <c r="F18" s="891">
        <v>9.2799999999999994</v>
      </c>
      <c r="G18" s="891">
        <v>6.1</v>
      </c>
      <c r="H18" s="891">
        <v>4.0599999999999996</v>
      </c>
      <c r="I18" s="891">
        <v>2.71</v>
      </c>
      <c r="J18" s="891">
        <v>2.71</v>
      </c>
      <c r="K18" s="891">
        <v>1.22</v>
      </c>
      <c r="L18" s="891">
        <v>1.69</v>
      </c>
      <c r="M18" s="891">
        <v>2.71</v>
      </c>
      <c r="N18" s="891">
        <v>16.260000000000002</v>
      </c>
      <c r="O18" s="891">
        <v>1.35</v>
      </c>
      <c r="P18" s="891">
        <v>6.77</v>
      </c>
      <c r="Q18" s="891">
        <v>1.35</v>
      </c>
      <c r="R18" s="891">
        <v>2.0299999999999998</v>
      </c>
      <c r="S18" s="891">
        <v>7.86</v>
      </c>
      <c r="T18" s="891">
        <v>3.66</v>
      </c>
      <c r="U18" s="891">
        <v>8.1300000000000008</v>
      </c>
      <c r="V18" s="891">
        <v>107.02</v>
      </c>
      <c r="W18" s="891">
        <v>2.38</v>
      </c>
      <c r="X18" s="927">
        <v>32629.73</v>
      </c>
      <c r="Y18" s="891">
        <v>1625.58</v>
      </c>
      <c r="Z18" s="891">
        <v>1083.72</v>
      </c>
      <c r="AA18" s="891">
        <v>2438.36</v>
      </c>
      <c r="AB18" s="891">
        <v>1625.58</v>
      </c>
      <c r="AC18" s="891">
        <v>202.14</v>
      </c>
      <c r="AD18" s="891">
        <v>0.26</v>
      </c>
      <c r="AE18" s="891">
        <v>33.869999999999997</v>
      </c>
      <c r="AF18" s="891">
        <v>54.19</v>
      </c>
      <c r="AG18" s="891">
        <v>18.32</v>
      </c>
      <c r="AH18" s="891">
        <v>13.55</v>
      </c>
      <c r="AI18" s="891">
        <v>108.59</v>
      </c>
      <c r="AJ18" s="891">
        <v>54.19</v>
      </c>
      <c r="AK18" s="891">
        <v>121.92</v>
      </c>
      <c r="AL18" s="891">
        <v>162.56</v>
      </c>
      <c r="AM18" s="891">
        <v>6773.23</v>
      </c>
      <c r="AN18" s="891">
        <v>4099.84</v>
      </c>
      <c r="AO18" s="891">
        <v>2709.29</v>
      </c>
      <c r="AP18" s="891">
        <v>4.8</v>
      </c>
      <c r="AQ18" s="891">
        <v>3.62</v>
      </c>
      <c r="AR18" s="891">
        <v>2.64</v>
      </c>
      <c r="AS18" s="891">
        <v>26.82</v>
      </c>
      <c r="AT18" s="891">
        <v>2.17</v>
      </c>
      <c r="AU18" s="891">
        <v>2.71</v>
      </c>
      <c r="AV18" s="891">
        <v>1.83</v>
      </c>
      <c r="AW18" s="891">
        <v>1.28</v>
      </c>
      <c r="AX18" s="891">
        <v>3.39</v>
      </c>
      <c r="AY18" s="891">
        <v>2.66</v>
      </c>
      <c r="AZ18" s="891">
        <v>2.98</v>
      </c>
      <c r="BA18" s="891">
        <f t="shared" si="0"/>
        <v>236.26999999999998</v>
      </c>
      <c r="BB18" s="926">
        <f t="shared" si="1"/>
        <v>32775.870000000003</v>
      </c>
      <c r="BC18" s="926">
        <f t="shared" si="2"/>
        <v>143.76000000000306</v>
      </c>
      <c r="BD18" s="891"/>
      <c r="BE18" s="891"/>
      <c r="BF18" s="891"/>
      <c r="BG18" s="928"/>
      <c r="BH18" s="928"/>
      <c r="BI18" s="928"/>
    </row>
    <row r="19" spans="1:61">
      <c r="A19" s="891" t="s">
        <v>791</v>
      </c>
      <c r="B19" s="891" t="s">
        <v>1576</v>
      </c>
      <c r="C19" s="891" t="s">
        <v>78</v>
      </c>
      <c r="D19" s="891">
        <v>15</v>
      </c>
      <c r="E19" s="891">
        <v>55</v>
      </c>
      <c r="F19" s="891">
        <v>7</v>
      </c>
      <c r="G19" s="891">
        <v>4</v>
      </c>
      <c r="H19" s="891">
        <v>4.75</v>
      </c>
      <c r="I19" s="891">
        <v>1.94</v>
      </c>
      <c r="J19" s="891">
        <v>1.5</v>
      </c>
      <c r="K19" s="891">
        <v>1.03</v>
      </c>
      <c r="L19" s="891">
        <v>2.76</v>
      </c>
      <c r="M19" s="891">
        <v>3.06</v>
      </c>
      <c r="N19" s="891">
        <v>7.85</v>
      </c>
      <c r="O19" s="891">
        <v>1.75</v>
      </c>
      <c r="P19" s="891">
        <v>14.5</v>
      </c>
      <c r="Q19" s="891">
        <v>2.25</v>
      </c>
      <c r="R19" s="891">
        <v>3</v>
      </c>
      <c r="S19" s="891">
        <v>9</v>
      </c>
      <c r="T19" s="891">
        <v>1.75</v>
      </c>
      <c r="U19" s="891">
        <v>8.82</v>
      </c>
      <c r="V19" s="891">
        <v>50</v>
      </c>
      <c r="W19" s="891">
        <v>1.06</v>
      </c>
      <c r="X19" s="927">
        <v>25000</v>
      </c>
      <c r="Y19" s="891">
        <v>1200</v>
      </c>
      <c r="Z19" s="891">
        <v>900</v>
      </c>
      <c r="AA19" s="891">
        <v>2150</v>
      </c>
      <c r="AB19" s="891">
        <v>1500</v>
      </c>
      <c r="AC19" s="891">
        <v>300</v>
      </c>
      <c r="AD19" s="891">
        <v>0.25</v>
      </c>
      <c r="AE19" s="891">
        <v>59.99</v>
      </c>
      <c r="AF19" s="891">
        <v>70</v>
      </c>
      <c r="AG19" s="891">
        <v>22.5</v>
      </c>
      <c r="AH19" s="891">
        <v>12</v>
      </c>
      <c r="AI19" s="891">
        <v>42.5</v>
      </c>
      <c r="AJ19" s="891">
        <v>30</v>
      </c>
      <c r="AK19" s="891">
        <v>60</v>
      </c>
      <c r="AL19" s="891">
        <v>95</v>
      </c>
      <c r="AM19" s="891">
        <v>1804.34</v>
      </c>
      <c r="AN19" s="891">
        <v>1138.2</v>
      </c>
      <c r="AO19" s="891">
        <v>4970</v>
      </c>
      <c r="AP19" s="891">
        <v>3.58</v>
      </c>
      <c r="AQ19" s="891">
        <v>2.5</v>
      </c>
      <c r="AR19" s="891">
        <v>1.35</v>
      </c>
      <c r="AS19" s="891">
        <v>41.5</v>
      </c>
      <c r="AT19" s="891">
        <v>5.5</v>
      </c>
      <c r="AU19" s="891">
        <v>5.49</v>
      </c>
      <c r="AV19" s="891">
        <v>2.2000000000000002</v>
      </c>
      <c r="AW19" s="891">
        <v>2.0699999999999998</v>
      </c>
      <c r="AX19" s="891">
        <v>3.5</v>
      </c>
      <c r="AY19" s="891">
        <v>4.0999999999999996</v>
      </c>
      <c r="AZ19" s="891">
        <v>5.49</v>
      </c>
      <c r="BA19" s="891">
        <f t="shared" si="0"/>
        <v>360.24</v>
      </c>
      <c r="BB19" s="926">
        <f t="shared" si="1"/>
        <v>25098.16</v>
      </c>
      <c r="BC19" s="926">
        <f t="shared" si="2"/>
        <v>97.099999999999852</v>
      </c>
      <c r="BD19" s="891"/>
      <c r="BE19" s="891"/>
      <c r="BF19" s="891"/>
      <c r="BG19" s="928"/>
      <c r="BH19" s="928"/>
      <c r="BI19" s="928"/>
    </row>
    <row r="20" spans="1:61">
      <c r="A20" s="891" t="s">
        <v>792</v>
      </c>
      <c r="B20" s="891" t="s">
        <v>617</v>
      </c>
      <c r="C20" s="891" t="s">
        <v>300</v>
      </c>
      <c r="D20" s="891">
        <v>5.0599999999999996</v>
      </c>
      <c r="E20" s="891">
        <v>25.28</v>
      </c>
      <c r="F20" s="891">
        <v>6.07</v>
      </c>
      <c r="G20" s="891">
        <v>3.54</v>
      </c>
      <c r="H20" s="891">
        <v>3.54</v>
      </c>
      <c r="I20" s="891">
        <v>1.35</v>
      </c>
      <c r="J20" s="891">
        <v>0.38</v>
      </c>
      <c r="K20" s="891">
        <v>1.01</v>
      </c>
      <c r="L20" s="891">
        <v>0.51</v>
      </c>
      <c r="M20" s="891">
        <v>2.02</v>
      </c>
      <c r="N20" s="891">
        <v>5.0599999999999996</v>
      </c>
      <c r="O20" s="891">
        <v>0.51</v>
      </c>
      <c r="P20" s="891">
        <v>11.38</v>
      </c>
      <c r="Q20" s="891">
        <v>2.12</v>
      </c>
      <c r="R20" s="891">
        <v>2.5299999999999998</v>
      </c>
      <c r="S20" s="891">
        <v>4.55</v>
      </c>
      <c r="T20" s="891">
        <v>1.01</v>
      </c>
      <c r="U20" s="891">
        <v>5.0599999999999996</v>
      </c>
      <c r="V20" s="891">
        <v>30.33</v>
      </c>
      <c r="W20" s="891">
        <v>2.35</v>
      </c>
      <c r="X20" s="927">
        <v>22876.639999999999</v>
      </c>
      <c r="Y20" s="891">
        <v>366.53</v>
      </c>
      <c r="Z20" s="891">
        <v>227.5</v>
      </c>
      <c r="AA20" s="891">
        <v>606.66999999999996</v>
      </c>
      <c r="AB20" s="891">
        <v>315.98</v>
      </c>
      <c r="AC20" s="891">
        <v>139.03</v>
      </c>
      <c r="AD20" s="891">
        <v>0.2</v>
      </c>
      <c r="AE20" s="891">
        <v>28.82</v>
      </c>
      <c r="AF20" s="891">
        <v>50.56</v>
      </c>
      <c r="AG20" s="891">
        <v>8.85</v>
      </c>
      <c r="AH20" s="891">
        <v>6.57</v>
      </c>
      <c r="AI20" s="891">
        <v>60.67</v>
      </c>
      <c r="AJ20" s="891">
        <v>35.39</v>
      </c>
      <c r="AK20" s="891">
        <v>70.78</v>
      </c>
      <c r="AL20" s="891">
        <v>62.94</v>
      </c>
      <c r="AM20" s="891">
        <v>1263.9000000000001</v>
      </c>
      <c r="AN20" s="891">
        <v>758.34</v>
      </c>
      <c r="AO20" s="891">
        <v>960.57</v>
      </c>
      <c r="AP20" s="891">
        <v>14</v>
      </c>
      <c r="AQ20" s="891">
        <v>1.29</v>
      </c>
      <c r="AR20" s="891">
        <v>1.01</v>
      </c>
      <c r="AS20" s="891">
        <v>12.64</v>
      </c>
      <c r="AT20" s="891">
        <v>1.26</v>
      </c>
      <c r="AU20" s="891">
        <v>1.01</v>
      </c>
      <c r="AV20" s="891">
        <v>0.61</v>
      </c>
      <c r="AW20" s="891">
        <v>1.01</v>
      </c>
      <c r="AX20" s="891">
        <v>2.5299999999999998</v>
      </c>
      <c r="AY20" s="891">
        <v>1.52</v>
      </c>
      <c r="AZ20" s="891">
        <v>1.0900000000000001</v>
      </c>
      <c r="BA20" s="891">
        <f t="shared" si="0"/>
        <v>168.04999999999998</v>
      </c>
      <c r="BB20" s="926">
        <f t="shared" si="1"/>
        <v>22925.269999999997</v>
      </c>
      <c r="BC20" s="926">
        <f t="shared" si="2"/>
        <v>46.279999999997379</v>
      </c>
      <c r="BD20" s="891"/>
      <c r="BE20" s="891"/>
      <c r="BF20" s="891"/>
      <c r="BG20" s="928"/>
      <c r="BH20" s="928"/>
      <c r="BI20" s="928"/>
    </row>
    <row r="21" spans="1:61">
      <c r="A21" s="891" t="s">
        <v>793</v>
      </c>
      <c r="B21" s="891" t="s">
        <v>617</v>
      </c>
      <c r="C21" s="891" t="s">
        <v>307</v>
      </c>
      <c r="D21" s="891">
        <v>6.07</v>
      </c>
      <c r="E21" s="891">
        <v>25.28</v>
      </c>
      <c r="F21" s="891">
        <v>6.07</v>
      </c>
      <c r="G21" s="891">
        <v>2.5299999999999998</v>
      </c>
      <c r="H21" s="891">
        <v>4.04</v>
      </c>
      <c r="I21" s="891">
        <v>1.1399999999999999</v>
      </c>
      <c r="J21" s="891">
        <v>0.38</v>
      </c>
      <c r="K21" s="891">
        <v>0.98</v>
      </c>
      <c r="L21" s="891">
        <v>0.51</v>
      </c>
      <c r="M21" s="891">
        <v>2.02</v>
      </c>
      <c r="N21" s="891">
        <v>6.32</v>
      </c>
      <c r="O21" s="891">
        <v>0.51</v>
      </c>
      <c r="P21" s="891">
        <v>8.59</v>
      </c>
      <c r="Q21" s="891">
        <v>1.9</v>
      </c>
      <c r="R21" s="891">
        <v>2.2799999999999998</v>
      </c>
      <c r="S21" s="891">
        <v>4.55</v>
      </c>
      <c r="T21" s="891">
        <v>0.88</v>
      </c>
      <c r="U21" s="891">
        <v>4.55</v>
      </c>
      <c r="V21" s="891">
        <v>50.56</v>
      </c>
      <c r="W21" s="891">
        <v>2.38</v>
      </c>
      <c r="X21" s="927">
        <v>22750.25</v>
      </c>
      <c r="Y21" s="891">
        <v>202.22</v>
      </c>
      <c r="Z21" s="891">
        <v>189.59</v>
      </c>
      <c r="AA21" s="891">
        <v>328.61</v>
      </c>
      <c r="AB21" s="891">
        <v>303.33999999999997</v>
      </c>
      <c r="AC21" s="891">
        <v>66.11</v>
      </c>
      <c r="AD21" s="891">
        <v>0.2</v>
      </c>
      <c r="AE21" s="891">
        <v>25.28</v>
      </c>
      <c r="AF21" s="891">
        <v>50.56</v>
      </c>
      <c r="AG21" s="891">
        <v>8.85</v>
      </c>
      <c r="AH21" s="891">
        <v>4.3</v>
      </c>
      <c r="AI21" s="891">
        <v>57.86</v>
      </c>
      <c r="AJ21" s="891">
        <v>50.56</v>
      </c>
      <c r="AK21" s="891">
        <v>70.78</v>
      </c>
      <c r="AL21" s="891">
        <v>50.56</v>
      </c>
      <c r="AM21" s="891">
        <v>758.34</v>
      </c>
      <c r="AN21" s="891">
        <v>631.95000000000005</v>
      </c>
      <c r="AO21" s="891">
        <v>606.66999999999996</v>
      </c>
      <c r="AP21" s="891">
        <v>11.5</v>
      </c>
      <c r="AQ21" s="891">
        <v>1.52</v>
      </c>
      <c r="AR21" s="891">
        <v>1.52</v>
      </c>
      <c r="AS21" s="891">
        <v>10.11</v>
      </c>
      <c r="AT21" s="891">
        <v>1.52</v>
      </c>
      <c r="AU21" s="891">
        <v>1.01</v>
      </c>
      <c r="AV21" s="891">
        <v>0.51</v>
      </c>
      <c r="AW21" s="891">
        <v>0.51</v>
      </c>
      <c r="AX21" s="891">
        <v>2.5299999999999998</v>
      </c>
      <c r="AY21" s="891">
        <v>2.15</v>
      </c>
      <c r="AZ21" s="891">
        <v>1.01</v>
      </c>
      <c r="BA21" s="891">
        <f t="shared" si="0"/>
        <v>91.59</v>
      </c>
      <c r="BB21" s="926">
        <f t="shared" si="1"/>
        <v>22817.22</v>
      </c>
      <c r="BC21" s="926">
        <f t="shared" si="2"/>
        <v>64.590000000001169</v>
      </c>
      <c r="BD21" s="891"/>
      <c r="BE21" s="891"/>
      <c r="BF21" s="891"/>
      <c r="BG21" s="928"/>
      <c r="BH21" s="928"/>
      <c r="BI21" s="928"/>
    </row>
    <row r="22" spans="1:61">
      <c r="A22" s="891" t="s">
        <v>794</v>
      </c>
      <c r="B22" s="891" t="s">
        <v>587</v>
      </c>
      <c r="C22" s="891" t="s">
        <v>91</v>
      </c>
      <c r="D22" s="891">
        <v>20.32</v>
      </c>
      <c r="E22" s="891">
        <v>75.86</v>
      </c>
      <c r="F22" s="891">
        <v>9.82</v>
      </c>
      <c r="G22" s="891">
        <v>4.0599999999999996</v>
      </c>
      <c r="H22" s="891">
        <v>4.0599999999999996</v>
      </c>
      <c r="I22" s="891">
        <v>2.71</v>
      </c>
      <c r="J22" s="891">
        <v>2.44</v>
      </c>
      <c r="K22" s="891">
        <v>1.08</v>
      </c>
      <c r="L22" s="891">
        <v>1.9</v>
      </c>
      <c r="M22" s="891">
        <v>2.71</v>
      </c>
      <c r="N22" s="891">
        <v>13.48</v>
      </c>
      <c r="O22" s="891">
        <v>1.02</v>
      </c>
      <c r="P22" s="891">
        <v>8.1300000000000008</v>
      </c>
      <c r="Q22" s="891">
        <v>1.35</v>
      </c>
      <c r="R22" s="891">
        <v>1.35</v>
      </c>
      <c r="S22" s="891">
        <v>7.11</v>
      </c>
      <c r="T22" s="891">
        <v>2.71</v>
      </c>
      <c r="U22" s="891">
        <v>12.19</v>
      </c>
      <c r="V22" s="891">
        <v>40.64</v>
      </c>
      <c r="W22" s="891">
        <v>2.17</v>
      </c>
      <c r="X22" s="927">
        <v>25738.28</v>
      </c>
      <c r="Y22" s="891">
        <v>826.33</v>
      </c>
      <c r="Z22" s="891">
        <v>677.32</v>
      </c>
      <c r="AA22" s="891">
        <v>1625.58</v>
      </c>
      <c r="AB22" s="891">
        <v>1117.58</v>
      </c>
      <c r="AC22" s="891">
        <v>135.46</v>
      </c>
      <c r="AD22" s="891">
        <v>0.34</v>
      </c>
      <c r="AE22" s="891">
        <v>33.869999999999997</v>
      </c>
      <c r="AF22" s="891">
        <v>54.19</v>
      </c>
      <c r="AG22" s="891">
        <v>13.55</v>
      </c>
      <c r="AH22" s="891">
        <v>12.19</v>
      </c>
      <c r="AI22" s="891">
        <v>104.99</v>
      </c>
      <c r="AJ22" s="891">
        <v>67.73</v>
      </c>
      <c r="AK22" s="891">
        <v>111.76</v>
      </c>
      <c r="AL22" s="891">
        <v>135.46</v>
      </c>
      <c r="AM22" s="891">
        <v>2709.29</v>
      </c>
      <c r="AN22" s="891">
        <v>1625.58</v>
      </c>
      <c r="AO22" s="891">
        <v>2167.4299999999998</v>
      </c>
      <c r="AP22" s="891">
        <v>3.95</v>
      </c>
      <c r="AQ22" s="891">
        <v>4.0599999999999996</v>
      </c>
      <c r="AR22" s="891">
        <v>2.57</v>
      </c>
      <c r="AS22" s="891">
        <v>40.64</v>
      </c>
      <c r="AT22" s="891">
        <v>2.71</v>
      </c>
      <c r="AU22" s="891">
        <v>2.7</v>
      </c>
      <c r="AV22" s="891">
        <v>2.15</v>
      </c>
      <c r="AW22" s="891">
        <v>1.35</v>
      </c>
      <c r="AX22" s="891">
        <v>2.98</v>
      </c>
      <c r="AY22" s="891">
        <v>2.71</v>
      </c>
      <c r="AZ22" s="891">
        <v>2.7</v>
      </c>
      <c r="BA22" s="891">
        <f t="shared" si="0"/>
        <v>169.67000000000002</v>
      </c>
      <c r="BB22" s="926">
        <f t="shared" si="1"/>
        <v>25831.07</v>
      </c>
      <c r="BC22" s="926">
        <f t="shared" si="2"/>
        <v>90.620000000000871</v>
      </c>
      <c r="BD22" s="891"/>
      <c r="BE22" s="891"/>
      <c r="BF22" s="891"/>
      <c r="BG22" s="928"/>
      <c r="BH22" s="928"/>
      <c r="BI22" s="928"/>
    </row>
    <row r="23" spans="1:61">
      <c r="A23" s="891" t="s">
        <v>795</v>
      </c>
      <c r="B23" s="891" t="s">
        <v>581</v>
      </c>
      <c r="C23" s="891" t="s">
        <v>14</v>
      </c>
      <c r="D23" s="891">
        <v>15.43</v>
      </c>
      <c r="E23" s="891">
        <v>108.95</v>
      </c>
      <c r="F23" s="891">
        <v>11.08</v>
      </c>
      <c r="G23" s="891">
        <v>9.08</v>
      </c>
      <c r="H23" s="891">
        <v>7.26</v>
      </c>
      <c r="I23" s="891">
        <v>4.3600000000000003</v>
      </c>
      <c r="J23" s="891">
        <v>2.72</v>
      </c>
      <c r="K23" s="891">
        <v>1.0900000000000001</v>
      </c>
      <c r="L23" s="891">
        <v>1.82</v>
      </c>
      <c r="M23" s="891">
        <v>4.2300000000000004</v>
      </c>
      <c r="N23" s="891">
        <v>11.8</v>
      </c>
      <c r="O23" s="891">
        <v>2.36</v>
      </c>
      <c r="P23" s="891">
        <v>11.35</v>
      </c>
      <c r="Q23" s="891">
        <v>1.82</v>
      </c>
      <c r="R23" s="891">
        <v>2.72</v>
      </c>
      <c r="S23" s="891">
        <v>7.44</v>
      </c>
      <c r="T23" s="891">
        <v>3.63</v>
      </c>
      <c r="U23" s="891">
        <v>11.8</v>
      </c>
      <c r="V23" s="891">
        <v>64.459999999999994</v>
      </c>
      <c r="W23" s="891">
        <v>2.1800000000000002</v>
      </c>
      <c r="X23" s="927">
        <v>51751.38</v>
      </c>
      <c r="Y23" s="891">
        <v>726.34</v>
      </c>
      <c r="Z23" s="891">
        <v>680.94</v>
      </c>
      <c r="AA23" s="891">
        <v>1634.25</v>
      </c>
      <c r="AB23" s="891">
        <v>1180.29</v>
      </c>
      <c r="AC23" s="891">
        <v>317.77</v>
      </c>
      <c r="AD23" s="891">
        <v>0.11</v>
      </c>
      <c r="AE23" s="891">
        <v>36.14</v>
      </c>
      <c r="AF23" s="891">
        <v>54.29</v>
      </c>
      <c r="AG23" s="891">
        <v>36.32</v>
      </c>
      <c r="AH23" s="891">
        <v>14.98</v>
      </c>
      <c r="AI23" s="891">
        <v>181.4</v>
      </c>
      <c r="AJ23" s="891">
        <v>72.45</v>
      </c>
      <c r="AK23" s="891">
        <v>140.63999999999999</v>
      </c>
      <c r="AL23" s="891">
        <v>163.24</v>
      </c>
      <c r="AM23" s="891">
        <v>4539.59</v>
      </c>
      <c r="AN23" s="891">
        <v>3994.84</v>
      </c>
      <c r="AO23" s="891">
        <v>3450.09</v>
      </c>
      <c r="AP23" s="891">
        <v>4</v>
      </c>
      <c r="AQ23" s="891">
        <v>6.81</v>
      </c>
      <c r="AR23" s="891">
        <v>1.33</v>
      </c>
      <c r="AS23" s="891">
        <v>64.459999999999994</v>
      </c>
      <c r="AT23" s="891">
        <v>3.63</v>
      </c>
      <c r="AU23" s="891">
        <v>3.63</v>
      </c>
      <c r="AV23" s="891">
        <v>1.68</v>
      </c>
      <c r="AW23" s="891">
        <v>2.27</v>
      </c>
      <c r="AX23" s="891">
        <v>6.36</v>
      </c>
      <c r="AY23" s="891">
        <v>1.82</v>
      </c>
      <c r="AZ23" s="891">
        <v>3.99</v>
      </c>
      <c r="BA23" s="891">
        <f t="shared" si="0"/>
        <v>354.02</v>
      </c>
      <c r="BB23" s="926">
        <f t="shared" si="1"/>
        <v>51894.249999999993</v>
      </c>
      <c r="BC23" s="926">
        <f t="shared" si="2"/>
        <v>140.68999999999534</v>
      </c>
      <c r="BD23" s="891"/>
      <c r="BE23" s="891"/>
      <c r="BF23" s="891"/>
      <c r="BG23" s="928"/>
      <c r="BH23" s="928"/>
      <c r="BI23" s="928"/>
    </row>
    <row r="24" spans="1:61">
      <c r="A24" s="891" t="s">
        <v>796</v>
      </c>
      <c r="B24" s="891" t="s">
        <v>564</v>
      </c>
      <c r="C24" s="891" t="s">
        <v>125</v>
      </c>
      <c r="D24" s="891">
        <v>17.61</v>
      </c>
      <c r="E24" s="891">
        <v>57.57</v>
      </c>
      <c r="F24" s="891">
        <v>8.1300000000000008</v>
      </c>
      <c r="G24" s="891">
        <v>5.42</v>
      </c>
      <c r="H24" s="891">
        <v>5.42</v>
      </c>
      <c r="I24" s="891">
        <v>1.63</v>
      </c>
      <c r="J24" s="891">
        <v>0.68</v>
      </c>
      <c r="K24" s="891">
        <v>1.69</v>
      </c>
      <c r="L24" s="891">
        <v>1.08</v>
      </c>
      <c r="M24" s="891">
        <v>4.0599999999999996</v>
      </c>
      <c r="N24" s="891">
        <v>10.84</v>
      </c>
      <c r="O24" s="891">
        <v>1.35</v>
      </c>
      <c r="P24" s="891">
        <v>9.48</v>
      </c>
      <c r="Q24" s="891">
        <v>1.63</v>
      </c>
      <c r="R24" s="891">
        <v>2.0299999999999998</v>
      </c>
      <c r="S24" s="891">
        <v>5.42</v>
      </c>
      <c r="T24" s="891">
        <v>1.9</v>
      </c>
      <c r="U24" s="891">
        <v>10.84</v>
      </c>
      <c r="V24" s="891">
        <v>60.96</v>
      </c>
      <c r="W24" s="891">
        <v>2.2999999999999998</v>
      </c>
      <c r="X24" s="927">
        <v>24383.64</v>
      </c>
      <c r="Y24" s="891">
        <v>406.39</v>
      </c>
      <c r="Z24" s="891">
        <v>406.39</v>
      </c>
      <c r="AA24" s="891">
        <v>677.32</v>
      </c>
      <c r="AB24" s="891">
        <v>812.79</v>
      </c>
      <c r="AC24" s="891">
        <v>176.1</v>
      </c>
      <c r="AD24" s="891">
        <v>0.54</v>
      </c>
      <c r="AE24" s="891">
        <v>27.09</v>
      </c>
      <c r="AF24" s="891">
        <v>54.19</v>
      </c>
      <c r="AG24" s="891">
        <v>20.32</v>
      </c>
      <c r="AH24" s="891">
        <v>10.84</v>
      </c>
      <c r="AI24" s="891">
        <v>108.37</v>
      </c>
      <c r="AJ24" s="891">
        <v>47.41</v>
      </c>
      <c r="AK24" s="891">
        <v>121.92</v>
      </c>
      <c r="AL24" s="891">
        <v>121.92</v>
      </c>
      <c r="AM24" s="891">
        <v>2607.69</v>
      </c>
      <c r="AN24" s="891">
        <v>2709.29</v>
      </c>
      <c r="AO24" s="891">
        <v>1056.6199999999999</v>
      </c>
      <c r="AP24" s="891">
        <v>5.12</v>
      </c>
      <c r="AQ24" s="891">
        <v>4.0599999999999996</v>
      </c>
      <c r="AR24" s="891">
        <v>0.93</v>
      </c>
      <c r="AS24" s="891">
        <v>14.79</v>
      </c>
      <c r="AT24" s="891">
        <v>1.76</v>
      </c>
      <c r="AU24" s="891">
        <v>1.29</v>
      </c>
      <c r="AV24" s="891">
        <v>0.95</v>
      </c>
      <c r="AW24" s="891">
        <v>0.68</v>
      </c>
      <c r="AX24" s="891">
        <v>4.74</v>
      </c>
      <c r="AY24" s="891">
        <v>2.0299999999999998</v>
      </c>
      <c r="AZ24" s="891">
        <v>2.0299999999999998</v>
      </c>
      <c r="BA24" s="891">
        <f t="shared" si="0"/>
        <v>203.73</v>
      </c>
      <c r="BB24" s="926">
        <f t="shared" si="1"/>
        <v>24468.58</v>
      </c>
      <c r="BC24" s="926">
        <f t="shared" si="2"/>
        <v>82.640000000002331</v>
      </c>
      <c r="BD24" s="891"/>
      <c r="BE24" s="891"/>
      <c r="BF24" s="891"/>
      <c r="BG24" s="928"/>
      <c r="BH24" s="928"/>
      <c r="BI24" s="928"/>
    </row>
    <row r="25" spans="1:61">
      <c r="A25" s="891" t="s">
        <v>797</v>
      </c>
      <c r="B25" s="891" t="s">
        <v>1577</v>
      </c>
      <c r="C25" s="891" t="s">
        <v>177</v>
      </c>
      <c r="D25" s="891">
        <v>11.25</v>
      </c>
      <c r="E25" s="891">
        <v>45</v>
      </c>
      <c r="F25" s="891">
        <v>6</v>
      </c>
      <c r="G25" s="891">
        <v>3</v>
      </c>
      <c r="H25" s="891">
        <v>5</v>
      </c>
      <c r="I25" s="891">
        <v>1.5</v>
      </c>
      <c r="J25" s="891">
        <v>1.2</v>
      </c>
      <c r="K25" s="891">
        <v>0.92</v>
      </c>
      <c r="L25" s="891">
        <v>2</v>
      </c>
      <c r="M25" s="891">
        <v>2</v>
      </c>
      <c r="N25" s="891">
        <v>5.25</v>
      </c>
      <c r="O25" s="891">
        <v>1.75</v>
      </c>
      <c r="P25" s="891">
        <v>10</v>
      </c>
      <c r="Q25" s="891">
        <v>2</v>
      </c>
      <c r="R25" s="891">
        <v>3</v>
      </c>
      <c r="S25" s="891">
        <v>5.12</v>
      </c>
      <c r="T25" s="891">
        <v>2.5</v>
      </c>
      <c r="U25" s="891">
        <v>6.59</v>
      </c>
      <c r="V25" s="891">
        <v>85</v>
      </c>
      <c r="W25" s="891">
        <v>0.95</v>
      </c>
      <c r="X25" s="927">
        <v>20062.5</v>
      </c>
      <c r="Y25" s="891">
        <v>1014.5</v>
      </c>
      <c r="Z25" s="891">
        <v>700</v>
      </c>
      <c r="AA25" s="891">
        <v>1650</v>
      </c>
      <c r="AB25" s="891">
        <v>1050</v>
      </c>
      <c r="AC25" s="891">
        <v>180</v>
      </c>
      <c r="AD25" s="891">
        <v>0.1</v>
      </c>
      <c r="AE25" s="891">
        <v>43.5</v>
      </c>
      <c r="AF25" s="891">
        <v>35</v>
      </c>
      <c r="AG25" s="891">
        <v>14.98</v>
      </c>
      <c r="AH25" s="891">
        <v>11</v>
      </c>
      <c r="AI25" s="891">
        <v>42.5</v>
      </c>
      <c r="AJ25" s="891">
        <v>35</v>
      </c>
      <c r="AK25" s="891">
        <v>75</v>
      </c>
      <c r="AL25" s="891">
        <v>75</v>
      </c>
      <c r="AM25" s="891">
        <v>1614.59</v>
      </c>
      <c r="AN25" s="891">
        <v>699.65</v>
      </c>
      <c r="AO25" s="891">
        <v>3500</v>
      </c>
      <c r="AP25" s="891">
        <v>3.75</v>
      </c>
      <c r="AQ25" s="891">
        <v>2.5</v>
      </c>
      <c r="AR25" s="891">
        <v>1.24</v>
      </c>
      <c r="AS25" s="891">
        <v>21</v>
      </c>
      <c r="AT25" s="891">
        <v>4</v>
      </c>
      <c r="AU25" s="891">
        <v>3.86</v>
      </c>
      <c r="AV25" s="891">
        <v>4</v>
      </c>
      <c r="AW25" s="891">
        <v>1.25</v>
      </c>
      <c r="AX25" s="891">
        <v>3.7</v>
      </c>
      <c r="AY25" s="891">
        <v>2</v>
      </c>
      <c r="AZ25" s="891">
        <v>3.79</v>
      </c>
      <c r="BA25" s="891">
        <f t="shared" si="0"/>
        <v>223.6</v>
      </c>
      <c r="BB25" s="926">
        <f t="shared" si="1"/>
        <v>20175.690000000002</v>
      </c>
      <c r="BC25" s="926">
        <f t="shared" si="2"/>
        <v>112.24000000000233</v>
      </c>
      <c r="BD25" s="891"/>
      <c r="BE25" s="891"/>
      <c r="BF25" s="891"/>
      <c r="BG25" s="928"/>
      <c r="BH25" s="928"/>
      <c r="BI25" s="928"/>
    </row>
    <row r="26" spans="1:61">
      <c r="A26" s="891" t="s">
        <v>798</v>
      </c>
      <c r="B26" s="891" t="s">
        <v>1578</v>
      </c>
      <c r="C26" s="891" t="s">
        <v>34</v>
      </c>
      <c r="D26" s="891">
        <v>12.48</v>
      </c>
      <c r="E26" s="891">
        <v>66.58</v>
      </c>
      <c r="F26" s="891">
        <v>8.32</v>
      </c>
      <c r="G26" s="891">
        <v>5.83</v>
      </c>
      <c r="H26" s="891">
        <v>6.66</v>
      </c>
      <c r="I26" s="891">
        <v>2.5</v>
      </c>
      <c r="J26" s="891">
        <v>2.5</v>
      </c>
      <c r="K26" s="891">
        <v>2.02</v>
      </c>
      <c r="L26" s="891">
        <v>2.5</v>
      </c>
      <c r="M26" s="891">
        <v>3.33</v>
      </c>
      <c r="N26" s="891">
        <v>8.32</v>
      </c>
      <c r="O26" s="891">
        <v>1.66</v>
      </c>
      <c r="P26" s="891">
        <v>12.48</v>
      </c>
      <c r="Q26" s="891">
        <v>2.5</v>
      </c>
      <c r="R26" s="891">
        <v>2.91</v>
      </c>
      <c r="S26" s="891">
        <v>14.11</v>
      </c>
      <c r="T26" s="891">
        <v>3.54</v>
      </c>
      <c r="U26" s="891">
        <v>12.48</v>
      </c>
      <c r="V26" s="891">
        <v>116.52</v>
      </c>
      <c r="W26" s="891">
        <v>1.82</v>
      </c>
      <c r="X26" s="927">
        <v>25905.119999999999</v>
      </c>
      <c r="Y26" s="891">
        <v>1177.69</v>
      </c>
      <c r="Z26" s="891">
        <v>947.15</v>
      </c>
      <c r="AA26" s="891">
        <v>2496.88</v>
      </c>
      <c r="AB26" s="891">
        <v>1776.95</v>
      </c>
      <c r="AC26" s="891">
        <v>206.94</v>
      </c>
      <c r="AD26" s="891">
        <v>0.74</v>
      </c>
      <c r="AE26" s="891">
        <v>82.4</v>
      </c>
      <c r="AF26" s="891">
        <v>74.91</v>
      </c>
      <c r="AG26" s="891">
        <v>8.32</v>
      </c>
      <c r="AH26" s="891">
        <v>13.32</v>
      </c>
      <c r="AI26" s="891">
        <v>83.23</v>
      </c>
      <c r="AJ26" s="891">
        <v>58.26</v>
      </c>
      <c r="AK26" s="891">
        <v>137.33000000000001</v>
      </c>
      <c r="AL26" s="891">
        <v>147.72999999999999</v>
      </c>
      <c r="AM26" s="891">
        <v>3876.82</v>
      </c>
      <c r="AN26" s="891">
        <v>3329.17</v>
      </c>
      <c r="AO26" s="891">
        <v>2996.25</v>
      </c>
      <c r="AP26" s="891">
        <v>5.75</v>
      </c>
      <c r="AQ26" s="891">
        <v>2.5</v>
      </c>
      <c r="AR26" s="891">
        <v>2.21</v>
      </c>
      <c r="AS26" s="891">
        <v>41.61</v>
      </c>
      <c r="AT26" s="891">
        <v>2.68</v>
      </c>
      <c r="AU26" s="891">
        <v>2.87</v>
      </c>
      <c r="AV26" s="891">
        <v>1.66</v>
      </c>
      <c r="AW26" s="891">
        <v>1.66</v>
      </c>
      <c r="AX26" s="891">
        <v>3.33</v>
      </c>
      <c r="AY26" s="891">
        <v>2.11</v>
      </c>
      <c r="AZ26" s="891">
        <v>4.16</v>
      </c>
      <c r="BA26" s="891">
        <f t="shared" si="0"/>
        <v>290.08000000000004</v>
      </c>
      <c r="BB26" s="926">
        <f t="shared" si="1"/>
        <v>26073.32</v>
      </c>
      <c r="BC26" s="926">
        <f t="shared" si="2"/>
        <v>166.38000000000073</v>
      </c>
      <c r="BD26" s="891"/>
      <c r="BE26" s="891"/>
      <c r="BF26" s="891"/>
      <c r="BG26" s="928"/>
      <c r="BH26" s="928"/>
      <c r="BI26" s="928"/>
    </row>
    <row r="27" spans="1:61">
      <c r="A27" s="891" t="s">
        <v>799</v>
      </c>
      <c r="B27" s="891" t="s">
        <v>1579</v>
      </c>
      <c r="C27" s="891" t="s">
        <v>160</v>
      </c>
      <c r="D27" s="891">
        <v>10</v>
      </c>
      <c r="E27" s="891">
        <v>50</v>
      </c>
      <c r="F27" s="891">
        <v>6</v>
      </c>
      <c r="G27" s="891">
        <v>3</v>
      </c>
      <c r="H27" s="891">
        <v>4.5</v>
      </c>
      <c r="I27" s="891">
        <v>1.5</v>
      </c>
      <c r="J27" s="891">
        <v>1.25</v>
      </c>
      <c r="K27" s="891">
        <v>1.19</v>
      </c>
      <c r="L27" s="891">
        <v>2.25</v>
      </c>
      <c r="M27" s="891">
        <v>2.4700000000000002</v>
      </c>
      <c r="N27" s="891">
        <v>12.13</v>
      </c>
      <c r="O27" s="891">
        <v>1</v>
      </c>
      <c r="P27" s="891">
        <v>12</v>
      </c>
      <c r="Q27" s="891">
        <v>1.32</v>
      </c>
      <c r="R27" s="891">
        <v>2.5</v>
      </c>
      <c r="S27" s="891">
        <v>5.98</v>
      </c>
      <c r="T27" s="891">
        <v>1</v>
      </c>
      <c r="U27" s="891">
        <v>9.3699999999999992</v>
      </c>
      <c r="V27" s="891">
        <v>39.5</v>
      </c>
      <c r="W27" s="891">
        <v>0.9</v>
      </c>
      <c r="X27" s="927">
        <v>19500</v>
      </c>
      <c r="Y27" s="891">
        <v>1100</v>
      </c>
      <c r="Z27" s="891">
        <v>750</v>
      </c>
      <c r="AA27" s="891">
        <v>2300</v>
      </c>
      <c r="AB27" s="891">
        <v>1400</v>
      </c>
      <c r="AC27" s="891">
        <v>164.47</v>
      </c>
      <c r="AD27" s="891">
        <v>0.45</v>
      </c>
      <c r="AE27" s="891">
        <v>39.5</v>
      </c>
      <c r="AF27" s="891">
        <v>40</v>
      </c>
      <c r="AG27" s="891">
        <v>37.5</v>
      </c>
      <c r="AH27" s="891">
        <v>9</v>
      </c>
      <c r="AI27" s="891">
        <v>39.5</v>
      </c>
      <c r="AJ27" s="891">
        <v>40</v>
      </c>
      <c r="AK27" s="891">
        <v>69.5</v>
      </c>
      <c r="AL27" s="891">
        <v>89.5</v>
      </c>
      <c r="AM27" s="891">
        <v>3121.53</v>
      </c>
      <c r="AN27" s="891">
        <v>1103.3</v>
      </c>
      <c r="AO27" s="891">
        <v>3196</v>
      </c>
      <c r="AP27" s="891">
        <v>4.4400000000000004</v>
      </c>
      <c r="AQ27" s="891">
        <v>3.38</v>
      </c>
      <c r="AR27" s="891">
        <v>1.0900000000000001</v>
      </c>
      <c r="AS27" s="891">
        <v>45</v>
      </c>
      <c r="AT27" s="891">
        <v>4.07</v>
      </c>
      <c r="AU27" s="891">
        <v>3.47</v>
      </c>
      <c r="AV27" s="891">
        <v>2.2000000000000002</v>
      </c>
      <c r="AW27" s="891">
        <v>1.5</v>
      </c>
      <c r="AX27" s="891">
        <v>3.25</v>
      </c>
      <c r="AY27" s="891">
        <v>2.09</v>
      </c>
      <c r="AZ27" s="891">
        <v>3.31</v>
      </c>
      <c r="BA27" s="891">
        <f t="shared" si="0"/>
        <v>204.42</v>
      </c>
      <c r="BB27" s="926">
        <f t="shared" si="1"/>
        <v>19590.870000000003</v>
      </c>
      <c r="BC27" s="926">
        <f t="shared" si="2"/>
        <v>89.970000000002614</v>
      </c>
      <c r="BD27" s="891"/>
      <c r="BE27" s="891"/>
      <c r="BF27" s="891"/>
      <c r="BG27" s="928"/>
      <c r="BH27" s="928"/>
      <c r="BI27" s="928"/>
    </row>
    <row r="28" spans="1:61">
      <c r="A28" s="891" t="s">
        <v>801</v>
      </c>
      <c r="B28" s="891" t="s">
        <v>603</v>
      </c>
      <c r="C28" s="891" t="s">
        <v>228</v>
      </c>
      <c r="D28" s="891">
        <v>11.18</v>
      </c>
      <c r="E28" s="891">
        <v>50</v>
      </c>
      <c r="F28" s="891">
        <v>8.7899999999999991</v>
      </c>
      <c r="G28" s="891">
        <v>2.71</v>
      </c>
      <c r="H28" s="891">
        <v>5.42</v>
      </c>
      <c r="I28" s="891">
        <v>0.68</v>
      </c>
      <c r="J28" s="891">
        <v>0.64</v>
      </c>
      <c r="K28" s="891">
        <v>1.4</v>
      </c>
      <c r="L28" s="891">
        <v>0.45</v>
      </c>
      <c r="M28" s="891">
        <v>1.63</v>
      </c>
      <c r="N28" s="891">
        <v>7.01</v>
      </c>
      <c r="O28" s="891">
        <v>0.79</v>
      </c>
      <c r="P28" s="891">
        <v>10.199999999999999</v>
      </c>
      <c r="Q28" s="891">
        <v>1.48</v>
      </c>
      <c r="R28" s="891">
        <v>2.91</v>
      </c>
      <c r="S28" s="891">
        <v>2.5499999999999998</v>
      </c>
      <c r="T28" s="891">
        <v>0.26</v>
      </c>
      <c r="U28" s="891">
        <v>6</v>
      </c>
      <c r="V28" s="891">
        <v>31.39</v>
      </c>
      <c r="W28" s="891">
        <v>0.77</v>
      </c>
      <c r="X28" s="927">
        <v>29196.74</v>
      </c>
      <c r="Y28" s="891">
        <v>822.77</v>
      </c>
      <c r="Z28" s="891">
        <v>406.39</v>
      </c>
      <c r="AA28" s="891">
        <v>2000</v>
      </c>
      <c r="AB28" s="891">
        <v>1020.02</v>
      </c>
      <c r="AC28" s="891">
        <v>104.08</v>
      </c>
      <c r="AD28" s="891">
        <v>0.1</v>
      </c>
      <c r="AE28" s="891">
        <v>35</v>
      </c>
      <c r="AF28" s="891">
        <v>64.38</v>
      </c>
      <c r="AG28" s="891">
        <v>25.5</v>
      </c>
      <c r="AH28" s="891">
        <v>9.48</v>
      </c>
      <c r="AI28" s="891">
        <v>88.65</v>
      </c>
      <c r="AJ28" s="891">
        <v>54.19</v>
      </c>
      <c r="AK28" s="891">
        <v>108.37</v>
      </c>
      <c r="AL28" s="891">
        <v>127.5</v>
      </c>
      <c r="AM28" s="891">
        <v>2625.02</v>
      </c>
      <c r="AN28" s="891">
        <v>1020.02</v>
      </c>
      <c r="AO28" s="891">
        <v>525.92999999999995</v>
      </c>
      <c r="AP28" s="891">
        <v>8</v>
      </c>
      <c r="AQ28" s="891">
        <v>1.35</v>
      </c>
      <c r="AR28" s="891">
        <v>0.95</v>
      </c>
      <c r="AS28" s="891">
        <v>8.1300000000000008</v>
      </c>
      <c r="AT28" s="891">
        <v>2.71</v>
      </c>
      <c r="AU28" s="891">
        <v>2.71</v>
      </c>
      <c r="AV28" s="891">
        <v>0.89</v>
      </c>
      <c r="AW28" s="891">
        <v>0.68</v>
      </c>
      <c r="AX28" s="891">
        <v>3.83</v>
      </c>
      <c r="AY28" s="891">
        <v>2.04</v>
      </c>
      <c r="AZ28" s="891">
        <v>2.5499999999999998</v>
      </c>
      <c r="BA28" s="891">
        <f t="shared" si="0"/>
        <v>139.18</v>
      </c>
      <c r="BB28" s="926">
        <f t="shared" si="1"/>
        <v>29239.59</v>
      </c>
      <c r="BC28" s="926">
        <f t="shared" si="2"/>
        <v>42.079999999998542</v>
      </c>
      <c r="BD28" s="891"/>
      <c r="BE28" s="891"/>
      <c r="BF28" s="891"/>
      <c r="BG28" s="928"/>
      <c r="BH28" s="928"/>
      <c r="BI28" s="928"/>
    </row>
    <row r="29" spans="1:61">
      <c r="A29" s="891" t="s">
        <v>802</v>
      </c>
      <c r="B29" s="891" t="s">
        <v>1580</v>
      </c>
      <c r="C29" s="891" t="s">
        <v>182</v>
      </c>
      <c r="D29" s="891">
        <v>10</v>
      </c>
      <c r="E29" s="891">
        <v>47</v>
      </c>
      <c r="F29" s="891">
        <v>6</v>
      </c>
      <c r="G29" s="891">
        <v>3</v>
      </c>
      <c r="H29" s="891">
        <v>5</v>
      </c>
      <c r="I29" s="891">
        <v>1.5</v>
      </c>
      <c r="J29" s="891">
        <v>1.29</v>
      </c>
      <c r="K29" s="891">
        <v>1.06</v>
      </c>
      <c r="L29" s="891">
        <v>2.5</v>
      </c>
      <c r="M29" s="891">
        <v>2.5</v>
      </c>
      <c r="N29" s="891">
        <v>8.82</v>
      </c>
      <c r="O29" s="891">
        <v>1.45</v>
      </c>
      <c r="P29" s="891">
        <v>11</v>
      </c>
      <c r="Q29" s="891">
        <v>2</v>
      </c>
      <c r="R29" s="891">
        <v>3.5</v>
      </c>
      <c r="S29" s="891">
        <v>6.75</v>
      </c>
      <c r="T29" s="891">
        <v>1.6</v>
      </c>
      <c r="U29" s="891">
        <v>6</v>
      </c>
      <c r="V29" s="891">
        <v>64.25</v>
      </c>
      <c r="W29" s="891">
        <v>0.95</v>
      </c>
      <c r="X29" s="927">
        <v>19000</v>
      </c>
      <c r="Y29" s="891">
        <v>1100</v>
      </c>
      <c r="Z29" s="891">
        <v>800</v>
      </c>
      <c r="AA29" s="891">
        <v>2100</v>
      </c>
      <c r="AB29" s="891">
        <v>1200</v>
      </c>
      <c r="AC29" s="891">
        <v>150</v>
      </c>
      <c r="AD29" s="891">
        <v>0.1</v>
      </c>
      <c r="AE29" s="891">
        <v>45</v>
      </c>
      <c r="AF29" s="891">
        <v>59</v>
      </c>
      <c r="AG29" s="891">
        <v>35</v>
      </c>
      <c r="AH29" s="891">
        <v>11</v>
      </c>
      <c r="AI29" s="891">
        <v>38</v>
      </c>
      <c r="AJ29" s="891">
        <v>30</v>
      </c>
      <c r="AK29" s="891">
        <v>70</v>
      </c>
      <c r="AL29" s="891">
        <v>75</v>
      </c>
      <c r="AM29" s="891">
        <v>1288.2</v>
      </c>
      <c r="AN29" s="891">
        <v>1019.1</v>
      </c>
      <c r="AO29" s="891">
        <v>3500</v>
      </c>
      <c r="AP29" s="891">
        <v>4</v>
      </c>
      <c r="AQ29" s="891">
        <v>2.1</v>
      </c>
      <c r="AR29" s="891">
        <v>2</v>
      </c>
      <c r="AS29" s="891">
        <v>17.5</v>
      </c>
      <c r="AT29" s="891">
        <v>3.26</v>
      </c>
      <c r="AU29" s="891">
        <v>3.37</v>
      </c>
      <c r="AV29" s="891">
        <v>1.55</v>
      </c>
      <c r="AW29" s="891">
        <v>1.5</v>
      </c>
      <c r="AX29" s="891">
        <v>3.25</v>
      </c>
      <c r="AY29" s="891">
        <v>2.5499999999999998</v>
      </c>
      <c r="AZ29" s="891">
        <v>3</v>
      </c>
      <c r="BA29" s="891">
        <f t="shared" si="0"/>
        <v>195.1</v>
      </c>
      <c r="BB29" s="926">
        <f t="shared" si="1"/>
        <v>19088.399999999998</v>
      </c>
      <c r="BC29" s="926">
        <f t="shared" si="2"/>
        <v>87.449999999997814</v>
      </c>
      <c r="BD29" s="891"/>
      <c r="BE29" s="891"/>
      <c r="BF29" s="891"/>
      <c r="BG29" s="928"/>
      <c r="BH29" s="928"/>
      <c r="BI29" s="928"/>
    </row>
    <row r="30" spans="1:61">
      <c r="A30" s="891" t="s">
        <v>1581</v>
      </c>
      <c r="B30" s="891" t="s">
        <v>752</v>
      </c>
      <c r="C30" s="891" t="s">
        <v>241</v>
      </c>
      <c r="D30" s="891">
        <v>4.01</v>
      </c>
      <c r="E30" s="891">
        <v>18.059999999999999</v>
      </c>
      <c r="F30" s="891">
        <v>5.0599999999999996</v>
      </c>
      <c r="G30" s="891">
        <v>10.43</v>
      </c>
      <c r="H30" s="891">
        <v>32.9</v>
      </c>
      <c r="I30" s="891">
        <v>0.8</v>
      </c>
      <c r="J30" s="891">
        <v>0.64</v>
      </c>
      <c r="K30" s="891">
        <v>1.61</v>
      </c>
      <c r="L30" s="891">
        <v>1.1599999999999999</v>
      </c>
      <c r="M30" s="891">
        <v>2.41</v>
      </c>
      <c r="N30" s="891">
        <v>14.88</v>
      </c>
      <c r="O30" s="891">
        <v>1.44</v>
      </c>
      <c r="P30" s="891">
        <v>2.41</v>
      </c>
      <c r="Q30" s="891">
        <v>0.8</v>
      </c>
      <c r="R30" s="891">
        <v>1.61</v>
      </c>
      <c r="S30" s="891">
        <v>6.1</v>
      </c>
      <c r="T30" s="891">
        <v>0.8</v>
      </c>
      <c r="U30" s="891">
        <v>4.01</v>
      </c>
      <c r="V30" s="891">
        <v>24.08</v>
      </c>
      <c r="W30" s="891">
        <v>0.42</v>
      </c>
      <c r="X30" s="927">
        <v>17656.5</v>
      </c>
      <c r="Y30" s="891">
        <v>682.18</v>
      </c>
      <c r="Z30" s="891">
        <v>461.48</v>
      </c>
      <c r="AA30" s="891">
        <v>642.04999999999995</v>
      </c>
      <c r="AB30" s="891">
        <v>601.98</v>
      </c>
      <c r="AC30" s="891">
        <v>1</v>
      </c>
      <c r="AD30" s="891">
        <v>0.32</v>
      </c>
      <c r="AE30" s="891">
        <v>80.260000000000005</v>
      </c>
      <c r="AF30" s="891">
        <v>72.23</v>
      </c>
      <c r="AG30" s="891">
        <v>8.0299999999999994</v>
      </c>
      <c r="AH30" s="891">
        <v>5.0199999999999996</v>
      </c>
      <c r="AI30" s="891">
        <v>87.45</v>
      </c>
      <c r="AJ30" s="891">
        <v>64.209999999999994</v>
      </c>
      <c r="AK30" s="891">
        <v>100.32</v>
      </c>
      <c r="AL30" s="891">
        <v>39.32</v>
      </c>
      <c r="AM30" s="891">
        <v>400</v>
      </c>
      <c r="AN30" s="891">
        <v>1270</v>
      </c>
      <c r="AO30" s="891">
        <v>2390.85</v>
      </c>
      <c r="AP30" s="891">
        <v>5.5</v>
      </c>
      <c r="AQ30" s="891">
        <v>2.57</v>
      </c>
      <c r="AR30" s="891">
        <v>0.8</v>
      </c>
      <c r="AS30" s="891">
        <v>16.05</v>
      </c>
      <c r="AT30" s="891">
        <v>3.41</v>
      </c>
      <c r="AU30" s="891">
        <v>2.41</v>
      </c>
      <c r="AV30" s="891">
        <v>2.41</v>
      </c>
      <c r="AW30" s="891">
        <v>1.61</v>
      </c>
      <c r="AX30" s="891">
        <v>2.61</v>
      </c>
      <c r="AY30" s="891">
        <v>0.96</v>
      </c>
      <c r="AZ30" s="891">
        <v>3.21</v>
      </c>
      <c r="BA30" s="891">
        <f t="shared" si="0"/>
        <v>81.58</v>
      </c>
      <c r="BB30" s="926">
        <f t="shared" si="1"/>
        <v>17701.219999999998</v>
      </c>
      <c r="BC30" s="926">
        <f t="shared" si="2"/>
        <v>44.299999999997524</v>
      </c>
      <c r="BD30" s="891"/>
      <c r="BE30" s="891"/>
      <c r="BF30" s="891"/>
      <c r="BG30" s="928"/>
      <c r="BH30" s="928"/>
      <c r="BI30" s="928"/>
    </row>
    <row r="31" spans="1:61">
      <c r="A31" s="891" t="s">
        <v>804</v>
      </c>
      <c r="B31" s="891" t="s">
        <v>562</v>
      </c>
      <c r="C31" s="891" t="s">
        <v>366</v>
      </c>
      <c r="D31" s="891">
        <v>1.06</v>
      </c>
      <c r="E31" s="891">
        <v>11</v>
      </c>
      <c r="F31" s="891">
        <v>3.04</v>
      </c>
      <c r="G31" s="891">
        <v>1.5</v>
      </c>
      <c r="H31" s="891">
        <v>2.4700000000000002</v>
      </c>
      <c r="I31" s="891">
        <v>0.53</v>
      </c>
      <c r="J31" s="891">
        <v>0.26</v>
      </c>
      <c r="K31" s="891">
        <v>1.32</v>
      </c>
      <c r="L31" s="891">
        <v>0.88</v>
      </c>
      <c r="M31" s="891">
        <v>1.1599999999999999</v>
      </c>
      <c r="N31" s="891">
        <v>12.92</v>
      </c>
      <c r="O31" s="891">
        <v>0.35</v>
      </c>
      <c r="P31" s="891">
        <v>22.1</v>
      </c>
      <c r="Q31" s="891">
        <v>1.76</v>
      </c>
      <c r="R31" s="891">
        <v>2.64</v>
      </c>
      <c r="S31" s="891">
        <v>1.41</v>
      </c>
      <c r="T31" s="891">
        <v>0.26</v>
      </c>
      <c r="U31" s="891">
        <v>4</v>
      </c>
      <c r="V31" s="891">
        <v>26.6</v>
      </c>
      <c r="W31" s="891">
        <v>0.56999999999999995</v>
      </c>
      <c r="X31" s="927">
        <v>34217.99</v>
      </c>
      <c r="Y31" s="891">
        <v>287.99</v>
      </c>
      <c r="Z31" s="891">
        <v>200</v>
      </c>
      <c r="AA31" s="891">
        <v>600</v>
      </c>
      <c r="AB31" s="891">
        <v>350</v>
      </c>
      <c r="AC31" s="891">
        <v>52.79</v>
      </c>
      <c r="AD31" s="891">
        <v>0.09</v>
      </c>
      <c r="AE31" s="891">
        <v>13.2</v>
      </c>
      <c r="AF31" s="891">
        <v>26.4</v>
      </c>
      <c r="AG31" s="891">
        <v>2.64</v>
      </c>
      <c r="AH31" s="891">
        <v>2.64</v>
      </c>
      <c r="AI31" s="891">
        <v>41.79</v>
      </c>
      <c r="AJ31" s="891">
        <v>35.200000000000003</v>
      </c>
      <c r="AK31" s="891">
        <v>33</v>
      </c>
      <c r="AL31" s="891">
        <v>48.39</v>
      </c>
      <c r="AM31" s="891">
        <v>1851.96</v>
      </c>
      <c r="AN31" s="891">
        <v>527.94000000000005</v>
      </c>
      <c r="AO31" s="891">
        <v>263.97000000000003</v>
      </c>
      <c r="AP31" s="891">
        <v>9.8000000000000007</v>
      </c>
      <c r="AQ31" s="891">
        <v>0.55000000000000004</v>
      </c>
      <c r="AR31" s="891">
        <v>0.26</v>
      </c>
      <c r="AS31" s="891">
        <v>2.86</v>
      </c>
      <c r="AT31" s="891">
        <v>2.11</v>
      </c>
      <c r="AU31" s="891">
        <v>1.5</v>
      </c>
      <c r="AV31" s="891">
        <v>1.32</v>
      </c>
      <c r="AW31" s="891">
        <v>0.88</v>
      </c>
      <c r="AX31" s="891">
        <v>1.25</v>
      </c>
      <c r="AY31" s="891">
        <v>0.84</v>
      </c>
      <c r="AZ31" s="891">
        <v>0.67</v>
      </c>
      <c r="BA31" s="891">
        <f t="shared" si="0"/>
        <v>66.08</v>
      </c>
      <c r="BB31" s="926">
        <f t="shared" si="1"/>
        <v>34249.090000000004</v>
      </c>
      <c r="BC31" s="926">
        <f t="shared" si="2"/>
        <v>30.53000000000582</v>
      </c>
      <c r="BD31" s="891"/>
      <c r="BE31" s="891"/>
      <c r="BF31" s="891"/>
      <c r="BG31" s="928"/>
      <c r="BH31" s="928"/>
      <c r="BI31" s="928"/>
    </row>
    <row r="32" spans="1:61">
      <c r="A32" s="891" t="s">
        <v>805</v>
      </c>
      <c r="B32" s="891" t="s">
        <v>560</v>
      </c>
      <c r="C32" s="891" t="s">
        <v>380</v>
      </c>
      <c r="D32" s="891">
        <v>1.64</v>
      </c>
      <c r="E32" s="891">
        <v>8.1999999999999993</v>
      </c>
      <c r="F32" s="891">
        <v>3.28</v>
      </c>
      <c r="G32" s="891">
        <v>1.31</v>
      </c>
      <c r="H32" s="891">
        <v>1.97</v>
      </c>
      <c r="I32" s="891">
        <v>0.33</v>
      </c>
      <c r="J32" s="891">
        <v>0.25</v>
      </c>
      <c r="K32" s="891">
        <v>0.49</v>
      </c>
      <c r="L32" s="891">
        <v>0.41</v>
      </c>
      <c r="M32" s="891">
        <v>0.79</v>
      </c>
      <c r="N32" s="891">
        <v>4.0999999999999996</v>
      </c>
      <c r="O32" s="891">
        <v>0.41</v>
      </c>
      <c r="P32" s="891">
        <v>8.1999999999999993</v>
      </c>
      <c r="Q32" s="891">
        <v>1.23</v>
      </c>
      <c r="R32" s="891">
        <v>1.97</v>
      </c>
      <c r="S32" s="891">
        <v>1.64</v>
      </c>
      <c r="T32" s="891">
        <v>0.33</v>
      </c>
      <c r="U32" s="891">
        <v>3.2</v>
      </c>
      <c r="V32" s="891">
        <v>16.399999999999999</v>
      </c>
      <c r="W32" s="891">
        <v>1.24</v>
      </c>
      <c r="X32" s="927">
        <v>13117.98</v>
      </c>
      <c r="Y32" s="891">
        <v>196.77</v>
      </c>
      <c r="Z32" s="891">
        <v>114.78</v>
      </c>
      <c r="AA32" s="891">
        <v>491.92</v>
      </c>
      <c r="AB32" s="891">
        <v>303.35000000000002</v>
      </c>
      <c r="AC32" s="891">
        <v>24.6</v>
      </c>
      <c r="AD32" s="891">
        <v>0.02</v>
      </c>
      <c r="AE32" s="891">
        <v>22.96</v>
      </c>
      <c r="AF32" s="891">
        <v>21.32</v>
      </c>
      <c r="AG32" s="891">
        <v>4.92</v>
      </c>
      <c r="AH32" s="891">
        <v>4.0999999999999996</v>
      </c>
      <c r="AI32" s="891">
        <v>39.35</v>
      </c>
      <c r="AJ32" s="891">
        <v>32.79</v>
      </c>
      <c r="AK32" s="891">
        <v>57.39</v>
      </c>
      <c r="AL32" s="891">
        <v>40.99</v>
      </c>
      <c r="AM32" s="891">
        <v>1323.76</v>
      </c>
      <c r="AN32" s="891">
        <v>617.75</v>
      </c>
      <c r="AO32" s="891">
        <v>573.91</v>
      </c>
      <c r="AP32" s="891">
        <v>11</v>
      </c>
      <c r="AQ32" s="891">
        <v>0.98</v>
      </c>
      <c r="AR32" s="891">
        <v>0.28000000000000003</v>
      </c>
      <c r="AS32" s="891">
        <v>1.1499999999999999</v>
      </c>
      <c r="AT32" s="891">
        <v>2.2999999999999998</v>
      </c>
      <c r="AU32" s="891">
        <v>1.1499999999999999</v>
      </c>
      <c r="AV32" s="891">
        <v>0.41</v>
      </c>
      <c r="AW32" s="891">
        <v>0.38</v>
      </c>
      <c r="AX32" s="891">
        <v>0.98</v>
      </c>
      <c r="AY32" s="891">
        <v>0.74</v>
      </c>
      <c r="AZ32" s="891">
        <v>0.41</v>
      </c>
      <c r="BA32" s="891">
        <f t="shared" si="0"/>
        <v>47.58</v>
      </c>
      <c r="BB32" s="926">
        <f t="shared" si="1"/>
        <v>13138.359999999999</v>
      </c>
      <c r="BC32" s="926">
        <f t="shared" si="2"/>
        <v>19.139999999999201</v>
      </c>
      <c r="BD32" s="891"/>
      <c r="BE32" s="891"/>
      <c r="BF32" s="891"/>
      <c r="BG32" s="928"/>
      <c r="BH32" s="928"/>
      <c r="BI32" s="928"/>
    </row>
    <row r="33" spans="1:61">
      <c r="A33" s="891" t="s">
        <v>806</v>
      </c>
      <c r="B33" s="891" t="s">
        <v>639</v>
      </c>
      <c r="C33" s="891" t="s">
        <v>287</v>
      </c>
      <c r="D33" s="891">
        <v>1.96</v>
      </c>
      <c r="E33" s="891">
        <v>19.18</v>
      </c>
      <c r="F33" s="891">
        <v>4.1500000000000004</v>
      </c>
      <c r="G33" s="891">
        <v>1.92</v>
      </c>
      <c r="H33" s="891">
        <v>3.2</v>
      </c>
      <c r="I33" s="891">
        <v>0.57999999999999996</v>
      </c>
      <c r="J33" s="891">
        <v>0.32</v>
      </c>
      <c r="K33" s="891">
        <v>1.49</v>
      </c>
      <c r="L33" s="891">
        <v>1.07</v>
      </c>
      <c r="M33" s="891">
        <v>1.92</v>
      </c>
      <c r="N33" s="891">
        <v>17.579999999999998</v>
      </c>
      <c r="O33" s="891">
        <v>0.48</v>
      </c>
      <c r="P33" s="891">
        <v>19.18</v>
      </c>
      <c r="Q33" s="891">
        <v>1.6</v>
      </c>
      <c r="R33" s="891">
        <v>3.2</v>
      </c>
      <c r="S33" s="891">
        <v>2.88</v>
      </c>
      <c r="T33" s="891">
        <v>0.8</v>
      </c>
      <c r="U33" s="891">
        <v>3.2</v>
      </c>
      <c r="V33" s="891">
        <v>31.7</v>
      </c>
      <c r="W33" s="891">
        <v>1.28</v>
      </c>
      <c r="X33" s="927">
        <v>25568.91</v>
      </c>
      <c r="Y33" s="891">
        <v>639.22</v>
      </c>
      <c r="Z33" s="891">
        <v>319.61</v>
      </c>
      <c r="AA33" s="891">
        <v>1598.06</v>
      </c>
      <c r="AB33" s="891">
        <v>799.03</v>
      </c>
      <c r="AC33" s="891">
        <v>95.88</v>
      </c>
      <c r="AD33" s="891">
        <v>0.05</v>
      </c>
      <c r="AE33" s="891">
        <v>19.82</v>
      </c>
      <c r="AF33" s="891">
        <v>63.92</v>
      </c>
      <c r="AG33" s="891">
        <v>14.38</v>
      </c>
      <c r="AH33" s="891">
        <v>5.75</v>
      </c>
      <c r="AI33" s="891">
        <v>63.92</v>
      </c>
      <c r="AJ33" s="891">
        <v>47.94</v>
      </c>
      <c r="AK33" s="891">
        <v>111.86</v>
      </c>
      <c r="AL33" s="891">
        <v>95.88</v>
      </c>
      <c r="AM33" s="891">
        <v>3355.92</v>
      </c>
      <c r="AN33" s="891">
        <v>2237.2800000000002</v>
      </c>
      <c r="AO33" s="891">
        <v>780</v>
      </c>
      <c r="AP33" s="891">
        <v>6.5</v>
      </c>
      <c r="AQ33" s="891">
        <v>1.1200000000000001</v>
      </c>
      <c r="AR33" s="891">
        <v>0.16</v>
      </c>
      <c r="AS33" s="891">
        <v>3.2</v>
      </c>
      <c r="AT33" s="891">
        <v>2.4300000000000002</v>
      </c>
      <c r="AU33" s="891">
        <v>1.92</v>
      </c>
      <c r="AV33" s="891">
        <v>1.92</v>
      </c>
      <c r="AW33" s="891">
        <v>1.1200000000000001</v>
      </c>
      <c r="AX33" s="891">
        <v>1.92</v>
      </c>
      <c r="AY33" s="891">
        <v>1.28</v>
      </c>
      <c r="AZ33" s="891">
        <v>1.6</v>
      </c>
      <c r="BA33" s="891">
        <f t="shared" si="0"/>
        <v>115.75</v>
      </c>
      <c r="BB33" s="926">
        <f t="shared" si="1"/>
        <v>25607.17</v>
      </c>
      <c r="BC33" s="926">
        <f t="shared" si="2"/>
        <v>36.979999999998398</v>
      </c>
      <c r="BD33" s="891"/>
      <c r="BE33" s="891"/>
      <c r="BF33" s="891"/>
      <c r="BG33" s="928"/>
      <c r="BH33" s="928"/>
      <c r="BI33" s="928"/>
    </row>
    <row r="34" spans="1:61">
      <c r="A34" s="891" t="s">
        <v>1582</v>
      </c>
      <c r="B34" s="891" t="s">
        <v>1583</v>
      </c>
      <c r="C34" s="891" t="s">
        <v>750</v>
      </c>
      <c r="D34" s="891">
        <v>5.42</v>
      </c>
      <c r="E34" s="891">
        <v>27.65</v>
      </c>
      <c r="F34" s="891">
        <v>5.18</v>
      </c>
      <c r="G34" s="891">
        <v>1.38</v>
      </c>
      <c r="H34" s="891">
        <v>2.0299999999999998</v>
      </c>
      <c r="I34" s="891">
        <v>1.69</v>
      </c>
      <c r="J34" s="891">
        <v>1.04</v>
      </c>
      <c r="K34" s="891">
        <v>1.02</v>
      </c>
      <c r="L34" s="891">
        <v>0.81</v>
      </c>
      <c r="M34" s="891">
        <v>1.95</v>
      </c>
      <c r="N34" s="891">
        <v>6.22</v>
      </c>
      <c r="O34" s="891">
        <v>0.69</v>
      </c>
      <c r="P34" s="891">
        <v>5.42</v>
      </c>
      <c r="Q34" s="891">
        <v>0.79</v>
      </c>
      <c r="R34" s="891">
        <v>1.35</v>
      </c>
      <c r="S34" s="891">
        <v>2.44</v>
      </c>
      <c r="T34" s="891">
        <v>1.0900000000000001</v>
      </c>
      <c r="U34" s="891">
        <v>5.42</v>
      </c>
      <c r="V34" s="891">
        <v>25.23</v>
      </c>
      <c r="W34" s="891">
        <v>1.69</v>
      </c>
      <c r="X34" s="927">
        <v>21674.34</v>
      </c>
      <c r="Y34" s="891">
        <v>270.93</v>
      </c>
      <c r="Z34" s="891">
        <v>203.2</v>
      </c>
      <c r="AA34" s="891">
        <v>410.54</v>
      </c>
      <c r="AB34" s="891">
        <v>273.69</v>
      </c>
      <c r="AC34" s="891">
        <v>160.86000000000001</v>
      </c>
      <c r="AD34" s="891">
        <v>0.13</v>
      </c>
      <c r="AE34" s="891">
        <v>27.09</v>
      </c>
      <c r="AF34" s="891">
        <v>27.09</v>
      </c>
      <c r="AG34" s="891">
        <v>13.38</v>
      </c>
      <c r="AH34" s="891">
        <v>3.39</v>
      </c>
      <c r="AI34" s="891">
        <v>81.28</v>
      </c>
      <c r="AJ34" s="891">
        <v>20.53</v>
      </c>
      <c r="AK34" s="891">
        <v>101.6</v>
      </c>
      <c r="AL34" s="891">
        <v>100.21</v>
      </c>
      <c r="AM34" s="891">
        <v>1710.57</v>
      </c>
      <c r="AN34" s="891">
        <v>1244.04</v>
      </c>
      <c r="AO34" s="891">
        <v>554.98</v>
      </c>
      <c r="AP34" s="891">
        <v>8.75</v>
      </c>
      <c r="AQ34" s="891">
        <v>1.37</v>
      </c>
      <c r="AR34" s="891">
        <v>1.04</v>
      </c>
      <c r="AS34" s="891">
        <v>6.91</v>
      </c>
      <c r="AT34" s="891">
        <v>1.35</v>
      </c>
      <c r="AU34" s="891">
        <v>2.0299999999999998</v>
      </c>
      <c r="AV34" s="891">
        <v>0.68</v>
      </c>
      <c r="AW34" s="891">
        <v>0.69</v>
      </c>
      <c r="AX34" s="891">
        <v>1.35</v>
      </c>
      <c r="AY34" s="891">
        <v>1.95</v>
      </c>
      <c r="AZ34" s="891">
        <v>1.37</v>
      </c>
      <c r="BA34" s="891">
        <f t="shared" si="0"/>
        <v>188.08</v>
      </c>
      <c r="BB34" s="926">
        <f t="shared" si="1"/>
        <v>21711.67</v>
      </c>
      <c r="BC34" s="926">
        <f t="shared" si="2"/>
        <v>35.639999999998111</v>
      </c>
      <c r="BD34" s="891"/>
      <c r="BE34" s="891"/>
      <c r="BF34" s="891"/>
      <c r="BG34" s="928"/>
      <c r="BH34" s="928"/>
      <c r="BI34" s="928"/>
    </row>
    <row r="35" spans="1:61">
      <c r="A35" s="891" t="s">
        <v>808</v>
      </c>
      <c r="B35" s="891" t="s">
        <v>596</v>
      </c>
      <c r="C35" s="891" t="s">
        <v>153</v>
      </c>
      <c r="D35" s="891">
        <v>13.55</v>
      </c>
      <c r="E35" s="891">
        <v>54.19</v>
      </c>
      <c r="F35" s="891">
        <v>9.41</v>
      </c>
      <c r="G35" s="891">
        <v>3.39</v>
      </c>
      <c r="H35" s="891">
        <v>3.97</v>
      </c>
      <c r="I35" s="891">
        <v>2.0299999999999998</v>
      </c>
      <c r="J35" s="891">
        <v>1.76</v>
      </c>
      <c r="K35" s="891">
        <v>1.22</v>
      </c>
      <c r="L35" s="891">
        <v>1.35</v>
      </c>
      <c r="M35" s="891">
        <v>2.0299999999999998</v>
      </c>
      <c r="N35" s="891">
        <v>13.55</v>
      </c>
      <c r="O35" s="891">
        <v>0.68</v>
      </c>
      <c r="P35" s="891">
        <v>6.1</v>
      </c>
      <c r="Q35" s="891">
        <v>1.08</v>
      </c>
      <c r="R35" s="891">
        <v>1.63</v>
      </c>
      <c r="S35" s="891">
        <v>6.1</v>
      </c>
      <c r="T35" s="891">
        <v>2.71</v>
      </c>
      <c r="U35" s="891">
        <v>8.1300000000000008</v>
      </c>
      <c r="V35" s="891">
        <v>67.73</v>
      </c>
      <c r="W35" s="891">
        <v>1.96</v>
      </c>
      <c r="X35" s="927">
        <v>26408.83</v>
      </c>
      <c r="Y35" s="891">
        <v>947.53</v>
      </c>
      <c r="Z35" s="891">
        <v>677.32</v>
      </c>
      <c r="AA35" s="891">
        <v>1490.11</v>
      </c>
      <c r="AB35" s="891">
        <v>1117.58</v>
      </c>
      <c r="AC35" s="891">
        <v>177.15</v>
      </c>
      <c r="AD35" s="891">
        <v>0.24</v>
      </c>
      <c r="AE35" s="891">
        <v>44.03</v>
      </c>
      <c r="AF35" s="891">
        <v>67.73</v>
      </c>
      <c r="AG35" s="891">
        <v>27.09</v>
      </c>
      <c r="AH35" s="891">
        <v>10.84</v>
      </c>
      <c r="AI35" s="891">
        <v>111.76</v>
      </c>
      <c r="AJ35" s="891">
        <v>40.630000000000003</v>
      </c>
      <c r="AK35" s="891">
        <v>108.37</v>
      </c>
      <c r="AL35" s="891">
        <v>115.14</v>
      </c>
      <c r="AM35" s="891">
        <v>5215.3900000000003</v>
      </c>
      <c r="AN35" s="891">
        <v>3386.62</v>
      </c>
      <c r="AO35" s="891">
        <v>1625.58</v>
      </c>
      <c r="AP35" s="891">
        <v>3.28</v>
      </c>
      <c r="AQ35" s="891">
        <v>3.39</v>
      </c>
      <c r="AR35" s="891">
        <v>1.34</v>
      </c>
      <c r="AS35" s="891">
        <v>27.09</v>
      </c>
      <c r="AT35" s="891">
        <v>2.71</v>
      </c>
      <c r="AU35" s="891">
        <v>2.0299999999999998</v>
      </c>
      <c r="AV35" s="891">
        <v>1.35</v>
      </c>
      <c r="AW35" s="891">
        <v>1.35</v>
      </c>
      <c r="AX35" s="891">
        <v>2.0299999999999998</v>
      </c>
      <c r="AY35" s="891">
        <v>1.49</v>
      </c>
      <c r="AZ35" s="891">
        <v>1.86</v>
      </c>
      <c r="BA35" s="891">
        <f t="shared" si="0"/>
        <v>221.42000000000002</v>
      </c>
      <c r="BB35" s="926">
        <f t="shared" si="1"/>
        <v>26513.050000000003</v>
      </c>
      <c r="BC35" s="926">
        <f t="shared" si="2"/>
        <v>102.26000000000117</v>
      </c>
      <c r="BD35" s="891"/>
      <c r="BE35" s="891"/>
      <c r="BF35" s="891"/>
      <c r="BG35" s="928"/>
      <c r="BH35" s="928"/>
      <c r="BI35" s="928"/>
    </row>
    <row r="36" spans="1:61">
      <c r="A36" s="891" t="s">
        <v>809</v>
      </c>
      <c r="B36" s="891" t="s">
        <v>559</v>
      </c>
      <c r="C36" s="891" t="s">
        <v>31</v>
      </c>
      <c r="D36" s="891">
        <v>10.14</v>
      </c>
      <c r="E36" s="891">
        <v>72.44</v>
      </c>
      <c r="F36" s="891">
        <v>8.69</v>
      </c>
      <c r="G36" s="891">
        <v>4.5199999999999996</v>
      </c>
      <c r="H36" s="891">
        <v>5.55</v>
      </c>
      <c r="I36" s="891">
        <v>2.12</v>
      </c>
      <c r="J36" s="891">
        <v>1.45</v>
      </c>
      <c r="K36" s="891">
        <v>2.78</v>
      </c>
      <c r="L36" s="891">
        <v>2.8</v>
      </c>
      <c r="M36" s="891">
        <v>3.38</v>
      </c>
      <c r="N36" s="891">
        <v>13.52</v>
      </c>
      <c r="O36" s="891">
        <v>1.93</v>
      </c>
      <c r="P36" s="891">
        <v>14.49</v>
      </c>
      <c r="Q36" s="891">
        <v>2.9</v>
      </c>
      <c r="R36" s="891">
        <v>4.59</v>
      </c>
      <c r="S36" s="891">
        <v>9.66</v>
      </c>
      <c r="T36" s="891">
        <v>2.58</v>
      </c>
      <c r="U36" s="891">
        <v>12.56</v>
      </c>
      <c r="V36" s="891">
        <v>77.260000000000005</v>
      </c>
      <c r="W36" s="891">
        <v>1.25</v>
      </c>
      <c r="X36" s="927">
        <v>22696.54</v>
      </c>
      <c r="Y36" s="891">
        <v>820.94</v>
      </c>
      <c r="Z36" s="891">
        <v>579.49</v>
      </c>
      <c r="AA36" s="891">
        <v>1352.13</v>
      </c>
      <c r="AB36" s="891">
        <v>1110.68</v>
      </c>
      <c r="AC36" s="891">
        <v>374</v>
      </c>
      <c r="AD36" s="891">
        <v>0.24</v>
      </c>
      <c r="AE36" s="891">
        <v>53.12</v>
      </c>
      <c r="AF36" s="891">
        <v>53.12</v>
      </c>
      <c r="AG36" s="891">
        <v>38.630000000000003</v>
      </c>
      <c r="AH36" s="891">
        <v>12.56</v>
      </c>
      <c r="AI36" s="891">
        <v>60.36</v>
      </c>
      <c r="AJ36" s="891">
        <v>48.29</v>
      </c>
      <c r="AK36" s="891">
        <v>106.24</v>
      </c>
      <c r="AL36" s="891">
        <v>125.56</v>
      </c>
      <c r="AM36" s="891">
        <v>2079.1799999999998</v>
      </c>
      <c r="AN36" s="891">
        <v>1299.49</v>
      </c>
      <c r="AO36" s="891">
        <v>2897.43</v>
      </c>
      <c r="AP36" s="891">
        <v>3.75</v>
      </c>
      <c r="AQ36" s="891">
        <v>3.14</v>
      </c>
      <c r="AR36" s="891">
        <v>2.41</v>
      </c>
      <c r="AS36" s="891">
        <v>28.97</v>
      </c>
      <c r="AT36" s="891">
        <v>3.85</v>
      </c>
      <c r="AU36" s="891">
        <v>4.82</v>
      </c>
      <c r="AV36" s="891">
        <v>2.13</v>
      </c>
      <c r="AW36" s="891">
        <v>1.93</v>
      </c>
      <c r="AX36" s="891">
        <v>3.62</v>
      </c>
      <c r="AY36" s="891">
        <v>4.03</v>
      </c>
      <c r="AZ36" s="891">
        <v>3.86</v>
      </c>
      <c r="BA36" s="891">
        <f t="shared" si="0"/>
        <v>427.36</v>
      </c>
      <c r="BB36" s="926">
        <f t="shared" si="1"/>
        <v>22812.15</v>
      </c>
      <c r="BC36" s="926">
        <f t="shared" si="2"/>
        <v>114.36000000000058</v>
      </c>
      <c r="BD36" s="891"/>
      <c r="BE36" s="891"/>
      <c r="BF36" s="891"/>
      <c r="BG36" s="928"/>
      <c r="BH36" s="928"/>
      <c r="BI36" s="928"/>
    </row>
    <row r="37" spans="1:61">
      <c r="A37" s="891" t="s">
        <v>810</v>
      </c>
      <c r="B37" s="891" t="s">
        <v>552</v>
      </c>
      <c r="C37" s="891" t="s">
        <v>285</v>
      </c>
      <c r="D37" s="891">
        <v>4.9000000000000004</v>
      </c>
      <c r="E37" s="891">
        <v>24.51</v>
      </c>
      <c r="F37" s="891">
        <v>4.08</v>
      </c>
      <c r="G37" s="891">
        <v>1.63</v>
      </c>
      <c r="H37" s="891">
        <v>3.27</v>
      </c>
      <c r="I37" s="891">
        <v>0.65</v>
      </c>
      <c r="J37" s="891">
        <v>0.33</v>
      </c>
      <c r="K37" s="891">
        <v>1.88</v>
      </c>
      <c r="L37" s="891">
        <v>1.63</v>
      </c>
      <c r="M37" s="891">
        <v>1.96</v>
      </c>
      <c r="N37" s="891">
        <v>11.84</v>
      </c>
      <c r="O37" s="891">
        <v>0.65</v>
      </c>
      <c r="P37" s="891">
        <v>15.52</v>
      </c>
      <c r="Q37" s="891">
        <v>0.65</v>
      </c>
      <c r="R37" s="891">
        <v>2.7</v>
      </c>
      <c r="S37" s="891">
        <v>2.4500000000000002</v>
      </c>
      <c r="T37" s="891">
        <v>0.33</v>
      </c>
      <c r="U37" s="891">
        <v>4.25</v>
      </c>
      <c r="V37" s="891">
        <v>18.5</v>
      </c>
      <c r="W37" s="891">
        <v>1.31</v>
      </c>
      <c r="X37" s="927">
        <v>25411.74</v>
      </c>
      <c r="Y37" s="891">
        <v>816.89</v>
      </c>
      <c r="Z37" s="891">
        <v>490.13</v>
      </c>
      <c r="AA37" s="891">
        <v>2450.66</v>
      </c>
      <c r="AB37" s="891">
        <v>1086.46</v>
      </c>
      <c r="AC37" s="891">
        <v>65.349999999999994</v>
      </c>
      <c r="AD37" s="891">
        <v>7.0000000000000007E-2</v>
      </c>
      <c r="AE37" s="891">
        <v>19.61</v>
      </c>
      <c r="AF37" s="891">
        <v>49.01</v>
      </c>
      <c r="AG37" s="891">
        <v>19.61</v>
      </c>
      <c r="AH37" s="891">
        <v>13.07</v>
      </c>
      <c r="AI37" s="891">
        <v>114.36</v>
      </c>
      <c r="AJ37" s="891">
        <v>65.349999999999994</v>
      </c>
      <c r="AK37" s="891">
        <v>130.69999999999999</v>
      </c>
      <c r="AL37" s="891">
        <v>98.03</v>
      </c>
      <c r="AM37" s="891">
        <v>8084.43</v>
      </c>
      <c r="AN37" s="891">
        <v>4411.1899999999996</v>
      </c>
      <c r="AO37" s="891">
        <v>912.87</v>
      </c>
      <c r="AP37" s="891">
        <v>6</v>
      </c>
      <c r="AQ37" s="891">
        <v>1.96</v>
      </c>
      <c r="AR37" s="891">
        <v>0.34</v>
      </c>
      <c r="AS37" s="891">
        <v>4.9000000000000004</v>
      </c>
      <c r="AT37" s="891">
        <v>1.96</v>
      </c>
      <c r="AU37" s="891">
        <v>2.12</v>
      </c>
      <c r="AV37" s="891">
        <v>0.98</v>
      </c>
      <c r="AW37" s="891">
        <v>0.82</v>
      </c>
      <c r="AX37" s="891">
        <v>4.08</v>
      </c>
      <c r="AY37" s="891">
        <v>1.1399999999999999</v>
      </c>
      <c r="AZ37" s="891">
        <v>1.31</v>
      </c>
      <c r="BA37" s="891">
        <f t="shared" si="0"/>
        <v>85.029999999999987</v>
      </c>
      <c r="BB37" s="926">
        <f t="shared" si="1"/>
        <v>25439.08</v>
      </c>
      <c r="BC37" s="926">
        <f t="shared" si="2"/>
        <v>26.030000000000147</v>
      </c>
      <c r="BD37" s="891"/>
      <c r="BE37" s="891"/>
      <c r="BF37" s="891"/>
      <c r="BG37" s="928"/>
      <c r="BH37" s="928"/>
      <c r="BI37" s="928"/>
    </row>
    <row r="38" spans="1:61">
      <c r="A38" s="891" t="s">
        <v>811</v>
      </c>
      <c r="B38" s="891" t="s">
        <v>604</v>
      </c>
      <c r="C38" s="891" t="s">
        <v>189</v>
      </c>
      <c r="D38" s="891">
        <v>12</v>
      </c>
      <c r="E38" s="891">
        <v>60</v>
      </c>
      <c r="F38" s="891">
        <v>8.15</v>
      </c>
      <c r="G38" s="891">
        <v>2</v>
      </c>
      <c r="H38" s="891">
        <v>3</v>
      </c>
      <c r="I38" s="891">
        <v>0.67</v>
      </c>
      <c r="J38" s="891">
        <v>1</v>
      </c>
      <c r="K38" s="891">
        <v>2</v>
      </c>
      <c r="L38" s="891">
        <v>1</v>
      </c>
      <c r="M38" s="891">
        <v>2.66</v>
      </c>
      <c r="N38" s="891">
        <v>8</v>
      </c>
      <c r="O38" s="891">
        <v>1</v>
      </c>
      <c r="P38" s="891">
        <v>10</v>
      </c>
      <c r="Q38" s="891">
        <v>1</v>
      </c>
      <c r="R38" s="891">
        <v>1.66</v>
      </c>
      <c r="S38" s="891">
        <v>1.83</v>
      </c>
      <c r="T38" s="891">
        <v>1.3</v>
      </c>
      <c r="U38" s="891">
        <v>8</v>
      </c>
      <c r="V38" s="891">
        <v>52.23</v>
      </c>
      <c r="W38" s="891">
        <v>1.2</v>
      </c>
      <c r="X38" s="927">
        <v>19500</v>
      </c>
      <c r="Y38" s="891">
        <v>798.54</v>
      </c>
      <c r="Z38" s="891">
        <v>500</v>
      </c>
      <c r="AA38" s="891">
        <v>2000</v>
      </c>
      <c r="AB38" s="891">
        <v>1197.81</v>
      </c>
      <c r="AC38" s="891">
        <v>154.55000000000001</v>
      </c>
      <c r="AD38" s="891">
        <v>0.36</v>
      </c>
      <c r="AE38" s="891">
        <v>68</v>
      </c>
      <c r="AF38" s="891">
        <v>60</v>
      </c>
      <c r="AG38" s="891">
        <v>14</v>
      </c>
      <c r="AH38" s="891">
        <v>8</v>
      </c>
      <c r="AI38" s="891">
        <v>80</v>
      </c>
      <c r="AJ38" s="891">
        <v>60</v>
      </c>
      <c r="AK38" s="891">
        <v>110</v>
      </c>
      <c r="AL38" s="891">
        <v>110</v>
      </c>
      <c r="AM38" s="891">
        <v>5000</v>
      </c>
      <c r="AN38" s="891">
        <v>1995.84</v>
      </c>
      <c r="AO38" s="891">
        <v>1000</v>
      </c>
      <c r="AP38" s="891">
        <v>6</v>
      </c>
      <c r="AQ38" s="891">
        <v>6.65</v>
      </c>
      <c r="AR38" s="891">
        <v>3.66</v>
      </c>
      <c r="AS38" s="891">
        <v>25</v>
      </c>
      <c r="AT38" s="891">
        <v>2</v>
      </c>
      <c r="AU38" s="891">
        <v>2</v>
      </c>
      <c r="AV38" s="891">
        <v>1</v>
      </c>
      <c r="AW38" s="891">
        <v>1</v>
      </c>
      <c r="AX38" s="891">
        <v>3.33</v>
      </c>
      <c r="AY38" s="891">
        <v>1.5</v>
      </c>
      <c r="AZ38" s="891">
        <v>1.5</v>
      </c>
      <c r="BA38" s="891">
        <f t="shared" si="0"/>
        <v>222.91000000000003</v>
      </c>
      <c r="BB38" s="926">
        <f t="shared" si="1"/>
        <v>19590.04</v>
      </c>
      <c r="BC38" s="926">
        <f t="shared" si="2"/>
        <v>88.84000000000087</v>
      </c>
      <c r="BD38" s="891"/>
      <c r="BE38" s="891"/>
      <c r="BF38" s="891"/>
      <c r="BG38" s="928"/>
      <c r="BH38" s="928"/>
      <c r="BI38" s="928"/>
    </row>
    <row r="39" spans="1:61">
      <c r="A39" s="891" t="s">
        <v>812</v>
      </c>
      <c r="B39" s="891" t="s">
        <v>1569</v>
      </c>
      <c r="C39" s="891" t="s">
        <v>146</v>
      </c>
      <c r="D39" s="891">
        <v>15.95</v>
      </c>
      <c r="E39" s="891">
        <v>55.84</v>
      </c>
      <c r="F39" s="891">
        <v>7.98</v>
      </c>
      <c r="G39" s="891">
        <v>5.42</v>
      </c>
      <c r="H39" s="891">
        <v>5.1100000000000003</v>
      </c>
      <c r="I39" s="891">
        <v>1.91</v>
      </c>
      <c r="J39" s="891">
        <v>1.6</v>
      </c>
      <c r="K39" s="891">
        <v>1.6</v>
      </c>
      <c r="L39" s="891">
        <v>1.6</v>
      </c>
      <c r="M39" s="891">
        <v>2.27</v>
      </c>
      <c r="N39" s="891">
        <v>6.38</v>
      </c>
      <c r="O39" s="891">
        <v>1.36</v>
      </c>
      <c r="P39" s="891">
        <v>9.25</v>
      </c>
      <c r="Q39" s="891">
        <v>2.0699999999999998</v>
      </c>
      <c r="R39" s="891">
        <v>3.19</v>
      </c>
      <c r="S39" s="891">
        <v>11.97</v>
      </c>
      <c r="T39" s="891">
        <v>2.87</v>
      </c>
      <c r="U39" s="891">
        <v>6.38</v>
      </c>
      <c r="V39" s="891">
        <v>79.77</v>
      </c>
      <c r="W39" s="891">
        <v>2.23</v>
      </c>
      <c r="X39" s="927">
        <v>23133.38</v>
      </c>
      <c r="Y39" s="891">
        <v>877.47</v>
      </c>
      <c r="Z39" s="891">
        <v>638.16</v>
      </c>
      <c r="AA39" s="891">
        <v>1356.09</v>
      </c>
      <c r="AB39" s="891">
        <v>957.24</v>
      </c>
      <c r="AC39" s="891">
        <v>131.62</v>
      </c>
      <c r="AD39" s="891">
        <v>0.35</v>
      </c>
      <c r="AE39" s="891">
        <v>39.89</v>
      </c>
      <c r="AF39" s="891">
        <v>47.86</v>
      </c>
      <c r="AG39" s="891">
        <v>12.76</v>
      </c>
      <c r="AH39" s="891">
        <v>9.81</v>
      </c>
      <c r="AI39" s="891">
        <v>79.77</v>
      </c>
      <c r="AJ39" s="891">
        <v>47.86</v>
      </c>
      <c r="AK39" s="891">
        <v>79.77</v>
      </c>
      <c r="AL39" s="891">
        <v>79.77</v>
      </c>
      <c r="AM39" s="891">
        <v>2117.9</v>
      </c>
      <c r="AN39" s="891">
        <v>1595.41</v>
      </c>
      <c r="AO39" s="891">
        <v>2233.5700000000002</v>
      </c>
      <c r="AP39" s="891">
        <v>5</v>
      </c>
      <c r="AQ39" s="891">
        <v>4.2699999999999996</v>
      </c>
      <c r="AR39" s="891">
        <v>1.83</v>
      </c>
      <c r="AS39" s="891">
        <v>21.54</v>
      </c>
      <c r="AT39" s="891">
        <v>3.03</v>
      </c>
      <c r="AU39" s="891">
        <v>2.5499999999999998</v>
      </c>
      <c r="AV39" s="891">
        <v>1.91</v>
      </c>
      <c r="AW39" s="891">
        <v>1.27</v>
      </c>
      <c r="AX39" s="891">
        <v>3.51</v>
      </c>
      <c r="AY39" s="891">
        <v>1.6</v>
      </c>
      <c r="AZ39" s="891">
        <v>3.35</v>
      </c>
      <c r="BA39" s="891">
        <f t="shared" si="0"/>
        <v>171.86</v>
      </c>
      <c r="BB39" s="926">
        <f t="shared" si="1"/>
        <v>23245.890000000003</v>
      </c>
      <c r="BC39" s="926">
        <f t="shared" si="2"/>
        <v>110.28000000000203</v>
      </c>
      <c r="BD39" s="891"/>
      <c r="BE39" s="891"/>
      <c r="BF39" s="891"/>
      <c r="BG39" s="928"/>
      <c r="BH39" s="928"/>
      <c r="BI39" s="928"/>
    </row>
    <row r="40" spans="1:61">
      <c r="A40" s="891" t="s">
        <v>813</v>
      </c>
      <c r="B40" s="891" t="s">
        <v>634</v>
      </c>
      <c r="C40" s="891" t="s">
        <v>298</v>
      </c>
      <c r="D40" s="891">
        <v>6.77</v>
      </c>
      <c r="E40" s="891">
        <v>28.42</v>
      </c>
      <c r="F40" s="891">
        <v>5.42</v>
      </c>
      <c r="G40" s="891">
        <v>1.83</v>
      </c>
      <c r="H40" s="891">
        <v>2.17</v>
      </c>
      <c r="I40" s="891">
        <v>1.76</v>
      </c>
      <c r="J40" s="891">
        <v>1.35</v>
      </c>
      <c r="K40" s="891">
        <v>1.08</v>
      </c>
      <c r="L40" s="891">
        <v>0.57999999999999996</v>
      </c>
      <c r="M40" s="891">
        <v>1.98</v>
      </c>
      <c r="N40" s="891">
        <v>5.48</v>
      </c>
      <c r="O40" s="891">
        <v>0.59</v>
      </c>
      <c r="P40" s="891">
        <v>4.8499999999999996</v>
      </c>
      <c r="Q40" s="891">
        <v>0.8</v>
      </c>
      <c r="R40" s="891">
        <v>1.19</v>
      </c>
      <c r="S40" s="891">
        <v>2.63</v>
      </c>
      <c r="T40" s="891">
        <v>0.85</v>
      </c>
      <c r="U40" s="891">
        <v>6.51</v>
      </c>
      <c r="V40" s="891">
        <v>38.89</v>
      </c>
      <c r="W40" s="891">
        <v>1.84</v>
      </c>
      <c r="X40" s="927">
        <v>20720.14</v>
      </c>
      <c r="Y40" s="891">
        <v>338.66</v>
      </c>
      <c r="Z40" s="891">
        <v>230.29</v>
      </c>
      <c r="AA40" s="891">
        <v>677.32</v>
      </c>
      <c r="AB40" s="891">
        <v>427.22</v>
      </c>
      <c r="AC40" s="891">
        <v>177.38</v>
      </c>
      <c r="AD40" s="891">
        <v>0.13</v>
      </c>
      <c r="AE40" s="891">
        <v>21.91</v>
      </c>
      <c r="AF40" s="891">
        <v>36.479999999999997</v>
      </c>
      <c r="AG40" s="891">
        <v>11.6</v>
      </c>
      <c r="AH40" s="891">
        <v>4.74</v>
      </c>
      <c r="AI40" s="891">
        <v>92.12</v>
      </c>
      <c r="AJ40" s="891">
        <v>44.64</v>
      </c>
      <c r="AK40" s="891">
        <v>104.47</v>
      </c>
      <c r="AL40" s="891">
        <v>106.49</v>
      </c>
      <c r="AM40" s="891">
        <v>2709.29</v>
      </c>
      <c r="AN40" s="891">
        <v>1490.11</v>
      </c>
      <c r="AO40" s="891">
        <v>596.55999999999995</v>
      </c>
      <c r="AP40" s="891">
        <v>7</v>
      </c>
      <c r="AQ40" s="891">
        <v>1.95</v>
      </c>
      <c r="AR40" s="891">
        <v>0.77</v>
      </c>
      <c r="AS40" s="891">
        <v>9.48</v>
      </c>
      <c r="AT40" s="891">
        <v>1.32</v>
      </c>
      <c r="AU40" s="891">
        <v>1.35</v>
      </c>
      <c r="AV40" s="891">
        <v>0.81</v>
      </c>
      <c r="AW40" s="891">
        <v>0.49</v>
      </c>
      <c r="AX40" s="891">
        <v>1.76</v>
      </c>
      <c r="AY40" s="891">
        <v>1.58</v>
      </c>
      <c r="AZ40" s="891">
        <v>1.35</v>
      </c>
      <c r="BA40" s="891">
        <f t="shared" si="0"/>
        <v>199.42</v>
      </c>
      <c r="BB40" s="926">
        <f t="shared" si="1"/>
        <v>20773.920000000002</v>
      </c>
      <c r="BC40" s="926">
        <f t="shared" si="2"/>
        <v>51.94000000000247</v>
      </c>
      <c r="BD40" s="891"/>
      <c r="BE40" s="891"/>
      <c r="BF40" s="891"/>
      <c r="BG40" s="928"/>
      <c r="BH40" s="928"/>
      <c r="BI40" s="928"/>
    </row>
    <row r="41" spans="1:61">
      <c r="A41" s="891" t="s">
        <v>1584</v>
      </c>
      <c r="B41" s="891" t="s">
        <v>611</v>
      </c>
      <c r="C41" s="891" t="s">
        <v>257</v>
      </c>
      <c r="D41" s="891">
        <v>6.88</v>
      </c>
      <c r="E41" s="891">
        <v>36.68</v>
      </c>
      <c r="F41" s="891">
        <v>7.91</v>
      </c>
      <c r="G41" s="891">
        <v>2.06</v>
      </c>
      <c r="H41" s="891">
        <v>2.75</v>
      </c>
      <c r="I41" s="891">
        <v>1.38</v>
      </c>
      <c r="J41" s="891">
        <v>0.92</v>
      </c>
      <c r="K41" s="891">
        <v>1.01</v>
      </c>
      <c r="L41" s="891">
        <v>2.29</v>
      </c>
      <c r="M41" s="891">
        <v>1.67</v>
      </c>
      <c r="N41" s="891">
        <v>8.7100000000000009</v>
      </c>
      <c r="O41" s="891">
        <v>0.92</v>
      </c>
      <c r="P41" s="891">
        <v>11.46</v>
      </c>
      <c r="Q41" s="891">
        <v>1.38</v>
      </c>
      <c r="R41" s="891">
        <v>4.59</v>
      </c>
      <c r="S41" s="891">
        <v>2.29</v>
      </c>
      <c r="T41" s="891">
        <v>1.22</v>
      </c>
      <c r="U41" s="891">
        <v>4.5199999999999996</v>
      </c>
      <c r="V41" s="891">
        <v>54.1</v>
      </c>
      <c r="W41" s="891">
        <v>1.28</v>
      </c>
      <c r="X41" s="927">
        <v>22925.26</v>
      </c>
      <c r="Y41" s="891">
        <v>481.43</v>
      </c>
      <c r="Z41" s="891">
        <v>275.10000000000002</v>
      </c>
      <c r="AA41" s="891">
        <v>1008.71</v>
      </c>
      <c r="AB41" s="891">
        <v>596.05999999999995</v>
      </c>
      <c r="AC41" s="891">
        <v>91.7</v>
      </c>
      <c r="AD41" s="891">
        <v>0.46</v>
      </c>
      <c r="AE41" s="891">
        <v>36.68</v>
      </c>
      <c r="AF41" s="891">
        <v>55.02</v>
      </c>
      <c r="AG41" s="891">
        <v>6.88</v>
      </c>
      <c r="AH41" s="891">
        <v>8.25</v>
      </c>
      <c r="AI41" s="891">
        <v>114.63</v>
      </c>
      <c r="AJ41" s="891">
        <v>59.61</v>
      </c>
      <c r="AK41" s="891">
        <v>160.47999999999999</v>
      </c>
      <c r="AL41" s="891">
        <v>114.63</v>
      </c>
      <c r="AM41" s="891">
        <v>2865.66</v>
      </c>
      <c r="AN41" s="891">
        <v>1260.8900000000001</v>
      </c>
      <c r="AO41" s="891">
        <v>688.67</v>
      </c>
      <c r="AP41" s="891">
        <v>11.12</v>
      </c>
      <c r="AQ41" s="891">
        <v>1.88</v>
      </c>
      <c r="AR41" s="891">
        <v>0.96</v>
      </c>
      <c r="AS41" s="891">
        <v>19.489999999999998</v>
      </c>
      <c r="AT41" s="891">
        <v>1.6</v>
      </c>
      <c r="AU41" s="891">
        <v>1.1499999999999999</v>
      </c>
      <c r="AV41" s="891">
        <v>1.19</v>
      </c>
      <c r="AW41" s="891">
        <v>0.92</v>
      </c>
      <c r="AX41" s="891">
        <v>1.83</v>
      </c>
      <c r="AY41" s="891">
        <v>1.49</v>
      </c>
      <c r="AZ41" s="891">
        <v>1.38</v>
      </c>
      <c r="BA41" s="891">
        <f t="shared" si="0"/>
        <v>128.84</v>
      </c>
      <c r="BB41" s="926">
        <f t="shared" si="1"/>
        <v>23004.19</v>
      </c>
      <c r="BC41" s="926">
        <f t="shared" si="2"/>
        <v>77.65000000000029</v>
      </c>
      <c r="BD41" s="891"/>
      <c r="BE41" s="891"/>
      <c r="BF41" s="891"/>
      <c r="BG41" s="928"/>
      <c r="BH41" s="928"/>
      <c r="BI41" s="928"/>
    </row>
    <row r="42" spans="1:61">
      <c r="A42" s="891" t="s">
        <v>815</v>
      </c>
      <c r="B42" s="891" t="s">
        <v>563</v>
      </c>
      <c r="C42" s="891" t="s">
        <v>39</v>
      </c>
      <c r="D42" s="891">
        <v>13.55</v>
      </c>
      <c r="E42" s="891">
        <v>67.73</v>
      </c>
      <c r="F42" s="891">
        <v>9.82</v>
      </c>
      <c r="G42" s="891">
        <v>6.77</v>
      </c>
      <c r="H42" s="891">
        <v>4.74</v>
      </c>
      <c r="I42" s="891">
        <v>2.71</v>
      </c>
      <c r="J42" s="891">
        <v>1.35</v>
      </c>
      <c r="K42" s="891">
        <v>1.49</v>
      </c>
      <c r="L42" s="891">
        <v>2.44</v>
      </c>
      <c r="M42" s="891">
        <v>3.25</v>
      </c>
      <c r="N42" s="891">
        <v>16.260000000000002</v>
      </c>
      <c r="O42" s="891">
        <v>0.54</v>
      </c>
      <c r="P42" s="891">
        <v>10.84</v>
      </c>
      <c r="Q42" s="891">
        <v>1.63</v>
      </c>
      <c r="R42" s="891">
        <v>2.17</v>
      </c>
      <c r="S42" s="891">
        <v>7.59</v>
      </c>
      <c r="T42" s="891">
        <v>2.17</v>
      </c>
      <c r="U42" s="891">
        <v>9.48</v>
      </c>
      <c r="V42" s="891">
        <v>48.77</v>
      </c>
      <c r="W42" s="891">
        <v>2.37</v>
      </c>
      <c r="X42" s="927">
        <v>29802.22</v>
      </c>
      <c r="Y42" s="891">
        <v>778.92</v>
      </c>
      <c r="Z42" s="891">
        <v>677.32</v>
      </c>
      <c r="AA42" s="891">
        <v>1219.18</v>
      </c>
      <c r="AB42" s="891">
        <v>1083.72</v>
      </c>
      <c r="AC42" s="891">
        <v>245.53</v>
      </c>
      <c r="AD42" s="891">
        <v>0.2</v>
      </c>
      <c r="AE42" s="891">
        <v>37.25</v>
      </c>
      <c r="AF42" s="891">
        <v>81.28</v>
      </c>
      <c r="AG42" s="891">
        <v>13.55</v>
      </c>
      <c r="AH42" s="891">
        <v>10.84</v>
      </c>
      <c r="AI42" s="891">
        <v>121.92</v>
      </c>
      <c r="AJ42" s="891">
        <v>40.64</v>
      </c>
      <c r="AK42" s="891">
        <v>121.92</v>
      </c>
      <c r="AL42" s="891">
        <v>162.56</v>
      </c>
      <c r="AM42" s="891">
        <v>5418.59</v>
      </c>
      <c r="AN42" s="891">
        <v>3386.62</v>
      </c>
      <c r="AO42" s="891">
        <v>2031.97</v>
      </c>
      <c r="AP42" s="891">
        <v>6</v>
      </c>
      <c r="AQ42" s="891">
        <v>33.869999999999997</v>
      </c>
      <c r="AR42" s="891">
        <v>13.55</v>
      </c>
      <c r="AS42" s="891">
        <v>67.73</v>
      </c>
      <c r="AT42" s="891">
        <v>2.37</v>
      </c>
      <c r="AU42" s="891">
        <v>2.0299999999999998</v>
      </c>
      <c r="AV42" s="891">
        <v>2.0299999999999998</v>
      </c>
      <c r="AW42" s="891">
        <v>1.83</v>
      </c>
      <c r="AX42" s="891">
        <v>2.0299999999999998</v>
      </c>
      <c r="AY42" s="891">
        <v>3.25</v>
      </c>
      <c r="AZ42" s="891">
        <v>2.71</v>
      </c>
      <c r="BA42" s="891">
        <f t="shared" si="0"/>
        <v>282.98</v>
      </c>
      <c r="BB42" s="926">
        <f t="shared" si="1"/>
        <v>29970.68</v>
      </c>
      <c r="BC42" s="926">
        <f t="shared" si="2"/>
        <v>166.08999999999912</v>
      </c>
      <c r="BD42" s="891"/>
      <c r="BE42" s="891"/>
      <c r="BF42" s="891"/>
      <c r="BG42" s="928"/>
      <c r="BH42" s="928"/>
      <c r="BI42" s="928"/>
    </row>
    <row r="43" spans="1:61">
      <c r="A43" s="891" t="s">
        <v>816</v>
      </c>
      <c r="B43" s="891" t="s">
        <v>577</v>
      </c>
      <c r="C43" s="891" t="s">
        <v>6</v>
      </c>
      <c r="D43" s="891">
        <v>20</v>
      </c>
      <c r="E43" s="891">
        <v>133.34</v>
      </c>
      <c r="F43" s="891">
        <v>15</v>
      </c>
      <c r="G43" s="891">
        <v>12.5</v>
      </c>
      <c r="H43" s="891">
        <v>12.75</v>
      </c>
      <c r="I43" s="891">
        <v>4.17</v>
      </c>
      <c r="J43" s="891">
        <v>3.67</v>
      </c>
      <c r="K43" s="891">
        <v>2.4</v>
      </c>
      <c r="L43" s="891">
        <v>4.33</v>
      </c>
      <c r="M43" s="891">
        <v>4.58</v>
      </c>
      <c r="N43" s="891">
        <v>13.33</v>
      </c>
      <c r="O43" s="891">
        <v>2.54</v>
      </c>
      <c r="P43" s="891">
        <v>19.899999999999999</v>
      </c>
      <c r="Q43" s="891">
        <v>4.5</v>
      </c>
      <c r="R43" s="891">
        <v>5.67</v>
      </c>
      <c r="S43" s="891">
        <v>15.75</v>
      </c>
      <c r="T43" s="891">
        <v>4.83</v>
      </c>
      <c r="U43" s="891">
        <v>16.649999999999999</v>
      </c>
      <c r="V43" s="891">
        <v>115</v>
      </c>
      <c r="W43" s="891">
        <v>2.4900000000000002</v>
      </c>
      <c r="X43" s="927">
        <v>50667.51</v>
      </c>
      <c r="Y43" s="891">
        <v>1416.69</v>
      </c>
      <c r="Z43" s="891">
        <v>1141.69</v>
      </c>
      <c r="AA43" s="891">
        <v>3000.05</v>
      </c>
      <c r="AB43" s="891">
        <v>2116.6999999999998</v>
      </c>
      <c r="AC43" s="891">
        <v>227.65</v>
      </c>
      <c r="AD43" s="891">
        <v>0.14000000000000001</v>
      </c>
      <c r="AE43" s="891">
        <v>52.09</v>
      </c>
      <c r="AF43" s="891">
        <v>83.17</v>
      </c>
      <c r="AG43" s="891">
        <v>33.33</v>
      </c>
      <c r="AH43" s="891">
        <v>18.329999999999998</v>
      </c>
      <c r="AI43" s="891">
        <v>141.59</v>
      </c>
      <c r="AJ43" s="891">
        <v>54.08</v>
      </c>
      <c r="AK43" s="891">
        <v>183.34</v>
      </c>
      <c r="AL43" s="891">
        <v>166.67</v>
      </c>
      <c r="AM43" s="891">
        <v>9375.16</v>
      </c>
      <c r="AN43" s="891">
        <v>5833.43</v>
      </c>
      <c r="AO43" s="891">
        <v>4333.41</v>
      </c>
      <c r="AP43" s="891">
        <v>3.9</v>
      </c>
      <c r="AQ43" s="891">
        <v>10.5</v>
      </c>
      <c r="AR43" s="891">
        <v>1.62</v>
      </c>
      <c r="AS43" s="891">
        <v>90</v>
      </c>
      <c r="AT43" s="891">
        <v>3.92</v>
      </c>
      <c r="AU43" s="891">
        <v>4.17</v>
      </c>
      <c r="AV43" s="891">
        <v>1.96</v>
      </c>
      <c r="AW43" s="891">
        <v>2.67</v>
      </c>
      <c r="AX43" s="891">
        <v>6</v>
      </c>
      <c r="AY43" s="891">
        <v>4.58</v>
      </c>
      <c r="AZ43" s="891">
        <v>4.5</v>
      </c>
      <c r="BA43" s="891">
        <f t="shared" si="0"/>
        <v>279.88</v>
      </c>
      <c r="BB43" s="926">
        <f t="shared" si="1"/>
        <v>50891.950000000004</v>
      </c>
      <c r="BC43" s="926">
        <f t="shared" si="2"/>
        <v>221.95000000000232</v>
      </c>
      <c r="BD43" s="891"/>
      <c r="BE43" s="891"/>
      <c r="BF43" s="891"/>
      <c r="BG43" s="928"/>
      <c r="BH43" s="928"/>
      <c r="BI43" s="928"/>
    </row>
    <row r="44" spans="1:61">
      <c r="A44" s="891" t="s">
        <v>817</v>
      </c>
      <c r="B44" s="891" t="s">
        <v>566</v>
      </c>
      <c r="C44" s="891" t="s">
        <v>155</v>
      </c>
      <c r="D44" s="891">
        <v>8.1300000000000008</v>
      </c>
      <c r="E44" s="891">
        <v>54.19</v>
      </c>
      <c r="F44" s="891">
        <v>8.1300000000000008</v>
      </c>
      <c r="G44" s="891">
        <v>4.0599999999999996</v>
      </c>
      <c r="H44" s="891">
        <v>4.0599999999999996</v>
      </c>
      <c r="I44" s="891">
        <v>2.71</v>
      </c>
      <c r="J44" s="891">
        <v>2.0299999999999998</v>
      </c>
      <c r="K44" s="891">
        <v>0.81</v>
      </c>
      <c r="L44" s="891">
        <v>1.63</v>
      </c>
      <c r="M44" s="891">
        <v>2.71</v>
      </c>
      <c r="N44" s="891">
        <v>8.1300000000000008</v>
      </c>
      <c r="O44" s="891">
        <v>0.68</v>
      </c>
      <c r="P44" s="891">
        <v>6.76</v>
      </c>
      <c r="Q44" s="891">
        <v>1.07</v>
      </c>
      <c r="R44" s="891">
        <v>1.22</v>
      </c>
      <c r="S44" s="891">
        <v>6.77</v>
      </c>
      <c r="T44" s="891">
        <v>3.25</v>
      </c>
      <c r="U44" s="891">
        <v>9.48</v>
      </c>
      <c r="V44" s="891">
        <v>104.31</v>
      </c>
      <c r="W44" s="891">
        <v>2.17</v>
      </c>
      <c r="X44" s="927">
        <v>25298.02</v>
      </c>
      <c r="Y44" s="891">
        <v>677.32</v>
      </c>
      <c r="Z44" s="891">
        <v>541.86</v>
      </c>
      <c r="AA44" s="891">
        <v>1490.11</v>
      </c>
      <c r="AB44" s="891">
        <v>1083.72</v>
      </c>
      <c r="AC44" s="891">
        <v>212</v>
      </c>
      <c r="AD44" s="891">
        <v>0.12</v>
      </c>
      <c r="AE44" s="891">
        <v>27.09</v>
      </c>
      <c r="AF44" s="891">
        <v>36.58</v>
      </c>
      <c r="AG44" s="891">
        <v>16.260000000000002</v>
      </c>
      <c r="AH44" s="891">
        <v>11.18</v>
      </c>
      <c r="AI44" s="891">
        <v>107.69</v>
      </c>
      <c r="AJ44" s="891">
        <v>46.74</v>
      </c>
      <c r="AK44" s="891">
        <v>94.83</v>
      </c>
      <c r="AL44" s="891">
        <v>135.46</v>
      </c>
      <c r="AM44" s="891">
        <v>3860.74</v>
      </c>
      <c r="AN44" s="891">
        <v>2099.6999999999998</v>
      </c>
      <c r="AO44" s="891">
        <v>2167.4299999999998</v>
      </c>
      <c r="AP44" s="891">
        <v>3</v>
      </c>
      <c r="AQ44" s="891">
        <v>4.33</v>
      </c>
      <c r="AR44" s="891">
        <v>2.2400000000000002</v>
      </c>
      <c r="AS44" s="891">
        <v>33.869999999999997</v>
      </c>
      <c r="AT44" s="891">
        <v>2.71</v>
      </c>
      <c r="AU44" s="891">
        <v>2.71</v>
      </c>
      <c r="AV44" s="891">
        <v>1.35</v>
      </c>
      <c r="AW44" s="891">
        <v>1.35</v>
      </c>
      <c r="AX44" s="891">
        <v>2.71</v>
      </c>
      <c r="AY44" s="891">
        <v>2.7</v>
      </c>
      <c r="AZ44" s="891">
        <v>2.98</v>
      </c>
      <c r="BA44" s="891">
        <f t="shared" si="0"/>
        <v>239.21</v>
      </c>
      <c r="BB44" s="926">
        <f t="shared" si="1"/>
        <v>25448.190000000002</v>
      </c>
      <c r="BC44" s="926">
        <f t="shared" si="2"/>
        <v>148.0000000000019</v>
      </c>
      <c r="BD44" s="891"/>
      <c r="BE44" s="891"/>
      <c r="BF44" s="891"/>
      <c r="BG44" s="928"/>
      <c r="BH44" s="928"/>
      <c r="BI44" s="928"/>
    </row>
    <row r="45" spans="1:61">
      <c r="A45" s="891" t="s">
        <v>818</v>
      </c>
      <c r="B45" s="891" t="s">
        <v>578</v>
      </c>
      <c r="C45" s="891" t="s">
        <v>9</v>
      </c>
      <c r="D45" s="891">
        <v>20.83</v>
      </c>
      <c r="E45" s="891">
        <v>87.7</v>
      </c>
      <c r="F45" s="891">
        <v>13.16</v>
      </c>
      <c r="G45" s="891">
        <v>5.48</v>
      </c>
      <c r="H45" s="891">
        <v>5.48</v>
      </c>
      <c r="I45" s="891">
        <v>4.3899999999999997</v>
      </c>
      <c r="J45" s="891">
        <v>3.84</v>
      </c>
      <c r="K45" s="891">
        <v>1.32</v>
      </c>
      <c r="L45" s="891">
        <v>2.4300000000000002</v>
      </c>
      <c r="M45" s="891">
        <v>6.36</v>
      </c>
      <c r="N45" s="891">
        <v>13.16</v>
      </c>
      <c r="O45" s="891">
        <v>1.21</v>
      </c>
      <c r="P45" s="891">
        <v>9.0399999999999991</v>
      </c>
      <c r="Q45" s="891">
        <v>1.64</v>
      </c>
      <c r="R45" s="891">
        <v>2.19</v>
      </c>
      <c r="S45" s="891">
        <v>8.66</v>
      </c>
      <c r="T45" s="891">
        <v>2.85</v>
      </c>
      <c r="U45" s="891">
        <v>26.86</v>
      </c>
      <c r="V45" s="891">
        <v>74</v>
      </c>
      <c r="W45" s="891">
        <v>1.93</v>
      </c>
      <c r="X45" s="927">
        <v>27406.27</v>
      </c>
      <c r="Y45" s="891">
        <v>1151.06</v>
      </c>
      <c r="Z45" s="891">
        <v>931.81</v>
      </c>
      <c r="AA45" s="891">
        <v>2192.5</v>
      </c>
      <c r="AB45" s="891">
        <v>1863.63</v>
      </c>
      <c r="AC45" s="891">
        <v>301.47000000000003</v>
      </c>
      <c r="AD45" s="891">
        <v>0.36</v>
      </c>
      <c r="AE45" s="891">
        <v>49.33</v>
      </c>
      <c r="AF45" s="891">
        <v>71.260000000000005</v>
      </c>
      <c r="AG45" s="891">
        <v>38.369999999999997</v>
      </c>
      <c r="AH45" s="891">
        <v>18.64</v>
      </c>
      <c r="AI45" s="891">
        <v>109.63</v>
      </c>
      <c r="AJ45" s="891">
        <v>52.07</v>
      </c>
      <c r="AK45" s="891">
        <v>114.56</v>
      </c>
      <c r="AL45" s="891">
        <v>153.47999999999999</v>
      </c>
      <c r="AM45" s="891">
        <v>8221.8799999999992</v>
      </c>
      <c r="AN45" s="891">
        <v>5481.25</v>
      </c>
      <c r="AO45" s="891">
        <v>6029.38</v>
      </c>
      <c r="AP45" s="891">
        <v>2.2999999999999998</v>
      </c>
      <c r="AQ45" s="891">
        <v>7.45</v>
      </c>
      <c r="AR45" s="891">
        <v>4.0599999999999996</v>
      </c>
      <c r="AS45" s="891">
        <v>78.930000000000007</v>
      </c>
      <c r="AT45" s="891">
        <v>3.29</v>
      </c>
      <c r="AU45" s="891">
        <v>3.56</v>
      </c>
      <c r="AV45" s="891">
        <v>1.59</v>
      </c>
      <c r="AW45" s="891">
        <v>1.64</v>
      </c>
      <c r="AX45" s="891">
        <v>4.3899999999999997</v>
      </c>
      <c r="AY45" s="891">
        <v>2.4700000000000002</v>
      </c>
      <c r="AZ45" s="891">
        <v>3.65</v>
      </c>
      <c r="BA45" s="891">
        <f t="shared" si="0"/>
        <v>351.16</v>
      </c>
      <c r="BB45" s="926">
        <f t="shared" si="1"/>
        <v>27575.49</v>
      </c>
      <c r="BC45" s="926">
        <f t="shared" si="2"/>
        <v>167.29000000000116</v>
      </c>
      <c r="BD45" s="891"/>
      <c r="BE45" s="891"/>
      <c r="BF45" s="891"/>
      <c r="BG45" s="928"/>
      <c r="BH45" s="928"/>
      <c r="BI45" s="928"/>
    </row>
    <row r="46" spans="1:61">
      <c r="A46" s="891" t="s">
        <v>819</v>
      </c>
      <c r="B46" s="891" t="s">
        <v>560</v>
      </c>
      <c r="C46" s="891" t="s">
        <v>387</v>
      </c>
      <c r="D46" s="891">
        <v>2.2999999999999998</v>
      </c>
      <c r="E46" s="891">
        <v>9.84</v>
      </c>
      <c r="F46" s="891">
        <v>1.89</v>
      </c>
      <c r="G46" s="891">
        <v>1.48</v>
      </c>
      <c r="H46" s="891">
        <v>1.64</v>
      </c>
      <c r="I46" s="891">
        <v>0.2</v>
      </c>
      <c r="J46" s="891">
        <v>0.16</v>
      </c>
      <c r="K46" s="891">
        <v>0.59</v>
      </c>
      <c r="L46" s="891">
        <v>0.25</v>
      </c>
      <c r="M46" s="891">
        <v>0.89</v>
      </c>
      <c r="N46" s="891">
        <v>2.46</v>
      </c>
      <c r="O46" s="891">
        <v>0.33</v>
      </c>
      <c r="P46" s="891">
        <v>6.56</v>
      </c>
      <c r="Q46" s="891">
        <v>1.31</v>
      </c>
      <c r="R46" s="891">
        <v>1.64</v>
      </c>
      <c r="S46" s="891">
        <v>1.64</v>
      </c>
      <c r="T46" s="891">
        <v>0.16</v>
      </c>
      <c r="U46" s="891">
        <v>3.28</v>
      </c>
      <c r="V46" s="891">
        <v>4.0999999999999996</v>
      </c>
      <c r="W46" s="891">
        <v>1.1599999999999999</v>
      </c>
      <c r="X46" s="927">
        <v>16397.47</v>
      </c>
      <c r="Y46" s="891">
        <v>65.59</v>
      </c>
      <c r="Z46" s="891">
        <v>49.19</v>
      </c>
      <c r="AA46" s="891">
        <v>221.37</v>
      </c>
      <c r="AB46" s="891">
        <v>114.78</v>
      </c>
      <c r="AC46" s="891">
        <v>37.71</v>
      </c>
      <c r="AD46" s="891">
        <v>0.02</v>
      </c>
      <c r="AE46" s="891">
        <v>21.32</v>
      </c>
      <c r="AF46" s="891">
        <v>27.32</v>
      </c>
      <c r="AG46" s="891">
        <v>8.1999999999999993</v>
      </c>
      <c r="AH46" s="891">
        <v>3.03</v>
      </c>
      <c r="AI46" s="891">
        <v>32.79</v>
      </c>
      <c r="AJ46" s="891">
        <v>28.7</v>
      </c>
      <c r="AK46" s="891">
        <v>49.19</v>
      </c>
      <c r="AL46" s="891">
        <v>32.79</v>
      </c>
      <c r="AM46" s="891">
        <v>644.23</v>
      </c>
      <c r="AN46" s="891">
        <v>229.45</v>
      </c>
      <c r="AO46" s="891">
        <v>327.95</v>
      </c>
      <c r="AP46" s="891">
        <v>11.5</v>
      </c>
      <c r="AQ46" s="891">
        <v>0.3</v>
      </c>
      <c r="AR46" s="891">
        <v>0.19</v>
      </c>
      <c r="AS46" s="891">
        <v>1.64</v>
      </c>
      <c r="AT46" s="891">
        <v>1.1499999999999999</v>
      </c>
      <c r="AU46" s="891">
        <v>1.1499999999999999</v>
      </c>
      <c r="AV46" s="891">
        <v>0.25</v>
      </c>
      <c r="AW46" s="891">
        <v>0.56999999999999995</v>
      </c>
      <c r="AX46" s="891">
        <v>0.82</v>
      </c>
      <c r="AY46" s="891">
        <v>0.65</v>
      </c>
      <c r="AZ46" s="891">
        <v>0.16</v>
      </c>
      <c r="BA46" s="891">
        <f t="shared" si="0"/>
        <v>59.050000000000004</v>
      </c>
      <c r="BB46" s="926">
        <f t="shared" si="1"/>
        <v>16405.019999999997</v>
      </c>
      <c r="BC46" s="926">
        <f t="shared" si="2"/>
        <v>6.3899999999956343</v>
      </c>
      <c r="BD46" s="891"/>
      <c r="BE46" s="891"/>
      <c r="BF46" s="891"/>
      <c r="BG46" s="928"/>
      <c r="BH46" s="928"/>
      <c r="BI46" s="928"/>
    </row>
    <row r="47" spans="1:61">
      <c r="A47" s="891" t="s">
        <v>820</v>
      </c>
      <c r="B47" s="891" t="s">
        <v>560</v>
      </c>
      <c r="C47" s="891" t="s">
        <v>397</v>
      </c>
      <c r="D47" s="891">
        <v>1.64</v>
      </c>
      <c r="E47" s="891">
        <v>7.38</v>
      </c>
      <c r="F47" s="891">
        <v>4.92</v>
      </c>
      <c r="G47" s="891">
        <v>1.23</v>
      </c>
      <c r="H47" s="891">
        <v>1.97</v>
      </c>
      <c r="I47" s="891">
        <v>0.38</v>
      </c>
      <c r="J47" s="891">
        <v>0.2</v>
      </c>
      <c r="K47" s="891">
        <v>0.46</v>
      </c>
      <c r="L47" s="891">
        <v>0.33</v>
      </c>
      <c r="M47" s="891">
        <v>0.82</v>
      </c>
      <c r="N47" s="891">
        <v>2.95</v>
      </c>
      <c r="O47" s="891">
        <v>0.33</v>
      </c>
      <c r="P47" s="891">
        <v>7.38</v>
      </c>
      <c r="Q47" s="891">
        <v>1.1100000000000001</v>
      </c>
      <c r="R47" s="891">
        <v>1.64</v>
      </c>
      <c r="S47" s="891">
        <v>1.64</v>
      </c>
      <c r="T47" s="891">
        <v>0.16</v>
      </c>
      <c r="U47" s="891">
        <v>2.46</v>
      </c>
      <c r="V47" s="891">
        <v>10.4</v>
      </c>
      <c r="W47" s="891">
        <v>1.1499999999999999</v>
      </c>
      <c r="X47" s="927">
        <v>11478.23</v>
      </c>
      <c r="Y47" s="891">
        <v>98.38</v>
      </c>
      <c r="Z47" s="891">
        <v>81.99</v>
      </c>
      <c r="AA47" s="891">
        <v>237.76</v>
      </c>
      <c r="AB47" s="891">
        <v>147.58000000000001</v>
      </c>
      <c r="AC47" s="891">
        <v>28.7</v>
      </c>
      <c r="AD47" s="891">
        <v>0.02</v>
      </c>
      <c r="AE47" s="891">
        <v>16.5</v>
      </c>
      <c r="AF47" s="891">
        <v>9.84</v>
      </c>
      <c r="AG47" s="891">
        <v>4.51</v>
      </c>
      <c r="AH47" s="891">
        <v>2.46</v>
      </c>
      <c r="AI47" s="891">
        <v>32.79</v>
      </c>
      <c r="AJ47" s="891">
        <v>32.79</v>
      </c>
      <c r="AK47" s="891">
        <v>49.19</v>
      </c>
      <c r="AL47" s="891">
        <v>32.79</v>
      </c>
      <c r="AM47" s="891">
        <v>882.5</v>
      </c>
      <c r="AN47" s="891">
        <v>500.12</v>
      </c>
      <c r="AO47" s="891">
        <v>245.96</v>
      </c>
      <c r="AP47" s="891">
        <v>12</v>
      </c>
      <c r="AQ47" s="891">
        <v>1.48</v>
      </c>
      <c r="AR47" s="891">
        <v>0.16</v>
      </c>
      <c r="AS47" s="891">
        <v>1.64</v>
      </c>
      <c r="AT47" s="891">
        <v>1.64</v>
      </c>
      <c r="AU47" s="891">
        <v>0.98</v>
      </c>
      <c r="AV47" s="891">
        <v>0.25</v>
      </c>
      <c r="AW47" s="891">
        <v>0.43</v>
      </c>
      <c r="AX47" s="891">
        <v>0.98</v>
      </c>
      <c r="AY47" s="891">
        <v>0.56999999999999995</v>
      </c>
      <c r="AZ47" s="891">
        <v>0.49</v>
      </c>
      <c r="BA47" s="891">
        <f t="shared" si="0"/>
        <v>45.22</v>
      </c>
      <c r="BB47" s="926">
        <f t="shared" si="1"/>
        <v>11493.219999999998</v>
      </c>
      <c r="BC47" s="926">
        <f t="shared" si="2"/>
        <v>13.839999999997962</v>
      </c>
      <c r="BD47" s="891"/>
      <c r="BE47" s="891"/>
      <c r="BF47" s="891"/>
      <c r="BG47" s="928"/>
      <c r="BH47" s="928"/>
      <c r="BI47" s="928"/>
    </row>
    <row r="48" spans="1:61">
      <c r="A48" s="891" t="s">
        <v>823</v>
      </c>
      <c r="B48" s="891" t="s">
        <v>625</v>
      </c>
      <c r="C48" s="891" t="s">
        <v>286</v>
      </c>
      <c r="D48" s="891">
        <v>5.3</v>
      </c>
      <c r="E48" s="891">
        <v>26.5</v>
      </c>
      <c r="F48" s="891">
        <v>7.42</v>
      </c>
      <c r="G48" s="891">
        <v>1.59</v>
      </c>
      <c r="H48" s="891">
        <v>2.65</v>
      </c>
      <c r="I48" s="891">
        <v>0.95</v>
      </c>
      <c r="J48" s="891">
        <v>0.87</v>
      </c>
      <c r="K48" s="891">
        <v>1.33</v>
      </c>
      <c r="L48" s="891">
        <v>1.49</v>
      </c>
      <c r="M48" s="891">
        <v>2.0299999999999998</v>
      </c>
      <c r="N48" s="891">
        <v>7.05</v>
      </c>
      <c r="O48" s="891">
        <v>1.42</v>
      </c>
      <c r="P48" s="891">
        <v>13.25</v>
      </c>
      <c r="Q48" s="891">
        <v>1.22</v>
      </c>
      <c r="R48" s="891">
        <v>2.65</v>
      </c>
      <c r="S48" s="891">
        <v>2.0099999999999998</v>
      </c>
      <c r="T48" s="891">
        <v>0.9</v>
      </c>
      <c r="U48" s="891">
        <v>5</v>
      </c>
      <c r="V48" s="891">
        <v>45.06</v>
      </c>
      <c r="W48" s="891">
        <v>1.21</v>
      </c>
      <c r="X48" s="927">
        <v>18269.28</v>
      </c>
      <c r="Y48" s="891">
        <v>477.07</v>
      </c>
      <c r="Z48" s="891">
        <v>424.07</v>
      </c>
      <c r="AA48" s="891">
        <v>977.07</v>
      </c>
      <c r="AB48" s="891">
        <v>1060.1600000000001</v>
      </c>
      <c r="AC48" s="891">
        <v>96.99</v>
      </c>
      <c r="AD48" s="891">
        <v>0.16</v>
      </c>
      <c r="AE48" s="891">
        <v>41.2</v>
      </c>
      <c r="AF48" s="891">
        <v>61.8</v>
      </c>
      <c r="AG48" s="891">
        <v>13.25</v>
      </c>
      <c r="AH48" s="891">
        <v>6</v>
      </c>
      <c r="AI48" s="891">
        <v>80</v>
      </c>
      <c r="AJ48" s="891">
        <v>63.61</v>
      </c>
      <c r="AK48" s="891">
        <v>102.51</v>
      </c>
      <c r="AL48" s="891">
        <v>82.26</v>
      </c>
      <c r="AM48" s="891">
        <v>1537.24</v>
      </c>
      <c r="AN48" s="891">
        <v>1696.26</v>
      </c>
      <c r="AO48" s="891">
        <v>519.48</v>
      </c>
      <c r="AP48" s="891">
        <v>13.5</v>
      </c>
      <c r="AQ48" s="891">
        <v>1.86</v>
      </c>
      <c r="AR48" s="891">
        <v>1.86</v>
      </c>
      <c r="AS48" s="891">
        <v>10.6</v>
      </c>
      <c r="AT48" s="891">
        <v>1.86</v>
      </c>
      <c r="AU48" s="891">
        <v>2.12</v>
      </c>
      <c r="AV48" s="891">
        <v>0.95</v>
      </c>
      <c r="AW48" s="891">
        <v>0.8</v>
      </c>
      <c r="AX48" s="891">
        <v>1.86</v>
      </c>
      <c r="AY48" s="891">
        <v>1.59</v>
      </c>
      <c r="AZ48" s="891">
        <v>1.18</v>
      </c>
      <c r="BA48" s="891">
        <f t="shared" si="0"/>
        <v>138.35</v>
      </c>
      <c r="BB48" s="926">
        <f t="shared" si="1"/>
        <v>18330.769999999997</v>
      </c>
      <c r="BC48" s="926">
        <f t="shared" si="2"/>
        <v>60.279999999997962</v>
      </c>
      <c r="BD48" s="891"/>
      <c r="BE48" s="891"/>
      <c r="BF48" s="891"/>
      <c r="BG48" s="928"/>
      <c r="BH48" s="928"/>
      <c r="BI48" s="928"/>
    </row>
    <row r="49" spans="1:61">
      <c r="A49" s="891" t="s">
        <v>824</v>
      </c>
      <c r="B49" s="891" t="s">
        <v>563</v>
      </c>
      <c r="C49" s="891" t="s">
        <v>98</v>
      </c>
      <c r="D49" s="891">
        <v>16.260000000000002</v>
      </c>
      <c r="E49" s="891">
        <v>67.05</v>
      </c>
      <c r="F49" s="891">
        <v>9.48</v>
      </c>
      <c r="G49" s="891">
        <v>6.1</v>
      </c>
      <c r="H49" s="891">
        <v>4.74</v>
      </c>
      <c r="I49" s="891">
        <v>2.37</v>
      </c>
      <c r="J49" s="891">
        <v>1.35</v>
      </c>
      <c r="K49" s="891">
        <v>1.83</v>
      </c>
      <c r="L49" s="891">
        <v>2.71</v>
      </c>
      <c r="M49" s="891">
        <v>4.0599999999999996</v>
      </c>
      <c r="N49" s="891">
        <v>16.93</v>
      </c>
      <c r="O49" s="891">
        <v>0.44</v>
      </c>
      <c r="P49" s="891">
        <v>6.43</v>
      </c>
      <c r="Q49" s="891">
        <v>1.63</v>
      </c>
      <c r="R49" s="891">
        <v>2.0299999999999998</v>
      </c>
      <c r="S49" s="891">
        <v>6.77</v>
      </c>
      <c r="T49" s="891">
        <v>1.76</v>
      </c>
      <c r="U49" s="891">
        <v>10.84</v>
      </c>
      <c r="V49" s="891">
        <v>48.77</v>
      </c>
      <c r="W49" s="891">
        <v>2.44</v>
      </c>
      <c r="X49" s="927">
        <v>24383.64</v>
      </c>
      <c r="Y49" s="891">
        <v>880.52</v>
      </c>
      <c r="Z49" s="891">
        <v>677.32</v>
      </c>
      <c r="AA49" s="891">
        <v>1693.31</v>
      </c>
      <c r="AB49" s="891">
        <v>1219.18</v>
      </c>
      <c r="AC49" s="891">
        <v>167.23</v>
      </c>
      <c r="AD49" s="891">
        <v>0.2</v>
      </c>
      <c r="AE49" s="891">
        <v>33.869999999999997</v>
      </c>
      <c r="AF49" s="891">
        <v>71.12</v>
      </c>
      <c r="AG49" s="891">
        <v>27.09</v>
      </c>
      <c r="AH49" s="891">
        <v>10.84</v>
      </c>
      <c r="AI49" s="891">
        <v>121.92</v>
      </c>
      <c r="AJ49" s="891">
        <v>60.96</v>
      </c>
      <c r="AK49" s="891">
        <v>115.14</v>
      </c>
      <c r="AL49" s="891">
        <v>135.46</v>
      </c>
      <c r="AM49" s="891">
        <v>6095.91</v>
      </c>
      <c r="AN49" s="891">
        <v>3793.01</v>
      </c>
      <c r="AO49" s="891">
        <v>2133.5700000000002</v>
      </c>
      <c r="AP49" s="891">
        <v>4</v>
      </c>
      <c r="AQ49" s="891">
        <v>6.1</v>
      </c>
      <c r="AR49" s="891">
        <v>1.56</v>
      </c>
      <c r="AS49" s="891">
        <v>43.35</v>
      </c>
      <c r="AT49" s="891">
        <v>2.2599999999999998</v>
      </c>
      <c r="AU49" s="891">
        <v>2.7</v>
      </c>
      <c r="AV49" s="891">
        <v>1.35</v>
      </c>
      <c r="AW49" s="891">
        <v>1.35</v>
      </c>
      <c r="AX49" s="891">
        <v>1.83</v>
      </c>
      <c r="AY49" s="891">
        <v>2.68</v>
      </c>
      <c r="AZ49" s="891">
        <v>2.64</v>
      </c>
      <c r="BA49" s="891">
        <f t="shared" si="0"/>
        <v>201.29999999999998</v>
      </c>
      <c r="BB49" s="926">
        <f t="shared" si="1"/>
        <v>24487.62</v>
      </c>
      <c r="BC49" s="926">
        <f t="shared" si="2"/>
        <v>101.53999999999957</v>
      </c>
      <c r="BD49" s="891"/>
      <c r="BE49" s="891"/>
      <c r="BF49" s="891"/>
      <c r="BG49" s="928"/>
      <c r="BH49" s="928"/>
      <c r="BI49" s="928"/>
    </row>
    <row r="50" spans="1:61">
      <c r="A50" s="891" t="s">
        <v>826</v>
      </c>
      <c r="B50" s="891" t="s">
        <v>1585</v>
      </c>
      <c r="C50" s="891" t="s">
        <v>110</v>
      </c>
      <c r="D50" s="891">
        <v>12</v>
      </c>
      <c r="E50" s="891">
        <v>60</v>
      </c>
      <c r="F50" s="891">
        <v>7</v>
      </c>
      <c r="G50" s="891">
        <v>5</v>
      </c>
      <c r="H50" s="891">
        <v>6</v>
      </c>
      <c r="I50" s="891">
        <v>1.7</v>
      </c>
      <c r="J50" s="891">
        <v>1.5</v>
      </c>
      <c r="K50" s="891">
        <v>1.05</v>
      </c>
      <c r="L50" s="891">
        <v>3</v>
      </c>
      <c r="M50" s="891">
        <v>2.64</v>
      </c>
      <c r="N50" s="891">
        <v>11.77</v>
      </c>
      <c r="O50" s="891">
        <v>1.62</v>
      </c>
      <c r="P50" s="891">
        <v>12</v>
      </c>
      <c r="Q50" s="891">
        <v>3</v>
      </c>
      <c r="R50" s="891">
        <v>5</v>
      </c>
      <c r="S50" s="891">
        <v>8.5</v>
      </c>
      <c r="T50" s="891">
        <v>2.5</v>
      </c>
      <c r="U50" s="891">
        <v>6.81</v>
      </c>
      <c r="V50" s="891">
        <v>70</v>
      </c>
      <c r="W50" s="891">
        <v>1</v>
      </c>
      <c r="X50" s="927">
        <v>19000</v>
      </c>
      <c r="Y50" s="891">
        <v>1995</v>
      </c>
      <c r="Z50" s="891">
        <v>1255</v>
      </c>
      <c r="AA50" s="891">
        <v>3500</v>
      </c>
      <c r="AB50" s="891">
        <v>2000</v>
      </c>
      <c r="AC50" s="891">
        <v>204.5</v>
      </c>
      <c r="AD50" s="891">
        <v>0.1</v>
      </c>
      <c r="AE50" s="891">
        <v>56</v>
      </c>
      <c r="AF50" s="891">
        <v>60</v>
      </c>
      <c r="AG50" s="891">
        <v>27.48</v>
      </c>
      <c r="AH50" s="891">
        <v>12</v>
      </c>
      <c r="AI50" s="891">
        <v>50</v>
      </c>
      <c r="AJ50" s="891">
        <v>44</v>
      </c>
      <c r="AK50" s="891">
        <v>90</v>
      </c>
      <c r="AL50" s="891">
        <v>109.5</v>
      </c>
      <c r="AM50" s="891">
        <v>3498.27</v>
      </c>
      <c r="AN50" s="891">
        <v>2798.62</v>
      </c>
      <c r="AO50" s="891">
        <v>3750</v>
      </c>
      <c r="AP50" s="891">
        <v>4</v>
      </c>
      <c r="AQ50" s="891">
        <v>2.6</v>
      </c>
      <c r="AR50" s="891">
        <v>1.74</v>
      </c>
      <c r="AS50" s="891">
        <v>30</v>
      </c>
      <c r="AT50" s="891">
        <v>4.28</v>
      </c>
      <c r="AU50" s="891">
        <v>4.41</v>
      </c>
      <c r="AV50" s="891">
        <v>2.74</v>
      </c>
      <c r="AW50" s="891">
        <v>1.62</v>
      </c>
      <c r="AX50" s="891">
        <v>4</v>
      </c>
      <c r="AY50" s="891">
        <v>4.99</v>
      </c>
      <c r="AZ50" s="891">
        <v>5.93</v>
      </c>
      <c r="BA50" s="891">
        <f t="shared" si="0"/>
        <v>260.60000000000002</v>
      </c>
      <c r="BB50" s="926">
        <f t="shared" si="1"/>
        <v>19107.84</v>
      </c>
      <c r="BC50" s="926">
        <f t="shared" si="2"/>
        <v>106.84000000000015</v>
      </c>
      <c r="BD50" s="891"/>
      <c r="BE50" s="891"/>
      <c r="BF50" s="891"/>
      <c r="BG50" s="928"/>
      <c r="BH50" s="928"/>
      <c r="BI50" s="928"/>
    </row>
    <row r="51" spans="1:61">
      <c r="A51" s="891" t="s">
        <v>827</v>
      </c>
      <c r="B51" s="891" t="s">
        <v>606</v>
      </c>
      <c r="C51" s="891" t="s">
        <v>237</v>
      </c>
      <c r="D51" s="891">
        <v>7.11</v>
      </c>
      <c r="E51" s="891">
        <v>33.869999999999997</v>
      </c>
      <c r="F51" s="891">
        <v>7.45</v>
      </c>
      <c r="G51" s="891">
        <v>2.0299999999999998</v>
      </c>
      <c r="H51" s="891">
        <v>2.0299999999999998</v>
      </c>
      <c r="I51" s="891">
        <v>1.35</v>
      </c>
      <c r="J51" s="891">
        <v>1.22</v>
      </c>
      <c r="K51" s="891">
        <v>0.79</v>
      </c>
      <c r="L51" s="891">
        <v>1.35</v>
      </c>
      <c r="M51" s="891">
        <v>2.0299999999999998</v>
      </c>
      <c r="N51" s="891">
        <v>10.84</v>
      </c>
      <c r="O51" s="891">
        <v>0.68</v>
      </c>
      <c r="P51" s="891">
        <v>3.73</v>
      </c>
      <c r="Q51" s="891">
        <v>1.08</v>
      </c>
      <c r="R51" s="891">
        <v>1.35</v>
      </c>
      <c r="S51" s="891">
        <v>5.62</v>
      </c>
      <c r="T51" s="891">
        <v>1.69</v>
      </c>
      <c r="U51" s="891">
        <v>5.76</v>
      </c>
      <c r="V51" s="891">
        <v>40.64</v>
      </c>
      <c r="W51" s="891">
        <v>2.17</v>
      </c>
      <c r="X51" s="927">
        <v>34481.17</v>
      </c>
      <c r="Y51" s="891">
        <v>541.86</v>
      </c>
      <c r="Z51" s="891">
        <v>358.98</v>
      </c>
      <c r="AA51" s="891">
        <v>657</v>
      </c>
      <c r="AB51" s="891">
        <v>528.30999999999995</v>
      </c>
      <c r="AC51" s="891">
        <v>95.95</v>
      </c>
      <c r="AD51" s="891">
        <v>0.41</v>
      </c>
      <c r="AE51" s="891">
        <v>36.58</v>
      </c>
      <c r="AF51" s="891">
        <v>54.19</v>
      </c>
      <c r="AG51" s="891">
        <v>14.9</v>
      </c>
      <c r="AH51" s="891">
        <v>7.72</v>
      </c>
      <c r="AI51" s="891">
        <v>115.14</v>
      </c>
      <c r="AJ51" s="891">
        <v>35.9</v>
      </c>
      <c r="AK51" s="891">
        <v>101.6</v>
      </c>
      <c r="AL51" s="891">
        <v>47.41</v>
      </c>
      <c r="AM51" s="891">
        <v>2709.29</v>
      </c>
      <c r="AN51" s="891">
        <v>1354.65</v>
      </c>
      <c r="AO51" s="891">
        <v>948.25</v>
      </c>
      <c r="AP51" s="891">
        <v>5</v>
      </c>
      <c r="AQ51" s="891">
        <v>3.08</v>
      </c>
      <c r="AR51" s="891">
        <v>0.61</v>
      </c>
      <c r="AS51" s="891">
        <v>19.2</v>
      </c>
      <c r="AT51" s="891">
        <v>2.0299999999999998</v>
      </c>
      <c r="AU51" s="891">
        <v>1.35</v>
      </c>
      <c r="AV51" s="891">
        <v>1.35</v>
      </c>
      <c r="AW51" s="891">
        <v>0.41</v>
      </c>
      <c r="AX51" s="891">
        <v>1.83</v>
      </c>
      <c r="AY51" s="891">
        <v>1.08</v>
      </c>
      <c r="AZ51" s="891">
        <v>1.35</v>
      </c>
      <c r="BA51" s="891">
        <f t="shared" si="0"/>
        <v>132.94</v>
      </c>
      <c r="BB51" s="926">
        <f t="shared" si="1"/>
        <v>34548.559999999998</v>
      </c>
      <c r="BC51" s="926">
        <f t="shared" si="2"/>
        <v>65.219999999999416</v>
      </c>
      <c r="BD51" s="891"/>
      <c r="BE51" s="891"/>
      <c r="BF51" s="891"/>
      <c r="BG51" s="928"/>
      <c r="BH51" s="928"/>
      <c r="BI51" s="928"/>
    </row>
    <row r="52" spans="1:61">
      <c r="A52" s="891" t="s">
        <v>828</v>
      </c>
      <c r="B52" s="891" t="s">
        <v>611</v>
      </c>
      <c r="C52" s="891" t="s">
        <v>233</v>
      </c>
      <c r="D52" s="891">
        <v>7.79</v>
      </c>
      <c r="E52" s="891">
        <v>36.68</v>
      </c>
      <c r="F52" s="891">
        <v>7.79</v>
      </c>
      <c r="G52" s="891">
        <v>2.29</v>
      </c>
      <c r="H52" s="891">
        <v>3.67</v>
      </c>
      <c r="I52" s="891">
        <v>1.1499999999999999</v>
      </c>
      <c r="J52" s="891">
        <v>0.92</v>
      </c>
      <c r="K52" s="891">
        <v>1.08</v>
      </c>
      <c r="L52" s="891">
        <v>1.83</v>
      </c>
      <c r="M52" s="891">
        <v>1.89</v>
      </c>
      <c r="N52" s="891">
        <v>7.79</v>
      </c>
      <c r="O52" s="891">
        <v>0.92</v>
      </c>
      <c r="P52" s="891">
        <v>11.46</v>
      </c>
      <c r="Q52" s="891">
        <v>1.38</v>
      </c>
      <c r="R52" s="891">
        <v>2.29</v>
      </c>
      <c r="S52" s="891">
        <v>2.5</v>
      </c>
      <c r="T52" s="891">
        <v>1.1499999999999999</v>
      </c>
      <c r="U52" s="891">
        <v>6.69</v>
      </c>
      <c r="V52" s="891">
        <v>50.21</v>
      </c>
      <c r="W52" s="891">
        <v>1.33</v>
      </c>
      <c r="X52" s="927">
        <v>19486.47</v>
      </c>
      <c r="Y52" s="891">
        <v>687.76</v>
      </c>
      <c r="Z52" s="891">
        <v>332.42</v>
      </c>
      <c r="AA52" s="891">
        <v>1375.52</v>
      </c>
      <c r="AB52" s="891">
        <v>687.76</v>
      </c>
      <c r="AC52" s="891">
        <v>113.1</v>
      </c>
      <c r="AD52" s="891">
        <v>0.41</v>
      </c>
      <c r="AE52" s="891">
        <v>27.51</v>
      </c>
      <c r="AF52" s="891">
        <v>68.78</v>
      </c>
      <c r="AG52" s="891">
        <v>22.93</v>
      </c>
      <c r="AH52" s="891">
        <v>9.17</v>
      </c>
      <c r="AI52" s="891">
        <v>73.36</v>
      </c>
      <c r="AJ52" s="891">
        <v>55.02</v>
      </c>
      <c r="AK52" s="891">
        <v>137.55000000000001</v>
      </c>
      <c r="AL52" s="891">
        <v>91.7</v>
      </c>
      <c r="AM52" s="891">
        <v>4585.05</v>
      </c>
      <c r="AN52" s="891">
        <v>3209.54</v>
      </c>
      <c r="AO52" s="891">
        <v>1375.52</v>
      </c>
      <c r="AP52" s="891">
        <v>9</v>
      </c>
      <c r="AQ52" s="891">
        <v>1.51</v>
      </c>
      <c r="AR52" s="891">
        <v>0.92</v>
      </c>
      <c r="AS52" s="891">
        <v>4.95</v>
      </c>
      <c r="AT52" s="891">
        <v>2.5</v>
      </c>
      <c r="AU52" s="891">
        <v>1.38</v>
      </c>
      <c r="AV52" s="891">
        <v>1.38</v>
      </c>
      <c r="AW52" s="891">
        <v>0.92</v>
      </c>
      <c r="AX52" s="891">
        <v>2.29</v>
      </c>
      <c r="AY52" s="891">
        <v>0.92</v>
      </c>
      <c r="AZ52" s="891">
        <v>2.75</v>
      </c>
      <c r="BA52" s="891">
        <f t="shared" si="0"/>
        <v>141.01999999999998</v>
      </c>
      <c r="BB52" s="926">
        <f t="shared" si="1"/>
        <v>19546.539999999997</v>
      </c>
      <c r="BC52" s="926">
        <f t="shared" si="2"/>
        <v>58.739999999996073</v>
      </c>
      <c r="BD52" s="891"/>
      <c r="BE52" s="891"/>
      <c r="BF52" s="891"/>
      <c r="BG52" s="928"/>
      <c r="BH52" s="928"/>
      <c r="BI52" s="928"/>
    </row>
    <row r="53" spans="1:61">
      <c r="A53" s="891" t="s">
        <v>829</v>
      </c>
      <c r="B53" s="891" t="s">
        <v>638</v>
      </c>
      <c r="C53" s="891" t="s">
        <v>318</v>
      </c>
      <c r="D53" s="891">
        <v>4.87</v>
      </c>
      <c r="E53" s="891">
        <v>27.39</v>
      </c>
      <c r="F53" s="891">
        <v>5.0199999999999996</v>
      </c>
      <c r="G53" s="891">
        <v>1.52</v>
      </c>
      <c r="H53" s="891">
        <v>1.83</v>
      </c>
      <c r="I53" s="891">
        <v>1.37</v>
      </c>
      <c r="J53" s="891">
        <v>0.91</v>
      </c>
      <c r="K53" s="891">
        <v>1.22</v>
      </c>
      <c r="L53" s="891">
        <v>0.76</v>
      </c>
      <c r="M53" s="891">
        <v>2.4300000000000002</v>
      </c>
      <c r="N53" s="891">
        <v>6.69</v>
      </c>
      <c r="O53" s="891">
        <v>0.76</v>
      </c>
      <c r="P53" s="891">
        <v>3.65</v>
      </c>
      <c r="Q53" s="891">
        <v>0.91</v>
      </c>
      <c r="R53" s="891">
        <v>1.52</v>
      </c>
      <c r="S53" s="891">
        <v>3.8</v>
      </c>
      <c r="T53" s="891">
        <v>0.61</v>
      </c>
      <c r="U53" s="891">
        <v>5.48</v>
      </c>
      <c r="V53" s="891">
        <v>12.93</v>
      </c>
      <c r="W53" s="891">
        <v>1.83</v>
      </c>
      <c r="X53" s="927">
        <v>23949.360000000001</v>
      </c>
      <c r="Y53" s="891">
        <v>338.55</v>
      </c>
      <c r="Z53" s="891">
        <v>266.32</v>
      </c>
      <c r="AA53" s="891">
        <v>608.62</v>
      </c>
      <c r="AB53" s="891">
        <v>456.47</v>
      </c>
      <c r="AC53" s="891">
        <v>133.13999999999999</v>
      </c>
      <c r="AD53" s="891">
        <v>0.3</v>
      </c>
      <c r="AE53" s="891">
        <v>10.5</v>
      </c>
      <c r="AF53" s="891">
        <v>30.43</v>
      </c>
      <c r="AG53" s="891">
        <v>10.65</v>
      </c>
      <c r="AH53" s="891">
        <v>7</v>
      </c>
      <c r="AI53" s="891">
        <v>91.29</v>
      </c>
      <c r="AJ53" s="891">
        <v>36.520000000000003</v>
      </c>
      <c r="AK53" s="891">
        <v>68.47</v>
      </c>
      <c r="AL53" s="891">
        <v>57.82</v>
      </c>
      <c r="AM53" s="891">
        <v>1369.4</v>
      </c>
      <c r="AN53" s="891">
        <v>1080.31</v>
      </c>
      <c r="AO53" s="891">
        <v>456.47</v>
      </c>
      <c r="AP53" s="891">
        <v>6.5</v>
      </c>
      <c r="AQ53" s="891">
        <v>0.42</v>
      </c>
      <c r="AR53" s="891">
        <v>0.41</v>
      </c>
      <c r="AS53" s="891">
        <v>4.1500000000000004</v>
      </c>
      <c r="AT53" s="891">
        <v>0.91</v>
      </c>
      <c r="AU53" s="891">
        <v>1.45</v>
      </c>
      <c r="AV53" s="891">
        <v>0.61</v>
      </c>
      <c r="AW53" s="891">
        <v>0.68</v>
      </c>
      <c r="AX53" s="891">
        <v>1.67</v>
      </c>
      <c r="AY53" s="891">
        <v>1.83</v>
      </c>
      <c r="AZ53" s="891">
        <v>1.22</v>
      </c>
      <c r="BA53" s="891">
        <f t="shared" si="0"/>
        <v>143.94</v>
      </c>
      <c r="BB53" s="926">
        <f t="shared" si="1"/>
        <v>23969.71</v>
      </c>
      <c r="BC53" s="926">
        <f t="shared" si="2"/>
        <v>18.519999999998547</v>
      </c>
      <c r="BD53" s="891"/>
      <c r="BE53" s="891"/>
      <c r="BF53" s="891"/>
      <c r="BG53" s="928"/>
      <c r="BH53" s="928"/>
      <c r="BI53" s="928"/>
    </row>
    <row r="54" spans="1:61">
      <c r="A54" s="891" t="s">
        <v>830</v>
      </c>
      <c r="B54" s="891" t="s">
        <v>616</v>
      </c>
      <c r="C54" s="891" t="s">
        <v>232</v>
      </c>
      <c r="D54" s="891">
        <v>6.77</v>
      </c>
      <c r="E54" s="891">
        <v>40.64</v>
      </c>
      <c r="F54" s="891">
        <v>6.77</v>
      </c>
      <c r="G54" s="891">
        <v>1.76</v>
      </c>
      <c r="H54" s="891">
        <v>2.71</v>
      </c>
      <c r="I54" s="891">
        <v>1.63</v>
      </c>
      <c r="J54" s="891">
        <v>1.35</v>
      </c>
      <c r="K54" s="891">
        <v>1.07</v>
      </c>
      <c r="L54" s="891">
        <v>1.08</v>
      </c>
      <c r="M54" s="891">
        <v>2.7</v>
      </c>
      <c r="N54" s="891">
        <v>9.48</v>
      </c>
      <c r="O54" s="891">
        <v>0.81</v>
      </c>
      <c r="P54" s="891">
        <v>6.1</v>
      </c>
      <c r="Q54" s="891">
        <v>0.98</v>
      </c>
      <c r="R54" s="891">
        <v>1.63</v>
      </c>
      <c r="S54" s="891">
        <v>4.47</v>
      </c>
      <c r="T54" s="891">
        <v>1.02</v>
      </c>
      <c r="U54" s="891">
        <v>7.59</v>
      </c>
      <c r="V54" s="891">
        <v>33.869999999999997</v>
      </c>
      <c r="W54" s="891">
        <v>2.0299999999999998</v>
      </c>
      <c r="X54" s="927">
        <v>22013</v>
      </c>
      <c r="Y54" s="891">
        <v>677.32</v>
      </c>
      <c r="Z54" s="891">
        <v>541.86</v>
      </c>
      <c r="AA54" s="891">
        <v>1219.18</v>
      </c>
      <c r="AB54" s="891">
        <v>894.07</v>
      </c>
      <c r="AC54" s="891">
        <v>246.74</v>
      </c>
      <c r="AD54" s="891">
        <v>0.18</v>
      </c>
      <c r="AE54" s="891">
        <v>16.260000000000002</v>
      </c>
      <c r="AF54" s="891">
        <v>47.41</v>
      </c>
      <c r="AG54" s="891">
        <v>10.84</v>
      </c>
      <c r="AH54" s="891">
        <v>8.81</v>
      </c>
      <c r="AI54" s="891">
        <v>88.05</v>
      </c>
      <c r="AJ54" s="891">
        <v>47.41</v>
      </c>
      <c r="AK54" s="891">
        <v>94.83</v>
      </c>
      <c r="AL54" s="891">
        <v>91.44</v>
      </c>
      <c r="AM54" s="891">
        <v>2980.22</v>
      </c>
      <c r="AN54" s="891">
        <v>2031.97</v>
      </c>
      <c r="AO54" s="891">
        <v>1083.72</v>
      </c>
      <c r="AP54" s="891">
        <v>5</v>
      </c>
      <c r="AQ54" s="891">
        <v>4.0599999999999996</v>
      </c>
      <c r="AR54" s="891">
        <v>0.75</v>
      </c>
      <c r="AS54" s="891">
        <v>12.19</v>
      </c>
      <c r="AT54" s="891">
        <v>1.63</v>
      </c>
      <c r="AU54" s="891">
        <v>1.76</v>
      </c>
      <c r="AV54" s="891">
        <v>0.81</v>
      </c>
      <c r="AW54" s="891">
        <v>1.35</v>
      </c>
      <c r="AX54" s="891">
        <v>2.17</v>
      </c>
      <c r="AY54" s="891">
        <v>1.35</v>
      </c>
      <c r="AZ54" s="891">
        <v>1.63</v>
      </c>
      <c r="BA54" s="891">
        <f t="shared" si="0"/>
        <v>263.18</v>
      </c>
      <c r="BB54" s="926">
        <f t="shared" si="1"/>
        <v>22066.92</v>
      </c>
      <c r="BC54" s="926">
        <f t="shared" si="2"/>
        <v>51.889999999998253</v>
      </c>
      <c r="BD54" s="891"/>
      <c r="BE54" s="891"/>
      <c r="BF54" s="891"/>
      <c r="BG54" s="928"/>
      <c r="BH54" s="928"/>
      <c r="BI54" s="928"/>
    </row>
    <row r="55" spans="1:61">
      <c r="A55" s="891" t="s">
        <v>831</v>
      </c>
      <c r="B55" s="891" t="s">
        <v>579</v>
      </c>
      <c r="C55" s="891" t="s">
        <v>22</v>
      </c>
      <c r="D55" s="891">
        <v>15</v>
      </c>
      <c r="E55" s="891">
        <v>75.72</v>
      </c>
      <c r="F55" s="891">
        <v>7.57</v>
      </c>
      <c r="G55" s="891">
        <v>5.21</v>
      </c>
      <c r="H55" s="891">
        <v>6.63</v>
      </c>
      <c r="I55" s="891">
        <v>2.84</v>
      </c>
      <c r="J55" s="891">
        <v>2.46</v>
      </c>
      <c r="K55" s="891">
        <v>1.42</v>
      </c>
      <c r="L55" s="891">
        <v>1.89</v>
      </c>
      <c r="M55" s="891">
        <v>3.79</v>
      </c>
      <c r="N55" s="891">
        <v>8.51</v>
      </c>
      <c r="O55" s="891">
        <v>2.56</v>
      </c>
      <c r="P55" s="891">
        <v>14.2</v>
      </c>
      <c r="Q55" s="891">
        <v>4.26</v>
      </c>
      <c r="R55" s="891">
        <v>4.7300000000000004</v>
      </c>
      <c r="S55" s="891">
        <v>17.010000000000002</v>
      </c>
      <c r="T55" s="891">
        <v>4.7300000000000004</v>
      </c>
      <c r="U55" s="891">
        <v>9.4700000000000006</v>
      </c>
      <c r="V55" s="891">
        <v>115.48</v>
      </c>
      <c r="W55" s="891">
        <v>1.42</v>
      </c>
      <c r="X55" s="927">
        <v>28395.65</v>
      </c>
      <c r="Y55" s="891">
        <v>1626.12</v>
      </c>
      <c r="Z55" s="891">
        <v>1135.83</v>
      </c>
      <c r="AA55" s="891">
        <v>3407.48</v>
      </c>
      <c r="AB55" s="891">
        <v>1746.33</v>
      </c>
      <c r="AC55" s="891">
        <v>236.63</v>
      </c>
      <c r="AD55" s="891">
        <v>0.56999999999999995</v>
      </c>
      <c r="AE55" s="891">
        <v>56.79</v>
      </c>
      <c r="AF55" s="891">
        <v>56.79</v>
      </c>
      <c r="AG55" s="891">
        <v>18.93</v>
      </c>
      <c r="AH55" s="891">
        <v>14.2</v>
      </c>
      <c r="AI55" s="891">
        <v>94.65</v>
      </c>
      <c r="AJ55" s="891">
        <v>61.52</v>
      </c>
      <c r="AK55" s="891">
        <v>141.97999999999999</v>
      </c>
      <c r="AL55" s="891">
        <v>141.97999999999999</v>
      </c>
      <c r="AM55" s="891">
        <v>4259.3500000000004</v>
      </c>
      <c r="AN55" s="891">
        <v>3312.83</v>
      </c>
      <c r="AO55" s="891">
        <v>3786.09</v>
      </c>
      <c r="AP55" s="891">
        <v>6</v>
      </c>
      <c r="AQ55" s="891">
        <v>2.84</v>
      </c>
      <c r="AR55" s="891">
        <v>1.95</v>
      </c>
      <c r="AS55" s="891">
        <v>43.16</v>
      </c>
      <c r="AT55" s="891">
        <v>3.79</v>
      </c>
      <c r="AU55" s="891">
        <v>2.84</v>
      </c>
      <c r="AV55" s="891">
        <v>2.84</v>
      </c>
      <c r="AW55" s="891">
        <v>1.89</v>
      </c>
      <c r="AX55" s="891">
        <v>3.79</v>
      </c>
      <c r="AY55" s="891">
        <v>2.84</v>
      </c>
      <c r="AZ55" s="891">
        <v>4.7300000000000004</v>
      </c>
      <c r="BA55" s="891">
        <f t="shared" si="0"/>
        <v>293.99</v>
      </c>
      <c r="BB55" s="926">
        <f t="shared" si="1"/>
        <v>28565.230000000003</v>
      </c>
      <c r="BC55" s="926">
        <f t="shared" si="2"/>
        <v>168.16000000000176</v>
      </c>
      <c r="BD55" s="891"/>
      <c r="BE55" s="891"/>
      <c r="BF55" s="891"/>
      <c r="BG55" s="928"/>
      <c r="BH55" s="928"/>
      <c r="BI55" s="928"/>
    </row>
    <row r="56" spans="1:61">
      <c r="A56" s="891" t="s">
        <v>832</v>
      </c>
      <c r="B56" s="891" t="s">
        <v>1569</v>
      </c>
      <c r="C56" s="891" t="s">
        <v>38</v>
      </c>
      <c r="D56" s="891">
        <v>17.55</v>
      </c>
      <c r="E56" s="891">
        <v>79.77</v>
      </c>
      <c r="F56" s="891">
        <v>7.98</v>
      </c>
      <c r="G56" s="891">
        <v>5.19</v>
      </c>
      <c r="H56" s="891">
        <v>5.58</v>
      </c>
      <c r="I56" s="891">
        <v>1.91</v>
      </c>
      <c r="J56" s="891">
        <v>1.91</v>
      </c>
      <c r="K56" s="891">
        <v>1.6</v>
      </c>
      <c r="L56" s="891">
        <v>1.91</v>
      </c>
      <c r="M56" s="891">
        <v>3.83</v>
      </c>
      <c r="N56" s="891">
        <v>11.97</v>
      </c>
      <c r="O56" s="891">
        <v>1.99</v>
      </c>
      <c r="P56" s="891">
        <v>15.94</v>
      </c>
      <c r="Q56" s="891">
        <v>2.87</v>
      </c>
      <c r="R56" s="891">
        <v>2.2999999999999998</v>
      </c>
      <c r="S56" s="891">
        <v>11.97</v>
      </c>
      <c r="T56" s="891">
        <v>4.1500000000000004</v>
      </c>
      <c r="U56" s="891">
        <v>15.94</v>
      </c>
      <c r="V56" s="891">
        <v>102.05</v>
      </c>
      <c r="W56" s="891">
        <v>2.17</v>
      </c>
      <c r="X56" s="927">
        <v>26324.19</v>
      </c>
      <c r="Y56" s="891">
        <v>1116.78</v>
      </c>
      <c r="Z56" s="891">
        <v>877.47</v>
      </c>
      <c r="AA56" s="891">
        <v>2393.11</v>
      </c>
      <c r="AB56" s="891">
        <v>1754.95</v>
      </c>
      <c r="AC56" s="891">
        <v>215.38</v>
      </c>
      <c r="AD56" s="891">
        <v>0.13</v>
      </c>
      <c r="AE56" s="891">
        <v>30.3</v>
      </c>
      <c r="AF56" s="891">
        <v>55.84</v>
      </c>
      <c r="AG56" s="891">
        <v>15.95</v>
      </c>
      <c r="AH56" s="891">
        <v>12.76</v>
      </c>
      <c r="AI56" s="891">
        <v>89.34</v>
      </c>
      <c r="AJ56" s="891">
        <v>43.08</v>
      </c>
      <c r="AK56" s="891">
        <v>127.63</v>
      </c>
      <c r="AL56" s="891">
        <v>126.04</v>
      </c>
      <c r="AM56" s="891">
        <v>9971.2800000000007</v>
      </c>
      <c r="AN56" s="891">
        <v>5185.07</v>
      </c>
      <c r="AO56" s="891">
        <v>2592.5300000000002</v>
      </c>
      <c r="AP56" s="891">
        <v>5</v>
      </c>
      <c r="AQ56" s="891">
        <v>4.1500000000000004</v>
      </c>
      <c r="AR56" s="891">
        <v>1.6</v>
      </c>
      <c r="AS56" s="891">
        <v>28.8</v>
      </c>
      <c r="AT56" s="891">
        <v>2.86</v>
      </c>
      <c r="AU56" s="891">
        <v>2.86</v>
      </c>
      <c r="AV56" s="891">
        <v>1.99</v>
      </c>
      <c r="AW56" s="891">
        <v>1.6</v>
      </c>
      <c r="AX56" s="891">
        <v>3.67</v>
      </c>
      <c r="AY56" s="891">
        <v>1.6</v>
      </c>
      <c r="AZ56" s="891">
        <v>3.19</v>
      </c>
      <c r="BA56" s="891">
        <f t="shared" si="0"/>
        <v>245.81</v>
      </c>
      <c r="BB56" s="926">
        <f t="shared" si="1"/>
        <v>26467.109999999997</v>
      </c>
      <c r="BC56" s="926">
        <f t="shared" si="2"/>
        <v>140.74999999999827</v>
      </c>
      <c r="BD56" s="891"/>
      <c r="BE56" s="891"/>
      <c r="BF56" s="891"/>
      <c r="BG56" s="928"/>
      <c r="BH56" s="928"/>
      <c r="BI56" s="928"/>
    </row>
    <row r="57" spans="1:61">
      <c r="A57" s="891" t="s">
        <v>833</v>
      </c>
      <c r="B57" s="891" t="s">
        <v>1586</v>
      </c>
      <c r="C57" s="891" t="s">
        <v>254</v>
      </c>
      <c r="D57" s="891">
        <v>5.31</v>
      </c>
      <c r="E57" s="891">
        <v>26.54</v>
      </c>
      <c r="F57" s="891">
        <v>6.37</v>
      </c>
      <c r="G57" s="891">
        <v>1.49</v>
      </c>
      <c r="H57" s="891">
        <v>1.83</v>
      </c>
      <c r="I57" s="891">
        <v>1.59</v>
      </c>
      <c r="J57" s="891">
        <v>1.06</v>
      </c>
      <c r="K57" s="891">
        <v>0.96</v>
      </c>
      <c r="L57" s="891">
        <v>1.17</v>
      </c>
      <c r="M57" s="891">
        <v>2.16</v>
      </c>
      <c r="N57" s="891">
        <v>7.96</v>
      </c>
      <c r="O57" s="891">
        <v>0.64</v>
      </c>
      <c r="P57" s="891">
        <v>5.31</v>
      </c>
      <c r="Q57" s="891">
        <v>0.72</v>
      </c>
      <c r="R57" s="891">
        <v>1.33</v>
      </c>
      <c r="S57" s="891">
        <v>4.46</v>
      </c>
      <c r="T57" s="891">
        <v>1.33</v>
      </c>
      <c r="U57" s="891">
        <v>7.96</v>
      </c>
      <c r="V57" s="891">
        <v>29.2</v>
      </c>
      <c r="W57" s="891">
        <v>1.96</v>
      </c>
      <c r="X57" s="927">
        <v>21234.240000000002</v>
      </c>
      <c r="Y57" s="891">
        <v>530.86</v>
      </c>
      <c r="Z57" s="891">
        <v>371.6</v>
      </c>
      <c r="AA57" s="891">
        <v>951.9</v>
      </c>
      <c r="AB57" s="891">
        <v>677.32</v>
      </c>
      <c r="AC57" s="891">
        <v>185.8</v>
      </c>
      <c r="AD57" s="891">
        <v>0.27</v>
      </c>
      <c r="AE57" s="891">
        <v>21.23</v>
      </c>
      <c r="AF57" s="891">
        <v>53.09</v>
      </c>
      <c r="AG57" s="891">
        <v>13.8</v>
      </c>
      <c r="AH57" s="891">
        <v>8.49</v>
      </c>
      <c r="AI57" s="891">
        <v>106.17</v>
      </c>
      <c r="AJ57" s="891">
        <v>37.159999999999997</v>
      </c>
      <c r="AK57" s="891">
        <v>106.17</v>
      </c>
      <c r="AL57" s="891">
        <v>84.94</v>
      </c>
      <c r="AM57" s="891">
        <v>2601.19</v>
      </c>
      <c r="AN57" s="891">
        <v>1990.71</v>
      </c>
      <c r="AO57" s="891">
        <v>1088.25</v>
      </c>
      <c r="AP57" s="891">
        <v>3.87</v>
      </c>
      <c r="AQ57" s="891">
        <v>2.12</v>
      </c>
      <c r="AR57" s="891">
        <v>1.49</v>
      </c>
      <c r="AS57" s="891">
        <v>15.93</v>
      </c>
      <c r="AT57" s="891">
        <v>1.59</v>
      </c>
      <c r="AU57" s="891">
        <v>1.59</v>
      </c>
      <c r="AV57" s="891">
        <v>0.8</v>
      </c>
      <c r="AW57" s="891">
        <v>0.95</v>
      </c>
      <c r="AX57" s="891">
        <v>1.86</v>
      </c>
      <c r="AY57" s="891">
        <v>1.59</v>
      </c>
      <c r="AZ57" s="891">
        <v>1.88</v>
      </c>
      <c r="BA57" s="891">
        <f t="shared" si="0"/>
        <v>207.3</v>
      </c>
      <c r="BB57" s="926">
        <f t="shared" si="1"/>
        <v>21286.270000000004</v>
      </c>
      <c r="BC57" s="926">
        <f t="shared" si="2"/>
        <v>50.070000000002473</v>
      </c>
      <c r="BD57" s="891"/>
      <c r="BE57" s="891"/>
      <c r="BF57" s="891"/>
      <c r="BG57" s="928"/>
      <c r="BH57" s="928"/>
      <c r="BI57" s="928"/>
    </row>
    <row r="58" spans="1:61">
      <c r="A58" s="891" t="s">
        <v>834</v>
      </c>
      <c r="B58" s="891" t="s">
        <v>587</v>
      </c>
      <c r="C58" s="891" t="s">
        <v>54</v>
      </c>
      <c r="D58" s="891">
        <v>17.61</v>
      </c>
      <c r="E58" s="891">
        <v>81.28</v>
      </c>
      <c r="F58" s="891">
        <v>10.16</v>
      </c>
      <c r="G58" s="891">
        <v>4.74</v>
      </c>
      <c r="H58" s="891">
        <v>4.74</v>
      </c>
      <c r="I58" s="891">
        <v>2.71</v>
      </c>
      <c r="J58" s="891">
        <v>2.71</v>
      </c>
      <c r="K58" s="891">
        <v>1.35</v>
      </c>
      <c r="L58" s="891">
        <v>2.0299999999999998</v>
      </c>
      <c r="M58" s="891">
        <v>3.12</v>
      </c>
      <c r="N58" s="891">
        <v>15.07</v>
      </c>
      <c r="O58" s="891">
        <v>1.52</v>
      </c>
      <c r="P58" s="891">
        <v>8.1300000000000008</v>
      </c>
      <c r="Q58" s="891">
        <v>1.63</v>
      </c>
      <c r="R58" s="891">
        <v>2.2400000000000002</v>
      </c>
      <c r="S58" s="891">
        <v>6.77</v>
      </c>
      <c r="T58" s="891">
        <v>2.71</v>
      </c>
      <c r="U58" s="891">
        <v>13.55</v>
      </c>
      <c r="V58" s="891">
        <v>62.99</v>
      </c>
      <c r="W58" s="891">
        <v>2.17</v>
      </c>
      <c r="X58" s="927">
        <v>27092.93</v>
      </c>
      <c r="Y58" s="891">
        <v>1015.98</v>
      </c>
      <c r="Z58" s="891">
        <v>812.79</v>
      </c>
      <c r="AA58" s="891">
        <v>2031.97</v>
      </c>
      <c r="AB58" s="891">
        <v>1625.58</v>
      </c>
      <c r="AC58" s="891">
        <v>190.78</v>
      </c>
      <c r="AD58" s="891">
        <v>0.34</v>
      </c>
      <c r="AE58" s="891">
        <v>47.41</v>
      </c>
      <c r="AF58" s="891">
        <v>67.73</v>
      </c>
      <c r="AG58" s="891">
        <v>20.32</v>
      </c>
      <c r="AH58" s="891">
        <v>12.19</v>
      </c>
      <c r="AI58" s="891">
        <v>101.6</v>
      </c>
      <c r="AJ58" s="891">
        <v>67.73</v>
      </c>
      <c r="AK58" s="891">
        <v>125.3</v>
      </c>
      <c r="AL58" s="891">
        <v>135.46</v>
      </c>
      <c r="AM58" s="891">
        <v>3928.47</v>
      </c>
      <c r="AN58" s="891">
        <v>2709.29</v>
      </c>
      <c r="AO58" s="891">
        <v>2777.03</v>
      </c>
      <c r="AP58" s="891">
        <v>4</v>
      </c>
      <c r="AQ58" s="891">
        <v>3.25</v>
      </c>
      <c r="AR58" s="891">
        <v>2.44</v>
      </c>
      <c r="AS58" s="891">
        <v>40.64</v>
      </c>
      <c r="AT58" s="891">
        <v>2.71</v>
      </c>
      <c r="AU58" s="891">
        <v>3.06</v>
      </c>
      <c r="AV58" s="891">
        <v>1.49</v>
      </c>
      <c r="AW58" s="891">
        <v>1.69</v>
      </c>
      <c r="AX58" s="891">
        <v>3.39</v>
      </c>
      <c r="AY58" s="891">
        <v>2.71</v>
      </c>
      <c r="AZ58" s="891">
        <v>2.71</v>
      </c>
      <c r="BA58" s="891">
        <f t="shared" si="0"/>
        <v>238.53</v>
      </c>
      <c r="BB58" s="926">
        <f t="shared" si="1"/>
        <v>27207.129999999997</v>
      </c>
      <c r="BC58" s="926">
        <f t="shared" si="2"/>
        <v>112.02999999999709</v>
      </c>
      <c r="BD58" s="891"/>
      <c r="BE58" s="891"/>
      <c r="BF58" s="891"/>
      <c r="BG58" s="928"/>
      <c r="BH58" s="928"/>
      <c r="BI58" s="928"/>
    </row>
    <row r="59" spans="1:61">
      <c r="A59" s="891" t="s">
        <v>835</v>
      </c>
      <c r="B59" s="891" t="s">
        <v>638</v>
      </c>
      <c r="C59" s="891" t="s">
        <v>302</v>
      </c>
      <c r="D59" s="891">
        <v>6.09</v>
      </c>
      <c r="E59" s="891">
        <v>30.43</v>
      </c>
      <c r="F59" s="891">
        <v>5.48</v>
      </c>
      <c r="G59" s="891">
        <v>1.52</v>
      </c>
      <c r="H59" s="891">
        <v>2.13</v>
      </c>
      <c r="I59" s="891">
        <v>1.22</v>
      </c>
      <c r="J59" s="891">
        <v>0.91</v>
      </c>
      <c r="K59" s="891">
        <v>1.22</v>
      </c>
      <c r="L59" s="891">
        <v>0.61</v>
      </c>
      <c r="M59" s="891">
        <v>2.71</v>
      </c>
      <c r="N59" s="891">
        <v>6.09</v>
      </c>
      <c r="O59" s="891">
        <v>0.76</v>
      </c>
      <c r="P59" s="891">
        <v>4.5599999999999996</v>
      </c>
      <c r="Q59" s="891">
        <v>0.91</v>
      </c>
      <c r="R59" s="891">
        <v>1.52</v>
      </c>
      <c r="S59" s="891">
        <v>3.96</v>
      </c>
      <c r="T59" s="891">
        <v>0.46</v>
      </c>
      <c r="U59" s="891">
        <v>5.78</v>
      </c>
      <c r="V59" s="891">
        <v>15.22</v>
      </c>
      <c r="W59" s="891">
        <v>1.83</v>
      </c>
      <c r="X59" s="927">
        <v>19780.29</v>
      </c>
      <c r="Y59" s="891">
        <v>456.47</v>
      </c>
      <c r="Z59" s="891">
        <v>304.31</v>
      </c>
      <c r="AA59" s="891">
        <v>760.78</v>
      </c>
      <c r="AB59" s="891">
        <v>541.86</v>
      </c>
      <c r="AC59" s="891">
        <v>121.72</v>
      </c>
      <c r="AD59" s="891">
        <v>0.24</v>
      </c>
      <c r="AE59" s="891">
        <v>9.1300000000000008</v>
      </c>
      <c r="AF59" s="891">
        <v>45.65</v>
      </c>
      <c r="AG59" s="891">
        <v>15.22</v>
      </c>
      <c r="AH59" s="891">
        <v>7.61</v>
      </c>
      <c r="AI59" s="891">
        <v>91.29</v>
      </c>
      <c r="AJ59" s="891">
        <v>45.65</v>
      </c>
      <c r="AK59" s="891">
        <v>91.29</v>
      </c>
      <c r="AL59" s="891">
        <v>91.29</v>
      </c>
      <c r="AM59" s="891">
        <v>1978.03</v>
      </c>
      <c r="AN59" s="891">
        <v>1217.25</v>
      </c>
      <c r="AO59" s="891">
        <v>608.62</v>
      </c>
      <c r="AP59" s="891">
        <v>8</v>
      </c>
      <c r="AQ59" s="891">
        <v>0.43</v>
      </c>
      <c r="AR59" s="891">
        <v>0.43</v>
      </c>
      <c r="AS59" s="891">
        <v>4.26</v>
      </c>
      <c r="AT59" s="891">
        <v>1.22</v>
      </c>
      <c r="AU59" s="891">
        <v>1.52</v>
      </c>
      <c r="AV59" s="891">
        <v>0.61</v>
      </c>
      <c r="AW59" s="891">
        <v>0.61</v>
      </c>
      <c r="AX59" s="891">
        <v>2.13</v>
      </c>
      <c r="AY59" s="891">
        <v>1.52</v>
      </c>
      <c r="AZ59" s="891">
        <v>1.52</v>
      </c>
      <c r="BA59" s="891">
        <f t="shared" si="0"/>
        <v>131.09</v>
      </c>
      <c r="BB59" s="926">
        <f t="shared" si="1"/>
        <v>19802.919999999998</v>
      </c>
      <c r="BC59" s="926">
        <f t="shared" si="2"/>
        <v>20.799999999997382</v>
      </c>
      <c r="BD59" s="891"/>
      <c r="BE59" s="891"/>
      <c r="BF59" s="891"/>
      <c r="BG59" s="928"/>
      <c r="BH59" s="928"/>
      <c r="BI59" s="928"/>
    </row>
    <row r="60" spans="1:61">
      <c r="A60" s="891" t="s">
        <v>836</v>
      </c>
      <c r="B60" s="891" t="s">
        <v>618</v>
      </c>
      <c r="C60" s="891" t="s">
        <v>261</v>
      </c>
      <c r="D60" s="891">
        <v>6.43</v>
      </c>
      <c r="E60" s="891">
        <v>36.74</v>
      </c>
      <c r="F60" s="891">
        <v>6.43</v>
      </c>
      <c r="G60" s="891">
        <v>1.79</v>
      </c>
      <c r="H60" s="891">
        <v>2.0699999999999998</v>
      </c>
      <c r="I60" s="891">
        <v>1.1499999999999999</v>
      </c>
      <c r="J60" s="891">
        <v>0.83</v>
      </c>
      <c r="K60" s="891">
        <v>1.01</v>
      </c>
      <c r="L60" s="891">
        <v>0.83</v>
      </c>
      <c r="M60" s="891">
        <v>2.2999999999999998</v>
      </c>
      <c r="N60" s="891">
        <v>6.89</v>
      </c>
      <c r="O60" s="891">
        <v>0.51</v>
      </c>
      <c r="P60" s="891">
        <v>4.59</v>
      </c>
      <c r="Q60" s="891">
        <v>0.92</v>
      </c>
      <c r="R60" s="891">
        <v>1.38</v>
      </c>
      <c r="S60" s="891">
        <v>3.67</v>
      </c>
      <c r="T60" s="891">
        <v>1.61</v>
      </c>
      <c r="U60" s="891">
        <v>6.64</v>
      </c>
      <c r="V60" s="891">
        <v>45.92</v>
      </c>
      <c r="W60" s="891">
        <v>1.93</v>
      </c>
      <c r="X60" s="927">
        <v>20663.54</v>
      </c>
      <c r="Y60" s="891">
        <v>298.47000000000003</v>
      </c>
      <c r="Z60" s="891">
        <v>229.59</v>
      </c>
      <c r="AA60" s="891">
        <v>551.03</v>
      </c>
      <c r="AB60" s="891">
        <v>413.27</v>
      </c>
      <c r="AC60" s="891">
        <v>229.59</v>
      </c>
      <c r="AD60" s="891">
        <v>0.16</v>
      </c>
      <c r="AE60" s="891">
        <v>20.66</v>
      </c>
      <c r="AF60" s="891">
        <v>51.84</v>
      </c>
      <c r="AG60" s="891">
        <v>13.78</v>
      </c>
      <c r="AH60" s="891">
        <v>6.89</v>
      </c>
      <c r="AI60" s="891">
        <v>91.84</v>
      </c>
      <c r="AJ60" s="891">
        <v>36.74</v>
      </c>
      <c r="AK60" s="891">
        <v>91.84</v>
      </c>
      <c r="AL60" s="891">
        <v>91.84</v>
      </c>
      <c r="AM60" s="891">
        <v>1721.96</v>
      </c>
      <c r="AN60" s="891">
        <v>1147.97</v>
      </c>
      <c r="AO60" s="891">
        <v>688.78</v>
      </c>
      <c r="AP60" s="891">
        <v>9</v>
      </c>
      <c r="AQ60" s="891">
        <v>1.61</v>
      </c>
      <c r="AR60" s="891">
        <v>1.1000000000000001</v>
      </c>
      <c r="AS60" s="891">
        <v>16.53</v>
      </c>
      <c r="AT60" s="891">
        <v>1.38</v>
      </c>
      <c r="AU60" s="891">
        <v>1.61</v>
      </c>
      <c r="AV60" s="891">
        <v>0.83</v>
      </c>
      <c r="AW60" s="891">
        <v>0.83</v>
      </c>
      <c r="AX60" s="891">
        <v>1.61</v>
      </c>
      <c r="AY60" s="891">
        <v>1.38</v>
      </c>
      <c r="AZ60" s="891">
        <v>1.84</v>
      </c>
      <c r="BA60" s="891">
        <f t="shared" si="0"/>
        <v>250.41</v>
      </c>
      <c r="BB60" s="926">
        <f t="shared" si="1"/>
        <v>20732.239999999998</v>
      </c>
      <c r="BC60" s="926">
        <f t="shared" si="2"/>
        <v>66.769999999997083</v>
      </c>
      <c r="BD60" s="891"/>
      <c r="BE60" s="891"/>
      <c r="BF60" s="891"/>
      <c r="BG60" s="928"/>
      <c r="BH60" s="928"/>
      <c r="BI60" s="928"/>
    </row>
    <row r="61" spans="1:61">
      <c r="A61" s="891" t="s">
        <v>1587</v>
      </c>
      <c r="B61" s="891" t="s">
        <v>610</v>
      </c>
      <c r="C61" s="891" t="s">
        <v>214</v>
      </c>
      <c r="D61" s="891">
        <v>10</v>
      </c>
      <c r="E61" s="891">
        <v>40</v>
      </c>
      <c r="F61" s="891">
        <v>9.08</v>
      </c>
      <c r="G61" s="891">
        <v>2.11</v>
      </c>
      <c r="H61" s="891">
        <v>4.5</v>
      </c>
      <c r="I61" s="891">
        <v>1.56</v>
      </c>
      <c r="J61" s="891">
        <v>1.4</v>
      </c>
      <c r="K61" s="891">
        <v>1.26</v>
      </c>
      <c r="L61" s="891">
        <v>1.5</v>
      </c>
      <c r="M61" s="891">
        <v>2.4500000000000002</v>
      </c>
      <c r="N61" s="891">
        <v>10</v>
      </c>
      <c r="O61" s="891">
        <v>1.21</v>
      </c>
      <c r="P61" s="891">
        <v>6.02</v>
      </c>
      <c r="Q61" s="891">
        <v>1.5</v>
      </c>
      <c r="R61" s="891">
        <v>3</v>
      </c>
      <c r="S61" s="891">
        <v>2</v>
      </c>
      <c r="T61" s="891">
        <v>0.41</v>
      </c>
      <c r="U61" s="891">
        <v>9.69</v>
      </c>
      <c r="V61" s="891">
        <v>18</v>
      </c>
      <c r="W61" s="891">
        <v>1.4</v>
      </c>
      <c r="X61" s="927">
        <v>25000</v>
      </c>
      <c r="Y61" s="891">
        <v>500</v>
      </c>
      <c r="Z61" s="891">
        <v>375.09</v>
      </c>
      <c r="AA61" s="891">
        <v>951.81</v>
      </c>
      <c r="AB61" s="891">
        <v>702.81</v>
      </c>
      <c r="AC61" s="891">
        <v>110.82</v>
      </c>
      <c r="AD61" s="891">
        <v>0.38</v>
      </c>
      <c r="AE61" s="891">
        <v>33.51</v>
      </c>
      <c r="AF61" s="891">
        <v>50</v>
      </c>
      <c r="AG61" s="891">
        <v>18.93</v>
      </c>
      <c r="AH61" s="891">
        <v>8.5</v>
      </c>
      <c r="AI61" s="891">
        <v>100.3</v>
      </c>
      <c r="AJ61" s="891">
        <v>71.22</v>
      </c>
      <c r="AK61" s="891">
        <v>125</v>
      </c>
      <c r="AL61" s="891">
        <v>118.94</v>
      </c>
      <c r="AM61" s="891">
        <v>2500</v>
      </c>
      <c r="AN61" s="891">
        <v>1790.6</v>
      </c>
      <c r="AO61" s="891">
        <v>1054.96</v>
      </c>
      <c r="AP61" s="891">
        <v>19.5</v>
      </c>
      <c r="AQ61" s="891">
        <v>1.81</v>
      </c>
      <c r="AR61" s="891">
        <v>1.02</v>
      </c>
      <c r="AS61" s="891">
        <v>10.74</v>
      </c>
      <c r="AT61" s="891">
        <v>2.52</v>
      </c>
      <c r="AU61" s="891">
        <v>1.35</v>
      </c>
      <c r="AV61" s="891">
        <v>1.1000000000000001</v>
      </c>
      <c r="AW61" s="891">
        <v>1.1499999999999999</v>
      </c>
      <c r="AX61" s="891">
        <v>3.48</v>
      </c>
      <c r="AY61" s="891">
        <v>1.66</v>
      </c>
      <c r="AZ61" s="891">
        <v>2.1</v>
      </c>
      <c r="BA61" s="891">
        <f t="shared" si="0"/>
        <v>144.70999999999998</v>
      </c>
      <c r="BB61" s="926">
        <f t="shared" si="1"/>
        <v>25033.380000000005</v>
      </c>
      <c r="BC61" s="926">
        <f t="shared" si="2"/>
        <v>31.980000000004658</v>
      </c>
      <c r="BD61" s="891"/>
      <c r="BE61" s="891"/>
      <c r="BF61" s="891"/>
      <c r="BG61" s="928"/>
      <c r="BH61" s="928"/>
      <c r="BI61" s="928"/>
    </row>
    <row r="62" spans="1:61">
      <c r="A62" s="891" t="s">
        <v>838</v>
      </c>
      <c r="B62" s="891" t="s">
        <v>1588</v>
      </c>
      <c r="C62" s="891" t="s">
        <v>167</v>
      </c>
      <c r="D62" s="891">
        <v>10</v>
      </c>
      <c r="E62" s="891">
        <v>45</v>
      </c>
      <c r="F62" s="891">
        <v>7</v>
      </c>
      <c r="G62" s="891">
        <v>3.5</v>
      </c>
      <c r="H62" s="891">
        <v>4</v>
      </c>
      <c r="I62" s="891">
        <v>2</v>
      </c>
      <c r="J62" s="891">
        <v>1</v>
      </c>
      <c r="K62" s="891">
        <v>0.79</v>
      </c>
      <c r="L62" s="891">
        <v>2</v>
      </c>
      <c r="M62" s="891">
        <v>2</v>
      </c>
      <c r="N62" s="891">
        <v>10.15</v>
      </c>
      <c r="O62" s="891">
        <v>1.25</v>
      </c>
      <c r="P62" s="891">
        <v>12</v>
      </c>
      <c r="Q62" s="891">
        <v>2</v>
      </c>
      <c r="R62" s="891">
        <v>3</v>
      </c>
      <c r="S62" s="891">
        <v>10</v>
      </c>
      <c r="T62" s="891">
        <v>2</v>
      </c>
      <c r="U62" s="891">
        <v>7</v>
      </c>
      <c r="V62" s="891">
        <v>69.5</v>
      </c>
      <c r="W62" s="891">
        <v>1.03</v>
      </c>
      <c r="X62" s="927">
        <v>19404</v>
      </c>
      <c r="Y62" s="891">
        <v>725</v>
      </c>
      <c r="Z62" s="891">
        <v>705</v>
      </c>
      <c r="AA62" s="891">
        <v>1350</v>
      </c>
      <c r="AB62" s="891">
        <v>1075</v>
      </c>
      <c r="AC62" s="891">
        <v>137.24</v>
      </c>
      <c r="AD62" s="891">
        <v>0.3</v>
      </c>
      <c r="AE62" s="891">
        <v>40</v>
      </c>
      <c r="AF62" s="891">
        <v>30</v>
      </c>
      <c r="AG62" s="891">
        <v>15.19</v>
      </c>
      <c r="AH62" s="891">
        <v>10.5</v>
      </c>
      <c r="AI62" s="891">
        <v>40</v>
      </c>
      <c r="AJ62" s="891">
        <v>35.299999999999997</v>
      </c>
      <c r="AK62" s="891">
        <v>80</v>
      </c>
      <c r="AL62" s="891">
        <v>82.5</v>
      </c>
      <c r="AM62" s="891">
        <v>1291.67</v>
      </c>
      <c r="AN62" s="891">
        <v>645.83000000000004</v>
      </c>
      <c r="AO62" s="891">
        <v>3217</v>
      </c>
      <c r="AP62" s="891">
        <v>4.5</v>
      </c>
      <c r="AQ62" s="891">
        <v>2.5</v>
      </c>
      <c r="AR62" s="891">
        <v>1.86</v>
      </c>
      <c r="AS62" s="891">
        <v>30</v>
      </c>
      <c r="AT62" s="891">
        <v>4.1900000000000004</v>
      </c>
      <c r="AU62" s="891">
        <v>3.75</v>
      </c>
      <c r="AV62" s="891">
        <v>1.84</v>
      </c>
      <c r="AW62" s="891">
        <v>1.75</v>
      </c>
      <c r="AX62" s="891">
        <v>3</v>
      </c>
      <c r="AY62" s="891">
        <v>4.3899999999999997</v>
      </c>
      <c r="AZ62" s="891">
        <v>5.51</v>
      </c>
      <c r="BA62" s="891">
        <f t="shared" si="0"/>
        <v>177.54000000000002</v>
      </c>
      <c r="BB62" s="926">
        <f t="shared" si="1"/>
        <v>19510.89</v>
      </c>
      <c r="BC62" s="926">
        <f t="shared" si="2"/>
        <v>105.85999999999942</v>
      </c>
      <c r="BD62" s="891"/>
      <c r="BE62" s="891"/>
      <c r="BF62" s="891"/>
      <c r="BG62" s="928"/>
      <c r="BH62" s="928"/>
      <c r="BI62" s="928"/>
    </row>
    <row r="63" spans="1:61">
      <c r="A63" s="891" t="s">
        <v>839</v>
      </c>
      <c r="B63" s="891" t="s">
        <v>1589</v>
      </c>
      <c r="C63" s="891" t="s">
        <v>119</v>
      </c>
      <c r="D63" s="891">
        <v>4.67</v>
      </c>
      <c r="E63" s="891">
        <v>20.53</v>
      </c>
      <c r="F63" s="891">
        <v>5.51</v>
      </c>
      <c r="G63" s="891">
        <v>2.8</v>
      </c>
      <c r="H63" s="891">
        <v>5.04</v>
      </c>
      <c r="I63" s="891">
        <v>1.1200000000000001</v>
      </c>
      <c r="J63" s="891">
        <v>0.75</v>
      </c>
      <c r="K63" s="891">
        <v>2.33</v>
      </c>
      <c r="L63" s="891">
        <v>2.33</v>
      </c>
      <c r="M63" s="891">
        <v>3.27</v>
      </c>
      <c r="N63" s="891">
        <v>25.67</v>
      </c>
      <c r="O63" s="891">
        <v>1.26</v>
      </c>
      <c r="P63" s="891">
        <v>14</v>
      </c>
      <c r="Q63" s="891">
        <v>1.49</v>
      </c>
      <c r="R63" s="891">
        <v>3.27</v>
      </c>
      <c r="S63" s="891">
        <v>2.52</v>
      </c>
      <c r="T63" s="891">
        <v>1.35</v>
      </c>
      <c r="U63" s="891">
        <v>7.93</v>
      </c>
      <c r="V63" s="891">
        <v>112</v>
      </c>
      <c r="W63" s="891">
        <v>1.85</v>
      </c>
      <c r="X63" s="927">
        <v>22341.89</v>
      </c>
      <c r="Y63" s="891">
        <v>466.68</v>
      </c>
      <c r="Z63" s="891">
        <v>466.68</v>
      </c>
      <c r="AA63" s="891">
        <v>1400.04</v>
      </c>
      <c r="AB63" s="891">
        <v>1120.03</v>
      </c>
      <c r="AC63" s="891">
        <v>93.34</v>
      </c>
      <c r="AD63" s="891">
        <v>0.41</v>
      </c>
      <c r="AE63" s="891">
        <v>22</v>
      </c>
      <c r="AF63" s="891">
        <v>46.67</v>
      </c>
      <c r="AG63" s="891">
        <v>26.6</v>
      </c>
      <c r="AH63" s="891">
        <v>7.93</v>
      </c>
      <c r="AI63" s="891">
        <v>74.67</v>
      </c>
      <c r="AJ63" s="891">
        <v>53.67</v>
      </c>
      <c r="AK63" s="891">
        <v>112</v>
      </c>
      <c r="AL63" s="891">
        <v>140</v>
      </c>
      <c r="AM63" s="891">
        <v>6673.51</v>
      </c>
      <c r="AN63" s="891">
        <v>4480.12</v>
      </c>
      <c r="AO63" s="891">
        <v>1633.38</v>
      </c>
      <c r="AP63" s="891">
        <v>3</v>
      </c>
      <c r="AQ63" s="891">
        <v>2.33</v>
      </c>
      <c r="AR63" s="891">
        <v>1.96</v>
      </c>
      <c r="AS63" s="891">
        <v>18.670000000000002</v>
      </c>
      <c r="AT63" s="891">
        <v>4.67</v>
      </c>
      <c r="AU63" s="891">
        <v>4.67</v>
      </c>
      <c r="AV63" s="891">
        <v>3.73</v>
      </c>
      <c r="AW63" s="891">
        <v>1.87</v>
      </c>
      <c r="AX63" s="891">
        <v>4.2</v>
      </c>
      <c r="AY63" s="891">
        <v>4.3099999999999996</v>
      </c>
      <c r="AZ63" s="891">
        <v>4.67</v>
      </c>
      <c r="BA63" s="891">
        <f t="shared" si="0"/>
        <v>115.75</v>
      </c>
      <c r="BB63" s="926">
        <f t="shared" si="1"/>
        <v>22480.05</v>
      </c>
      <c r="BC63" s="926">
        <f t="shared" si="2"/>
        <v>136.30999999999986</v>
      </c>
      <c r="BD63" s="891"/>
      <c r="BE63" s="891"/>
      <c r="BF63" s="891"/>
      <c r="BG63" s="928"/>
      <c r="BH63" s="928"/>
      <c r="BI63" s="928"/>
    </row>
    <row r="64" spans="1:61">
      <c r="A64" s="891" t="s">
        <v>840</v>
      </c>
      <c r="B64" s="891" t="s">
        <v>629</v>
      </c>
      <c r="C64" s="891" t="s">
        <v>315</v>
      </c>
      <c r="D64" s="891">
        <v>6.46</v>
      </c>
      <c r="E64" s="891">
        <v>29.9</v>
      </c>
      <c r="F64" s="891">
        <v>5.17</v>
      </c>
      <c r="G64" s="891">
        <v>1.94</v>
      </c>
      <c r="H64" s="891">
        <v>1.62</v>
      </c>
      <c r="I64" s="891">
        <v>1.45</v>
      </c>
      <c r="J64" s="891">
        <v>0.92</v>
      </c>
      <c r="K64" s="891">
        <v>0.81</v>
      </c>
      <c r="L64" s="891">
        <v>0.65</v>
      </c>
      <c r="M64" s="891">
        <v>2.2599999999999998</v>
      </c>
      <c r="N64" s="891">
        <v>6.46</v>
      </c>
      <c r="O64" s="891">
        <v>0.65</v>
      </c>
      <c r="P64" s="891">
        <v>5.5</v>
      </c>
      <c r="Q64" s="891">
        <v>0.97</v>
      </c>
      <c r="R64" s="891">
        <v>1.29</v>
      </c>
      <c r="S64" s="891">
        <v>3.88</v>
      </c>
      <c r="T64" s="891">
        <v>0.97</v>
      </c>
      <c r="U64" s="891">
        <v>5.5</v>
      </c>
      <c r="V64" s="891">
        <v>29.09</v>
      </c>
      <c r="W64" s="891">
        <v>1.87</v>
      </c>
      <c r="X64" s="927">
        <v>21010.44</v>
      </c>
      <c r="Y64" s="891">
        <v>339.4</v>
      </c>
      <c r="Z64" s="891">
        <v>323.24</v>
      </c>
      <c r="AA64" s="891">
        <v>614.15</v>
      </c>
      <c r="AB64" s="891">
        <v>484.86</v>
      </c>
      <c r="AC64" s="891">
        <v>115.12</v>
      </c>
      <c r="AD64" s="891">
        <v>0.08</v>
      </c>
      <c r="AE64" s="891">
        <v>17.78</v>
      </c>
      <c r="AF64" s="891">
        <v>42.02</v>
      </c>
      <c r="AG64" s="891">
        <v>9.6999999999999993</v>
      </c>
      <c r="AH64" s="891">
        <v>6.46</v>
      </c>
      <c r="AI64" s="891">
        <v>85.66</v>
      </c>
      <c r="AJ64" s="891">
        <v>48.49</v>
      </c>
      <c r="AK64" s="891">
        <v>80.81</v>
      </c>
      <c r="AL64" s="891">
        <v>96.97</v>
      </c>
      <c r="AM64" s="891">
        <v>1583.86</v>
      </c>
      <c r="AN64" s="891">
        <v>1260.6300000000001</v>
      </c>
      <c r="AO64" s="891">
        <v>905.07</v>
      </c>
      <c r="AP64" s="891">
        <v>7.5</v>
      </c>
      <c r="AQ64" s="891">
        <v>2.2599999999999998</v>
      </c>
      <c r="AR64" s="891">
        <v>0.71</v>
      </c>
      <c r="AS64" s="891">
        <v>8.89</v>
      </c>
      <c r="AT64" s="891">
        <v>1.37</v>
      </c>
      <c r="AU64" s="891">
        <v>1.29</v>
      </c>
      <c r="AV64" s="891">
        <v>0.48</v>
      </c>
      <c r="AW64" s="891">
        <v>0.97</v>
      </c>
      <c r="AX64" s="891">
        <v>1.62</v>
      </c>
      <c r="AY64" s="891">
        <v>0.81</v>
      </c>
      <c r="AZ64" s="891">
        <v>2.02</v>
      </c>
      <c r="BA64" s="891">
        <f t="shared" ref="BA64:BA126" si="3">AC64+AD64+AE64</f>
        <v>132.98000000000002</v>
      </c>
      <c r="BB64" s="926">
        <f t="shared" ref="BB64:BB126" si="4">T64+V64+W64+X64+AQ64+AR64+AS64</f>
        <v>21054.229999999996</v>
      </c>
      <c r="BC64" s="926">
        <f t="shared" ref="BC64:BC126" si="5">BB64-X64-W64</f>
        <v>41.919999999997238</v>
      </c>
      <c r="BD64" s="891"/>
      <c r="BE64" s="891"/>
      <c r="BF64" s="891"/>
      <c r="BG64" s="928"/>
      <c r="BH64" s="928"/>
      <c r="BI64" s="928"/>
    </row>
    <row r="65" spans="1:61">
      <c r="A65" s="891" t="s">
        <v>841</v>
      </c>
      <c r="B65" s="891" t="s">
        <v>579</v>
      </c>
      <c r="C65" s="891" t="s">
        <v>50</v>
      </c>
      <c r="D65" s="891">
        <v>19.47</v>
      </c>
      <c r="E65" s="891">
        <v>75.72</v>
      </c>
      <c r="F65" s="891">
        <v>7.57</v>
      </c>
      <c r="G65" s="891">
        <v>4.7300000000000004</v>
      </c>
      <c r="H65" s="891">
        <v>5.21</v>
      </c>
      <c r="I65" s="891">
        <v>2.84</v>
      </c>
      <c r="J65" s="891">
        <v>2.84</v>
      </c>
      <c r="K65" s="891">
        <v>1.42</v>
      </c>
      <c r="L65" s="891">
        <v>1.89</v>
      </c>
      <c r="M65" s="891">
        <v>3.79</v>
      </c>
      <c r="N65" s="891">
        <v>7.57</v>
      </c>
      <c r="O65" s="891">
        <v>2.37</v>
      </c>
      <c r="P65" s="891">
        <v>11.36</v>
      </c>
      <c r="Q65" s="891">
        <v>2.84</v>
      </c>
      <c r="R65" s="891">
        <v>3.79</v>
      </c>
      <c r="S65" s="891">
        <v>16.09</v>
      </c>
      <c r="T65" s="891">
        <v>4.26</v>
      </c>
      <c r="U65" s="891">
        <v>10.41</v>
      </c>
      <c r="V65" s="891">
        <v>120.68</v>
      </c>
      <c r="W65" s="891">
        <v>1.42</v>
      </c>
      <c r="X65" s="927">
        <v>25556.080000000002</v>
      </c>
      <c r="Y65" s="891">
        <v>1135.83</v>
      </c>
      <c r="Z65" s="891">
        <v>757.22</v>
      </c>
      <c r="AA65" s="891">
        <v>2044.2</v>
      </c>
      <c r="AB65" s="891">
        <v>1419.78</v>
      </c>
      <c r="AC65" s="891">
        <v>80.930000000000007</v>
      </c>
      <c r="AD65" s="891">
        <v>0.56999999999999995</v>
      </c>
      <c r="AE65" s="891">
        <v>52.06</v>
      </c>
      <c r="AF65" s="891">
        <v>40.229999999999997</v>
      </c>
      <c r="AG65" s="891">
        <v>14.2</v>
      </c>
      <c r="AH65" s="891">
        <v>18.93</v>
      </c>
      <c r="AI65" s="891">
        <v>113.58</v>
      </c>
      <c r="AJ65" s="891">
        <v>56.79</v>
      </c>
      <c r="AK65" s="891">
        <v>127.78</v>
      </c>
      <c r="AL65" s="891">
        <v>113.58</v>
      </c>
      <c r="AM65" s="891">
        <v>3923.11</v>
      </c>
      <c r="AN65" s="891">
        <v>3203.18</v>
      </c>
      <c r="AO65" s="891">
        <v>2839.56</v>
      </c>
      <c r="AP65" s="891">
        <v>6.5</v>
      </c>
      <c r="AQ65" s="891">
        <v>4.07</v>
      </c>
      <c r="AR65" s="891">
        <v>2.11</v>
      </c>
      <c r="AS65" s="891">
        <v>44.87</v>
      </c>
      <c r="AT65" s="891">
        <v>2.84</v>
      </c>
      <c r="AU65" s="891">
        <v>2.84</v>
      </c>
      <c r="AV65" s="891">
        <v>1.89</v>
      </c>
      <c r="AW65" s="891">
        <v>1.89</v>
      </c>
      <c r="AX65" s="891">
        <v>3.79</v>
      </c>
      <c r="AY65" s="891">
        <v>1.89</v>
      </c>
      <c r="AZ65" s="891">
        <v>4.7300000000000004</v>
      </c>
      <c r="BA65" s="891">
        <f t="shared" si="3"/>
        <v>133.56</v>
      </c>
      <c r="BB65" s="926">
        <f t="shared" si="4"/>
        <v>25733.49</v>
      </c>
      <c r="BC65" s="926">
        <f t="shared" si="5"/>
        <v>175.98999999999987</v>
      </c>
      <c r="BD65" s="891"/>
      <c r="BE65" s="891"/>
      <c r="BF65" s="891"/>
      <c r="BG65" s="928"/>
      <c r="BH65" s="928"/>
      <c r="BI65" s="928"/>
    </row>
    <row r="66" spans="1:61">
      <c r="A66" s="891" t="s">
        <v>842</v>
      </c>
      <c r="B66" s="891" t="s">
        <v>652</v>
      </c>
      <c r="C66" s="891" t="s">
        <v>367</v>
      </c>
      <c r="D66" s="891">
        <v>4.3499999999999996</v>
      </c>
      <c r="E66" s="891">
        <v>23.21</v>
      </c>
      <c r="F66" s="891">
        <v>5.08</v>
      </c>
      <c r="G66" s="891">
        <v>1.74</v>
      </c>
      <c r="H66" s="891">
        <v>2.1800000000000002</v>
      </c>
      <c r="I66" s="891">
        <v>0.44</v>
      </c>
      <c r="J66" s="891">
        <v>0.28999999999999998</v>
      </c>
      <c r="K66" s="891">
        <v>1.1000000000000001</v>
      </c>
      <c r="L66" s="891">
        <v>0.73</v>
      </c>
      <c r="M66" s="891">
        <v>1.45</v>
      </c>
      <c r="N66" s="891">
        <v>3.63</v>
      </c>
      <c r="O66" s="891">
        <v>0.44</v>
      </c>
      <c r="P66" s="891">
        <v>8.7100000000000009</v>
      </c>
      <c r="Q66" s="891">
        <v>1.1200000000000001</v>
      </c>
      <c r="R66" s="891">
        <v>1.74</v>
      </c>
      <c r="S66" s="891">
        <v>2.2400000000000002</v>
      </c>
      <c r="T66" s="891">
        <v>0.22</v>
      </c>
      <c r="U66" s="891">
        <v>5.51</v>
      </c>
      <c r="V66" s="891">
        <v>10.16</v>
      </c>
      <c r="W66" s="891">
        <v>0.28000000000000003</v>
      </c>
      <c r="X66" s="927">
        <v>26115.34</v>
      </c>
      <c r="Y66" s="891">
        <v>290.17</v>
      </c>
      <c r="Z66" s="891">
        <v>145.09</v>
      </c>
      <c r="AA66" s="891">
        <v>580.34</v>
      </c>
      <c r="AB66" s="891">
        <v>389.36</v>
      </c>
      <c r="AC66" s="891">
        <v>25</v>
      </c>
      <c r="AD66" s="891">
        <v>0.03</v>
      </c>
      <c r="AE66" s="891">
        <v>58.03</v>
      </c>
      <c r="AF66" s="891">
        <v>43.53</v>
      </c>
      <c r="AG66" s="891">
        <v>7.98</v>
      </c>
      <c r="AH66" s="891">
        <v>4.3499999999999996</v>
      </c>
      <c r="AI66" s="891">
        <v>72.540000000000006</v>
      </c>
      <c r="AJ66" s="891">
        <v>58.03</v>
      </c>
      <c r="AK66" s="891">
        <v>101.56</v>
      </c>
      <c r="AL66" s="891">
        <v>58.03</v>
      </c>
      <c r="AM66" s="891">
        <v>870.51</v>
      </c>
      <c r="AN66" s="891">
        <v>435.26</v>
      </c>
      <c r="AO66" s="891">
        <v>290.17</v>
      </c>
      <c r="AP66" s="891">
        <v>10</v>
      </c>
      <c r="AQ66" s="891">
        <v>0.36</v>
      </c>
      <c r="AR66" s="891">
        <v>0.2</v>
      </c>
      <c r="AS66" s="891">
        <v>2.52</v>
      </c>
      <c r="AT66" s="891">
        <v>2.1</v>
      </c>
      <c r="AU66" s="891">
        <v>0.73</v>
      </c>
      <c r="AV66" s="891">
        <v>0.5</v>
      </c>
      <c r="AW66" s="891">
        <v>0.28999999999999998</v>
      </c>
      <c r="AX66" s="891">
        <v>2.1800000000000002</v>
      </c>
      <c r="AY66" s="891">
        <v>0.73</v>
      </c>
      <c r="AZ66" s="891">
        <v>0.44</v>
      </c>
      <c r="BA66" s="891">
        <f t="shared" si="3"/>
        <v>83.06</v>
      </c>
      <c r="BB66" s="926">
        <f t="shared" si="4"/>
        <v>26129.08</v>
      </c>
      <c r="BC66" s="926">
        <f t="shared" si="5"/>
        <v>13.460000000001601</v>
      </c>
      <c r="BD66" s="891"/>
      <c r="BE66" s="891"/>
      <c r="BF66" s="891"/>
      <c r="BG66" s="928"/>
      <c r="BH66" s="928"/>
      <c r="BI66" s="928"/>
    </row>
    <row r="67" spans="1:61">
      <c r="A67" s="891" t="s">
        <v>843</v>
      </c>
      <c r="B67" s="891" t="s">
        <v>559</v>
      </c>
      <c r="C67" s="891" t="s">
        <v>58</v>
      </c>
      <c r="D67" s="891">
        <v>14.49</v>
      </c>
      <c r="E67" s="891">
        <v>67.61</v>
      </c>
      <c r="F67" s="891">
        <v>7.73</v>
      </c>
      <c r="G67" s="891">
        <v>5.79</v>
      </c>
      <c r="H67" s="891">
        <v>6.28</v>
      </c>
      <c r="I67" s="891">
        <v>1.93</v>
      </c>
      <c r="J67" s="891">
        <v>1.79</v>
      </c>
      <c r="K67" s="891">
        <v>1.93</v>
      </c>
      <c r="L67" s="891">
        <v>2.89</v>
      </c>
      <c r="M67" s="891">
        <v>3.04</v>
      </c>
      <c r="N67" s="891">
        <v>7.98</v>
      </c>
      <c r="O67" s="891">
        <v>2.41</v>
      </c>
      <c r="P67" s="891">
        <v>16.420000000000002</v>
      </c>
      <c r="Q67" s="891">
        <v>2.9</v>
      </c>
      <c r="R67" s="891">
        <v>3.86</v>
      </c>
      <c r="S67" s="891">
        <v>11.59</v>
      </c>
      <c r="T67" s="891">
        <v>2.9</v>
      </c>
      <c r="U67" s="891">
        <v>11.98</v>
      </c>
      <c r="V67" s="891">
        <v>90.79</v>
      </c>
      <c r="W67" s="891">
        <v>1.1299999999999999</v>
      </c>
      <c r="X67" s="927">
        <v>24145.26</v>
      </c>
      <c r="Y67" s="891">
        <v>1255.55</v>
      </c>
      <c r="Z67" s="891">
        <v>965.81</v>
      </c>
      <c r="AA67" s="891">
        <v>2028.2</v>
      </c>
      <c r="AB67" s="891">
        <v>1448.72</v>
      </c>
      <c r="AC67" s="891">
        <v>194.43</v>
      </c>
      <c r="AD67" s="891">
        <v>0.24</v>
      </c>
      <c r="AE67" s="891">
        <v>48.29</v>
      </c>
      <c r="AF67" s="891">
        <v>62.78</v>
      </c>
      <c r="AG67" s="891">
        <v>19.32</v>
      </c>
      <c r="AH67" s="891">
        <v>12.56</v>
      </c>
      <c r="AI67" s="891">
        <v>67.61</v>
      </c>
      <c r="AJ67" s="891">
        <v>38.630000000000003</v>
      </c>
      <c r="AK67" s="891">
        <v>106.24</v>
      </c>
      <c r="AL67" s="891">
        <v>130.38</v>
      </c>
      <c r="AM67" s="891">
        <v>5013.5</v>
      </c>
      <c r="AN67" s="891">
        <v>3283.76</v>
      </c>
      <c r="AO67" s="891">
        <v>3380.34</v>
      </c>
      <c r="AP67" s="891">
        <v>3.45</v>
      </c>
      <c r="AQ67" s="891">
        <v>3.38</v>
      </c>
      <c r="AR67" s="891">
        <v>1.5</v>
      </c>
      <c r="AS67" s="891">
        <v>30.23</v>
      </c>
      <c r="AT67" s="891">
        <v>3.38</v>
      </c>
      <c r="AU67" s="891">
        <v>3.62</v>
      </c>
      <c r="AV67" s="891">
        <v>2.9</v>
      </c>
      <c r="AW67" s="891">
        <v>1.93</v>
      </c>
      <c r="AX67" s="891">
        <v>3.86</v>
      </c>
      <c r="AY67" s="891">
        <v>3.86</v>
      </c>
      <c r="AZ67" s="891">
        <v>3.86</v>
      </c>
      <c r="BA67" s="891">
        <f t="shared" si="3"/>
        <v>242.96</v>
      </c>
      <c r="BB67" s="926">
        <f t="shared" si="4"/>
        <v>24275.19</v>
      </c>
      <c r="BC67" s="926">
        <f t="shared" si="5"/>
        <v>128.8000000000003</v>
      </c>
      <c r="BD67" s="891"/>
      <c r="BE67" s="891"/>
      <c r="BF67" s="891"/>
      <c r="BG67" s="928"/>
      <c r="BH67" s="928"/>
      <c r="BI67" s="928"/>
    </row>
    <row r="68" spans="1:61">
      <c r="A68" s="891" t="s">
        <v>844</v>
      </c>
      <c r="B68" s="891" t="s">
        <v>1569</v>
      </c>
      <c r="C68" s="891" t="s">
        <v>45</v>
      </c>
      <c r="D68" s="891">
        <v>23.93</v>
      </c>
      <c r="E68" s="891">
        <v>63.82</v>
      </c>
      <c r="F68" s="891">
        <v>7.96</v>
      </c>
      <c r="G68" s="891">
        <v>4.79</v>
      </c>
      <c r="H68" s="891">
        <v>4.79</v>
      </c>
      <c r="I68" s="891">
        <v>3.19</v>
      </c>
      <c r="J68" s="891">
        <v>1.68</v>
      </c>
      <c r="K68" s="891">
        <v>1.86</v>
      </c>
      <c r="L68" s="891">
        <v>1.75</v>
      </c>
      <c r="M68" s="891">
        <v>4.3099999999999996</v>
      </c>
      <c r="N68" s="891">
        <v>7.98</v>
      </c>
      <c r="O68" s="891">
        <v>2.23</v>
      </c>
      <c r="P68" s="891">
        <v>12.76</v>
      </c>
      <c r="Q68" s="891">
        <v>2.71</v>
      </c>
      <c r="R68" s="891">
        <v>2.0699999999999998</v>
      </c>
      <c r="S68" s="891">
        <v>11.57</v>
      </c>
      <c r="T68" s="891">
        <v>3.19</v>
      </c>
      <c r="U68" s="891">
        <v>15.95</v>
      </c>
      <c r="V68" s="891">
        <v>71.790000000000006</v>
      </c>
      <c r="W68" s="891">
        <v>2.23</v>
      </c>
      <c r="X68" s="927">
        <v>29347.48</v>
      </c>
      <c r="Y68" s="891">
        <v>1591.42</v>
      </c>
      <c r="Z68" s="891">
        <v>1108.81</v>
      </c>
      <c r="AA68" s="891">
        <v>2153.8000000000002</v>
      </c>
      <c r="AB68" s="891">
        <v>1595.41</v>
      </c>
      <c r="AC68" s="891">
        <v>268.83</v>
      </c>
      <c r="AD68" s="891">
        <v>0.13</v>
      </c>
      <c r="AE68" s="891">
        <v>22.34</v>
      </c>
      <c r="AF68" s="891">
        <v>55.84</v>
      </c>
      <c r="AG68" s="891">
        <v>15.95</v>
      </c>
      <c r="AH68" s="891">
        <v>11.97</v>
      </c>
      <c r="AI68" s="891">
        <v>71.790000000000006</v>
      </c>
      <c r="AJ68" s="891">
        <v>43.08</v>
      </c>
      <c r="AK68" s="891">
        <v>103.7</v>
      </c>
      <c r="AL68" s="891">
        <v>78.17</v>
      </c>
      <c r="AM68" s="891">
        <v>5903</v>
      </c>
      <c r="AN68" s="891">
        <v>4148.05</v>
      </c>
      <c r="AO68" s="891">
        <v>3781.11</v>
      </c>
      <c r="AP68" s="891">
        <v>4</v>
      </c>
      <c r="AQ68" s="891">
        <v>4.47</v>
      </c>
      <c r="AR68" s="891">
        <v>1.55</v>
      </c>
      <c r="AS68" s="891">
        <v>31.91</v>
      </c>
      <c r="AT68" s="891">
        <v>2.91</v>
      </c>
      <c r="AU68" s="891">
        <v>1.91</v>
      </c>
      <c r="AV68" s="891">
        <v>1.91</v>
      </c>
      <c r="AW68" s="891">
        <v>1.36</v>
      </c>
      <c r="AX68" s="891">
        <v>3.19</v>
      </c>
      <c r="AY68" s="891">
        <v>3.19</v>
      </c>
      <c r="AZ68" s="891">
        <v>3.19</v>
      </c>
      <c r="BA68" s="891">
        <f t="shared" si="3"/>
        <v>291.29999999999995</v>
      </c>
      <c r="BB68" s="926">
        <f t="shared" si="4"/>
        <v>29462.62</v>
      </c>
      <c r="BC68" s="926">
        <f t="shared" si="5"/>
        <v>112.90999999999941</v>
      </c>
      <c r="BD68" s="891"/>
      <c r="BE68" s="891"/>
      <c r="BF68" s="891"/>
      <c r="BG68" s="928"/>
      <c r="BH68" s="928"/>
      <c r="BI68" s="928"/>
    </row>
    <row r="69" spans="1:61">
      <c r="A69" s="891" t="s">
        <v>845</v>
      </c>
      <c r="B69" s="891" t="s">
        <v>611</v>
      </c>
      <c r="C69" s="891" t="s">
        <v>240</v>
      </c>
      <c r="D69" s="891">
        <v>7.34</v>
      </c>
      <c r="E69" s="891">
        <v>38.97</v>
      </c>
      <c r="F69" s="891">
        <v>8.02</v>
      </c>
      <c r="G69" s="891">
        <v>2.52</v>
      </c>
      <c r="H69" s="891">
        <v>4.59</v>
      </c>
      <c r="I69" s="891">
        <v>1.38</v>
      </c>
      <c r="J69" s="891">
        <v>0.92</v>
      </c>
      <c r="K69" s="891">
        <v>1.07</v>
      </c>
      <c r="L69" s="891">
        <v>1.83</v>
      </c>
      <c r="M69" s="891">
        <v>1.83</v>
      </c>
      <c r="N69" s="891">
        <v>7.34</v>
      </c>
      <c r="O69" s="891">
        <v>0.92</v>
      </c>
      <c r="P69" s="891">
        <v>11.46</v>
      </c>
      <c r="Q69" s="891">
        <v>1.1499999999999999</v>
      </c>
      <c r="R69" s="891">
        <v>4.13</v>
      </c>
      <c r="S69" s="891">
        <v>2.29</v>
      </c>
      <c r="T69" s="891">
        <v>1.38</v>
      </c>
      <c r="U69" s="891">
        <v>3.9</v>
      </c>
      <c r="V69" s="891">
        <v>65.34</v>
      </c>
      <c r="W69" s="891">
        <v>1.24</v>
      </c>
      <c r="X69" s="927">
        <v>18798.72</v>
      </c>
      <c r="Y69" s="891">
        <v>458.51</v>
      </c>
      <c r="Z69" s="891">
        <v>366.8</v>
      </c>
      <c r="AA69" s="891">
        <v>1375.52</v>
      </c>
      <c r="AB69" s="891">
        <v>917.01</v>
      </c>
      <c r="AC69" s="891">
        <v>68.78</v>
      </c>
      <c r="AD69" s="891">
        <v>0.69</v>
      </c>
      <c r="AE69" s="891">
        <v>27.51</v>
      </c>
      <c r="AF69" s="891">
        <v>68.78</v>
      </c>
      <c r="AG69" s="891">
        <v>17.190000000000001</v>
      </c>
      <c r="AH69" s="891">
        <v>8.25</v>
      </c>
      <c r="AI69" s="891">
        <v>103.16</v>
      </c>
      <c r="AJ69" s="891">
        <v>91.7</v>
      </c>
      <c r="AK69" s="891">
        <v>114.63</v>
      </c>
      <c r="AL69" s="891">
        <v>114.63</v>
      </c>
      <c r="AM69" s="891">
        <v>1834.02</v>
      </c>
      <c r="AN69" s="891">
        <v>1146.26</v>
      </c>
      <c r="AO69" s="891">
        <v>1233.8399999999999</v>
      </c>
      <c r="AP69" s="891">
        <v>13</v>
      </c>
      <c r="AQ69" s="891">
        <v>1.83</v>
      </c>
      <c r="AR69" s="891">
        <v>1.05</v>
      </c>
      <c r="AS69" s="891">
        <v>19.72</v>
      </c>
      <c r="AT69" s="891">
        <v>2.29</v>
      </c>
      <c r="AU69" s="891">
        <v>1.38</v>
      </c>
      <c r="AV69" s="891">
        <v>1.38</v>
      </c>
      <c r="AW69" s="891">
        <v>0.92</v>
      </c>
      <c r="AX69" s="891">
        <v>2.29</v>
      </c>
      <c r="AY69" s="891">
        <v>0.92</v>
      </c>
      <c r="AZ69" s="891">
        <v>2.29</v>
      </c>
      <c r="BA69" s="891">
        <f t="shared" si="3"/>
        <v>96.98</v>
      </c>
      <c r="BB69" s="926">
        <f t="shared" si="4"/>
        <v>18889.280000000002</v>
      </c>
      <c r="BC69" s="926">
        <f t="shared" si="5"/>
        <v>89.320000000001315</v>
      </c>
      <c r="BD69" s="891"/>
      <c r="BE69" s="891"/>
      <c r="BF69" s="891"/>
      <c r="BG69" s="928"/>
      <c r="BH69" s="928"/>
      <c r="BI69" s="928"/>
    </row>
    <row r="70" spans="1:61">
      <c r="A70" s="891" t="s">
        <v>846</v>
      </c>
      <c r="B70" s="891" t="s">
        <v>579</v>
      </c>
      <c r="C70" s="891" t="s">
        <v>29</v>
      </c>
      <c r="D70" s="891">
        <v>16.09</v>
      </c>
      <c r="E70" s="891">
        <v>75.72</v>
      </c>
      <c r="F70" s="891">
        <v>7.57</v>
      </c>
      <c r="G70" s="891">
        <v>5.68</v>
      </c>
      <c r="H70" s="891">
        <v>6.15</v>
      </c>
      <c r="I70" s="891">
        <v>3.03</v>
      </c>
      <c r="J70" s="891">
        <v>2.74</v>
      </c>
      <c r="K70" s="891">
        <v>1.6</v>
      </c>
      <c r="L70" s="891">
        <v>2.84</v>
      </c>
      <c r="M70" s="891">
        <v>2.84</v>
      </c>
      <c r="N70" s="891">
        <v>8.52</v>
      </c>
      <c r="O70" s="891">
        <v>1.89</v>
      </c>
      <c r="P70" s="891">
        <v>14.2</v>
      </c>
      <c r="Q70" s="891">
        <v>4.7300000000000004</v>
      </c>
      <c r="R70" s="891">
        <v>4.7300000000000004</v>
      </c>
      <c r="S70" s="891">
        <v>16.559999999999999</v>
      </c>
      <c r="T70" s="891">
        <v>3.79</v>
      </c>
      <c r="U70" s="891">
        <v>9.4700000000000006</v>
      </c>
      <c r="V70" s="891">
        <v>75.72</v>
      </c>
      <c r="W70" s="891">
        <v>1.46</v>
      </c>
      <c r="X70" s="927">
        <v>29342.17</v>
      </c>
      <c r="Y70" s="891">
        <v>1859.24</v>
      </c>
      <c r="Z70" s="891">
        <v>1514.43</v>
      </c>
      <c r="AA70" s="891">
        <v>2650.26</v>
      </c>
      <c r="AB70" s="891">
        <v>1893.04</v>
      </c>
      <c r="AC70" s="891">
        <v>171.29</v>
      </c>
      <c r="AD70" s="891">
        <v>0.94</v>
      </c>
      <c r="AE70" s="891">
        <v>52.06</v>
      </c>
      <c r="AF70" s="891">
        <v>64.36</v>
      </c>
      <c r="AG70" s="891">
        <v>16.559999999999999</v>
      </c>
      <c r="AH70" s="891">
        <v>16.09</v>
      </c>
      <c r="AI70" s="891">
        <v>94.18</v>
      </c>
      <c r="AJ70" s="891">
        <v>75.72</v>
      </c>
      <c r="AK70" s="891">
        <v>141.97999999999999</v>
      </c>
      <c r="AL70" s="891">
        <v>113.58</v>
      </c>
      <c r="AM70" s="891">
        <v>5915.76</v>
      </c>
      <c r="AN70" s="891">
        <v>3549.46</v>
      </c>
      <c r="AO70" s="891">
        <v>4902.9799999999996</v>
      </c>
      <c r="AP70" s="891">
        <v>6</v>
      </c>
      <c r="AQ70" s="891">
        <v>4.6100000000000003</v>
      </c>
      <c r="AR70" s="891">
        <v>1.86</v>
      </c>
      <c r="AS70" s="891">
        <v>47.33</v>
      </c>
      <c r="AT70" s="891">
        <v>3.79</v>
      </c>
      <c r="AU70" s="891">
        <v>2.93</v>
      </c>
      <c r="AV70" s="891">
        <v>1.89</v>
      </c>
      <c r="AW70" s="891">
        <v>2.23</v>
      </c>
      <c r="AX70" s="891">
        <v>3.31</v>
      </c>
      <c r="AY70" s="891">
        <v>2.84</v>
      </c>
      <c r="AZ70" s="891">
        <v>3.79</v>
      </c>
      <c r="BA70" s="891">
        <f t="shared" si="3"/>
        <v>224.29</v>
      </c>
      <c r="BB70" s="926">
        <f t="shared" si="4"/>
        <v>29476.940000000002</v>
      </c>
      <c r="BC70" s="926">
        <f t="shared" si="5"/>
        <v>133.31000000000407</v>
      </c>
      <c r="BD70" s="891"/>
      <c r="BE70" s="891"/>
      <c r="BF70" s="891"/>
      <c r="BG70" s="928"/>
      <c r="BH70" s="928"/>
      <c r="BI70" s="928"/>
    </row>
    <row r="71" spans="1:61">
      <c r="A71" s="891" t="s">
        <v>1590</v>
      </c>
      <c r="B71" s="891" t="s">
        <v>1591</v>
      </c>
      <c r="C71" s="891" t="s">
        <v>321</v>
      </c>
      <c r="D71" s="891">
        <v>7.08</v>
      </c>
      <c r="E71" s="891">
        <v>30.33</v>
      </c>
      <c r="F71" s="891">
        <v>4.04</v>
      </c>
      <c r="G71" s="891">
        <v>1.82</v>
      </c>
      <c r="H71" s="891">
        <v>1.82</v>
      </c>
      <c r="I71" s="891">
        <v>0.81</v>
      </c>
      <c r="J71" s="891">
        <v>0.81</v>
      </c>
      <c r="K71" s="891">
        <v>1.01</v>
      </c>
      <c r="L71" s="891">
        <v>0.86</v>
      </c>
      <c r="M71" s="891">
        <v>1.87</v>
      </c>
      <c r="N71" s="891">
        <v>7.08</v>
      </c>
      <c r="O71" s="891">
        <v>1.26</v>
      </c>
      <c r="P71" s="891">
        <v>5.05</v>
      </c>
      <c r="Q71" s="891">
        <v>1.21</v>
      </c>
      <c r="R71" s="891">
        <v>1.42</v>
      </c>
      <c r="S71" s="891">
        <v>3.23</v>
      </c>
      <c r="T71" s="891">
        <v>0.91</v>
      </c>
      <c r="U71" s="891">
        <v>5.51</v>
      </c>
      <c r="V71" s="891">
        <v>30.33</v>
      </c>
      <c r="W71" s="891">
        <v>1.22</v>
      </c>
      <c r="X71" s="927">
        <v>21480.92</v>
      </c>
      <c r="Y71" s="891">
        <v>606.52</v>
      </c>
      <c r="Z71" s="891">
        <v>404.35</v>
      </c>
      <c r="AA71" s="891">
        <v>1213.04</v>
      </c>
      <c r="AB71" s="891">
        <v>808.69</v>
      </c>
      <c r="AC71" s="891">
        <v>81.63</v>
      </c>
      <c r="AD71" s="891">
        <v>0.2</v>
      </c>
      <c r="AE71" s="891">
        <v>70.760000000000005</v>
      </c>
      <c r="AF71" s="891">
        <v>35.380000000000003</v>
      </c>
      <c r="AG71" s="891">
        <v>5.05</v>
      </c>
      <c r="AH71" s="891">
        <v>4.8499999999999996</v>
      </c>
      <c r="AI71" s="891">
        <v>60.65</v>
      </c>
      <c r="AJ71" s="891">
        <v>35.380000000000003</v>
      </c>
      <c r="AK71" s="891">
        <v>70.760000000000005</v>
      </c>
      <c r="AL71" s="891">
        <v>70.760000000000005</v>
      </c>
      <c r="AM71" s="891">
        <v>1769.02</v>
      </c>
      <c r="AN71" s="891">
        <v>1213.04</v>
      </c>
      <c r="AO71" s="891">
        <v>1516.3</v>
      </c>
      <c r="AP71" s="891">
        <v>9</v>
      </c>
      <c r="AQ71" s="891">
        <v>1.01</v>
      </c>
      <c r="AR71" s="891">
        <v>1.01</v>
      </c>
      <c r="AS71" s="891">
        <v>4.8499999999999996</v>
      </c>
      <c r="AT71" s="891">
        <v>1.47</v>
      </c>
      <c r="AU71" s="891">
        <v>1.21</v>
      </c>
      <c r="AV71" s="891">
        <v>1.01</v>
      </c>
      <c r="AW71" s="891">
        <v>0.81</v>
      </c>
      <c r="AX71" s="891">
        <v>1.82</v>
      </c>
      <c r="AY71" s="891">
        <v>1.52</v>
      </c>
      <c r="AZ71" s="891">
        <v>1.31</v>
      </c>
      <c r="BA71" s="891">
        <f t="shared" si="3"/>
        <v>152.59</v>
      </c>
      <c r="BB71" s="926">
        <f t="shared" si="4"/>
        <v>21520.249999999993</v>
      </c>
      <c r="BC71" s="926">
        <f t="shared" si="5"/>
        <v>38.109999999994471</v>
      </c>
      <c r="BD71" s="891"/>
      <c r="BE71" s="891"/>
      <c r="BF71" s="891"/>
      <c r="BG71" s="928"/>
      <c r="BH71" s="928"/>
      <c r="BI71" s="928"/>
    </row>
    <row r="72" spans="1:61">
      <c r="A72" s="891" t="s">
        <v>848</v>
      </c>
      <c r="B72" s="891" t="s">
        <v>586</v>
      </c>
      <c r="C72" s="891" t="s">
        <v>19</v>
      </c>
      <c r="D72" s="891">
        <v>15.14</v>
      </c>
      <c r="E72" s="891">
        <v>76.77</v>
      </c>
      <c r="F72" s="891">
        <v>15.11</v>
      </c>
      <c r="G72" s="891">
        <v>3.25</v>
      </c>
      <c r="H72" s="891">
        <v>6</v>
      </c>
      <c r="I72" s="891">
        <v>2.79</v>
      </c>
      <c r="J72" s="891">
        <v>1.63</v>
      </c>
      <c r="K72" s="891">
        <v>2</v>
      </c>
      <c r="L72" s="891">
        <v>2.19</v>
      </c>
      <c r="M72" s="891">
        <v>4.83</v>
      </c>
      <c r="N72" s="891">
        <v>14.37</v>
      </c>
      <c r="O72" s="891">
        <v>2</v>
      </c>
      <c r="P72" s="891">
        <v>18.63</v>
      </c>
      <c r="Q72" s="891">
        <v>2.75</v>
      </c>
      <c r="R72" s="891">
        <v>6</v>
      </c>
      <c r="S72" s="891">
        <v>5.57</v>
      </c>
      <c r="T72" s="891">
        <v>0.9</v>
      </c>
      <c r="U72" s="891">
        <v>15</v>
      </c>
      <c r="V72" s="891">
        <v>10</v>
      </c>
      <c r="W72" s="891">
        <v>0.14000000000000001</v>
      </c>
      <c r="X72" s="927">
        <v>55877.74</v>
      </c>
      <c r="Y72" s="891">
        <v>1900</v>
      </c>
      <c r="Z72" s="891">
        <v>823.52</v>
      </c>
      <c r="AA72" s="891">
        <v>3000</v>
      </c>
      <c r="AB72" s="891">
        <v>1529.41</v>
      </c>
      <c r="AC72" s="891">
        <v>33.6</v>
      </c>
      <c r="AD72" s="891">
        <v>0.26</v>
      </c>
      <c r="AE72" s="891">
        <v>51.87</v>
      </c>
      <c r="AF72" s="891">
        <v>100</v>
      </c>
      <c r="AG72" s="891">
        <v>16.82</v>
      </c>
      <c r="AH72" s="891">
        <v>13.73</v>
      </c>
      <c r="AI72" s="891">
        <v>180</v>
      </c>
      <c r="AJ72" s="891">
        <v>118.24</v>
      </c>
      <c r="AK72" s="891">
        <v>141.57</v>
      </c>
      <c r="AL72" s="891">
        <v>244.28</v>
      </c>
      <c r="AM72" s="891">
        <v>2964.7</v>
      </c>
      <c r="AN72" s="891">
        <v>2013.84</v>
      </c>
      <c r="AO72" s="891">
        <v>814</v>
      </c>
      <c r="AP72" s="891">
        <v>13.25</v>
      </c>
      <c r="AQ72" s="891">
        <v>10</v>
      </c>
      <c r="AR72" s="891">
        <v>2</v>
      </c>
      <c r="AS72" s="891">
        <v>28.98</v>
      </c>
      <c r="AT72" s="891">
        <v>5.91</v>
      </c>
      <c r="AU72" s="891">
        <v>2.69</v>
      </c>
      <c r="AV72" s="891">
        <v>4.66</v>
      </c>
      <c r="AW72" s="891">
        <v>3.79</v>
      </c>
      <c r="AX72" s="891">
        <v>3</v>
      </c>
      <c r="AY72" s="891">
        <v>1.4</v>
      </c>
      <c r="AZ72" s="891">
        <v>5.38</v>
      </c>
      <c r="BA72" s="891">
        <f t="shared" si="3"/>
        <v>85.72999999999999</v>
      </c>
      <c r="BB72" s="926">
        <f t="shared" si="4"/>
        <v>55929.760000000002</v>
      </c>
      <c r="BC72" s="926">
        <f t="shared" si="5"/>
        <v>51.880000000004074</v>
      </c>
      <c r="BD72" s="891"/>
      <c r="BE72" s="891"/>
      <c r="BF72" s="891"/>
      <c r="BG72" s="928"/>
      <c r="BH72" s="928"/>
      <c r="BI72" s="928"/>
    </row>
    <row r="73" spans="1:61">
      <c r="A73" s="891" t="s">
        <v>849</v>
      </c>
      <c r="B73" s="891" t="s">
        <v>1569</v>
      </c>
      <c r="C73" s="891" t="s">
        <v>118</v>
      </c>
      <c r="D73" s="891">
        <v>17.55</v>
      </c>
      <c r="E73" s="891">
        <v>55.84</v>
      </c>
      <c r="F73" s="891">
        <v>7.18</v>
      </c>
      <c r="G73" s="891">
        <v>4.42</v>
      </c>
      <c r="H73" s="891">
        <v>4.47</v>
      </c>
      <c r="I73" s="891">
        <v>1.6</v>
      </c>
      <c r="J73" s="891">
        <v>1.28</v>
      </c>
      <c r="K73" s="891">
        <v>1.6</v>
      </c>
      <c r="L73" s="891">
        <v>1.6</v>
      </c>
      <c r="M73" s="891">
        <v>3.19</v>
      </c>
      <c r="N73" s="891">
        <v>7.18</v>
      </c>
      <c r="O73" s="891">
        <v>1.99</v>
      </c>
      <c r="P73" s="891">
        <v>7.98</v>
      </c>
      <c r="Q73" s="891">
        <v>3.03</v>
      </c>
      <c r="R73" s="891">
        <v>3.91</v>
      </c>
      <c r="S73" s="891">
        <v>10.37</v>
      </c>
      <c r="T73" s="891">
        <v>2.71</v>
      </c>
      <c r="U73" s="891">
        <v>6.38</v>
      </c>
      <c r="V73" s="891">
        <v>71.790000000000006</v>
      </c>
      <c r="W73" s="891">
        <v>2.2000000000000002</v>
      </c>
      <c r="X73" s="927">
        <v>27168.16</v>
      </c>
      <c r="Y73" s="891">
        <v>833.6</v>
      </c>
      <c r="Z73" s="891">
        <v>622.21</v>
      </c>
      <c r="AA73" s="891">
        <v>1395.98</v>
      </c>
      <c r="AB73" s="891">
        <v>1116.78</v>
      </c>
      <c r="AC73" s="891">
        <v>239.31</v>
      </c>
      <c r="AD73" s="891">
        <v>0.32</v>
      </c>
      <c r="AE73" s="891">
        <v>31.91</v>
      </c>
      <c r="AF73" s="891">
        <v>43.08</v>
      </c>
      <c r="AG73" s="891">
        <v>7.58</v>
      </c>
      <c r="AH73" s="891">
        <v>12.2</v>
      </c>
      <c r="AI73" s="891">
        <v>71.790000000000006</v>
      </c>
      <c r="AJ73" s="891">
        <v>59.83</v>
      </c>
      <c r="AK73" s="891">
        <v>63.82</v>
      </c>
      <c r="AL73" s="891">
        <v>79.77</v>
      </c>
      <c r="AM73" s="891">
        <v>4430.4399999999996</v>
      </c>
      <c r="AN73" s="891">
        <v>3190.81</v>
      </c>
      <c r="AO73" s="891">
        <v>2559.4499999999998</v>
      </c>
      <c r="AP73" s="891">
        <v>5.2</v>
      </c>
      <c r="AQ73" s="891">
        <v>3.59</v>
      </c>
      <c r="AR73" s="891">
        <v>1.98</v>
      </c>
      <c r="AS73" s="891">
        <v>19.14</v>
      </c>
      <c r="AT73" s="891">
        <v>2.63</v>
      </c>
      <c r="AU73" s="891">
        <v>3.19</v>
      </c>
      <c r="AV73" s="891">
        <v>1.68</v>
      </c>
      <c r="AW73" s="891">
        <v>1.6</v>
      </c>
      <c r="AX73" s="891">
        <v>2.79</v>
      </c>
      <c r="AY73" s="891">
        <v>2.31</v>
      </c>
      <c r="AZ73" s="891">
        <v>2.39</v>
      </c>
      <c r="BA73" s="891">
        <f t="shared" si="3"/>
        <v>271.54000000000002</v>
      </c>
      <c r="BB73" s="926">
        <f t="shared" si="4"/>
        <v>27269.57</v>
      </c>
      <c r="BC73" s="926">
        <f t="shared" si="5"/>
        <v>99.209999999999852</v>
      </c>
      <c r="BD73" s="891"/>
      <c r="BE73" s="891"/>
      <c r="BF73" s="891"/>
      <c r="BG73" s="928"/>
      <c r="BH73" s="928"/>
      <c r="BI73" s="928"/>
    </row>
    <row r="74" spans="1:61">
      <c r="A74" s="891" t="s">
        <v>850</v>
      </c>
      <c r="B74" s="891" t="s">
        <v>646</v>
      </c>
      <c r="C74" s="891" t="s">
        <v>350</v>
      </c>
      <c r="D74" s="891">
        <v>2.79</v>
      </c>
      <c r="E74" s="891">
        <v>13.94</v>
      </c>
      <c r="F74" s="891">
        <v>2.82</v>
      </c>
      <c r="G74" s="891">
        <v>0.93</v>
      </c>
      <c r="H74" s="891">
        <v>1.97</v>
      </c>
      <c r="I74" s="891">
        <v>0.62</v>
      </c>
      <c r="J74" s="891">
        <v>0.35</v>
      </c>
      <c r="K74" s="891">
        <v>1.65</v>
      </c>
      <c r="L74" s="891">
        <v>1.1100000000000001</v>
      </c>
      <c r="M74" s="891">
        <v>1.63</v>
      </c>
      <c r="N74" s="891">
        <v>10.45</v>
      </c>
      <c r="O74" s="891">
        <v>0.57999999999999996</v>
      </c>
      <c r="P74" s="891">
        <v>7.55</v>
      </c>
      <c r="Q74" s="891">
        <v>1.1599999999999999</v>
      </c>
      <c r="R74" s="891">
        <v>1.63</v>
      </c>
      <c r="S74" s="891">
        <v>1.02</v>
      </c>
      <c r="T74" s="891">
        <v>0.19</v>
      </c>
      <c r="U74" s="891">
        <v>3.72</v>
      </c>
      <c r="V74" s="891">
        <v>9.8699999999999992</v>
      </c>
      <c r="W74" s="891">
        <v>1.27</v>
      </c>
      <c r="X74" s="927">
        <v>25551.74</v>
      </c>
      <c r="Y74" s="891">
        <v>464.58</v>
      </c>
      <c r="Z74" s="891">
        <v>232.29</v>
      </c>
      <c r="AA74" s="891">
        <v>696.87</v>
      </c>
      <c r="AB74" s="891">
        <v>336.82</v>
      </c>
      <c r="AC74" s="891">
        <v>108.16</v>
      </c>
      <c r="AD74" s="891">
        <v>0.12</v>
      </c>
      <c r="AE74" s="891">
        <v>26.71</v>
      </c>
      <c r="AF74" s="891">
        <v>37.75</v>
      </c>
      <c r="AG74" s="891">
        <v>2.9</v>
      </c>
      <c r="AH74" s="891">
        <v>3.95</v>
      </c>
      <c r="AI74" s="891">
        <v>69.69</v>
      </c>
      <c r="AJ74" s="891">
        <v>34.840000000000003</v>
      </c>
      <c r="AK74" s="891">
        <v>81.3</v>
      </c>
      <c r="AL74" s="891">
        <v>87.11</v>
      </c>
      <c r="AM74" s="891">
        <v>1695.65</v>
      </c>
      <c r="AN74" s="891">
        <v>1442.36</v>
      </c>
      <c r="AO74" s="891">
        <v>299.95</v>
      </c>
      <c r="AP74" s="891">
        <v>11</v>
      </c>
      <c r="AQ74" s="891">
        <v>0.93</v>
      </c>
      <c r="AR74" s="891">
        <v>0.28000000000000003</v>
      </c>
      <c r="AS74" s="891">
        <v>3.43</v>
      </c>
      <c r="AT74" s="891">
        <v>2.21</v>
      </c>
      <c r="AU74" s="891">
        <v>1.88</v>
      </c>
      <c r="AV74" s="891">
        <v>1.6</v>
      </c>
      <c r="AW74" s="891">
        <v>1.33</v>
      </c>
      <c r="AX74" s="891">
        <v>2.21</v>
      </c>
      <c r="AY74" s="891">
        <v>0.99</v>
      </c>
      <c r="AZ74" s="891">
        <v>0.7</v>
      </c>
      <c r="BA74" s="891">
        <f t="shared" si="3"/>
        <v>134.99</v>
      </c>
      <c r="BB74" s="926">
        <f t="shared" si="4"/>
        <v>25567.710000000003</v>
      </c>
      <c r="BC74" s="926">
        <f t="shared" si="5"/>
        <v>14.700000000001165</v>
      </c>
      <c r="BD74" s="891"/>
      <c r="BE74" s="891"/>
      <c r="BF74" s="891"/>
      <c r="BG74" s="928"/>
      <c r="BH74" s="928"/>
      <c r="BI74" s="928"/>
    </row>
    <row r="75" spans="1:61">
      <c r="A75" s="891" t="s">
        <v>851</v>
      </c>
      <c r="B75" s="891" t="s">
        <v>560</v>
      </c>
      <c r="C75" s="891" t="s">
        <v>389</v>
      </c>
      <c r="D75" s="891">
        <v>2.46</v>
      </c>
      <c r="E75" s="891">
        <v>8.1999999999999993</v>
      </c>
      <c r="F75" s="891">
        <v>3.28</v>
      </c>
      <c r="G75" s="891">
        <v>1.23</v>
      </c>
      <c r="H75" s="891">
        <v>1.64</v>
      </c>
      <c r="I75" s="891">
        <v>0.33</v>
      </c>
      <c r="J75" s="891">
        <v>0.22</v>
      </c>
      <c r="K75" s="891">
        <v>0.56999999999999995</v>
      </c>
      <c r="L75" s="891">
        <v>0.33</v>
      </c>
      <c r="M75" s="891">
        <v>0.82</v>
      </c>
      <c r="N75" s="891">
        <v>3.28</v>
      </c>
      <c r="O75" s="891">
        <v>0.33</v>
      </c>
      <c r="P75" s="891">
        <v>6.56</v>
      </c>
      <c r="Q75" s="891">
        <v>1.1499999999999999</v>
      </c>
      <c r="R75" s="891">
        <v>1.64</v>
      </c>
      <c r="S75" s="891">
        <v>1.97</v>
      </c>
      <c r="T75" s="891">
        <v>0.25</v>
      </c>
      <c r="U75" s="891">
        <v>3.28</v>
      </c>
      <c r="V75" s="891">
        <v>5.74</v>
      </c>
      <c r="W75" s="891">
        <v>1.1499999999999999</v>
      </c>
      <c r="X75" s="927">
        <v>10658.36</v>
      </c>
      <c r="Y75" s="891">
        <v>114.78</v>
      </c>
      <c r="Z75" s="891">
        <v>81.99</v>
      </c>
      <c r="AA75" s="891">
        <v>327.95</v>
      </c>
      <c r="AB75" s="891">
        <v>196.77</v>
      </c>
      <c r="AC75" s="891">
        <v>69.69</v>
      </c>
      <c r="AD75" s="891">
        <v>0.02</v>
      </c>
      <c r="AE75" s="891">
        <v>18.04</v>
      </c>
      <c r="AF75" s="891">
        <v>13.12</v>
      </c>
      <c r="AG75" s="891">
        <v>1.64</v>
      </c>
      <c r="AH75" s="891">
        <v>2.46</v>
      </c>
      <c r="AI75" s="891">
        <v>36.07</v>
      </c>
      <c r="AJ75" s="891">
        <v>50.83</v>
      </c>
      <c r="AK75" s="891">
        <v>57.39</v>
      </c>
      <c r="AL75" s="891">
        <v>49.19</v>
      </c>
      <c r="AM75" s="891">
        <v>1311.8</v>
      </c>
      <c r="AN75" s="891">
        <v>525.23</v>
      </c>
      <c r="AO75" s="891">
        <v>311.55</v>
      </c>
      <c r="AP75" s="891">
        <v>10</v>
      </c>
      <c r="AQ75" s="891">
        <v>0.33</v>
      </c>
      <c r="AR75" s="891">
        <v>0.23</v>
      </c>
      <c r="AS75" s="891">
        <v>1.64</v>
      </c>
      <c r="AT75" s="891">
        <v>1.64</v>
      </c>
      <c r="AU75" s="891">
        <v>0.98</v>
      </c>
      <c r="AV75" s="891">
        <v>0.25</v>
      </c>
      <c r="AW75" s="891">
        <v>0.41</v>
      </c>
      <c r="AX75" s="891">
        <v>1.1399999999999999</v>
      </c>
      <c r="AY75" s="891">
        <v>0.66</v>
      </c>
      <c r="AZ75" s="891">
        <v>0.33</v>
      </c>
      <c r="BA75" s="891">
        <f t="shared" si="3"/>
        <v>87.75</v>
      </c>
      <c r="BB75" s="926">
        <f t="shared" si="4"/>
        <v>10667.699999999999</v>
      </c>
      <c r="BC75" s="926">
        <f t="shared" si="5"/>
        <v>8.1899999999983262</v>
      </c>
      <c r="BD75" s="891"/>
      <c r="BE75" s="891"/>
      <c r="BF75" s="891"/>
      <c r="BG75" s="928"/>
      <c r="BH75" s="928"/>
      <c r="BI75" s="928"/>
    </row>
    <row r="76" spans="1:61">
      <c r="A76" s="891" t="s">
        <v>1491</v>
      </c>
      <c r="B76" s="891" t="s">
        <v>564</v>
      </c>
      <c r="C76" s="891" t="s">
        <v>1424</v>
      </c>
      <c r="D76" s="891">
        <v>17.61</v>
      </c>
      <c r="E76" s="891">
        <v>54.19</v>
      </c>
      <c r="F76" s="891">
        <v>6.77</v>
      </c>
      <c r="G76" s="891">
        <v>4.0599999999999996</v>
      </c>
      <c r="H76" s="891">
        <v>5.42</v>
      </c>
      <c r="I76" s="891">
        <v>2.0299999999999998</v>
      </c>
      <c r="J76" s="891">
        <v>0.68</v>
      </c>
      <c r="K76" s="891">
        <v>1.63</v>
      </c>
      <c r="L76" s="891">
        <v>1.35</v>
      </c>
      <c r="M76" s="891">
        <v>4.0599999999999996</v>
      </c>
      <c r="N76" s="891">
        <v>13.55</v>
      </c>
      <c r="O76" s="891">
        <v>1.08</v>
      </c>
      <c r="P76" s="891">
        <v>8.1300000000000008</v>
      </c>
      <c r="Q76" s="891">
        <v>2.44</v>
      </c>
      <c r="R76" s="891">
        <v>2.17</v>
      </c>
      <c r="S76" s="891">
        <v>5.69</v>
      </c>
      <c r="T76" s="891">
        <v>1.56</v>
      </c>
      <c r="U76" s="891">
        <v>8.81</v>
      </c>
      <c r="V76" s="891">
        <v>40.64</v>
      </c>
      <c r="W76" s="891">
        <v>2.37</v>
      </c>
      <c r="X76" s="927">
        <v>24383.64</v>
      </c>
      <c r="Y76" s="891">
        <v>406.39</v>
      </c>
      <c r="Z76" s="891">
        <v>338.66</v>
      </c>
      <c r="AA76" s="891">
        <v>629.91</v>
      </c>
      <c r="AB76" s="891">
        <v>541.86</v>
      </c>
      <c r="AC76" s="891">
        <v>81.28</v>
      </c>
      <c r="AD76" s="891">
        <v>0.5</v>
      </c>
      <c r="AE76" s="891">
        <v>27.09</v>
      </c>
      <c r="AF76" s="891">
        <v>67.73</v>
      </c>
      <c r="AG76" s="891">
        <v>13.55</v>
      </c>
      <c r="AH76" s="891">
        <v>9.48</v>
      </c>
      <c r="AI76" s="891">
        <v>121.92</v>
      </c>
      <c r="AJ76" s="891">
        <v>54.19</v>
      </c>
      <c r="AK76" s="891">
        <v>94.83</v>
      </c>
      <c r="AL76" s="891">
        <v>94.83</v>
      </c>
      <c r="AM76" s="891">
        <v>2709.29</v>
      </c>
      <c r="AN76" s="891">
        <v>2709.29</v>
      </c>
      <c r="AO76" s="891">
        <v>1151.45</v>
      </c>
      <c r="AP76" s="891">
        <v>6</v>
      </c>
      <c r="AQ76" s="891">
        <v>4.0599999999999996</v>
      </c>
      <c r="AR76" s="891">
        <v>0.92</v>
      </c>
      <c r="AS76" s="891">
        <v>13</v>
      </c>
      <c r="AT76" s="891">
        <v>2.5099999999999998</v>
      </c>
      <c r="AU76" s="891">
        <v>2.71</v>
      </c>
      <c r="AV76" s="891">
        <v>1.22</v>
      </c>
      <c r="AW76" s="891">
        <v>0.54</v>
      </c>
      <c r="AX76" s="891">
        <v>4.0599999999999996</v>
      </c>
      <c r="AY76" s="891">
        <v>1.49</v>
      </c>
      <c r="AZ76" s="891">
        <v>2.0299999999999998</v>
      </c>
      <c r="BA76" s="891">
        <f t="shared" si="3"/>
        <v>108.87</v>
      </c>
      <c r="BB76" s="926">
        <f t="shared" si="4"/>
        <v>24446.19</v>
      </c>
      <c r="BC76" s="926">
        <f t="shared" si="5"/>
        <v>60.179999999999275</v>
      </c>
      <c r="BD76" s="891"/>
      <c r="BE76" s="891"/>
      <c r="BF76" s="891"/>
      <c r="BG76" s="928"/>
      <c r="BH76" s="928"/>
      <c r="BI76" s="928"/>
    </row>
    <row r="77" spans="1:61">
      <c r="A77" s="891" t="s">
        <v>852</v>
      </c>
      <c r="B77" s="891" t="s">
        <v>560</v>
      </c>
      <c r="C77" s="891" t="s">
        <v>388</v>
      </c>
      <c r="D77" s="891">
        <v>1.1499999999999999</v>
      </c>
      <c r="E77" s="891">
        <v>6.56</v>
      </c>
      <c r="F77" s="891">
        <v>2.46</v>
      </c>
      <c r="G77" s="891">
        <v>1.48</v>
      </c>
      <c r="H77" s="891">
        <v>2.46</v>
      </c>
      <c r="I77" s="891">
        <v>0.36</v>
      </c>
      <c r="J77" s="891">
        <v>0.25</v>
      </c>
      <c r="K77" s="891">
        <v>0.49</v>
      </c>
      <c r="L77" s="891">
        <v>0.36</v>
      </c>
      <c r="M77" s="891">
        <v>0.69</v>
      </c>
      <c r="N77" s="891">
        <v>3.94</v>
      </c>
      <c r="O77" s="891">
        <v>0.36</v>
      </c>
      <c r="P77" s="891">
        <v>6.56</v>
      </c>
      <c r="Q77" s="891">
        <v>1.31</v>
      </c>
      <c r="R77" s="891">
        <v>2.13</v>
      </c>
      <c r="S77" s="891">
        <v>1.64</v>
      </c>
      <c r="T77" s="891">
        <v>0.2</v>
      </c>
      <c r="U77" s="891">
        <v>2.62</v>
      </c>
      <c r="V77" s="891">
        <v>16.399999999999999</v>
      </c>
      <c r="W77" s="891">
        <v>1.23</v>
      </c>
      <c r="X77" s="927">
        <v>12298.11</v>
      </c>
      <c r="Y77" s="891">
        <v>163.97</v>
      </c>
      <c r="Z77" s="891">
        <v>106.58</v>
      </c>
      <c r="AA77" s="891">
        <v>409.94</v>
      </c>
      <c r="AB77" s="891">
        <v>245.96</v>
      </c>
      <c r="AC77" s="891">
        <v>35.97</v>
      </c>
      <c r="AD77" s="891">
        <v>0.02</v>
      </c>
      <c r="AE77" s="891">
        <v>16.399999999999999</v>
      </c>
      <c r="AF77" s="891">
        <v>16.399999999999999</v>
      </c>
      <c r="AG77" s="891">
        <v>4.0999999999999996</v>
      </c>
      <c r="AH77" s="891">
        <v>2.46</v>
      </c>
      <c r="AI77" s="891">
        <v>32.79</v>
      </c>
      <c r="AJ77" s="891">
        <v>26.24</v>
      </c>
      <c r="AK77" s="891">
        <v>49.11</v>
      </c>
      <c r="AL77" s="891">
        <v>32.79</v>
      </c>
      <c r="AM77" s="891">
        <v>2118.0100000000002</v>
      </c>
      <c r="AN77" s="891">
        <v>794.25</v>
      </c>
      <c r="AO77" s="891">
        <v>459.13</v>
      </c>
      <c r="AP77" s="891">
        <v>12</v>
      </c>
      <c r="AQ77" s="891">
        <v>1.64</v>
      </c>
      <c r="AR77" s="891">
        <v>0.26</v>
      </c>
      <c r="AS77" s="891">
        <v>0.82</v>
      </c>
      <c r="AT77" s="891">
        <v>2.2999999999999998</v>
      </c>
      <c r="AU77" s="891">
        <v>1.39</v>
      </c>
      <c r="AV77" s="891">
        <v>0.41</v>
      </c>
      <c r="AW77" s="891">
        <v>0.33</v>
      </c>
      <c r="AX77" s="891">
        <v>0.97</v>
      </c>
      <c r="AY77" s="891">
        <v>0.74</v>
      </c>
      <c r="AZ77" s="891">
        <v>0.49</v>
      </c>
      <c r="BA77" s="891">
        <f t="shared" si="3"/>
        <v>52.39</v>
      </c>
      <c r="BB77" s="926">
        <f t="shared" si="4"/>
        <v>12318.66</v>
      </c>
      <c r="BC77" s="926">
        <f t="shared" si="5"/>
        <v>19.319999999999272</v>
      </c>
      <c r="BD77" s="891"/>
      <c r="BE77" s="891"/>
      <c r="BF77" s="891"/>
      <c r="BG77" s="928"/>
      <c r="BH77" s="928"/>
      <c r="BI77" s="928"/>
    </row>
    <row r="78" spans="1:61">
      <c r="A78" s="891" t="s">
        <v>1592</v>
      </c>
      <c r="B78" s="891" t="s">
        <v>639</v>
      </c>
      <c r="C78" s="891" t="s">
        <v>363</v>
      </c>
      <c r="D78" s="891">
        <v>1.52</v>
      </c>
      <c r="E78" s="891">
        <v>15.98</v>
      </c>
      <c r="F78" s="891">
        <v>4.79</v>
      </c>
      <c r="G78" s="891">
        <v>1.76</v>
      </c>
      <c r="H78" s="891">
        <v>2.88</v>
      </c>
      <c r="I78" s="891">
        <v>0.48</v>
      </c>
      <c r="J78" s="891">
        <v>0.26</v>
      </c>
      <c r="K78" s="891">
        <v>1.35</v>
      </c>
      <c r="L78" s="891">
        <v>1.1499999999999999</v>
      </c>
      <c r="M78" s="891">
        <v>1.38</v>
      </c>
      <c r="N78" s="891">
        <v>11.19</v>
      </c>
      <c r="O78" s="891">
        <v>0.48</v>
      </c>
      <c r="P78" s="891">
        <v>15.98</v>
      </c>
      <c r="Q78" s="891">
        <v>1.34</v>
      </c>
      <c r="R78" s="891">
        <v>2.8</v>
      </c>
      <c r="S78" s="891">
        <v>2.88</v>
      </c>
      <c r="T78" s="891">
        <v>0.64</v>
      </c>
      <c r="U78" s="891">
        <v>3.13</v>
      </c>
      <c r="V78" s="891">
        <v>19.18</v>
      </c>
      <c r="W78" s="891">
        <v>1.25</v>
      </c>
      <c r="X78" s="927">
        <v>25231.22</v>
      </c>
      <c r="Y78" s="891">
        <v>248.85</v>
      </c>
      <c r="Z78" s="891">
        <v>159.54</v>
      </c>
      <c r="AA78" s="891">
        <v>639.22</v>
      </c>
      <c r="AB78" s="891">
        <v>383.53</v>
      </c>
      <c r="AC78" s="891">
        <v>65.83</v>
      </c>
      <c r="AD78" s="891">
        <v>0.06</v>
      </c>
      <c r="AE78" s="891">
        <v>19.14</v>
      </c>
      <c r="AF78" s="891">
        <v>25.57</v>
      </c>
      <c r="AG78" s="891">
        <v>3.2</v>
      </c>
      <c r="AH78" s="891">
        <v>5.75</v>
      </c>
      <c r="AI78" s="891">
        <v>25.57</v>
      </c>
      <c r="AJ78" s="891">
        <v>22.37</v>
      </c>
      <c r="AK78" s="891">
        <v>55.93</v>
      </c>
      <c r="AL78" s="891">
        <v>23.97</v>
      </c>
      <c r="AM78" s="891">
        <v>1438.25</v>
      </c>
      <c r="AN78" s="891">
        <v>751.09</v>
      </c>
      <c r="AO78" s="891">
        <v>319.61</v>
      </c>
      <c r="AP78" s="891">
        <v>6</v>
      </c>
      <c r="AQ78" s="891">
        <v>1.27</v>
      </c>
      <c r="AR78" s="891">
        <v>0.16</v>
      </c>
      <c r="AS78" s="891">
        <v>1.6</v>
      </c>
      <c r="AT78" s="891">
        <v>3.2</v>
      </c>
      <c r="AU78" s="891">
        <v>1.28</v>
      </c>
      <c r="AV78" s="891">
        <v>1.02</v>
      </c>
      <c r="AW78" s="891">
        <v>0.56000000000000005</v>
      </c>
      <c r="AX78" s="891">
        <v>1.6</v>
      </c>
      <c r="AY78" s="891">
        <v>1.1200000000000001</v>
      </c>
      <c r="AZ78" s="891">
        <v>0.85</v>
      </c>
      <c r="BA78" s="891">
        <f t="shared" si="3"/>
        <v>85.03</v>
      </c>
      <c r="BB78" s="926">
        <f t="shared" si="4"/>
        <v>25255.32</v>
      </c>
      <c r="BC78" s="926">
        <f t="shared" si="5"/>
        <v>22.849999999998545</v>
      </c>
      <c r="BD78" s="891"/>
      <c r="BE78" s="891"/>
      <c r="BF78" s="891"/>
      <c r="BG78" s="928"/>
      <c r="BH78" s="928"/>
      <c r="BI78" s="928"/>
    </row>
    <row r="79" spans="1:61">
      <c r="A79" s="891" t="s">
        <v>854</v>
      </c>
      <c r="B79" s="891" t="s">
        <v>1593</v>
      </c>
      <c r="C79" s="891" t="s">
        <v>165</v>
      </c>
      <c r="D79" s="891">
        <v>10</v>
      </c>
      <c r="E79" s="891">
        <v>55</v>
      </c>
      <c r="F79" s="891">
        <v>6.5</v>
      </c>
      <c r="G79" s="891">
        <v>5</v>
      </c>
      <c r="H79" s="891">
        <v>5.88</v>
      </c>
      <c r="I79" s="891">
        <v>1.52</v>
      </c>
      <c r="J79" s="891">
        <v>1.27</v>
      </c>
      <c r="K79" s="891">
        <v>0.83</v>
      </c>
      <c r="L79" s="891">
        <v>1.99</v>
      </c>
      <c r="M79" s="891">
        <v>2</v>
      </c>
      <c r="N79" s="891">
        <v>8.8000000000000007</v>
      </c>
      <c r="O79" s="891">
        <v>1.49</v>
      </c>
      <c r="P79" s="891">
        <v>12.5</v>
      </c>
      <c r="Q79" s="891">
        <v>2</v>
      </c>
      <c r="R79" s="891">
        <v>2</v>
      </c>
      <c r="S79" s="891">
        <v>9.99</v>
      </c>
      <c r="T79" s="891">
        <v>2.38</v>
      </c>
      <c r="U79" s="891">
        <v>8.26</v>
      </c>
      <c r="V79" s="891">
        <v>100</v>
      </c>
      <c r="W79" s="891">
        <v>1.1100000000000001</v>
      </c>
      <c r="X79" s="927">
        <v>19000</v>
      </c>
      <c r="Y79" s="891">
        <v>1500</v>
      </c>
      <c r="Z79" s="891">
        <v>975</v>
      </c>
      <c r="AA79" s="891">
        <v>2500</v>
      </c>
      <c r="AB79" s="891">
        <v>1750</v>
      </c>
      <c r="AC79" s="891">
        <v>182.08</v>
      </c>
      <c r="AD79" s="891">
        <v>0.18</v>
      </c>
      <c r="AE79" s="891">
        <v>40</v>
      </c>
      <c r="AF79" s="891">
        <v>45</v>
      </c>
      <c r="AG79" s="891">
        <v>14</v>
      </c>
      <c r="AH79" s="891">
        <v>11</v>
      </c>
      <c r="AI79" s="891">
        <v>48</v>
      </c>
      <c r="AJ79" s="891">
        <v>30</v>
      </c>
      <c r="AK79" s="891">
        <v>95</v>
      </c>
      <c r="AL79" s="891">
        <v>94.5</v>
      </c>
      <c r="AM79" s="891">
        <v>2443.41</v>
      </c>
      <c r="AN79" s="891">
        <v>1431.6</v>
      </c>
      <c r="AO79" s="891">
        <v>3500</v>
      </c>
      <c r="AP79" s="891">
        <v>4.29</v>
      </c>
      <c r="AQ79" s="891">
        <v>3.25</v>
      </c>
      <c r="AR79" s="891">
        <v>1.1599999999999999</v>
      </c>
      <c r="AS79" s="891">
        <v>30</v>
      </c>
      <c r="AT79" s="891">
        <v>3.31</v>
      </c>
      <c r="AU79" s="891">
        <v>2.2000000000000002</v>
      </c>
      <c r="AV79" s="891">
        <v>2.2000000000000002</v>
      </c>
      <c r="AW79" s="891">
        <v>1.1200000000000001</v>
      </c>
      <c r="AX79" s="891">
        <v>3.75</v>
      </c>
      <c r="AY79" s="891">
        <v>2</v>
      </c>
      <c r="AZ79" s="891">
        <v>4</v>
      </c>
      <c r="BA79" s="891">
        <f t="shared" si="3"/>
        <v>222.26000000000002</v>
      </c>
      <c r="BB79" s="926">
        <f t="shared" si="4"/>
        <v>19137.900000000001</v>
      </c>
      <c r="BC79" s="926">
        <f t="shared" si="5"/>
        <v>136.79000000000144</v>
      </c>
      <c r="BD79" s="891"/>
      <c r="BE79" s="891"/>
      <c r="BF79" s="891"/>
      <c r="BG79" s="928"/>
      <c r="BH79" s="928"/>
      <c r="BI79" s="928"/>
    </row>
    <row r="80" spans="1:61">
      <c r="A80" s="891" t="s">
        <v>855</v>
      </c>
      <c r="B80" s="891" t="s">
        <v>648</v>
      </c>
      <c r="C80" s="891" t="s">
        <v>364</v>
      </c>
      <c r="D80" s="891">
        <v>4</v>
      </c>
      <c r="E80" s="891">
        <v>19.03</v>
      </c>
      <c r="F80" s="891">
        <v>5.16</v>
      </c>
      <c r="G80" s="891">
        <v>1.1100000000000001</v>
      </c>
      <c r="H80" s="891">
        <v>1.51</v>
      </c>
      <c r="I80" s="891">
        <v>0.91</v>
      </c>
      <c r="J80" s="891">
        <v>0.53</v>
      </c>
      <c r="K80" s="891">
        <v>0.65</v>
      </c>
      <c r="L80" s="891">
        <v>0.3</v>
      </c>
      <c r="M80" s="891">
        <v>1.35</v>
      </c>
      <c r="N80" s="891">
        <v>7.42</v>
      </c>
      <c r="O80" s="891">
        <v>0.6</v>
      </c>
      <c r="P80" s="891">
        <v>3.04</v>
      </c>
      <c r="Q80" s="891">
        <v>0.91</v>
      </c>
      <c r="R80" s="891">
        <v>1.36</v>
      </c>
      <c r="S80" s="891">
        <v>1.52</v>
      </c>
      <c r="T80" s="891">
        <v>0.23</v>
      </c>
      <c r="U80" s="891">
        <v>4.57</v>
      </c>
      <c r="V80" s="891">
        <v>6.77</v>
      </c>
      <c r="W80" s="891">
        <v>1.29</v>
      </c>
      <c r="X80" s="927">
        <v>17200</v>
      </c>
      <c r="Y80" s="891">
        <v>261.04000000000002</v>
      </c>
      <c r="Z80" s="891">
        <v>180.75</v>
      </c>
      <c r="AA80" s="891">
        <v>456.62</v>
      </c>
      <c r="AB80" s="891">
        <v>357.69</v>
      </c>
      <c r="AC80" s="891">
        <v>121.29</v>
      </c>
      <c r="AD80" s="891">
        <v>0.14000000000000001</v>
      </c>
      <c r="AE80" s="891">
        <v>11.42</v>
      </c>
      <c r="AF80" s="891">
        <v>43.13</v>
      </c>
      <c r="AG80" s="891">
        <v>9.89</v>
      </c>
      <c r="AH80" s="891">
        <v>5.71</v>
      </c>
      <c r="AI80" s="891">
        <v>70.400000000000006</v>
      </c>
      <c r="AJ80" s="891">
        <v>38.049999999999997</v>
      </c>
      <c r="AK80" s="891">
        <v>106.54</v>
      </c>
      <c r="AL80" s="891">
        <v>106.54</v>
      </c>
      <c r="AM80" s="891">
        <v>1141.55</v>
      </c>
      <c r="AN80" s="891">
        <v>738.2</v>
      </c>
      <c r="AO80" s="891">
        <v>266.36</v>
      </c>
      <c r="AP80" s="891">
        <v>14</v>
      </c>
      <c r="AQ80" s="891">
        <v>1.35</v>
      </c>
      <c r="AR80" s="891">
        <v>0.26</v>
      </c>
      <c r="AS80" s="891">
        <v>4.57</v>
      </c>
      <c r="AT80" s="891">
        <v>0.76</v>
      </c>
      <c r="AU80" s="891">
        <v>1.67</v>
      </c>
      <c r="AV80" s="891">
        <v>0.53</v>
      </c>
      <c r="AW80" s="891">
        <v>0.76</v>
      </c>
      <c r="AX80" s="891">
        <v>1.9</v>
      </c>
      <c r="AY80" s="891">
        <v>1.03</v>
      </c>
      <c r="AZ80" s="891">
        <v>1.5</v>
      </c>
      <c r="BA80" s="891">
        <f t="shared" si="3"/>
        <v>132.85</v>
      </c>
      <c r="BB80" s="926">
        <f t="shared" si="4"/>
        <v>17214.469999999998</v>
      </c>
      <c r="BC80" s="926">
        <f t="shared" si="5"/>
        <v>13.179999999997527</v>
      </c>
      <c r="BD80" s="891"/>
      <c r="BE80" s="891"/>
      <c r="BF80" s="891"/>
      <c r="BG80" s="928"/>
      <c r="BH80" s="928"/>
      <c r="BI80" s="928"/>
    </row>
    <row r="81" spans="1:61">
      <c r="A81" s="891" t="s">
        <v>856</v>
      </c>
      <c r="B81" s="891" t="s">
        <v>1578</v>
      </c>
      <c r="C81" s="891" t="s">
        <v>56</v>
      </c>
      <c r="D81" s="891">
        <v>16.649999999999999</v>
      </c>
      <c r="E81" s="891">
        <v>83.23</v>
      </c>
      <c r="F81" s="891">
        <v>6.89</v>
      </c>
      <c r="G81" s="891">
        <v>5.83</v>
      </c>
      <c r="H81" s="891">
        <v>5.83</v>
      </c>
      <c r="I81" s="891">
        <v>2.5</v>
      </c>
      <c r="J81" s="891">
        <v>2.08</v>
      </c>
      <c r="K81" s="891">
        <v>2</v>
      </c>
      <c r="L81" s="891">
        <v>1.87</v>
      </c>
      <c r="M81" s="891">
        <v>2.91</v>
      </c>
      <c r="N81" s="891">
        <v>8.32</v>
      </c>
      <c r="O81" s="891">
        <v>1.71</v>
      </c>
      <c r="P81" s="891">
        <v>10.82</v>
      </c>
      <c r="Q81" s="891">
        <v>2.5</v>
      </c>
      <c r="R81" s="891">
        <v>2.4300000000000002</v>
      </c>
      <c r="S81" s="891">
        <v>16.399999999999999</v>
      </c>
      <c r="T81" s="891">
        <v>2.33</v>
      </c>
      <c r="U81" s="891">
        <v>13.32</v>
      </c>
      <c r="V81" s="891">
        <v>76.569999999999993</v>
      </c>
      <c r="W81" s="891">
        <v>1.79</v>
      </c>
      <c r="X81" s="927">
        <v>32043.279999999999</v>
      </c>
      <c r="Y81" s="891">
        <v>887.22</v>
      </c>
      <c r="Z81" s="891">
        <v>665.83</v>
      </c>
      <c r="AA81" s="891">
        <v>1664.59</v>
      </c>
      <c r="AB81" s="891">
        <v>1352.48</v>
      </c>
      <c r="AC81" s="891">
        <v>106.12</v>
      </c>
      <c r="AD81" s="891">
        <v>0.5</v>
      </c>
      <c r="AE81" s="891">
        <v>62.42</v>
      </c>
      <c r="AF81" s="891">
        <v>62.42</v>
      </c>
      <c r="AG81" s="891">
        <v>4.16</v>
      </c>
      <c r="AH81" s="891">
        <v>13.32</v>
      </c>
      <c r="AI81" s="891">
        <v>91.55</v>
      </c>
      <c r="AJ81" s="891">
        <v>49.94</v>
      </c>
      <c r="AK81" s="891">
        <v>104.04</v>
      </c>
      <c r="AL81" s="891">
        <v>91.55</v>
      </c>
      <c r="AM81" s="891">
        <v>3329.17</v>
      </c>
      <c r="AN81" s="891">
        <v>2690.8</v>
      </c>
      <c r="AO81" s="891">
        <v>2427.8000000000002</v>
      </c>
      <c r="AP81" s="891">
        <v>5.5</v>
      </c>
      <c r="AQ81" s="891">
        <v>2.41</v>
      </c>
      <c r="AR81" s="891">
        <v>2.33</v>
      </c>
      <c r="AS81" s="891">
        <v>44.24</v>
      </c>
      <c r="AT81" s="891">
        <v>2.4900000000000002</v>
      </c>
      <c r="AU81" s="891">
        <v>2.5</v>
      </c>
      <c r="AV81" s="891">
        <v>1.66</v>
      </c>
      <c r="AW81" s="891">
        <v>1.87</v>
      </c>
      <c r="AX81" s="891">
        <v>3.75</v>
      </c>
      <c r="AY81" s="891">
        <v>2.08</v>
      </c>
      <c r="AZ81" s="891">
        <v>4.95</v>
      </c>
      <c r="BA81" s="891">
        <f t="shared" si="3"/>
        <v>169.04000000000002</v>
      </c>
      <c r="BB81" s="926">
        <f t="shared" si="4"/>
        <v>32172.95</v>
      </c>
      <c r="BC81" s="926">
        <f t="shared" si="5"/>
        <v>127.88000000000189</v>
      </c>
      <c r="BD81" s="891"/>
      <c r="BE81" s="891"/>
      <c r="BF81" s="891"/>
      <c r="BG81" s="928"/>
      <c r="BH81" s="928"/>
      <c r="BI81" s="928"/>
    </row>
    <row r="82" spans="1:61">
      <c r="A82" s="891" t="s">
        <v>857</v>
      </c>
      <c r="B82" s="891" t="s">
        <v>1594</v>
      </c>
      <c r="C82" s="891" t="s">
        <v>154</v>
      </c>
      <c r="D82" s="891">
        <v>12</v>
      </c>
      <c r="E82" s="891">
        <v>39</v>
      </c>
      <c r="F82" s="891">
        <v>6.25</v>
      </c>
      <c r="G82" s="891">
        <v>2.5</v>
      </c>
      <c r="H82" s="891">
        <v>4</v>
      </c>
      <c r="I82" s="891">
        <v>1.5</v>
      </c>
      <c r="J82" s="891">
        <v>1.29</v>
      </c>
      <c r="K82" s="891">
        <v>0.91</v>
      </c>
      <c r="L82" s="891">
        <v>1.65</v>
      </c>
      <c r="M82" s="891">
        <v>2</v>
      </c>
      <c r="N82" s="891">
        <v>8.82</v>
      </c>
      <c r="O82" s="891">
        <v>1.25</v>
      </c>
      <c r="P82" s="891">
        <v>13</v>
      </c>
      <c r="Q82" s="891">
        <v>3</v>
      </c>
      <c r="R82" s="891">
        <v>3.75</v>
      </c>
      <c r="S82" s="891">
        <v>6</v>
      </c>
      <c r="T82" s="891">
        <v>2.5</v>
      </c>
      <c r="U82" s="891">
        <v>5.51</v>
      </c>
      <c r="V82" s="891">
        <v>87.5</v>
      </c>
      <c r="W82" s="891">
        <v>0.96</v>
      </c>
      <c r="X82" s="927">
        <v>20000</v>
      </c>
      <c r="Y82" s="891">
        <v>850</v>
      </c>
      <c r="Z82" s="891">
        <v>600</v>
      </c>
      <c r="AA82" s="891">
        <v>1300</v>
      </c>
      <c r="AB82" s="891">
        <v>1100</v>
      </c>
      <c r="AC82" s="891">
        <v>185</v>
      </c>
      <c r="AD82" s="891">
        <v>0.25</v>
      </c>
      <c r="AE82" s="891">
        <v>45</v>
      </c>
      <c r="AF82" s="891">
        <v>55</v>
      </c>
      <c r="AG82" s="891">
        <v>30</v>
      </c>
      <c r="AH82" s="891">
        <v>10</v>
      </c>
      <c r="AI82" s="891">
        <v>32.5</v>
      </c>
      <c r="AJ82" s="891">
        <v>30</v>
      </c>
      <c r="AK82" s="891">
        <v>75</v>
      </c>
      <c r="AL82" s="891">
        <v>87.5</v>
      </c>
      <c r="AM82" s="891">
        <v>1500</v>
      </c>
      <c r="AN82" s="891">
        <v>800</v>
      </c>
      <c r="AO82" s="891">
        <v>3038.5</v>
      </c>
      <c r="AP82" s="891">
        <v>5</v>
      </c>
      <c r="AQ82" s="891">
        <v>2.75</v>
      </c>
      <c r="AR82" s="891">
        <v>3.11</v>
      </c>
      <c r="AS82" s="891">
        <v>40</v>
      </c>
      <c r="AT82" s="891">
        <v>3.86</v>
      </c>
      <c r="AU82" s="891">
        <v>4.41</v>
      </c>
      <c r="AV82" s="891">
        <v>4.41</v>
      </c>
      <c r="AW82" s="891">
        <v>1.54</v>
      </c>
      <c r="AX82" s="891">
        <v>3</v>
      </c>
      <c r="AY82" s="891">
        <v>2</v>
      </c>
      <c r="AZ82" s="891">
        <v>3.7</v>
      </c>
      <c r="BA82" s="891">
        <f t="shared" si="3"/>
        <v>230.25</v>
      </c>
      <c r="BB82" s="926">
        <f t="shared" si="4"/>
        <v>20136.82</v>
      </c>
      <c r="BC82" s="926">
        <f t="shared" si="5"/>
        <v>135.8599999999997</v>
      </c>
      <c r="BD82" s="891"/>
      <c r="BE82" s="891"/>
      <c r="BF82" s="891"/>
      <c r="BG82" s="928"/>
      <c r="BH82" s="928"/>
      <c r="BI82" s="928"/>
    </row>
    <row r="83" spans="1:61">
      <c r="A83" s="891" t="s">
        <v>858</v>
      </c>
      <c r="B83" s="891" t="s">
        <v>638</v>
      </c>
      <c r="C83" s="891" t="s">
        <v>337</v>
      </c>
      <c r="D83" s="891">
        <v>4.5599999999999996</v>
      </c>
      <c r="E83" s="891">
        <v>24.34</v>
      </c>
      <c r="F83" s="891">
        <v>5.48</v>
      </c>
      <c r="G83" s="891">
        <v>1.52</v>
      </c>
      <c r="H83" s="891">
        <v>1.83</v>
      </c>
      <c r="I83" s="891">
        <v>1.22</v>
      </c>
      <c r="J83" s="891">
        <v>0.91</v>
      </c>
      <c r="K83" s="891">
        <v>1.22</v>
      </c>
      <c r="L83" s="891">
        <v>0.76</v>
      </c>
      <c r="M83" s="891">
        <v>2.19</v>
      </c>
      <c r="N83" s="891">
        <v>7.87</v>
      </c>
      <c r="O83" s="891">
        <v>0.69</v>
      </c>
      <c r="P83" s="891">
        <v>4.26</v>
      </c>
      <c r="Q83" s="891">
        <v>0.91</v>
      </c>
      <c r="R83" s="891">
        <v>1.35</v>
      </c>
      <c r="S83" s="891">
        <v>3.96</v>
      </c>
      <c r="T83" s="891">
        <v>0.61</v>
      </c>
      <c r="U83" s="891">
        <v>5.93</v>
      </c>
      <c r="V83" s="891">
        <v>18.260000000000002</v>
      </c>
      <c r="W83" s="891">
        <v>1.83</v>
      </c>
      <c r="X83" s="927">
        <v>21301.85</v>
      </c>
      <c r="Y83" s="891">
        <v>273.88</v>
      </c>
      <c r="Z83" s="891">
        <v>228.23</v>
      </c>
      <c r="AA83" s="891">
        <v>541.86</v>
      </c>
      <c r="AB83" s="891">
        <v>408.61</v>
      </c>
      <c r="AC83" s="891">
        <v>103.47</v>
      </c>
      <c r="AD83" s="891">
        <v>0.18</v>
      </c>
      <c r="AE83" s="891">
        <v>9.1300000000000008</v>
      </c>
      <c r="AF83" s="891">
        <v>30.43</v>
      </c>
      <c r="AG83" s="891">
        <v>10.65</v>
      </c>
      <c r="AH83" s="891">
        <v>4.5599999999999996</v>
      </c>
      <c r="AI83" s="891">
        <v>45.65</v>
      </c>
      <c r="AJ83" s="891">
        <v>54.78</v>
      </c>
      <c r="AK83" s="891">
        <v>76.08</v>
      </c>
      <c r="AL83" s="891">
        <v>60.86</v>
      </c>
      <c r="AM83" s="891">
        <v>1481.49</v>
      </c>
      <c r="AN83" s="891">
        <v>1217.25</v>
      </c>
      <c r="AO83" s="891">
        <v>486.9</v>
      </c>
      <c r="AP83" s="891">
        <v>6</v>
      </c>
      <c r="AQ83" s="891">
        <v>0.57999999999999996</v>
      </c>
      <c r="AR83" s="891">
        <v>0.56000000000000005</v>
      </c>
      <c r="AS83" s="891">
        <v>5.47</v>
      </c>
      <c r="AT83" s="891">
        <v>1.22</v>
      </c>
      <c r="AU83" s="891">
        <v>1.35</v>
      </c>
      <c r="AV83" s="891">
        <v>0.61</v>
      </c>
      <c r="AW83" s="891">
        <v>0.91</v>
      </c>
      <c r="AX83" s="891">
        <v>1.52</v>
      </c>
      <c r="AY83" s="891">
        <v>1.83</v>
      </c>
      <c r="AZ83" s="891">
        <v>1.52</v>
      </c>
      <c r="BA83" s="891">
        <f t="shared" si="3"/>
        <v>112.78</v>
      </c>
      <c r="BB83" s="926">
        <f t="shared" si="4"/>
        <v>21329.160000000003</v>
      </c>
      <c r="BC83" s="926">
        <f t="shared" si="5"/>
        <v>25.480000000004949</v>
      </c>
      <c r="BD83" s="891"/>
      <c r="BE83" s="891"/>
      <c r="BF83" s="891"/>
      <c r="BG83" s="928"/>
      <c r="BH83" s="928"/>
      <c r="BI83" s="928"/>
    </row>
    <row r="84" spans="1:61">
      <c r="A84" s="891" t="s">
        <v>859</v>
      </c>
      <c r="B84" s="891" t="s">
        <v>560</v>
      </c>
      <c r="C84" s="891" t="s">
        <v>396</v>
      </c>
      <c r="D84" s="891">
        <v>0.82</v>
      </c>
      <c r="E84" s="891">
        <v>4.0999999999999996</v>
      </c>
      <c r="F84" s="891">
        <v>3.28</v>
      </c>
      <c r="G84" s="891">
        <v>1.23</v>
      </c>
      <c r="H84" s="891">
        <v>2.46</v>
      </c>
      <c r="I84" s="891">
        <v>0.33</v>
      </c>
      <c r="J84" s="891">
        <v>0.25</v>
      </c>
      <c r="K84" s="891">
        <v>0.56000000000000005</v>
      </c>
      <c r="L84" s="891">
        <v>0.41</v>
      </c>
      <c r="M84" s="891">
        <v>0.76</v>
      </c>
      <c r="N84" s="891">
        <v>3.28</v>
      </c>
      <c r="O84" s="891">
        <v>0.4</v>
      </c>
      <c r="P84" s="891">
        <v>6.56</v>
      </c>
      <c r="Q84" s="891">
        <v>1.31</v>
      </c>
      <c r="R84" s="891">
        <v>2.13</v>
      </c>
      <c r="S84" s="891">
        <v>1.1499999999999999</v>
      </c>
      <c r="T84" s="891">
        <v>0.16</v>
      </c>
      <c r="U84" s="891">
        <v>2.46</v>
      </c>
      <c r="V84" s="891">
        <v>5.33</v>
      </c>
      <c r="W84" s="891">
        <v>1.18</v>
      </c>
      <c r="X84" s="927">
        <v>13445.93</v>
      </c>
      <c r="Y84" s="891">
        <v>147.58000000000001</v>
      </c>
      <c r="Z84" s="891">
        <v>81.99</v>
      </c>
      <c r="AA84" s="891">
        <v>327.95</v>
      </c>
      <c r="AB84" s="891">
        <v>163.97</v>
      </c>
      <c r="AC84" s="891">
        <v>28.7</v>
      </c>
      <c r="AD84" s="891">
        <v>0.01</v>
      </c>
      <c r="AE84" s="891">
        <v>12.71</v>
      </c>
      <c r="AF84" s="891">
        <v>19.68</v>
      </c>
      <c r="AG84" s="891">
        <v>4.92</v>
      </c>
      <c r="AH84" s="891">
        <v>1.97</v>
      </c>
      <c r="AI84" s="891">
        <v>31.16</v>
      </c>
      <c r="AJ84" s="891">
        <v>20.5</v>
      </c>
      <c r="AK84" s="891">
        <v>36.07</v>
      </c>
      <c r="AL84" s="891">
        <v>24.6</v>
      </c>
      <c r="AM84" s="891">
        <v>750.13</v>
      </c>
      <c r="AN84" s="891">
        <v>425.59</v>
      </c>
      <c r="AO84" s="891">
        <v>327.95</v>
      </c>
      <c r="AP84" s="891">
        <v>10</v>
      </c>
      <c r="AQ84" s="891">
        <v>0.82</v>
      </c>
      <c r="AR84" s="891">
        <v>0.2</v>
      </c>
      <c r="AS84" s="891">
        <v>0.98</v>
      </c>
      <c r="AT84" s="891">
        <v>2.46</v>
      </c>
      <c r="AU84" s="891">
        <v>0.98</v>
      </c>
      <c r="AV84" s="891">
        <v>0.49</v>
      </c>
      <c r="AW84" s="891">
        <v>0.37</v>
      </c>
      <c r="AX84" s="891">
        <v>0.82</v>
      </c>
      <c r="AY84" s="891">
        <v>0.74</v>
      </c>
      <c r="AZ84" s="891">
        <v>0.41</v>
      </c>
      <c r="BA84" s="891">
        <f t="shared" si="3"/>
        <v>41.42</v>
      </c>
      <c r="BB84" s="926">
        <f t="shared" si="4"/>
        <v>13454.6</v>
      </c>
      <c r="BC84" s="926">
        <f t="shared" si="5"/>
        <v>7.490000000000073</v>
      </c>
      <c r="BD84" s="891"/>
      <c r="BE84" s="891"/>
      <c r="BF84" s="891"/>
      <c r="BG84" s="928"/>
      <c r="BH84" s="928"/>
      <c r="BI84" s="928"/>
    </row>
    <row r="85" spans="1:61">
      <c r="A85" s="891" t="s">
        <v>860</v>
      </c>
      <c r="B85" s="891" t="s">
        <v>606</v>
      </c>
      <c r="C85" s="891" t="s">
        <v>229</v>
      </c>
      <c r="D85" s="891">
        <v>10.16</v>
      </c>
      <c r="E85" s="891">
        <v>27.09</v>
      </c>
      <c r="F85" s="891">
        <v>6.98</v>
      </c>
      <c r="G85" s="891">
        <v>1.9</v>
      </c>
      <c r="H85" s="891">
        <v>1.76</v>
      </c>
      <c r="I85" s="891">
        <v>1.35</v>
      </c>
      <c r="J85" s="891">
        <v>1.08</v>
      </c>
      <c r="K85" s="891">
        <v>0.81</v>
      </c>
      <c r="L85" s="891">
        <v>1.35</v>
      </c>
      <c r="M85" s="891">
        <v>2.09</v>
      </c>
      <c r="N85" s="891">
        <v>10.84</v>
      </c>
      <c r="O85" s="891">
        <v>0.41</v>
      </c>
      <c r="P85" s="891">
        <v>4.0599999999999996</v>
      </c>
      <c r="Q85" s="891">
        <v>1.32</v>
      </c>
      <c r="R85" s="891">
        <v>1.35</v>
      </c>
      <c r="S85" s="891">
        <v>5.69</v>
      </c>
      <c r="T85" s="891">
        <v>2.17</v>
      </c>
      <c r="U85" s="891">
        <v>7.79</v>
      </c>
      <c r="V85" s="891">
        <v>40.64</v>
      </c>
      <c r="W85" s="891">
        <v>2.2000000000000002</v>
      </c>
      <c r="X85" s="927">
        <v>27092.93</v>
      </c>
      <c r="Y85" s="891">
        <v>474.13</v>
      </c>
      <c r="Z85" s="891">
        <v>338.66</v>
      </c>
      <c r="AA85" s="891">
        <v>846.65</v>
      </c>
      <c r="AB85" s="891">
        <v>609.59</v>
      </c>
      <c r="AC85" s="891">
        <v>95.95</v>
      </c>
      <c r="AD85" s="891">
        <v>0.27</v>
      </c>
      <c r="AE85" s="891">
        <v>27.77</v>
      </c>
      <c r="AF85" s="891">
        <v>54.19</v>
      </c>
      <c r="AG85" s="891">
        <v>20.32</v>
      </c>
      <c r="AH85" s="891">
        <v>8.1300000000000008</v>
      </c>
      <c r="AI85" s="891">
        <v>121.92</v>
      </c>
      <c r="AJ85" s="891">
        <v>27.09</v>
      </c>
      <c r="AK85" s="891">
        <v>108.37</v>
      </c>
      <c r="AL85" s="891">
        <v>67.73</v>
      </c>
      <c r="AM85" s="891">
        <v>1991.33</v>
      </c>
      <c r="AN85" s="891">
        <v>1015.98</v>
      </c>
      <c r="AO85" s="891">
        <v>1015.98</v>
      </c>
      <c r="AP85" s="891">
        <v>2.5</v>
      </c>
      <c r="AQ85" s="891">
        <v>3.39</v>
      </c>
      <c r="AR85" s="891">
        <v>2.0299999999999998</v>
      </c>
      <c r="AS85" s="891">
        <v>22.47</v>
      </c>
      <c r="AT85" s="891">
        <v>1.83</v>
      </c>
      <c r="AU85" s="891">
        <v>1.35</v>
      </c>
      <c r="AV85" s="891">
        <v>1.08</v>
      </c>
      <c r="AW85" s="891">
        <v>1.1499999999999999</v>
      </c>
      <c r="AX85" s="891">
        <v>1.63</v>
      </c>
      <c r="AY85" s="891">
        <v>1.35</v>
      </c>
      <c r="AZ85" s="891">
        <v>1.35</v>
      </c>
      <c r="BA85" s="891">
        <f t="shared" si="3"/>
        <v>123.99</v>
      </c>
      <c r="BB85" s="926">
        <f t="shared" si="4"/>
        <v>27165.829999999998</v>
      </c>
      <c r="BC85" s="926">
        <f t="shared" si="5"/>
        <v>70.699999999997814</v>
      </c>
      <c r="BD85" s="891"/>
      <c r="BE85" s="891"/>
      <c r="BF85" s="891"/>
      <c r="BG85" s="928"/>
      <c r="BH85" s="928"/>
      <c r="BI85" s="928"/>
    </row>
    <row r="86" spans="1:61">
      <c r="A86" s="891" t="s">
        <v>861</v>
      </c>
      <c r="B86" s="891" t="s">
        <v>566</v>
      </c>
      <c r="C86" s="891" t="s">
        <v>138</v>
      </c>
      <c r="D86" s="891">
        <v>13.55</v>
      </c>
      <c r="E86" s="891">
        <v>50.8</v>
      </c>
      <c r="F86" s="891">
        <v>9.48</v>
      </c>
      <c r="G86" s="891">
        <v>5.08</v>
      </c>
      <c r="H86" s="891">
        <v>4.0599999999999996</v>
      </c>
      <c r="I86" s="891">
        <v>2.71</v>
      </c>
      <c r="J86" s="891">
        <v>2.71</v>
      </c>
      <c r="K86" s="891">
        <v>0.79</v>
      </c>
      <c r="L86" s="891">
        <v>1.08</v>
      </c>
      <c r="M86" s="891">
        <v>1.9</v>
      </c>
      <c r="N86" s="891">
        <v>8.1300000000000008</v>
      </c>
      <c r="O86" s="891">
        <v>0.34</v>
      </c>
      <c r="P86" s="891">
        <v>6.43</v>
      </c>
      <c r="Q86" s="891">
        <v>1.29</v>
      </c>
      <c r="R86" s="891">
        <v>1.35</v>
      </c>
      <c r="S86" s="891">
        <v>6.77</v>
      </c>
      <c r="T86" s="891">
        <v>3.52</v>
      </c>
      <c r="U86" s="891">
        <v>10.84</v>
      </c>
      <c r="V86" s="891">
        <v>101.6</v>
      </c>
      <c r="W86" s="891">
        <v>2.17</v>
      </c>
      <c r="X86" s="927">
        <v>20319.7</v>
      </c>
      <c r="Y86" s="891">
        <v>745.06</v>
      </c>
      <c r="Z86" s="891">
        <v>616.36</v>
      </c>
      <c r="AA86" s="891">
        <v>1557.84</v>
      </c>
      <c r="AB86" s="891">
        <v>1049.8499999999999</v>
      </c>
      <c r="AC86" s="891">
        <v>245.64</v>
      </c>
      <c r="AD86" s="891">
        <v>0.26</v>
      </c>
      <c r="AE86" s="891">
        <v>27.09</v>
      </c>
      <c r="AF86" s="891">
        <v>47.41</v>
      </c>
      <c r="AG86" s="891">
        <v>24.38</v>
      </c>
      <c r="AH86" s="891">
        <v>11.85</v>
      </c>
      <c r="AI86" s="891">
        <v>101.6</v>
      </c>
      <c r="AJ86" s="891">
        <v>60.96</v>
      </c>
      <c r="AK86" s="891">
        <v>94.83</v>
      </c>
      <c r="AL86" s="891">
        <v>135.46</v>
      </c>
      <c r="AM86" s="891">
        <v>4063.94</v>
      </c>
      <c r="AN86" s="891">
        <v>2709.29</v>
      </c>
      <c r="AO86" s="891">
        <v>2709.29</v>
      </c>
      <c r="AP86" s="891">
        <v>3.45</v>
      </c>
      <c r="AQ86" s="891">
        <v>3.83</v>
      </c>
      <c r="AR86" s="891">
        <v>2.2999999999999998</v>
      </c>
      <c r="AS86" s="891">
        <v>32.51</v>
      </c>
      <c r="AT86" s="891">
        <v>2.71</v>
      </c>
      <c r="AU86" s="891">
        <v>2.71</v>
      </c>
      <c r="AV86" s="891">
        <v>0.81</v>
      </c>
      <c r="AW86" s="891">
        <v>1.08</v>
      </c>
      <c r="AX86" s="891">
        <v>3.05</v>
      </c>
      <c r="AY86" s="891">
        <v>1.96</v>
      </c>
      <c r="AZ86" s="891">
        <v>3.79</v>
      </c>
      <c r="BA86" s="891">
        <f t="shared" si="3"/>
        <v>272.98999999999995</v>
      </c>
      <c r="BB86" s="926">
        <f t="shared" si="4"/>
        <v>20465.63</v>
      </c>
      <c r="BC86" s="926">
        <f t="shared" si="5"/>
        <v>143.7600000000003</v>
      </c>
      <c r="BD86" s="891"/>
      <c r="BE86" s="891"/>
      <c r="BF86" s="891"/>
      <c r="BG86" s="928"/>
      <c r="BH86" s="928"/>
      <c r="BI86" s="928"/>
    </row>
    <row r="87" spans="1:61">
      <c r="A87" s="891" t="s">
        <v>862</v>
      </c>
      <c r="B87" s="891" t="s">
        <v>1595</v>
      </c>
      <c r="C87" s="891" t="s">
        <v>362</v>
      </c>
      <c r="D87" s="891">
        <v>2.29</v>
      </c>
      <c r="E87" s="891">
        <v>18.309999999999999</v>
      </c>
      <c r="F87" s="891">
        <v>4.54</v>
      </c>
      <c r="G87" s="891">
        <v>1.5</v>
      </c>
      <c r="H87" s="891">
        <v>3.05</v>
      </c>
      <c r="I87" s="891">
        <v>0.76</v>
      </c>
      <c r="J87" s="891">
        <v>0.31</v>
      </c>
      <c r="K87" s="891">
        <v>1.22</v>
      </c>
      <c r="L87" s="891">
        <v>0.59</v>
      </c>
      <c r="M87" s="891">
        <v>1.51</v>
      </c>
      <c r="N87" s="891">
        <v>10</v>
      </c>
      <c r="O87" s="891">
        <v>0.6</v>
      </c>
      <c r="P87" s="891">
        <v>11.44</v>
      </c>
      <c r="Q87" s="891">
        <v>1.37</v>
      </c>
      <c r="R87" s="891">
        <v>2.14</v>
      </c>
      <c r="S87" s="891">
        <v>4.58</v>
      </c>
      <c r="T87" s="891">
        <v>0.19</v>
      </c>
      <c r="U87" s="891">
        <v>4.42</v>
      </c>
      <c r="V87" s="891">
        <v>10.3</v>
      </c>
      <c r="W87" s="891">
        <v>1.24</v>
      </c>
      <c r="X87" s="927">
        <v>27465.21</v>
      </c>
      <c r="Y87" s="891">
        <v>283.51</v>
      </c>
      <c r="Z87" s="891">
        <v>152.58000000000001</v>
      </c>
      <c r="AA87" s="891">
        <v>800</v>
      </c>
      <c r="AB87" s="891">
        <v>400</v>
      </c>
      <c r="AC87" s="891">
        <v>60.48</v>
      </c>
      <c r="AD87" s="891">
        <v>0.02</v>
      </c>
      <c r="AE87" s="891">
        <v>18.96</v>
      </c>
      <c r="AF87" s="891">
        <v>15.26</v>
      </c>
      <c r="AG87" s="891">
        <v>7.63</v>
      </c>
      <c r="AH87" s="891">
        <v>3.43</v>
      </c>
      <c r="AI87" s="891">
        <v>26.7</v>
      </c>
      <c r="AJ87" s="891">
        <v>19.07</v>
      </c>
      <c r="AK87" s="891">
        <v>76.290000000000006</v>
      </c>
      <c r="AL87" s="891">
        <v>32.42</v>
      </c>
      <c r="AM87" s="891">
        <v>1506.95</v>
      </c>
      <c r="AN87" s="891">
        <v>1018.42</v>
      </c>
      <c r="AO87" s="891">
        <v>346.66</v>
      </c>
      <c r="AP87" s="891">
        <v>15</v>
      </c>
      <c r="AQ87" s="891">
        <v>0.38</v>
      </c>
      <c r="AR87" s="891">
        <v>0.36</v>
      </c>
      <c r="AS87" s="891">
        <v>0.72</v>
      </c>
      <c r="AT87" s="891">
        <v>2.68</v>
      </c>
      <c r="AU87" s="891">
        <v>2.58</v>
      </c>
      <c r="AV87" s="891">
        <v>0.8</v>
      </c>
      <c r="AW87" s="891">
        <v>0.34</v>
      </c>
      <c r="AX87" s="891">
        <v>1.91</v>
      </c>
      <c r="AY87" s="891">
        <v>0.53</v>
      </c>
      <c r="AZ87" s="891">
        <v>0.92</v>
      </c>
      <c r="BA87" s="891">
        <f t="shared" si="3"/>
        <v>79.460000000000008</v>
      </c>
      <c r="BB87" s="926">
        <f t="shared" si="4"/>
        <v>27478.400000000001</v>
      </c>
      <c r="BC87" s="926">
        <f t="shared" si="5"/>
        <v>11.950000000002328</v>
      </c>
      <c r="BD87" s="891"/>
      <c r="BE87" s="891"/>
      <c r="BF87" s="891"/>
      <c r="BG87" s="928"/>
      <c r="BH87" s="928"/>
      <c r="BI87" s="928"/>
    </row>
    <row r="88" spans="1:61">
      <c r="A88" s="891" t="s">
        <v>863</v>
      </c>
      <c r="B88" s="891" t="s">
        <v>1594</v>
      </c>
      <c r="C88" s="891" t="s">
        <v>185</v>
      </c>
      <c r="D88" s="891">
        <v>10</v>
      </c>
      <c r="E88" s="891">
        <v>50</v>
      </c>
      <c r="F88" s="891">
        <v>6</v>
      </c>
      <c r="G88" s="891">
        <v>3.25</v>
      </c>
      <c r="H88" s="891">
        <v>4</v>
      </c>
      <c r="I88" s="891">
        <v>1.5</v>
      </c>
      <c r="J88" s="891">
        <v>1</v>
      </c>
      <c r="K88" s="891">
        <v>0.79</v>
      </c>
      <c r="L88" s="891">
        <v>2</v>
      </c>
      <c r="M88" s="891">
        <v>1.64</v>
      </c>
      <c r="N88" s="891">
        <v>11.02</v>
      </c>
      <c r="O88" s="891">
        <v>1</v>
      </c>
      <c r="P88" s="891">
        <v>10</v>
      </c>
      <c r="Q88" s="891">
        <v>2</v>
      </c>
      <c r="R88" s="891">
        <v>2.99</v>
      </c>
      <c r="S88" s="891">
        <v>5.5</v>
      </c>
      <c r="T88" s="891">
        <v>2</v>
      </c>
      <c r="U88" s="891">
        <v>8.8000000000000007</v>
      </c>
      <c r="V88" s="891">
        <v>72</v>
      </c>
      <c r="W88" s="891">
        <v>0.98</v>
      </c>
      <c r="X88" s="927">
        <v>18500</v>
      </c>
      <c r="Y88" s="891">
        <v>775</v>
      </c>
      <c r="Z88" s="891">
        <v>600</v>
      </c>
      <c r="AA88" s="891">
        <v>1500</v>
      </c>
      <c r="AB88" s="891">
        <v>1150</v>
      </c>
      <c r="AC88" s="891">
        <v>150</v>
      </c>
      <c r="AD88" s="891">
        <v>0.1</v>
      </c>
      <c r="AE88" s="891">
        <v>40</v>
      </c>
      <c r="AF88" s="891">
        <v>40</v>
      </c>
      <c r="AG88" s="891">
        <v>15</v>
      </c>
      <c r="AH88" s="891">
        <v>9</v>
      </c>
      <c r="AI88" s="891">
        <v>35</v>
      </c>
      <c r="AJ88" s="891">
        <v>35</v>
      </c>
      <c r="AK88" s="891">
        <v>100</v>
      </c>
      <c r="AL88" s="891">
        <v>92.5</v>
      </c>
      <c r="AM88" s="891">
        <v>861.11</v>
      </c>
      <c r="AN88" s="891">
        <v>753.47</v>
      </c>
      <c r="AO88" s="891">
        <v>2881</v>
      </c>
      <c r="AP88" s="891">
        <v>4</v>
      </c>
      <c r="AQ88" s="891">
        <v>2.85</v>
      </c>
      <c r="AR88" s="891">
        <v>1.24</v>
      </c>
      <c r="AS88" s="891">
        <v>18</v>
      </c>
      <c r="AT88" s="891">
        <v>3.52</v>
      </c>
      <c r="AU88" s="891">
        <v>4.41</v>
      </c>
      <c r="AV88" s="891">
        <v>1.74</v>
      </c>
      <c r="AW88" s="891">
        <v>1.22</v>
      </c>
      <c r="AX88" s="891">
        <v>3</v>
      </c>
      <c r="AY88" s="891">
        <v>2.35</v>
      </c>
      <c r="AZ88" s="891">
        <v>3.31</v>
      </c>
      <c r="BA88" s="891">
        <f t="shared" si="3"/>
        <v>190.1</v>
      </c>
      <c r="BB88" s="926">
        <f t="shared" si="4"/>
        <v>18597.07</v>
      </c>
      <c r="BC88" s="926">
        <f t="shared" si="5"/>
        <v>96.089999999999705</v>
      </c>
      <c r="BD88" s="891"/>
      <c r="BE88" s="891"/>
      <c r="BF88" s="891"/>
      <c r="BG88" s="928"/>
      <c r="BH88" s="928"/>
      <c r="BI88" s="928"/>
    </row>
    <row r="89" spans="1:61">
      <c r="A89" s="891" t="s">
        <v>865</v>
      </c>
      <c r="B89" s="891" t="s">
        <v>610</v>
      </c>
      <c r="C89" s="891" t="s">
        <v>256</v>
      </c>
      <c r="D89" s="891">
        <v>8</v>
      </c>
      <c r="E89" s="891">
        <v>38.36</v>
      </c>
      <c r="F89" s="891">
        <v>8.67</v>
      </c>
      <c r="G89" s="891">
        <v>2.2000000000000002</v>
      </c>
      <c r="H89" s="891">
        <v>3</v>
      </c>
      <c r="I89" s="891">
        <v>1.8</v>
      </c>
      <c r="J89" s="891">
        <v>1.48</v>
      </c>
      <c r="K89" s="891">
        <v>1.25</v>
      </c>
      <c r="L89" s="891">
        <v>1.02</v>
      </c>
      <c r="M89" s="891">
        <v>2.0699999999999998</v>
      </c>
      <c r="N89" s="891">
        <v>10</v>
      </c>
      <c r="O89" s="891">
        <v>1.4</v>
      </c>
      <c r="P89" s="891">
        <v>7</v>
      </c>
      <c r="Q89" s="891">
        <v>1.65</v>
      </c>
      <c r="R89" s="891">
        <v>2.7</v>
      </c>
      <c r="S89" s="891">
        <v>1.69</v>
      </c>
      <c r="T89" s="891">
        <v>0.71</v>
      </c>
      <c r="U89" s="891">
        <v>7.65</v>
      </c>
      <c r="V89" s="891">
        <v>27.27</v>
      </c>
      <c r="W89" s="891">
        <v>1.44</v>
      </c>
      <c r="X89" s="927">
        <v>25000</v>
      </c>
      <c r="Y89" s="891">
        <v>361.41</v>
      </c>
      <c r="Z89" s="891">
        <v>259.8</v>
      </c>
      <c r="AA89" s="891">
        <v>802.73</v>
      </c>
      <c r="AB89" s="891">
        <v>498.04</v>
      </c>
      <c r="AC89" s="891">
        <v>42.83</v>
      </c>
      <c r="AD89" s="891">
        <v>0.41</v>
      </c>
      <c r="AE89" s="891">
        <v>31.11</v>
      </c>
      <c r="AF89" s="891">
        <v>39.42</v>
      </c>
      <c r="AG89" s="891">
        <v>8</v>
      </c>
      <c r="AH89" s="891">
        <v>6</v>
      </c>
      <c r="AI89" s="891">
        <v>110</v>
      </c>
      <c r="AJ89" s="891">
        <v>62.5</v>
      </c>
      <c r="AK89" s="891">
        <v>110</v>
      </c>
      <c r="AL89" s="891">
        <v>115</v>
      </c>
      <c r="AM89" s="891">
        <v>1700</v>
      </c>
      <c r="AN89" s="891">
        <v>1100</v>
      </c>
      <c r="AO89" s="891">
        <v>829.53</v>
      </c>
      <c r="AP89" s="891">
        <v>24</v>
      </c>
      <c r="AQ89" s="891">
        <v>1.48</v>
      </c>
      <c r="AR89" s="891">
        <v>0.7</v>
      </c>
      <c r="AS89" s="891">
        <v>4.2</v>
      </c>
      <c r="AT89" s="891">
        <v>1.87</v>
      </c>
      <c r="AU89" s="891">
        <v>1.45</v>
      </c>
      <c r="AV89" s="891">
        <v>1</v>
      </c>
      <c r="AW89" s="891">
        <v>0.83</v>
      </c>
      <c r="AX89" s="891">
        <v>2.99</v>
      </c>
      <c r="AY89" s="891">
        <v>2</v>
      </c>
      <c r="AZ89" s="891">
        <v>1.71</v>
      </c>
      <c r="BA89" s="891">
        <f t="shared" si="3"/>
        <v>74.349999999999994</v>
      </c>
      <c r="BB89" s="926">
        <f t="shared" si="4"/>
        <v>25035.8</v>
      </c>
      <c r="BC89" s="926">
        <f t="shared" si="5"/>
        <v>34.359999999999275</v>
      </c>
      <c r="BD89" s="891"/>
      <c r="BE89" s="891"/>
      <c r="BF89" s="891"/>
      <c r="BG89" s="928"/>
      <c r="BH89" s="928"/>
      <c r="BI89" s="928"/>
    </row>
    <row r="90" spans="1:61">
      <c r="A90" s="891" t="s">
        <v>866</v>
      </c>
      <c r="B90" s="891" t="s">
        <v>571</v>
      </c>
      <c r="C90" s="891" t="s">
        <v>41</v>
      </c>
      <c r="D90" s="891">
        <v>16.260000000000002</v>
      </c>
      <c r="E90" s="891">
        <v>67.73</v>
      </c>
      <c r="F90" s="891">
        <v>9.82</v>
      </c>
      <c r="G90" s="891">
        <v>5.42</v>
      </c>
      <c r="H90" s="891">
        <v>5.42</v>
      </c>
      <c r="I90" s="891">
        <v>2.0299999999999998</v>
      </c>
      <c r="J90" s="891">
        <v>1.35</v>
      </c>
      <c r="K90" s="891">
        <v>1.49</v>
      </c>
      <c r="L90" s="891">
        <v>2.17</v>
      </c>
      <c r="M90" s="891">
        <v>3.39</v>
      </c>
      <c r="N90" s="891">
        <v>10.84</v>
      </c>
      <c r="O90" s="891">
        <v>1.9</v>
      </c>
      <c r="P90" s="891">
        <v>13.53</v>
      </c>
      <c r="Q90" s="891">
        <v>2.71</v>
      </c>
      <c r="R90" s="891">
        <v>2.2999999999999998</v>
      </c>
      <c r="S90" s="891">
        <v>12.26</v>
      </c>
      <c r="T90" s="891">
        <v>2.37</v>
      </c>
      <c r="U90" s="891">
        <v>16.260000000000002</v>
      </c>
      <c r="V90" s="891">
        <v>97.87</v>
      </c>
      <c r="W90" s="891">
        <v>2.17</v>
      </c>
      <c r="X90" s="927">
        <v>27086.16</v>
      </c>
      <c r="Y90" s="891">
        <v>948.25</v>
      </c>
      <c r="Z90" s="891">
        <v>711.19</v>
      </c>
      <c r="AA90" s="891">
        <v>1625.58</v>
      </c>
      <c r="AB90" s="891">
        <v>1219.18</v>
      </c>
      <c r="AC90" s="891">
        <v>216.74</v>
      </c>
      <c r="AD90" s="891">
        <v>0.33</v>
      </c>
      <c r="AE90" s="891">
        <v>54.19</v>
      </c>
      <c r="AF90" s="891">
        <v>66.38</v>
      </c>
      <c r="AG90" s="891">
        <v>20.32</v>
      </c>
      <c r="AH90" s="891">
        <v>11.24</v>
      </c>
      <c r="AI90" s="891">
        <v>104.99</v>
      </c>
      <c r="AJ90" s="891">
        <v>40.64</v>
      </c>
      <c r="AK90" s="891">
        <v>94.83</v>
      </c>
      <c r="AL90" s="891">
        <v>115.14</v>
      </c>
      <c r="AM90" s="891">
        <v>3047.95</v>
      </c>
      <c r="AN90" s="891">
        <v>2031.97</v>
      </c>
      <c r="AO90" s="891">
        <v>2625.3</v>
      </c>
      <c r="AP90" s="891">
        <v>4.5</v>
      </c>
      <c r="AQ90" s="891">
        <v>5.55</v>
      </c>
      <c r="AR90" s="891">
        <v>1.4</v>
      </c>
      <c r="AS90" s="891">
        <v>29.26</v>
      </c>
      <c r="AT90" s="891">
        <v>3.18</v>
      </c>
      <c r="AU90" s="891">
        <v>2.0299999999999998</v>
      </c>
      <c r="AV90" s="891">
        <v>1.49</v>
      </c>
      <c r="AW90" s="891">
        <v>1.22</v>
      </c>
      <c r="AX90" s="891">
        <v>3.39</v>
      </c>
      <c r="AY90" s="891">
        <v>2.71</v>
      </c>
      <c r="AZ90" s="891">
        <v>4.0599999999999996</v>
      </c>
      <c r="BA90" s="891">
        <f t="shared" si="3"/>
        <v>271.26</v>
      </c>
      <c r="BB90" s="926">
        <f t="shared" si="4"/>
        <v>27224.78</v>
      </c>
      <c r="BC90" s="926">
        <f t="shared" si="5"/>
        <v>136.44999999999899</v>
      </c>
      <c r="BD90" s="891"/>
      <c r="BE90" s="891"/>
      <c r="BF90" s="891"/>
      <c r="BG90" s="928"/>
      <c r="BH90" s="928"/>
      <c r="BI90" s="928"/>
    </row>
    <row r="91" spans="1:61">
      <c r="A91" s="891" t="s">
        <v>867</v>
      </c>
      <c r="B91" s="891" t="s">
        <v>649</v>
      </c>
      <c r="C91" s="891" t="s">
        <v>360</v>
      </c>
      <c r="D91" s="891">
        <v>3</v>
      </c>
      <c r="E91" s="891">
        <v>12</v>
      </c>
      <c r="F91" s="891">
        <v>4.5</v>
      </c>
      <c r="G91" s="891">
        <v>1</v>
      </c>
      <c r="H91" s="891">
        <v>2</v>
      </c>
      <c r="I91" s="891">
        <v>1</v>
      </c>
      <c r="J91" s="891">
        <v>1</v>
      </c>
      <c r="K91" s="891">
        <v>1.1299999999999999</v>
      </c>
      <c r="L91" s="891">
        <v>1.25</v>
      </c>
      <c r="M91" s="891">
        <v>2</v>
      </c>
      <c r="N91" s="891">
        <v>7</v>
      </c>
      <c r="O91" s="891">
        <v>1.1499999999999999</v>
      </c>
      <c r="P91" s="891">
        <v>12</v>
      </c>
      <c r="Q91" s="891">
        <v>1</v>
      </c>
      <c r="R91" s="891">
        <v>2</v>
      </c>
      <c r="S91" s="891">
        <v>4.12</v>
      </c>
      <c r="T91" s="891">
        <v>0.25</v>
      </c>
      <c r="U91" s="891">
        <v>6.06</v>
      </c>
      <c r="V91" s="891">
        <v>15</v>
      </c>
      <c r="W91" s="891">
        <v>0.4</v>
      </c>
      <c r="X91" s="927">
        <v>21500</v>
      </c>
      <c r="Y91" s="891">
        <v>400</v>
      </c>
      <c r="Z91" s="891">
        <v>250</v>
      </c>
      <c r="AA91" s="891">
        <v>650</v>
      </c>
      <c r="AB91" s="891">
        <v>450</v>
      </c>
      <c r="AC91" s="891">
        <v>30</v>
      </c>
      <c r="AD91" s="891">
        <v>0.1</v>
      </c>
      <c r="AE91" s="891">
        <v>40</v>
      </c>
      <c r="AF91" s="891">
        <v>25</v>
      </c>
      <c r="AG91" s="891">
        <v>2.5</v>
      </c>
      <c r="AH91" s="891">
        <v>6</v>
      </c>
      <c r="AI91" s="891">
        <v>60</v>
      </c>
      <c r="AJ91" s="891">
        <v>32</v>
      </c>
      <c r="AK91" s="891">
        <v>120</v>
      </c>
      <c r="AL91" s="891">
        <v>55</v>
      </c>
      <c r="AM91" s="891">
        <v>1000</v>
      </c>
      <c r="AN91" s="891">
        <v>914.93</v>
      </c>
      <c r="AO91" s="891">
        <v>300</v>
      </c>
      <c r="AP91" s="891">
        <v>5</v>
      </c>
      <c r="AQ91" s="891">
        <v>1.5</v>
      </c>
      <c r="AR91" s="891">
        <v>1.5</v>
      </c>
      <c r="AS91" s="891">
        <v>7</v>
      </c>
      <c r="AT91" s="891">
        <v>2.15</v>
      </c>
      <c r="AU91" s="891">
        <v>1.65</v>
      </c>
      <c r="AV91" s="891">
        <v>1.38</v>
      </c>
      <c r="AW91" s="891">
        <v>0.5</v>
      </c>
      <c r="AX91" s="891">
        <v>1.9</v>
      </c>
      <c r="AY91" s="891">
        <v>0.61</v>
      </c>
      <c r="AZ91" s="891">
        <v>1.2</v>
      </c>
      <c r="BA91" s="891">
        <f t="shared" si="3"/>
        <v>70.099999999999994</v>
      </c>
      <c r="BB91" s="926">
        <f t="shared" si="4"/>
        <v>21525.65</v>
      </c>
      <c r="BC91" s="926">
        <f t="shared" si="5"/>
        <v>25.250000000001457</v>
      </c>
      <c r="BD91" s="891"/>
      <c r="BE91" s="891"/>
      <c r="BF91" s="891"/>
      <c r="BG91" s="928"/>
      <c r="BH91" s="928"/>
      <c r="BI91" s="928"/>
    </row>
    <row r="92" spans="1:61">
      <c r="A92" s="891" t="s">
        <v>868</v>
      </c>
      <c r="B92" s="891" t="s">
        <v>611</v>
      </c>
      <c r="C92" s="891" t="s">
        <v>259</v>
      </c>
      <c r="D92" s="891">
        <v>6.88</v>
      </c>
      <c r="E92" s="891">
        <v>31.13</v>
      </c>
      <c r="F92" s="891">
        <v>7.34</v>
      </c>
      <c r="G92" s="891">
        <v>1.83</v>
      </c>
      <c r="H92" s="891">
        <v>4.13</v>
      </c>
      <c r="I92" s="891">
        <v>1.38</v>
      </c>
      <c r="J92" s="891">
        <v>0.92</v>
      </c>
      <c r="K92" s="891">
        <v>0.92</v>
      </c>
      <c r="L92" s="891">
        <v>1.79</v>
      </c>
      <c r="M92" s="891">
        <v>1.65</v>
      </c>
      <c r="N92" s="891">
        <v>6.88</v>
      </c>
      <c r="O92" s="891">
        <v>0.92</v>
      </c>
      <c r="P92" s="891">
        <v>11.35</v>
      </c>
      <c r="Q92" s="891">
        <v>1.42</v>
      </c>
      <c r="R92" s="891">
        <v>2.75</v>
      </c>
      <c r="S92" s="891">
        <v>2.29</v>
      </c>
      <c r="T92" s="891">
        <v>1.24</v>
      </c>
      <c r="U92" s="891">
        <v>5.04</v>
      </c>
      <c r="V92" s="891">
        <v>57.31</v>
      </c>
      <c r="W92" s="891">
        <v>1.26</v>
      </c>
      <c r="X92" s="927">
        <v>23915.64</v>
      </c>
      <c r="Y92" s="891">
        <v>458.51</v>
      </c>
      <c r="Z92" s="891">
        <v>252.18</v>
      </c>
      <c r="AA92" s="891">
        <v>871.16</v>
      </c>
      <c r="AB92" s="891">
        <v>504.36</v>
      </c>
      <c r="AC92" s="891">
        <v>52.01</v>
      </c>
      <c r="AD92" s="891">
        <v>0.5</v>
      </c>
      <c r="AE92" s="891">
        <v>32.07</v>
      </c>
      <c r="AF92" s="891">
        <v>55.02</v>
      </c>
      <c r="AG92" s="891">
        <v>35.53</v>
      </c>
      <c r="AH92" s="891">
        <v>8.02</v>
      </c>
      <c r="AI92" s="891">
        <v>75.650000000000006</v>
      </c>
      <c r="AJ92" s="891">
        <v>73.36</v>
      </c>
      <c r="AK92" s="891">
        <v>137.55000000000001</v>
      </c>
      <c r="AL92" s="891">
        <v>91.7</v>
      </c>
      <c r="AM92" s="891">
        <v>2292.5300000000002</v>
      </c>
      <c r="AN92" s="891">
        <v>1604.77</v>
      </c>
      <c r="AO92" s="891">
        <v>458.51</v>
      </c>
      <c r="AP92" s="891">
        <v>16</v>
      </c>
      <c r="AQ92" s="891">
        <v>1.83</v>
      </c>
      <c r="AR92" s="891">
        <v>1.2</v>
      </c>
      <c r="AS92" s="891">
        <v>10.59</v>
      </c>
      <c r="AT92" s="891">
        <v>1.6</v>
      </c>
      <c r="AU92" s="891">
        <v>1.38</v>
      </c>
      <c r="AV92" s="891">
        <v>1.05</v>
      </c>
      <c r="AW92" s="891">
        <v>0.69</v>
      </c>
      <c r="AX92" s="891">
        <v>2.29</v>
      </c>
      <c r="AY92" s="891">
        <v>1.38</v>
      </c>
      <c r="AZ92" s="891">
        <v>2.29</v>
      </c>
      <c r="BA92" s="891">
        <f t="shared" si="3"/>
        <v>84.58</v>
      </c>
      <c r="BB92" s="926">
        <f t="shared" si="4"/>
        <v>23989.070000000003</v>
      </c>
      <c r="BC92" s="926">
        <f t="shared" si="5"/>
        <v>72.170000000003924</v>
      </c>
      <c r="BD92" s="891"/>
      <c r="BE92" s="891"/>
      <c r="BF92" s="891"/>
      <c r="BG92" s="928"/>
      <c r="BH92" s="928"/>
      <c r="BI92" s="928"/>
    </row>
    <row r="93" spans="1:61">
      <c r="A93" s="891" t="s">
        <v>869</v>
      </c>
      <c r="B93" s="891" t="s">
        <v>1579</v>
      </c>
      <c r="C93" s="891" t="s">
        <v>186</v>
      </c>
      <c r="D93" s="891">
        <v>10</v>
      </c>
      <c r="E93" s="891">
        <v>45</v>
      </c>
      <c r="F93" s="891">
        <v>6.13</v>
      </c>
      <c r="G93" s="891">
        <v>4</v>
      </c>
      <c r="H93" s="891">
        <v>5</v>
      </c>
      <c r="I93" s="891">
        <v>1.5</v>
      </c>
      <c r="J93" s="891">
        <v>1.5</v>
      </c>
      <c r="K93" s="891">
        <v>0.86</v>
      </c>
      <c r="L93" s="891">
        <v>2</v>
      </c>
      <c r="M93" s="891">
        <v>1.75</v>
      </c>
      <c r="N93" s="891">
        <v>8.82</v>
      </c>
      <c r="O93" s="891">
        <v>1.6</v>
      </c>
      <c r="P93" s="891">
        <v>10</v>
      </c>
      <c r="Q93" s="891">
        <v>2.5</v>
      </c>
      <c r="R93" s="891">
        <v>4</v>
      </c>
      <c r="S93" s="891">
        <v>5.8</v>
      </c>
      <c r="T93" s="891">
        <v>4</v>
      </c>
      <c r="U93" s="891">
        <v>6.3</v>
      </c>
      <c r="V93" s="891">
        <v>80</v>
      </c>
      <c r="W93" s="891">
        <v>0.89</v>
      </c>
      <c r="X93" s="927">
        <v>19000</v>
      </c>
      <c r="Y93" s="891">
        <v>1200</v>
      </c>
      <c r="Z93" s="891">
        <v>800</v>
      </c>
      <c r="AA93" s="891">
        <v>1775</v>
      </c>
      <c r="AB93" s="891">
        <v>1300</v>
      </c>
      <c r="AC93" s="891">
        <v>166.49</v>
      </c>
      <c r="AD93" s="891">
        <v>0.18</v>
      </c>
      <c r="AE93" s="891">
        <v>40</v>
      </c>
      <c r="AF93" s="891">
        <v>50</v>
      </c>
      <c r="AG93" s="891">
        <v>8</v>
      </c>
      <c r="AH93" s="891">
        <v>10</v>
      </c>
      <c r="AI93" s="891">
        <v>40</v>
      </c>
      <c r="AJ93" s="891">
        <v>40</v>
      </c>
      <c r="AK93" s="891">
        <v>80</v>
      </c>
      <c r="AL93" s="891">
        <v>80</v>
      </c>
      <c r="AM93" s="891">
        <v>5000</v>
      </c>
      <c r="AN93" s="891">
        <v>968.75</v>
      </c>
      <c r="AO93" s="891">
        <v>3238</v>
      </c>
      <c r="AP93" s="891">
        <v>5</v>
      </c>
      <c r="AQ93" s="891">
        <v>2.1</v>
      </c>
      <c r="AR93" s="891">
        <v>3.11</v>
      </c>
      <c r="AS93" s="891">
        <v>21.6</v>
      </c>
      <c r="AT93" s="891">
        <v>3.28</v>
      </c>
      <c r="AU93" s="891">
        <v>2.54</v>
      </c>
      <c r="AV93" s="891">
        <v>2.2000000000000002</v>
      </c>
      <c r="AW93" s="891">
        <v>1.28</v>
      </c>
      <c r="AX93" s="891">
        <v>4</v>
      </c>
      <c r="AY93" s="891">
        <v>2.09</v>
      </c>
      <c r="AZ93" s="891">
        <v>2.87</v>
      </c>
      <c r="BA93" s="891">
        <f t="shared" si="3"/>
        <v>206.67000000000002</v>
      </c>
      <c r="BB93" s="926">
        <f t="shared" si="4"/>
        <v>19111.699999999997</v>
      </c>
      <c r="BC93" s="926">
        <f t="shared" si="5"/>
        <v>110.80999999999709</v>
      </c>
      <c r="BD93" s="891"/>
      <c r="BE93" s="891"/>
      <c r="BF93" s="891"/>
      <c r="BG93" s="928"/>
      <c r="BH93" s="928"/>
      <c r="BI93" s="928"/>
    </row>
    <row r="94" spans="1:61">
      <c r="A94" s="891" t="s">
        <v>870</v>
      </c>
      <c r="B94" s="891" t="s">
        <v>647</v>
      </c>
      <c r="C94" s="891" t="s">
        <v>357</v>
      </c>
      <c r="D94" s="891">
        <v>6</v>
      </c>
      <c r="E94" s="891">
        <v>25</v>
      </c>
      <c r="F94" s="891">
        <v>5</v>
      </c>
      <c r="G94" s="891">
        <v>1.5</v>
      </c>
      <c r="H94" s="891">
        <v>2.2400000000000002</v>
      </c>
      <c r="I94" s="891">
        <v>0.52</v>
      </c>
      <c r="J94" s="891">
        <v>0.35</v>
      </c>
      <c r="K94" s="891">
        <v>0.9</v>
      </c>
      <c r="L94" s="891">
        <v>0.5</v>
      </c>
      <c r="M94" s="891">
        <v>1.65</v>
      </c>
      <c r="N94" s="891">
        <v>4</v>
      </c>
      <c r="O94" s="891">
        <v>0.4</v>
      </c>
      <c r="P94" s="891">
        <v>9</v>
      </c>
      <c r="Q94" s="891">
        <v>1.06</v>
      </c>
      <c r="R94" s="891">
        <v>2.5</v>
      </c>
      <c r="S94" s="891">
        <v>2</v>
      </c>
      <c r="T94" s="891">
        <v>0.18</v>
      </c>
      <c r="U94" s="891">
        <v>6.72</v>
      </c>
      <c r="V94" s="891">
        <v>24.5</v>
      </c>
      <c r="W94" s="891">
        <v>0.84</v>
      </c>
      <c r="X94" s="927">
        <v>30000</v>
      </c>
      <c r="Y94" s="891">
        <v>420</v>
      </c>
      <c r="Z94" s="891">
        <v>212.77</v>
      </c>
      <c r="AA94" s="891">
        <v>1000</v>
      </c>
      <c r="AB94" s="891">
        <v>400</v>
      </c>
      <c r="AC94" s="891">
        <v>45.46</v>
      </c>
      <c r="AD94" s="891">
        <v>0.06</v>
      </c>
      <c r="AE94" s="891">
        <v>58.42</v>
      </c>
      <c r="AF94" s="891">
        <v>28.39</v>
      </c>
      <c r="AG94" s="891">
        <v>12.45</v>
      </c>
      <c r="AH94" s="891">
        <v>5</v>
      </c>
      <c r="AI94" s="891">
        <v>99.79</v>
      </c>
      <c r="AJ94" s="891">
        <v>60.56</v>
      </c>
      <c r="AK94" s="891">
        <v>102.08</v>
      </c>
      <c r="AL94" s="891">
        <v>45</v>
      </c>
      <c r="AM94" s="891">
        <v>1886.32</v>
      </c>
      <c r="AN94" s="891">
        <v>985</v>
      </c>
      <c r="AO94" s="891">
        <v>230</v>
      </c>
      <c r="AP94" s="891">
        <v>10</v>
      </c>
      <c r="AQ94" s="891">
        <v>0.25</v>
      </c>
      <c r="AR94" s="891">
        <v>0.26</v>
      </c>
      <c r="AS94" s="891">
        <v>4</v>
      </c>
      <c r="AT94" s="891">
        <v>1.1299999999999999</v>
      </c>
      <c r="AU94" s="891">
        <v>1.02</v>
      </c>
      <c r="AV94" s="891">
        <v>0.68</v>
      </c>
      <c r="AW94" s="891">
        <v>0.71</v>
      </c>
      <c r="AX94" s="891">
        <v>2</v>
      </c>
      <c r="AY94" s="891">
        <v>1.24</v>
      </c>
      <c r="AZ94" s="891">
        <v>0.71</v>
      </c>
      <c r="BA94" s="891">
        <f t="shared" si="3"/>
        <v>103.94</v>
      </c>
      <c r="BB94" s="926">
        <f t="shared" si="4"/>
        <v>30030.03</v>
      </c>
      <c r="BC94" s="926">
        <f t="shared" si="5"/>
        <v>29.189999999998836</v>
      </c>
      <c r="BD94" s="891"/>
      <c r="BE94" s="891"/>
      <c r="BF94" s="891"/>
      <c r="BG94" s="928"/>
      <c r="BH94" s="928"/>
      <c r="BI94" s="928"/>
    </row>
    <row r="95" spans="1:61">
      <c r="A95" s="891" t="s">
        <v>1596</v>
      </c>
      <c r="B95" s="891" t="s">
        <v>630</v>
      </c>
      <c r="C95" s="891" t="s">
        <v>297</v>
      </c>
      <c r="D95" s="891">
        <v>3.15</v>
      </c>
      <c r="E95" s="891">
        <v>12.3</v>
      </c>
      <c r="F95" s="891">
        <v>6.3</v>
      </c>
      <c r="G95" s="891">
        <v>1.26</v>
      </c>
      <c r="H95" s="891">
        <v>2</v>
      </c>
      <c r="I95" s="891">
        <v>0.62</v>
      </c>
      <c r="J95" s="891">
        <v>0.43</v>
      </c>
      <c r="K95" s="891">
        <v>1.2</v>
      </c>
      <c r="L95" s="891">
        <v>0.96</v>
      </c>
      <c r="M95" s="891">
        <v>2</v>
      </c>
      <c r="N95" s="891">
        <v>5.76</v>
      </c>
      <c r="O95" s="891">
        <v>1</v>
      </c>
      <c r="P95" s="891">
        <v>7.41</v>
      </c>
      <c r="Q95" s="891">
        <v>1.1000000000000001</v>
      </c>
      <c r="R95" s="891">
        <v>1.26</v>
      </c>
      <c r="S95" s="891">
        <v>1.86</v>
      </c>
      <c r="T95" s="891">
        <v>0.31</v>
      </c>
      <c r="U95" s="891">
        <v>6.17</v>
      </c>
      <c r="V95" s="891">
        <v>29.51</v>
      </c>
      <c r="W95" s="891">
        <v>1.3</v>
      </c>
      <c r="X95" s="927">
        <v>16000</v>
      </c>
      <c r="Y95" s="891">
        <v>608.92999999999995</v>
      </c>
      <c r="Z95" s="891">
        <v>487.5</v>
      </c>
      <c r="AA95" s="891">
        <v>1421.07</v>
      </c>
      <c r="AB95" s="891">
        <v>1500</v>
      </c>
      <c r="AC95" s="891">
        <v>100</v>
      </c>
      <c r="AD95" s="891">
        <v>0.19</v>
      </c>
      <c r="AE95" s="891">
        <v>61.79</v>
      </c>
      <c r="AF95" s="891">
        <v>111.79</v>
      </c>
      <c r="AG95" s="891">
        <v>10.63</v>
      </c>
      <c r="AH95" s="891">
        <v>5.78</v>
      </c>
      <c r="AI95" s="891">
        <v>35</v>
      </c>
      <c r="AJ95" s="891">
        <v>31.71</v>
      </c>
      <c r="AK95" s="891">
        <v>70</v>
      </c>
      <c r="AL95" s="891">
        <v>40.159999999999997</v>
      </c>
      <c r="AM95" s="891">
        <v>165</v>
      </c>
      <c r="AN95" s="891">
        <v>225</v>
      </c>
      <c r="AO95" s="891">
        <v>377.71</v>
      </c>
      <c r="AP95" s="891">
        <v>17</v>
      </c>
      <c r="AQ95" s="891">
        <v>2.5</v>
      </c>
      <c r="AR95" s="891">
        <v>1.85</v>
      </c>
      <c r="AS95" s="891">
        <v>7.72</v>
      </c>
      <c r="AT95" s="891">
        <v>2.75</v>
      </c>
      <c r="AU95" s="891">
        <v>1.85</v>
      </c>
      <c r="AV95" s="891">
        <v>0.75</v>
      </c>
      <c r="AW95" s="891">
        <v>0.45</v>
      </c>
      <c r="AX95" s="891">
        <v>2.5</v>
      </c>
      <c r="AY95" s="891">
        <v>1.18</v>
      </c>
      <c r="AZ95" s="891">
        <v>1.54</v>
      </c>
      <c r="BA95" s="891">
        <f t="shared" si="3"/>
        <v>161.97999999999999</v>
      </c>
      <c r="BB95" s="926">
        <f t="shared" si="4"/>
        <v>16043.19</v>
      </c>
      <c r="BC95" s="926">
        <f t="shared" si="5"/>
        <v>41.890000000000512</v>
      </c>
      <c r="BD95" s="891"/>
      <c r="BE95" s="891"/>
      <c r="BF95" s="891"/>
      <c r="BG95" s="928"/>
      <c r="BH95" s="928"/>
      <c r="BI95" s="928"/>
    </row>
    <row r="96" spans="1:61">
      <c r="A96" s="891" t="s">
        <v>872</v>
      </c>
      <c r="B96" s="891" t="s">
        <v>579</v>
      </c>
      <c r="C96" s="891" t="s">
        <v>11</v>
      </c>
      <c r="D96" s="891">
        <v>28.4</v>
      </c>
      <c r="E96" s="891">
        <v>73.36</v>
      </c>
      <c r="F96" s="891">
        <v>9.42</v>
      </c>
      <c r="G96" s="891">
        <v>6.63</v>
      </c>
      <c r="H96" s="891">
        <v>7.1</v>
      </c>
      <c r="I96" s="891">
        <v>2.84</v>
      </c>
      <c r="J96" s="891">
        <v>3.03</v>
      </c>
      <c r="K96" s="891">
        <v>2.37</v>
      </c>
      <c r="L96" s="891">
        <v>2.84</v>
      </c>
      <c r="M96" s="927">
        <v>4</v>
      </c>
      <c r="N96" s="891">
        <v>9.4700000000000006</v>
      </c>
      <c r="O96" s="891">
        <v>4.0199999999999996</v>
      </c>
      <c r="P96" s="891">
        <v>15.62</v>
      </c>
      <c r="Q96" s="891">
        <v>7.1</v>
      </c>
      <c r="R96" s="891">
        <v>7.1</v>
      </c>
      <c r="S96" s="891">
        <v>17.04</v>
      </c>
      <c r="T96" s="891">
        <v>2.84</v>
      </c>
      <c r="U96" s="891">
        <v>9.4700000000000006</v>
      </c>
      <c r="V96" s="891">
        <v>56.79</v>
      </c>
      <c r="W96" s="891">
        <v>1.56</v>
      </c>
      <c r="X96" s="927">
        <v>24136.3</v>
      </c>
      <c r="Y96" s="891">
        <v>2030.29</v>
      </c>
      <c r="Z96" s="891">
        <v>1672.03</v>
      </c>
      <c r="AA96" s="891">
        <v>3297.21</v>
      </c>
      <c r="AB96" s="891">
        <v>2602.9299999999998</v>
      </c>
      <c r="AC96" s="891">
        <v>343.11</v>
      </c>
      <c r="AD96" s="891">
        <v>0.62</v>
      </c>
      <c r="AE96" s="891">
        <v>75.72</v>
      </c>
      <c r="AF96" s="891">
        <v>60.58</v>
      </c>
      <c r="AG96" s="891">
        <v>9.4700000000000006</v>
      </c>
      <c r="AH96" s="891">
        <v>15.38</v>
      </c>
      <c r="AI96" s="891">
        <v>111.22</v>
      </c>
      <c r="AJ96" s="891">
        <v>47.33</v>
      </c>
      <c r="AK96" s="891">
        <v>151.44</v>
      </c>
      <c r="AL96" s="891">
        <v>116.42</v>
      </c>
      <c r="AM96" s="891">
        <v>5395.17</v>
      </c>
      <c r="AN96" s="891">
        <v>5205.87</v>
      </c>
      <c r="AO96" s="891">
        <v>3786.09</v>
      </c>
      <c r="AP96" s="891">
        <v>7</v>
      </c>
      <c r="AQ96" s="891">
        <v>4.7300000000000004</v>
      </c>
      <c r="AR96" s="891">
        <v>1.38</v>
      </c>
      <c r="AS96" s="891">
        <v>48.68</v>
      </c>
      <c r="AT96" s="891">
        <v>4.71</v>
      </c>
      <c r="AU96" s="891">
        <v>2.84</v>
      </c>
      <c r="AV96" s="891">
        <v>3.31</v>
      </c>
      <c r="AW96" s="891">
        <v>2.84</v>
      </c>
      <c r="AX96" s="891">
        <v>4.4000000000000004</v>
      </c>
      <c r="AY96" s="891">
        <v>4.7300000000000004</v>
      </c>
      <c r="AZ96" s="891">
        <v>4.97</v>
      </c>
      <c r="BA96" s="891">
        <f t="shared" si="3"/>
        <v>419.45000000000005</v>
      </c>
      <c r="BB96" s="926">
        <f t="shared" si="4"/>
        <v>24252.28</v>
      </c>
      <c r="BC96" s="926">
        <f t="shared" si="5"/>
        <v>114.41999999999956</v>
      </c>
      <c r="BD96" s="891"/>
      <c r="BE96" s="891"/>
      <c r="BF96" s="891"/>
      <c r="BG96" s="928"/>
      <c r="BH96" s="928"/>
      <c r="BI96" s="928"/>
    </row>
    <row r="97" spans="1:61">
      <c r="A97" s="891" t="s">
        <v>873</v>
      </c>
      <c r="B97" s="891" t="s">
        <v>646</v>
      </c>
      <c r="C97" s="891" t="s">
        <v>369</v>
      </c>
      <c r="D97" s="891">
        <v>2.3199999999999998</v>
      </c>
      <c r="E97" s="891">
        <v>13.94</v>
      </c>
      <c r="F97" s="891">
        <v>2.72</v>
      </c>
      <c r="G97" s="891">
        <v>0.64</v>
      </c>
      <c r="H97" s="891">
        <v>1.57</v>
      </c>
      <c r="I97" s="891">
        <v>0.5</v>
      </c>
      <c r="J97" s="891">
        <v>0.27</v>
      </c>
      <c r="K97" s="891">
        <v>1.67</v>
      </c>
      <c r="L97" s="891">
        <v>0.93</v>
      </c>
      <c r="M97" s="891">
        <v>1.54</v>
      </c>
      <c r="N97" s="891">
        <v>8.1300000000000008</v>
      </c>
      <c r="O97" s="891">
        <v>0.7</v>
      </c>
      <c r="P97" s="891">
        <v>4.6500000000000004</v>
      </c>
      <c r="Q97" s="891">
        <v>0.73</v>
      </c>
      <c r="R97" s="891">
        <v>0.93</v>
      </c>
      <c r="S97" s="891">
        <v>0.81</v>
      </c>
      <c r="T97" s="891">
        <v>0.19</v>
      </c>
      <c r="U97" s="891">
        <v>2.9</v>
      </c>
      <c r="V97" s="891">
        <v>18.579999999999998</v>
      </c>
      <c r="W97" s="891">
        <v>1.25</v>
      </c>
      <c r="X97" s="927">
        <v>18583.09</v>
      </c>
      <c r="Y97" s="891">
        <v>116.14</v>
      </c>
      <c r="Z97" s="891">
        <v>121.95</v>
      </c>
      <c r="AA97" s="891">
        <v>348.43</v>
      </c>
      <c r="AB97" s="891">
        <v>267.13</v>
      </c>
      <c r="AC97" s="891">
        <v>49.36</v>
      </c>
      <c r="AD97" s="891">
        <v>0.17</v>
      </c>
      <c r="AE97" s="891">
        <v>37.75</v>
      </c>
      <c r="AF97" s="891">
        <v>28.26</v>
      </c>
      <c r="AG97" s="891">
        <v>2.3199999999999998</v>
      </c>
      <c r="AH97" s="891">
        <v>3.43</v>
      </c>
      <c r="AI97" s="891">
        <v>69.69</v>
      </c>
      <c r="AJ97" s="891">
        <v>58.07</v>
      </c>
      <c r="AK97" s="891">
        <v>72.010000000000005</v>
      </c>
      <c r="AL97" s="891">
        <v>58.07</v>
      </c>
      <c r="AM97" s="891">
        <v>1700</v>
      </c>
      <c r="AN97" s="891">
        <v>813.01</v>
      </c>
      <c r="AO97" s="891">
        <v>232.29</v>
      </c>
      <c r="AP97" s="891">
        <v>10.5</v>
      </c>
      <c r="AQ97" s="891">
        <v>0.93</v>
      </c>
      <c r="AR97" s="891">
        <v>0.46</v>
      </c>
      <c r="AS97" s="891">
        <v>5.17</v>
      </c>
      <c r="AT97" s="891">
        <v>1.86</v>
      </c>
      <c r="AU97" s="891">
        <v>1.52</v>
      </c>
      <c r="AV97" s="891">
        <v>1.39</v>
      </c>
      <c r="AW97" s="891">
        <v>1.08</v>
      </c>
      <c r="AX97" s="891">
        <v>1.74</v>
      </c>
      <c r="AY97" s="891">
        <v>0.86</v>
      </c>
      <c r="AZ97" s="891">
        <v>1</v>
      </c>
      <c r="BA97" s="891">
        <f t="shared" si="3"/>
        <v>87.28</v>
      </c>
      <c r="BB97" s="926">
        <f t="shared" si="4"/>
        <v>18609.669999999998</v>
      </c>
      <c r="BC97" s="926">
        <f t="shared" si="5"/>
        <v>25.329999999998108</v>
      </c>
      <c r="BD97" s="891"/>
      <c r="BE97" s="891"/>
      <c r="BF97" s="891"/>
      <c r="BG97" s="928"/>
      <c r="BH97" s="928"/>
      <c r="BI97" s="928"/>
    </row>
    <row r="98" spans="1:61">
      <c r="A98" s="891" t="s">
        <v>874</v>
      </c>
      <c r="B98" s="891" t="s">
        <v>560</v>
      </c>
      <c r="C98" s="891" t="s">
        <v>378</v>
      </c>
      <c r="D98" s="891">
        <v>3.28</v>
      </c>
      <c r="E98" s="891">
        <v>13.12</v>
      </c>
      <c r="F98" s="891">
        <v>3.28</v>
      </c>
      <c r="G98" s="891">
        <v>1.23</v>
      </c>
      <c r="H98" s="891">
        <v>1.98</v>
      </c>
      <c r="I98" s="891">
        <v>0.33</v>
      </c>
      <c r="J98" s="891">
        <v>0.25</v>
      </c>
      <c r="K98" s="891">
        <v>0.62</v>
      </c>
      <c r="L98" s="891">
        <v>0.33</v>
      </c>
      <c r="M98" s="891">
        <v>0.82</v>
      </c>
      <c r="N98" s="891">
        <v>3.28</v>
      </c>
      <c r="O98" s="891">
        <v>0.33</v>
      </c>
      <c r="P98" s="891">
        <v>9.84</v>
      </c>
      <c r="Q98" s="891">
        <v>1.1499999999999999</v>
      </c>
      <c r="R98" s="891">
        <v>1.97</v>
      </c>
      <c r="S98" s="891">
        <v>1.97</v>
      </c>
      <c r="T98" s="891">
        <v>0.33</v>
      </c>
      <c r="U98" s="891">
        <v>3.28</v>
      </c>
      <c r="V98" s="891">
        <v>13.94</v>
      </c>
      <c r="W98" s="891">
        <v>1.1499999999999999</v>
      </c>
      <c r="X98" s="927">
        <v>13117.98</v>
      </c>
      <c r="Y98" s="891">
        <v>196.77</v>
      </c>
      <c r="Z98" s="891">
        <v>122.98</v>
      </c>
      <c r="AA98" s="891">
        <v>491.92</v>
      </c>
      <c r="AB98" s="891">
        <v>327.95</v>
      </c>
      <c r="AC98" s="891">
        <v>49.19</v>
      </c>
      <c r="AD98" s="891">
        <v>0.02</v>
      </c>
      <c r="AE98" s="891">
        <v>19.68</v>
      </c>
      <c r="AF98" s="891">
        <v>24.6</v>
      </c>
      <c r="AG98" s="891">
        <v>4.92</v>
      </c>
      <c r="AH98" s="891">
        <v>4.0999999999999996</v>
      </c>
      <c r="AI98" s="891">
        <v>40.99</v>
      </c>
      <c r="AJ98" s="891">
        <v>40.99</v>
      </c>
      <c r="AK98" s="891">
        <v>57.39</v>
      </c>
      <c r="AL98" s="891">
        <v>40.99</v>
      </c>
      <c r="AM98" s="891">
        <v>2206.2600000000002</v>
      </c>
      <c r="AN98" s="891">
        <v>1059.01</v>
      </c>
      <c r="AO98" s="891">
        <v>491.92</v>
      </c>
      <c r="AP98" s="891">
        <v>11</v>
      </c>
      <c r="AQ98" s="891">
        <v>0.82</v>
      </c>
      <c r="AR98" s="891">
        <v>0.25</v>
      </c>
      <c r="AS98" s="891">
        <v>1.64</v>
      </c>
      <c r="AT98" s="891">
        <v>1.64</v>
      </c>
      <c r="AU98" s="891">
        <v>0.98</v>
      </c>
      <c r="AV98" s="891">
        <v>0.33</v>
      </c>
      <c r="AW98" s="891">
        <v>0.49</v>
      </c>
      <c r="AX98" s="891">
        <v>1.1499999999999999</v>
      </c>
      <c r="AY98" s="891">
        <v>0.82</v>
      </c>
      <c r="AZ98" s="891">
        <v>0.49</v>
      </c>
      <c r="BA98" s="891">
        <f t="shared" si="3"/>
        <v>68.89</v>
      </c>
      <c r="BB98" s="926">
        <f t="shared" si="4"/>
        <v>13136.109999999999</v>
      </c>
      <c r="BC98" s="926">
        <f t="shared" si="5"/>
        <v>16.979999999999201</v>
      </c>
      <c r="BD98" s="891"/>
      <c r="BE98" s="891"/>
      <c r="BF98" s="891"/>
      <c r="BG98" s="928"/>
      <c r="BH98" s="928"/>
      <c r="BI98" s="928"/>
    </row>
    <row r="99" spans="1:61">
      <c r="A99" s="891" t="s">
        <v>875</v>
      </c>
      <c r="B99" s="891" t="s">
        <v>1597</v>
      </c>
      <c r="C99" s="891" t="s">
        <v>158</v>
      </c>
      <c r="D99" s="891">
        <v>10</v>
      </c>
      <c r="E99" s="891">
        <v>45</v>
      </c>
      <c r="F99" s="891">
        <v>6</v>
      </c>
      <c r="G99" s="891">
        <v>4</v>
      </c>
      <c r="H99" s="891">
        <v>5</v>
      </c>
      <c r="I99" s="891">
        <v>1.55</v>
      </c>
      <c r="J99" s="891">
        <v>1</v>
      </c>
      <c r="K99" s="891">
        <v>0.79</v>
      </c>
      <c r="L99" s="891">
        <v>2</v>
      </c>
      <c r="M99" s="891">
        <v>2.09</v>
      </c>
      <c r="N99" s="891">
        <v>9.92</v>
      </c>
      <c r="O99" s="891">
        <v>1.5</v>
      </c>
      <c r="P99" s="891">
        <v>12</v>
      </c>
      <c r="Q99" s="891">
        <v>2.62</v>
      </c>
      <c r="R99" s="891">
        <v>4</v>
      </c>
      <c r="S99" s="891">
        <v>6</v>
      </c>
      <c r="T99" s="891">
        <v>2.5</v>
      </c>
      <c r="U99" s="891">
        <v>8.5399999999999991</v>
      </c>
      <c r="V99" s="891">
        <v>78.5</v>
      </c>
      <c r="W99" s="891">
        <v>0.96</v>
      </c>
      <c r="X99" s="927">
        <v>25245</v>
      </c>
      <c r="Y99" s="891">
        <v>960</v>
      </c>
      <c r="Z99" s="891">
        <v>765</v>
      </c>
      <c r="AA99" s="891">
        <v>1850</v>
      </c>
      <c r="AB99" s="891">
        <v>1500</v>
      </c>
      <c r="AC99" s="891">
        <v>127.07</v>
      </c>
      <c r="AD99" s="891">
        <v>0.2</v>
      </c>
      <c r="AE99" s="891">
        <v>49</v>
      </c>
      <c r="AF99" s="891">
        <v>45</v>
      </c>
      <c r="AG99" s="891">
        <v>20</v>
      </c>
      <c r="AH99" s="891">
        <v>10</v>
      </c>
      <c r="AI99" s="891">
        <v>40</v>
      </c>
      <c r="AJ99" s="891">
        <v>35</v>
      </c>
      <c r="AK99" s="891">
        <v>75</v>
      </c>
      <c r="AL99" s="891">
        <v>80</v>
      </c>
      <c r="AM99" s="891">
        <v>1560.77</v>
      </c>
      <c r="AN99" s="891">
        <v>1054.8599999999999</v>
      </c>
      <c r="AO99" s="891">
        <v>3452</v>
      </c>
      <c r="AP99" s="891">
        <v>4</v>
      </c>
      <c r="AQ99" s="891">
        <v>2.6</v>
      </c>
      <c r="AR99" s="891">
        <v>1.4</v>
      </c>
      <c r="AS99" s="891">
        <v>40</v>
      </c>
      <c r="AT99" s="891">
        <v>4.3899999999999997</v>
      </c>
      <c r="AU99" s="891">
        <v>4.3899999999999997</v>
      </c>
      <c r="AV99" s="891">
        <v>2.14</v>
      </c>
      <c r="AW99" s="891">
        <v>2</v>
      </c>
      <c r="AX99" s="891">
        <v>4</v>
      </c>
      <c r="AY99" s="891">
        <v>2</v>
      </c>
      <c r="AZ99" s="891">
        <v>4.4000000000000004</v>
      </c>
      <c r="BA99" s="891">
        <f t="shared" si="3"/>
        <v>176.26999999999998</v>
      </c>
      <c r="BB99" s="926">
        <f t="shared" si="4"/>
        <v>25370.959999999999</v>
      </c>
      <c r="BC99" s="926">
        <f t="shared" si="5"/>
        <v>124.99999999999913</v>
      </c>
      <c r="BD99" s="891"/>
      <c r="BE99" s="891"/>
      <c r="BF99" s="891"/>
      <c r="BG99" s="928"/>
      <c r="BH99" s="928"/>
      <c r="BI99" s="928"/>
    </row>
    <row r="100" spans="1:61">
      <c r="A100" s="891" t="s">
        <v>1598</v>
      </c>
      <c r="B100" s="891" t="s">
        <v>1599</v>
      </c>
      <c r="C100" s="891" t="s">
        <v>216</v>
      </c>
      <c r="D100" s="891">
        <v>9</v>
      </c>
      <c r="E100" s="891">
        <v>30</v>
      </c>
      <c r="F100" s="891">
        <v>6.5</v>
      </c>
      <c r="G100" s="891">
        <v>3.5</v>
      </c>
      <c r="H100" s="891">
        <v>4</v>
      </c>
      <c r="I100" s="891">
        <v>2</v>
      </c>
      <c r="J100" s="891">
        <v>1.5</v>
      </c>
      <c r="K100" s="891">
        <v>1.05</v>
      </c>
      <c r="L100" s="891">
        <v>2.2000000000000002</v>
      </c>
      <c r="M100" s="891">
        <v>2</v>
      </c>
      <c r="N100" s="891">
        <v>7.72</v>
      </c>
      <c r="O100" s="891">
        <v>2</v>
      </c>
      <c r="P100" s="891">
        <v>9.5</v>
      </c>
      <c r="Q100" s="891">
        <v>2</v>
      </c>
      <c r="R100" s="891">
        <v>3</v>
      </c>
      <c r="S100" s="891">
        <v>6.5</v>
      </c>
      <c r="T100" s="891">
        <v>1.88</v>
      </c>
      <c r="U100" s="891">
        <v>6.61</v>
      </c>
      <c r="V100" s="891">
        <v>47</v>
      </c>
      <c r="W100" s="891">
        <v>0.92</v>
      </c>
      <c r="X100" s="927">
        <v>20350</v>
      </c>
      <c r="Y100" s="891">
        <v>700</v>
      </c>
      <c r="Z100" s="891">
        <v>600</v>
      </c>
      <c r="AA100" s="891">
        <v>1200</v>
      </c>
      <c r="AB100" s="891">
        <v>975</v>
      </c>
      <c r="AC100" s="891">
        <v>127.5</v>
      </c>
      <c r="AD100" s="891">
        <v>0.1</v>
      </c>
      <c r="AE100" s="891">
        <v>54.5</v>
      </c>
      <c r="AF100" s="891">
        <v>40</v>
      </c>
      <c r="AG100" s="891">
        <v>17.5</v>
      </c>
      <c r="AH100" s="891">
        <v>9</v>
      </c>
      <c r="AI100" s="891">
        <v>40</v>
      </c>
      <c r="AJ100" s="891">
        <v>30</v>
      </c>
      <c r="AK100" s="891">
        <v>75</v>
      </c>
      <c r="AL100" s="891">
        <v>86</v>
      </c>
      <c r="AM100" s="891">
        <v>1291.67</v>
      </c>
      <c r="AN100" s="891">
        <v>1291.67</v>
      </c>
      <c r="AO100" s="891">
        <v>3025</v>
      </c>
      <c r="AP100" s="891">
        <v>3.5</v>
      </c>
      <c r="AQ100" s="891">
        <v>5</v>
      </c>
      <c r="AR100" s="891">
        <v>1.52</v>
      </c>
      <c r="AS100" s="891">
        <v>35</v>
      </c>
      <c r="AT100" s="891">
        <v>3.48</v>
      </c>
      <c r="AU100" s="891">
        <v>3.65</v>
      </c>
      <c r="AV100" s="891">
        <v>1.32</v>
      </c>
      <c r="AW100" s="891">
        <v>1.99</v>
      </c>
      <c r="AX100" s="891">
        <v>3.28</v>
      </c>
      <c r="AY100" s="891">
        <v>3.03</v>
      </c>
      <c r="AZ100" s="891">
        <v>2.2000000000000002</v>
      </c>
      <c r="BA100" s="891">
        <f t="shared" si="3"/>
        <v>182.1</v>
      </c>
      <c r="BB100" s="926">
        <f t="shared" si="4"/>
        <v>20441.32</v>
      </c>
      <c r="BC100" s="926">
        <f t="shared" si="5"/>
        <v>90.399999999999707</v>
      </c>
      <c r="BD100" s="891"/>
      <c r="BE100" s="891"/>
      <c r="BF100" s="891"/>
      <c r="BG100" s="928"/>
      <c r="BH100" s="928"/>
      <c r="BI100" s="928"/>
    </row>
    <row r="101" spans="1:61">
      <c r="A101" s="891" t="s">
        <v>877</v>
      </c>
      <c r="B101" s="891" t="s">
        <v>1600</v>
      </c>
      <c r="C101" s="891" t="s">
        <v>169</v>
      </c>
      <c r="D101" s="891">
        <v>10</v>
      </c>
      <c r="E101" s="891">
        <v>45</v>
      </c>
      <c r="F101" s="891">
        <v>6</v>
      </c>
      <c r="G101" s="891">
        <v>3</v>
      </c>
      <c r="H101" s="891">
        <v>4</v>
      </c>
      <c r="I101" s="891">
        <v>1.72</v>
      </c>
      <c r="J101" s="891">
        <v>1</v>
      </c>
      <c r="K101" s="891">
        <v>0.82</v>
      </c>
      <c r="L101" s="891">
        <v>2</v>
      </c>
      <c r="M101" s="891">
        <v>2.5</v>
      </c>
      <c r="N101" s="891">
        <v>7.85</v>
      </c>
      <c r="O101" s="891">
        <v>1.79</v>
      </c>
      <c r="P101" s="891">
        <v>13</v>
      </c>
      <c r="Q101" s="891">
        <v>2.25</v>
      </c>
      <c r="R101" s="891">
        <v>3.5</v>
      </c>
      <c r="S101" s="891">
        <v>7</v>
      </c>
      <c r="T101" s="891">
        <v>2</v>
      </c>
      <c r="U101" s="891">
        <v>7.5</v>
      </c>
      <c r="V101" s="891">
        <v>48.5</v>
      </c>
      <c r="W101" s="891">
        <v>1.06</v>
      </c>
      <c r="X101" s="927">
        <v>20000</v>
      </c>
      <c r="Y101" s="891">
        <v>675</v>
      </c>
      <c r="Z101" s="891">
        <v>475</v>
      </c>
      <c r="AA101" s="891">
        <v>1125</v>
      </c>
      <c r="AB101" s="891">
        <v>950</v>
      </c>
      <c r="AC101" s="891">
        <v>287.24</v>
      </c>
      <c r="AD101" s="891">
        <v>0.22</v>
      </c>
      <c r="AE101" s="891">
        <v>49.95</v>
      </c>
      <c r="AF101" s="891">
        <v>50</v>
      </c>
      <c r="AG101" s="891">
        <v>15</v>
      </c>
      <c r="AH101" s="891">
        <v>9</v>
      </c>
      <c r="AI101" s="891">
        <v>40</v>
      </c>
      <c r="AJ101" s="891">
        <v>37.5</v>
      </c>
      <c r="AK101" s="891">
        <v>80</v>
      </c>
      <c r="AL101" s="891">
        <v>65</v>
      </c>
      <c r="AM101" s="891">
        <v>968.75</v>
      </c>
      <c r="AN101" s="891">
        <v>753.47</v>
      </c>
      <c r="AO101" s="891">
        <v>3282</v>
      </c>
      <c r="AP101" s="891">
        <v>5.5</v>
      </c>
      <c r="AQ101" s="891">
        <v>2.4</v>
      </c>
      <c r="AR101" s="891">
        <v>0.99</v>
      </c>
      <c r="AS101" s="891">
        <v>28.5</v>
      </c>
      <c r="AT101" s="891">
        <v>3.53</v>
      </c>
      <c r="AU101" s="891">
        <v>3.5</v>
      </c>
      <c r="AV101" s="891">
        <v>2</v>
      </c>
      <c r="AW101" s="891">
        <v>1.5</v>
      </c>
      <c r="AX101" s="891">
        <v>3.25</v>
      </c>
      <c r="AY101" s="891">
        <v>1.75</v>
      </c>
      <c r="AZ101" s="891">
        <v>3.77</v>
      </c>
      <c r="BA101" s="891">
        <f t="shared" si="3"/>
        <v>337.41</v>
      </c>
      <c r="BB101" s="926">
        <f t="shared" si="4"/>
        <v>20083.450000000004</v>
      </c>
      <c r="BC101" s="926">
        <f t="shared" si="5"/>
        <v>82.390000000004363</v>
      </c>
      <c r="BD101" s="891"/>
      <c r="BE101" s="891"/>
      <c r="BF101" s="891"/>
      <c r="BG101" s="928"/>
      <c r="BH101" s="928"/>
      <c r="BI101" s="928"/>
    </row>
    <row r="102" spans="1:61">
      <c r="A102" s="891" t="s">
        <v>878</v>
      </c>
      <c r="B102" s="891" t="s">
        <v>651</v>
      </c>
      <c r="C102" s="891" t="s">
        <v>361</v>
      </c>
      <c r="D102" s="891">
        <v>2.57</v>
      </c>
      <c r="E102" s="891">
        <v>17.98</v>
      </c>
      <c r="F102" s="891">
        <v>5.28</v>
      </c>
      <c r="G102" s="891">
        <v>2.57</v>
      </c>
      <c r="H102" s="891">
        <v>4.03</v>
      </c>
      <c r="I102" s="891">
        <v>0.39</v>
      </c>
      <c r="J102" s="891">
        <v>0.19</v>
      </c>
      <c r="K102" s="891">
        <v>0.77</v>
      </c>
      <c r="L102" s="891">
        <v>0.76</v>
      </c>
      <c r="M102" s="891">
        <v>1.41</v>
      </c>
      <c r="N102" s="891">
        <v>10.28</v>
      </c>
      <c r="O102" s="891">
        <v>0.39</v>
      </c>
      <c r="P102" s="891">
        <v>15</v>
      </c>
      <c r="Q102" s="891">
        <v>2.2799999999999998</v>
      </c>
      <c r="R102" s="891">
        <v>3.83</v>
      </c>
      <c r="S102" s="891">
        <v>2.06</v>
      </c>
      <c r="T102" s="891">
        <v>0.39</v>
      </c>
      <c r="U102" s="891">
        <v>3.93</v>
      </c>
      <c r="V102" s="891">
        <v>11.56</v>
      </c>
      <c r="W102" s="891">
        <v>1.22</v>
      </c>
      <c r="X102" s="927">
        <v>30000</v>
      </c>
      <c r="Y102" s="891">
        <v>192.68</v>
      </c>
      <c r="Z102" s="891">
        <v>89.92</v>
      </c>
      <c r="AA102" s="891">
        <v>449.58</v>
      </c>
      <c r="AB102" s="891">
        <v>256.89999999999998</v>
      </c>
      <c r="AC102" s="891">
        <v>51.38</v>
      </c>
      <c r="AD102" s="891">
        <v>0.01</v>
      </c>
      <c r="AE102" s="891">
        <v>38.54</v>
      </c>
      <c r="AF102" s="891">
        <v>38.54</v>
      </c>
      <c r="AG102" s="891">
        <v>7.06</v>
      </c>
      <c r="AH102" s="891">
        <v>3.21</v>
      </c>
      <c r="AI102" s="891">
        <v>38.54</v>
      </c>
      <c r="AJ102" s="891">
        <v>25.69</v>
      </c>
      <c r="AK102" s="891">
        <v>64.23</v>
      </c>
      <c r="AL102" s="891">
        <v>35.32</v>
      </c>
      <c r="AM102" s="891">
        <v>770.71</v>
      </c>
      <c r="AN102" s="891">
        <v>553.05999999999995</v>
      </c>
      <c r="AO102" s="891">
        <v>385.36</v>
      </c>
      <c r="AP102" s="891">
        <v>18</v>
      </c>
      <c r="AQ102" s="891">
        <v>3.21</v>
      </c>
      <c r="AR102" s="891">
        <v>0.45</v>
      </c>
      <c r="AS102" s="891">
        <v>3.85</v>
      </c>
      <c r="AT102" s="891">
        <v>2</v>
      </c>
      <c r="AU102" s="891">
        <v>1.93</v>
      </c>
      <c r="AV102" s="891">
        <v>0.32</v>
      </c>
      <c r="AW102" s="891">
        <v>0.39</v>
      </c>
      <c r="AX102" s="891">
        <v>1.6</v>
      </c>
      <c r="AY102" s="891">
        <v>0.64</v>
      </c>
      <c r="AZ102" s="891">
        <v>0.64</v>
      </c>
      <c r="BA102" s="891">
        <f t="shared" si="3"/>
        <v>89.93</v>
      </c>
      <c r="BB102" s="926">
        <f t="shared" si="4"/>
        <v>30020.679999999997</v>
      </c>
      <c r="BC102" s="926">
        <f t="shared" si="5"/>
        <v>19.459999999996654</v>
      </c>
      <c r="BD102" s="891"/>
      <c r="BE102" s="891"/>
      <c r="BF102" s="891"/>
      <c r="BG102" s="928"/>
      <c r="BH102" s="928"/>
      <c r="BI102" s="928"/>
    </row>
    <row r="103" spans="1:61">
      <c r="A103" s="891" t="s">
        <v>879</v>
      </c>
      <c r="B103" s="891" t="s">
        <v>645</v>
      </c>
      <c r="C103" s="891" t="s">
        <v>348</v>
      </c>
      <c r="D103" s="891">
        <v>6.11</v>
      </c>
      <c r="E103" s="891">
        <v>27.47</v>
      </c>
      <c r="F103" s="891">
        <v>6.05</v>
      </c>
      <c r="G103" s="891">
        <v>0.75</v>
      </c>
      <c r="H103" s="891">
        <v>1.95</v>
      </c>
      <c r="I103" s="891">
        <v>0.61</v>
      </c>
      <c r="J103" s="891">
        <v>0.49</v>
      </c>
      <c r="K103" s="891">
        <v>0.99</v>
      </c>
      <c r="L103" s="891">
        <v>0.49</v>
      </c>
      <c r="M103" s="891">
        <v>1.22</v>
      </c>
      <c r="N103" s="891">
        <v>7.97</v>
      </c>
      <c r="O103" s="891">
        <v>0.61</v>
      </c>
      <c r="P103" s="891">
        <v>6.11</v>
      </c>
      <c r="Q103" s="891">
        <v>0.79</v>
      </c>
      <c r="R103" s="891">
        <v>1.47</v>
      </c>
      <c r="S103" s="891">
        <v>1.83</v>
      </c>
      <c r="T103" s="891">
        <v>0.37</v>
      </c>
      <c r="U103" s="891">
        <v>4.88</v>
      </c>
      <c r="V103" s="891">
        <v>16.66</v>
      </c>
      <c r="W103" s="891">
        <v>1.34</v>
      </c>
      <c r="X103" s="927">
        <v>27500</v>
      </c>
      <c r="Y103" s="891">
        <v>400</v>
      </c>
      <c r="Z103" s="891">
        <v>247.1</v>
      </c>
      <c r="AA103" s="891">
        <v>825</v>
      </c>
      <c r="AB103" s="891">
        <v>366.3</v>
      </c>
      <c r="AC103" s="891">
        <v>64.37</v>
      </c>
      <c r="AD103" s="891">
        <v>7.0000000000000007E-2</v>
      </c>
      <c r="AE103" s="891">
        <v>7.33</v>
      </c>
      <c r="AF103" s="891">
        <v>32.72</v>
      </c>
      <c r="AG103" s="891">
        <v>16.48</v>
      </c>
      <c r="AH103" s="891">
        <v>6.05</v>
      </c>
      <c r="AI103" s="891">
        <v>73.260000000000005</v>
      </c>
      <c r="AJ103" s="891">
        <v>48.84</v>
      </c>
      <c r="AK103" s="891">
        <v>85.47</v>
      </c>
      <c r="AL103" s="891">
        <v>85.47</v>
      </c>
      <c r="AM103" s="891">
        <v>1221</v>
      </c>
      <c r="AN103" s="891">
        <v>793.65</v>
      </c>
      <c r="AO103" s="891">
        <v>427.35</v>
      </c>
      <c r="AP103" s="891">
        <v>18</v>
      </c>
      <c r="AQ103" s="891">
        <v>2.44</v>
      </c>
      <c r="AR103" s="891">
        <v>0.36</v>
      </c>
      <c r="AS103" s="891">
        <v>6.11</v>
      </c>
      <c r="AT103" s="891">
        <v>1.47</v>
      </c>
      <c r="AU103" s="891">
        <v>1.6</v>
      </c>
      <c r="AV103" s="891">
        <v>0.5</v>
      </c>
      <c r="AW103" s="891">
        <v>0.65</v>
      </c>
      <c r="AX103" s="891">
        <v>1.95</v>
      </c>
      <c r="AY103" s="891">
        <v>1.34</v>
      </c>
      <c r="AZ103" s="891">
        <v>1.65</v>
      </c>
      <c r="BA103" s="891">
        <f t="shared" si="3"/>
        <v>71.77</v>
      </c>
      <c r="BB103" s="926">
        <f t="shared" si="4"/>
        <v>27527.279999999999</v>
      </c>
      <c r="BC103" s="926">
        <f t="shared" si="5"/>
        <v>25.939999999998836</v>
      </c>
      <c r="BD103" s="891"/>
      <c r="BE103" s="891"/>
      <c r="BF103" s="891"/>
      <c r="BG103" s="928"/>
      <c r="BH103" s="928"/>
      <c r="BI103" s="928"/>
    </row>
    <row r="104" spans="1:61">
      <c r="A104" s="891" t="s">
        <v>880</v>
      </c>
      <c r="B104" s="891" t="s">
        <v>598</v>
      </c>
      <c r="C104" s="891" t="s">
        <v>202</v>
      </c>
      <c r="D104" s="891">
        <v>8.24</v>
      </c>
      <c r="E104" s="891">
        <v>54.92</v>
      </c>
      <c r="F104" s="891">
        <v>5.49</v>
      </c>
      <c r="G104" s="891">
        <v>10.98</v>
      </c>
      <c r="H104" s="891">
        <v>10.98</v>
      </c>
      <c r="I104" s="891">
        <v>0.55000000000000004</v>
      </c>
      <c r="J104" s="891">
        <v>0.41</v>
      </c>
      <c r="K104" s="891">
        <v>1.65</v>
      </c>
      <c r="L104" s="891">
        <v>1.37</v>
      </c>
      <c r="M104" s="891">
        <v>2.39</v>
      </c>
      <c r="N104" s="891">
        <v>13.73</v>
      </c>
      <c r="O104" s="891">
        <v>0.55000000000000004</v>
      </c>
      <c r="P104" s="891">
        <v>21.69</v>
      </c>
      <c r="Q104" s="891">
        <v>3</v>
      </c>
      <c r="R104" s="891">
        <v>8.24</v>
      </c>
      <c r="S104" s="891">
        <v>2.4700000000000002</v>
      </c>
      <c r="T104" s="891">
        <v>2.75</v>
      </c>
      <c r="U104" s="891">
        <v>7.14</v>
      </c>
      <c r="V104" s="891">
        <v>27.46</v>
      </c>
      <c r="W104" s="891">
        <v>0.27</v>
      </c>
      <c r="X104" s="927">
        <v>17163.259999999998</v>
      </c>
      <c r="Y104" s="891">
        <v>1673.84</v>
      </c>
      <c r="Z104" s="891">
        <v>1373.06</v>
      </c>
      <c r="AA104" s="891">
        <v>3398.35</v>
      </c>
      <c r="AB104" s="891">
        <v>2623.06</v>
      </c>
      <c r="AC104" s="891">
        <v>58.36</v>
      </c>
      <c r="AD104" s="891">
        <v>0.16</v>
      </c>
      <c r="AE104" s="891">
        <v>96.11</v>
      </c>
      <c r="AF104" s="891">
        <v>96.11</v>
      </c>
      <c r="AG104" s="891">
        <v>15.1</v>
      </c>
      <c r="AH104" s="891">
        <v>9.61</v>
      </c>
      <c r="AI104" s="891">
        <v>68.650000000000006</v>
      </c>
      <c r="AJ104" s="891">
        <v>54.79</v>
      </c>
      <c r="AK104" s="891">
        <v>96.11</v>
      </c>
      <c r="AL104" s="891">
        <v>103.78</v>
      </c>
      <c r="AM104" s="891">
        <v>4521.34</v>
      </c>
      <c r="AN104" s="891">
        <v>3842.67</v>
      </c>
      <c r="AO104" s="891">
        <v>4119.18</v>
      </c>
      <c r="AP104" s="891">
        <v>5</v>
      </c>
      <c r="AQ104" s="891">
        <v>1.17</v>
      </c>
      <c r="AR104" s="891">
        <v>0.62</v>
      </c>
      <c r="AS104" s="891">
        <v>6.87</v>
      </c>
      <c r="AT104" s="891">
        <v>2.2000000000000002</v>
      </c>
      <c r="AU104" s="891">
        <v>1.65</v>
      </c>
      <c r="AV104" s="891">
        <v>1.37</v>
      </c>
      <c r="AW104" s="891">
        <v>1.24</v>
      </c>
      <c r="AX104" s="891">
        <v>4.12</v>
      </c>
      <c r="AY104" s="891">
        <v>2.13</v>
      </c>
      <c r="AZ104" s="891">
        <v>1.37</v>
      </c>
      <c r="BA104" s="891">
        <f t="shared" si="3"/>
        <v>154.63</v>
      </c>
      <c r="BB104" s="926">
        <f t="shared" si="4"/>
        <v>17202.399999999994</v>
      </c>
      <c r="BC104" s="926">
        <f t="shared" si="5"/>
        <v>38.869999999995777</v>
      </c>
      <c r="BD104" s="891"/>
      <c r="BE104" s="891"/>
      <c r="BF104" s="891"/>
      <c r="BG104" s="928"/>
      <c r="BH104" s="928"/>
      <c r="BI104" s="928"/>
    </row>
    <row r="105" spans="1:61">
      <c r="A105" s="891" t="s">
        <v>881</v>
      </c>
      <c r="B105" s="891" t="s">
        <v>645</v>
      </c>
      <c r="C105" s="891" t="s">
        <v>353</v>
      </c>
      <c r="D105" s="891">
        <v>5</v>
      </c>
      <c r="E105" s="891">
        <v>38.32</v>
      </c>
      <c r="F105" s="891">
        <v>4.7</v>
      </c>
      <c r="G105" s="891">
        <v>0.85</v>
      </c>
      <c r="H105" s="891">
        <v>1.47</v>
      </c>
      <c r="I105" s="891">
        <v>0.73</v>
      </c>
      <c r="J105" s="891">
        <v>0.61</v>
      </c>
      <c r="K105" s="891">
        <v>1.1000000000000001</v>
      </c>
      <c r="L105" s="891">
        <v>0.52</v>
      </c>
      <c r="M105" s="891">
        <v>1.47</v>
      </c>
      <c r="N105" s="891">
        <v>7.33</v>
      </c>
      <c r="O105" s="891">
        <v>0.61</v>
      </c>
      <c r="P105" s="891">
        <v>5.49</v>
      </c>
      <c r="Q105" s="891">
        <v>0.85</v>
      </c>
      <c r="R105" s="891">
        <v>1.83</v>
      </c>
      <c r="S105" s="891">
        <v>1.83</v>
      </c>
      <c r="T105" s="891">
        <v>0.24</v>
      </c>
      <c r="U105" s="891">
        <v>3.72</v>
      </c>
      <c r="V105" s="891">
        <v>9.77</v>
      </c>
      <c r="W105" s="891">
        <v>1.45</v>
      </c>
      <c r="X105" s="927">
        <v>25800</v>
      </c>
      <c r="Y105" s="891">
        <v>427.35</v>
      </c>
      <c r="Z105" s="891">
        <v>191.09</v>
      </c>
      <c r="AA105" s="891">
        <v>600</v>
      </c>
      <c r="AB105" s="891">
        <v>300</v>
      </c>
      <c r="AC105" s="891">
        <v>61.05</v>
      </c>
      <c r="AD105" s="891">
        <v>0.08</v>
      </c>
      <c r="AE105" s="891">
        <v>9.77</v>
      </c>
      <c r="AF105" s="891">
        <v>42.74</v>
      </c>
      <c r="AG105" s="891">
        <v>9.77</v>
      </c>
      <c r="AH105" s="891">
        <v>4.9400000000000004</v>
      </c>
      <c r="AI105" s="891">
        <v>116</v>
      </c>
      <c r="AJ105" s="891">
        <v>67.16</v>
      </c>
      <c r="AK105" s="891">
        <v>97.68</v>
      </c>
      <c r="AL105" s="891">
        <v>122.1</v>
      </c>
      <c r="AM105" s="891">
        <v>1343.1</v>
      </c>
      <c r="AN105" s="891">
        <v>600</v>
      </c>
      <c r="AO105" s="891">
        <v>427.35</v>
      </c>
      <c r="AP105" s="891">
        <v>24</v>
      </c>
      <c r="AQ105" s="891">
        <v>2.3199999999999998</v>
      </c>
      <c r="AR105" s="891">
        <v>0.31</v>
      </c>
      <c r="AS105" s="891">
        <v>9.5</v>
      </c>
      <c r="AT105" s="891">
        <v>1.1599999999999999</v>
      </c>
      <c r="AU105" s="891">
        <v>1.79</v>
      </c>
      <c r="AV105" s="891">
        <v>0.31</v>
      </c>
      <c r="AW105" s="891">
        <v>0.98</v>
      </c>
      <c r="AX105" s="891">
        <v>1.22</v>
      </c>
      <c r="AY105" s="891">
        <v>1.22</v>
      </c>
      <c r="AZ105" s="891">
        <v>0.95</v>
      </c>
      <c r="BA105" s="891">
        <f t="shared" si="3"/>
        <v>70.899999999999991</v>
      </c>
      <c r="BB105" s="926">
        <f t="shared" si="4"/>
        <v>25823.59</v>
      </c>
      <c r="BC105" s="926">
        <f t="shared" si="5"/>
        <v>22.140000000000146</v>
      </c>
      <c r="BD105" s="891"/>
      <c r="BE105" s="891"/>
      <c r="BF105" s="891"/>
      <c r="BG105" s="928"/>
      <c r="BH105" s="928"/>
      <c r="BI105" s="928"/>
    </row>
    <row r="106" spans="1:61">
      <c r="A106" s="891" t="s">
        <v>882</v>
      </c>
      <c r="B106" s="891" t="s">
        <v>566</v>
      </c>
      <c r="C106" s="891" t="s">
        <v>188</v>
      </c>
      <c r="D106" s="891">
        <v>13.55</v>
      </c>
      <c r="E106" s="891">
        <v>54.19</v>
      </c>
      <c r="F106" s="891">
        <v>8.8000000000000007</v>
      </c>
      <c r="G106" s="891">
        <v>3.86</v>
      </c>
      <c r="H106" s="891">
        <v>3.79</v>
      </c>
      <c r="I106" s="891">
        <v>2.84</v>
      </c>
      <c r="J106" s="891">
        <v>2.71</v>
      </c>
      <c r="K106" s="891">
        <v>0.77</v>
      </c>
      <c r="L106" s="891">
        <v>1.35</v>
      </c>
      <c r="M106" s="891">
        <v>2.17</v>
      </c>
      <c r="N106" s="891">
        <v>8.1300000000000008</v>
      </c>
      <c r="O106" s="891">
        <v>0.64</v>
      </c>
      <c r="P106" s="891">
        <v>6.77</v>
      </c>
      <c r="Q106" s="891">
        <v>0.77</v>
      </c>
      <c r="R106" s="891">
        <v>1.1399999999999999</v>
      </c>
      <c r="S106" s="891">
        <v>6.43</v>
      </c>
      <c r="T106" s="891">
        <v>2.71</v>
      </c>
      <c r="U106" s="891">
        <v>8.1300000000000008</v>
      </c>
      <c r="V106" s="891">
        <v>68.41</v>
      </c>
      <c r="W106" s="891">
        <v>2.19</v>
      </c>
      <c r="X106" s="927">
        <v>25738.28</v>
      </c>
      <c r="Y106" s="891">
        <v>609.59</v>
      </c>
      <c r="Z106" s="891">
        <v>488.74</v>
      </c>
      <c r="AA106" s="891">
        <v>1896.51</v>
      </c>
      <c r="AB106" s="891">
        <v>1204.28</v>
      </c>
      <c r="AC106" s="891">
        <v>79.72</v>
      </c>
      <c r="AD106" s="891">
        <v>0.12</v>
      </c>
      <c r="AE106" s="891">
        <v>24.38</v>
      </c>
      <c r="AF106" s="891">
        <v>47.41</v>
      </c>
      <c r="AG106" s="891">
        <v>20.32</v>
      </c>
      <c r="AH106" s="891">
        <v>10.7</v>
      </c>
      <c r="AI106" s="891">
        <v>115.14</v>
      </c>
      <c r="AJ106" s="891">
        <v>44.03</v>
      </c>
      <c r="AK106" s="891">
        <v>121.92</v>
      </c>
      <c r="AL106" s="891">
        <v>135.46</v>
      </c>
      <c r="AM106" s="891">
        <v>2777.03</v>
      </c>
      <c r="AN106" s="891">
        <v>1828.77</v>
      </c>
      <c r="AO106" s="891">
        <v>3047.95</v>
      </c>
      <c r="AP106" s="891">
        <v>3.1</v>
      </c>
      <c r="AQ106" s="891">
        <v>3.45</v>
      </c>
      <c r="AR106" s="891">
        <v>1.9</v>
      </c>
      <c r="AS106" s="891">
        <v>28.45</v>
      </c>
      <c r="AT106" s="891">
        <v>2.16</v>
      </c>
      <c r="AU106" s="891">
        <v>1.22</v>
      </c>
      <c r="AV106" s="891">
        <v>0.68</v>
      </c>
      <c r="AW106" s="891">
        <v>1.19</v>
      </c>
      <c r="AX106" s="891">
        <v>3.39</v>
      </c>
      <c r="AY106" s="891">
        <v>1.68</v>
      </c>
      <c r="AZ106" s="891">
        <v>3.1</v>
      </c>
      <c r="BA106" s="891">
        <f t="shared" si="3"/>
        <v>104.22</v>
      </c>
      <c r="BB106" s="926">
        <f t="shared" si="4"/>
        <v>25845.390000000003</v>
      </c>
      <c r="BC106" s="926">
        <f t="shared" si="5"/>
        <v>104.92000000000422</v>
      </c>
      <c r="BD106" s="891"/>
      <c r="BE106" s="891"/>
      <c r="BF106" s="891"/>
      <c r="BG106" s="928"/>
      <c r="BH106" s="928"/>
      <c r="BI106" s="928"/>
    </row>
    <row r="107" spans="1:61">
      <c r="A107" s="891" t="s">
        <v>883</v>
      </c>
      <c r="B107" s="891" t="s">
        <v>1571</v>
      </c>
      <c r="C107" s="891" t="s">
        <v>217</v>
      </c>
      <c r="D107" s="891">
        <v>8.17</v>
      </c>
      <c r="E107" s="891">
        <v>40.840000000000003</v>
      </c>
      <c r="F107" s="891">
        <v>5.45</v>
      </c>
      <c r="G107" s="891">
        <v>9.5299999999999994</v>
      </c>
      <c r="H107" s="891">
        <v>8.17</v>
      </c>
      <c r="I107" s="891">
        <v>0.41</v>
      </c>
      <c r="J107" s="891">
        <v>0.3</v>
      </c>
      <c r="K107" s="891">
        <v>1.45</v>
      </c>
      <c r="L107" s="891">
        <v>1.1100000000000001</v>
      </c>
      <c r="M107" s="891">
        <v>2.4900000000000002</v>
      </c>
      <c r="N107" s="891">
        <v>8.85</v>
      </c>
      <c r="O107" s="891">
        <v>0.54</v>
      </c>
      <c r="P107" s="891">
        <v>20</v>
      </c>
      <c r="Q107" s="891">
        <v>6.81</v>
      </c>
      <c r="R107" s="891">
        <v>6.81</v>
      </c>
      <c r="S107" s="891">
        <v>2.4</v>
      </c>
      <c r="T107" s="891">
        <v>1.33</v>
      </c>
      <c r="U107" s="891">
        <v>6.75</v>
      </c>
      <c r="V107" s="891">
        <v>54.45</v>
      </c>
      <c r="W107" s="891">
        <v>0.48</v>
      </c>
      <c r="X107" s="927">
        <v>19057.990000000002</v>
      </c>
      <c r="Y107" s="891">
        <v>1633.54</v>
      </c>
      <c r="Z107" s="891">
        <v>950.58</v>
      </c>
      <c r="AA107" s="891">
        <v>3062</v>
      </c>
      <c r="AB107" s="891">
        <v>2239.0300000000002</v>
      </c>
      <c r="AC107" s="891">
        <v>135.87</v>
      </c>
      <c r="AD107" s="891">
        <v>0.09</v>
      </c>
      <c r="AE107" s="891">
        <v>68.06</v>
      </c>
      <c r="AF107" s="891">
        <v>100</v>
      </c>
      <c r="AG107" s="891">
        <v>20.21</v>
      </c>
      <c r="AH107" s="891">
        <v>9.5299999999999994</v>
      </c>
      <c r="AI107" s="891">
        <v>81.680000000000007</v>
      </c>
      <c r="AJ107" s="891">
        <v>49.5</v>
      </c>
      <c r="AK107" s="891">
        <v>81.680000000000007</v>
      </c>
      <c r="AL107" s="891">
        <v>108.9</v>
      </c>
      <c r="AM107" s="891">
        <v>4330.84</v>
      </c>
      <c r="AN107" s="891">
        <v>2344.44</v>
      </c>
      <c r="AO107" s="891">
        <v>3500</v>
      </c>
      <c r="AP107" s="891">
        <v>6</v>
      </c>
      <c r="AQ107" s="891">
        <v>0.95</v>
      </c>
      <c r="AR107" s="891">
        <v>0.45</v>
      </c>
      <c r="AS107" s="891">
        <v>8.17</v>
      </c>
      <c r="AT107" s="891">
        <v>2.1800000000000002</v>
      </c>
      <c r="AU107" s="891">
        <v>1.91</v>
      </c>
      <c r="AV107" s="891">
        <v>1</v>
      </c>
      <c r="AW107" s="891">
        <v>1.36</v>
      </c>
      <c r="AX107" s="891">
        <v>4.08</v>
      </c>
      <c r="AY107" s="891">
        <v>1.36</v>
      </c>
      <c r="AZ107" s="891">
        <v>1.36</v>
      </c>
      <c r="BA107" s="891">
        <f t="shared" si="3"/>
        <v>204.02</v>
      </c>
      <c r="BB107" s="926">
        <f t="shared" si="4"/>
        <v>19123.82</v>
      </c>
      <c r="BC107" s="926">
        <f t="shared" si="5"/>
        <v>65.349999999998104</v>
      </c>
      <c r="BD107" s="891"/>
      <c r="BE107" s="891"/>
      <c r="BF107" s="891"/>
      <c r="BG107" s="928"/>
      <c r="BH107" s="928"/>
      <c r="BI107" s="928"/>
    </row>
    <row r="108" spans="1:61">
      <c r="A108" s="891" t="s">
        <v>884</v>
      </c>
      <c r="B108" s="891" t="s">
        <v>571</v>
      </c>
      <c r="C108" s="891" t="s">
        <v>21</v>
      </c>
      <c r="D108" s="891">
        <v>20.32</v>
      </c>
      <c r="E108" s="891">
        <v>71.459999999999994</v>
      </c>
      <c r="F108" s="891">
        <v>9.48</v>
      </c>
      <c r="G108" s="891">
        <v>6.1</v>
      </c>
      <c r="H108" s="891">
        <v>6.1</v>
      </c>
      <c r="I108" s="891">
        <v>2.0299999999999998</v>
      </c>
      <c r="J108" s="891">
        <v>1.83</v>
      </c>
      <c r="K108" s="891">
        <v>1.35</v>
      </c>
      <c r="L108" s="891">
        <v>1.76</v>
      </c>
      <c r="M108" s="891">
        <v>2.81</v>
      </c>
      <c r="N108" s="891">
        <v>13.55</v>
      </c>
      <c r="O108" s="891">
        <v>1.35</v>
      </c>
      <c r="P108" s="891">
        <v>13.55</v>
      </c>
      <c r="Q108" s="891">
        <v>3.39</v>
      </c>
      <c r="R108" s="891">
        <v>2.71</v>
      </c>
      <c r="S108" s="891">
        <v>12.33</v>
      </c>
      <c r="T108" s="891">
        <v>3.29</v>
      </c>
      <c r="U108" s="891">
        <v>13.55</v>
      </c>
      <c r="V108" s="891">
        <v>151.72</v>
      </c>
      <c r="W108" s="891">
        <v>2.19</v>
      </c>
      <c r="X108" s="927">
        <v>30140.880000000001</v>
      </c>
      <c r="Y108" s="891">
        <v>1219.18</v>
      </c>
      <c r="Z108" s="891">
        <v>999.05</v>
      </c>
      <c r="AA108" s="891">
        <v>2302.9</v>
      </c>
      <c r="AB108" s="891">
        <v>1625.58</v>
      </c>
      <c r="AC108" s="891">
        <v>203.2</v>
      </c>
      <c r="AD108" s="891">
        <v>0.3</v>
      </c>
      <c r="AE108" s="891">
        <v>46.06</v>
      </c>
      <c r="AF108" s="891">
        <v>67.73</v>
      </c>
      <c r="AG108" s="891">
        <v>27.09</v>
      </c>
      <c r="AH108" s="891">
        <v>13.55</v>
      </c>
      <c r="AI108" s="891">
        <v>88.05</v>
      </c>
      <c r="AJ108" s="891">
        <v>54.19</v>
      </c>
      <c r="AK108" s="891">
        <v>101.6</v>
      </c>
      <c r="AL108" s="891">
        <v>88.05</v>
      </c>
      <c r="AM108" s="891">
        <v>4334.87</v>
      </c>
      <c r="AN108" s="891">
        <v>4551.6099999999997</v>
      </c>
      <c r="AO108" s="891">
        <v>3047.95</v>
      </c>
      <c r="AP108" s="891">
        <v>4.25</v>
      </c>
      <c r="AQ108" s="891">
        <v>6.03</v>
      </c>
      <c r="AR108" s="891">
        <v>1.4</v>
      </c>
      <c r="AS108" s="891">
        <v>29.26</v>
      </c>
      <c r="AT108" s="891">
        <v>2.71</v>
      </c>
      <c r="AU108" s="891">
        <v>3.05</v>
      </c>
      <c r="AV108" s="891">
        <v>2.0299999999999998</v>
      </c>
      <c r="AW108" s="891">
        <v>1.35</v>
      </c>
      <c r="AX108" s="891">
        <v>3.79</v>
      </c>
      <c r="AY108" s="891">
        <v>2.71</v>
      </c>
      <c r="AZ108" s="891">
        <v>3.79</v>
      </c>
      <c r="BA108" s="891">
        <f t="shared" si="3"/>
        <v>249.56</v>
      </c>
      <c r="BB108" s="926">
        <f t="shared" si="4"/>
        <v>30334.77</v>
      </c>
      <c r="BC108" s="926">
        <f t="shared" si="5"/>
        <v>191.69999999999942</v>
      </c>
      <c r="BD108" s="891"/>
      <c r="BE108" s="891"/>
      <c r="BF108" s="891"/>
      <c r="BG108" s="928"/>
      <c r="BH108" s="928"/>
      <c r="BI108" s="928"/>
    </row>
    <row r="109" spans="1:61">
      <c r="A109" s="891" t="s">
        <v>885</v>
      </c>
      <c r="B109" s="891" t="s">
        <v>566</v>
      </c>
      <c r="C109" s="891" t="s">
        <v>107</v>
      </c>
      <c r="D109" s="891">
        <v>13.55</v>
      </c>
      <c r="E109" s="891">
        <v>60.96</v>
      </c>
      <c r="F109" s="891">
        <v>8.1300000000000008</v>
      </c>
      <c r="G109" s="891">
        <v>5.15</v>
      </c>
      <c r="H109" s="891">
        <v>4.4000000000000004</v>
      </c>
      <c r="I109" s="891">
        <v>2.13</v>
      </c>
      <c r="J109" s="891">
        <v>2.71</v>
      </c>
      <c r="K109" s="891">
        <v>1.02</v>
      </c>
      <c r="L109" s="891">
        <v>1.76</v>
      </c>
      <c r="M109" s="891">
        <v>2.71</v>
      </c>
      <c r="N109" s="891">
        <v>15.58</v>
      </c>
      <c r="O109" s="891">
        <v>0.34</v>
      </c>
      <c r="P109" s="891">
        <v>6.1</v>
      </c>
      <c r="Q109" s="891">
        <v>1.35</v>
      </c>
      <c r="R109" s="891">
        <v>1.35</v>
      </c>
      <c r="S109" s="891">
        <v>6.77</v>
      </c>
      <c r="T109" s="891">
        <v>3.25</v>
      </c>
      <c r="U109" s="891">
        <v>10.16</v>
      </c>
      <c r="V109" s="891">
        <v>81.28</v>
      </c>
      <c r="W109" s="891">
        <v>2.13</v>
      </c>
      <c r="X109" s="927">
        <v>26740.04</v>
      </c>
      <c r="Y109" s="891">
        <v>806.01</v>
      </c>
      <c r="Z109" s="891">
        <v>643.46</v>
      </c>
      <c r="AA109" s="891">
        <v>1896.51</v>
      </c>
      <c r="AB109" s="891">
        <v>1151.45</v>
      </c>
      <c r="AC109" s="891">
        <v>239.43</v>
      </c>
      <c r="AD109" s="891">
        <v>0.14000000000000001</v>
      </c>
      <c r="AE109" s="891">
        <v>27.09</v>
      </c>
      <c r="AF109" s="891">
        <v>67.73</v>
      </c>
      <c r="AG109" s="891">
        <v>27.09</v>
      </c>
      <c r="AH109" s="891">
        <v>13.21</v>
      </c>
      <c r="AI109" s="891">
        <v>108.37</v>
      </c>
      <c r="AJ109" s="891">
        <v>54.05</v>
      </c>
      <c r="AK109" s="891">
        <v>128.69</v>
      </c>
      <c r="AL109" s="891">
        <v>104.99</v>
      </c>
      <c r="AM109" s="891">
        <v>4063.94</v>
      </c>
      <c r="AN109" s="891">
        <v>2709.29</v>
      </c>
      <c r="AO109" s="891">
        <v>3522.08</v>
      </c>
      <c r="AP109" s="891">
        <v>3.98</v>
      </c>
      <c r="AQ109" s="891">
        <v>7.45</v>
      </c>
      <c r="AR109" s="891">
        <v>2.44</v>
      </c>
      <c r="AS109" s="891">
        <v>32.51</v>
      </c>
      <c r="AT109" s="891">
        <v>2.71</v>
      </c>
      <c r="AU109" s="891">
        <v>3.37</v>
      </c>
      <c r="AV109" s="891">
        <v>1.42</v>
      </c>
      <c r="AW109" s="891">
        <v>1.19</v>
      </c>
      <c r="AX109" s="891">
        <v>2.71</v>
      </c>
      <c r="AY109" s="891">
        <v>3.05</v>
      </c>
      <c r="AZ109" s="891">
        <v>2.39</v>
      </c>
      <c r="BA109" s="891">
        <f t="shared" si="3"/>
        <v>266.65999999999997</v>
      </c>
      <c r="BB109" s="926">
        <f t="shared" si="4"/>
        <v>26869.1</v>
      </c>
      <c r="BC109" s="926">
        <f t="shared" si="5"/>
        <v>126.92999999999768</v>
      </c>
      <c r="BD109" s="891"/>
      <c r="BE109" s="891"/>
      <c r="BF109" s="891"/>
      <c r="BG109" s="928"/>
      <c r="BH109" s="928"/>
      <c r="BI109" s="928"/>
    </row>
    <row r="110" spans="1:61">
      <c r="A110" s="891" t="s">
        <v>886</v>
      </c>
      <c r="B110" s="891" t="s">
        <v>1569</v>
      </c>
      <c r="C110" s="891" t="s">
        <v>52</v>
      </c>
      <c r="D110" s="891">
        <v>15.95</v>
      </c>
      <c r="E110" s="891">
        <v>79.77</v>
      </c>
      <c r="F110" s="891">
        <v>7.18</v>
      </c>
      <c r="G110" s="891">
        <v>4.79</v>
      </c>
      <c r="H110" s="891">
        <v>5.58</v>
      </c>
      <c r="I110" s="891">
        <v>1.91</v>
      </c>
      <c r="J110" s="891">
        <v>1.6</v>
      </c>
      <c r="K110" s="891">
        <v>1.52</v>
      </c>
      <c r="L110" s="891">
        <v>1.74</v>
      </c>
      <c r="M110" s="891">
        <v>5.1100000000000003</v>
      </c>
      <c r="N110" s="891">
        <v>11.17</v>
      </c>
      <c r="O110" s="891">
        <v>1.6</v>
      </c>
      <c r="P110" s="891">
        <v>9.57</v>
      </c>
      <c r="Q110" s="891">
        <v>3.51</v>
      </c>
      <c r="R110" s="891">
        <v>2.87</v>
      </c>
      <c r="S110" s="891">
        <v>12.6</v>
      </c>
      <c r="T110" s="891">
        <v>2.23</v>
      </c>
      <c r="U110" s="891">
        <v>14.36</v>
      </c>
      <c r="V110" s="891">
        <v>79.77</v>
      </c>
      <c r="W110" s="891">
        <v>2.19</v>
      </c>
      <c r="X110" s="927">
        <v>25526.48</v>
      </c>
      <c r="Y110" s="891">
        <v>957.24</v>
      </c>
      <c r="Z110" s="891">
        <v>717.93</v>
      </c>
      <c r="AA110" s="891">
        <v>1595.41</v>
      </c>
      <c r="AB110" s="891">
        <v>1276.32</v>
      </c>
      <c r="AC110" s="891">
        <v>255.26</v>
      </c>
      <c r="AD110" s="891">
        <v>0.14000000000000001</v>
      </c>
      <c r="AE110" s="891">
        <v>23.93</v>
      </c>
      <c r="AF110" s="891">
        <v>71.790000000000006</v>
      </c>
      <c r="AG110" s="891">
        <v>17.55</v>
      </c>
      <c r="AH110" s="891">
        <v>12.76</v>
      </c>
      <c r="AI110" s="891">
        <v>95.72</v>
      </c>
      <c r="AJ110" s="891">
        <v>47.86</v>
      </c>
      <c r="AK110" s="891">
        <v>95.72</v>
      </c>
      <c r="AL110" s="891">
        <v>95.72</v>
      </c>
      <c r="AM110" s="891">
        <v>4786.22</v>
      </c>
      <c r="AN110" s="891">
        <v>3068.76</v>
      </c>
      <c r="AO110" s="891">
        <v>2871.73</v>
      </c>
      <c r="AP110" s="891">
        <v>3.9</v>
      </c>
      <c r="AQ110" s="891">
        <v>3.91</v>
      </c>
      <c r="AR110" s="891">
        <v>2.0099999999999998</v>
      </c>
      <c r="AS110" s="891">
        <v>31.91</v>
      </c>
      <c r="AT110" s="891">
        <v>2.59</v>
      </c>
      <c r="AU110" s="891">
        <v>2.39</v>
      </c>
      <c r="AV110" s="891">
        <v>1.6</v>
      </c>
      <c r="AW110" s="891">
        <v>1.6</v>
      </c>
      <c r="AX110" s="891">
        <v>3.59</v>
      </c>
      <c r="AY110" s="891">
        <v>1.99</v>
      </c>
      <c r="AZ110" s="891">
        <v>3.75</v>
      </c>
      <c r="BA110" s="891">
        <f t="shared" si="3"/>
        <v>279.33</v>
      </c>
      <c r="BB110" s="926">
        <f t="shared" si="4"/>
        <v>25648.499999999996</v>
      </c>
      <c r="BC110" s="926">
        <f t="shared" si="5"/>
        <v>119.8299999999968</v>
      </c>
      <c r="BD110" s="891"/>
      <c r="BE110" s="891"/>
      <c r="BF110" s="891"/>
      <c r="BG110" s="928"/>
      <c r="BH110" s="928"/>
      <c r="BI110" s="928"/>
    </row>
    <row r="111" spans="1:61">
      <c r="A111" s="891" t="s">
        <v>887</v>
      </c>
      <c r="B111" s="891" t="s">
        <v>559</v>
      </c>
      <c r="C111" s="891" t="s">
        <v>100</v>
      </c>
      <c r="D111" s="891">
        <v>13.52</v>
      </c>
      <c r="E111" s="891">
        <v>57.95</v>
      </c>
      <c r="F111" s="891">
        <v>7.73</v>
      </c>
      <c r="G111" s="891">
        <v>4.83</v>
      </c>
      <c r="H111" s="891">
        <v>5.79</v>
      </c>
      <c r="I111" s="891">
        <v>1.93</v>
      </c>
      <c r="J111" s="891">
        <v>1.45</v>
      </c>
      <c r="K111" s="891">
        <v>1.88</v>
      </c>
      <c r="L111" s="891">
        <v>2.41</v>
      </c>
      <c r="M111" s="891">
        <v>2.9</v>
      </c>
      <c r="N111" s="891">
        <v>11.59</v>
      </c>
      <c r="O111" s="891">
        <v>2.9</v>
      </c>
      <c r="P111" s="891">
        <v>17.38</v>
      </c>
      <c r="Q111" s="891">
        <v>1.93</v>
      </c>
      <c r="R111" s="891">
        <v>2.66</v>
      </c>
      <c r="S111" s="891">
        <v>12.56</v>
      </c>
      <c r="T111" s="891">
        <v>2.9</v>
      </c>
      <c r="U111" s="891">
        <v>11.59</v>
      </c>
      <c r="V111" s="891">
        <v>82.09</v>
      </c>
      <c r="W111" s="891">
        <v>1.06</v>
      </c>
      <c r="X111" s="927">
        <v>21972.18</v>
      </c>
      <c r="Y111" s="891">
        <v>1110.68</v>
      </c>
      <c r="Z111" s="891">
        <v>869.23</v>
      </c>
      <c r="AA111" s="891">
        <v>1738.46</v>
      </c>
      <c r="AB111" s="891">
        <v>1352.13</v>
      </c>
      <c r="AC111" s="891">
        <v>201.98</v>
      </c>
      <c r="AD111" s="891">
        <v>0.31</v>
      </c>
      <c r="AE111" s="891">
        <v>38.630000000000003</v>
      </c>
      <c r="AF111" s="891">
        <v>48.29</v>
      </c>
      <c r="AG111" s="891">
        <v>19.32</v>
      </c>
      <c r="AH111" s="891">
        <v>12.56</v>
      </c>
      <c r="AI111" s="891">
        <v>53.12</v>
      </c>
      <c r="AJ111" s="891">
        <v>33.799999999999997</v>
      </c>
      <c r="AK111" s="891">
        <v>89.34</v>
      </c>
      <c r="AL111" s="891">
        <v>106.24</v>
      </c>
      <c r="AM111" s="891">
        <v>2409.5</v>
      </c>
      <c r="AN111" s="891">
        <v>2183.14</v>
      </c>
      <c r="AO111" s="891">
        <v>2994.01</v>
      </c>
      <c r="AP111" s="891">
        <v>3.5</v>
      </c>
      <c r="AQ111" s="891">
        <v>3.48</v>
      </c>
      <c r="AR111" s="891">
        <v>1.43</v>
      </c>
      <c r="AS111" s="891">
        <v>28.97</v>
      </c>
      <c r="AT111" s="891">
        <v>2.58</v>
      </c>
      <c r="AU111" s="891">
        <v>2.74</v>
      </c>
      <c r="AV111" s="891">
        <v>1</v>
      </c>
      <c r="AW111" s="891">
        <v>1.45</v>
      </c>
      <c r="AX111" s="891">
        <v>3.86</v>
      </c>
      <c r="AY111" s="891">
        <v>2.83</v>
      </c>
      <c r="AZ111" s="891">
        <v>2.31</v>
      </c>
      <c r="BA111" s="891">
        <f t="shared" si="3"/>
        <v>240.92</v>
      </c>
      <c r="BB111" s="926">
        <f t="shared" si="4"/>
        <v>22092.11</v>
      </c>
      <c r="BC111" s="926">
        <f t="shared" si="5"/>
        <v>118.87000000000029</v>
      </c>
      <c r="BD111" s="891"/>
      <c r="BE111" s="891"/>
      <c r="BF111" s="891"/>
      <c r="BG111" s="928"/>
      <c r="BH111" s="928"/>
      <c r="BI111" s="928"/>
    </row>
    <row r="112" spans="1:61">
      <c r="A112" s="891" t="s">
        <v>888</v>
      </c>
      <c r="B112" s="891" t="s">
        <v>590</v>
      </c>
      <c r="C112" s="891" t="s">
        <v>88</v>
      </c>
      <c r="D112" s="891">
        <v>20.32</v>
      </c>
      <c r="E112" s="891">
        <v>81.28</v>
      </c>
      <c r="F112" s="891">
        <v>9.48</v>
      </c>
      <c r="G112" s="891">
        <v>5.42</v>
      </c>
      <c r="H112" s="891">
        <v>4.6100000000000003</v>
      </c>
      <c r="I112" s="891">
        <v>3.25</v>
      </c>
      <c r="J112" s="891">
        <v>2.71</v>
      </c>
      <c r="K112" s="891">
        <v>1.22</v>
      </c>
      <c r="L112" s="891">
        <v>1.49</v>
      </c>
      <c r="M112" s="891">
        <v>2.44</v>
      </c>
      <c r="N112" s="891">
        <v>10.84</v>
      </c>
      <c r="O112" s="891">
        <v>0.91</v>
      </c>
      <c r="P112" s="891">
        <v>6.1</v>
      </c>
      <c r="Q112" s="891">
        <v>0.88</v>
      </c>
      <c r="R112" s="891">
        <v>1.63</v>
      </c>
      <c r="S112" s="891">
        <v>7.52</v>
      </c>
      <c r="T112" s="891">
        <v>4.0599999999999996</v>
      </c>
      <c r="U112" s="891">
        <v>8.5299999999999994</v>
      </c>
      <c r="V112" s="891">
        <v>84.67</v>
      </c>
      <c r="W112" s="891">
        <v>2.44</v>
      </c>
      <c r="X112" s="927">
        <v>33866.160000000003</v>
      </c>
      <c r="Y112" s="891">
        <v>1083.72</v>
      </c>
      <c r="Z112" s="891">
        <v>921.16</v>
      </c>
      <c r="AA112" s="891">
        <v>1761.04</v>
      </c>
      <c r="AB112" s="891">
        <v>1354.65</v>
      </c>
      <c r="AC112" s="891">
        <v>270.93</v>
      </c>
      <c r="AD112" s="891">
        <v>0.1</v>
      </c>
      <c r="AE112" s="891">
        <v>28.45</v>
      </c>
      <c r="AF112" s="891">
        <v>47.41</v>
      </c>
      <c r="AG112" s="891">
        <v>13.55</v>
      </c>
      <c r="AH112" s="891">
        <v>12.53</v>
      </c>
      <c r="AI112" s="891">
        <v>88.05</v>
      </c>
      <c r="AJ112" s="891">
        <v>60.96</v>
      </c>
      <c r="AK112" s="891">
        <v>108.37</v>
      </c>
      <c r="AL112" s="891">
        <v>118.53</v>
      </c>
      <c r="AM112" s="891">
        <v>4605.8</v>
      </c>
      <c r="AN112" s="891">
        <v>3725.28</v>
      </c>
      <c r="AO112" s="891">
        <v>3102.14</v>
      </c>
      <c r="AP112" s="891">
        <v>5</v>
      </c>
      <c r="AQ112" s="891">
        <v>10.5</v>
      </c>
      <c r="AR112" s="891">
        <v>2.71</v>
      </c>
      <c r="AS112" s="891">
        <v>26.82</v>
      </c>
      <c r="AT112" s="891">
        <v>2.0299999999999998</v>
      </c>
      <c r="AU112" s="891">
        <v>2.37</v>
      </c>
      <c r="AV112" s="891">
        <v>1.1499999999999999</v>
      </c>
      <c r="AW112" s="891">
        <v>1.32</v>
      </c>
      <c r="AX112" s="891">
        <v>3.39</v>
      </c>
      <c r="AY112" s="891">
        <v>2.64</v>
      </c>
      <c r="AZ112" s="891">
        <v>2.71</v>
      </c>
      <c r="BA112" s="891">
        <f t="shared" si="3"/>
        <v>299.48</v>
      </c>
      <c r="BB112" s="926">
        <f t="shared" si="4"/>
        <v>33997.360000000001</v>
      </c>
      <c r="BC112" s="926">
        <f t="shared" si="5"/>
        <v>128.75999999999709</v>
      </c>
      <c r="BD112" s="891"/>
      <c r="BE112" s="891"/>
      <c r="BF112" s="891"/>
      <c r="BG112" s="928"/>
      <c r="BH112" s="928"/>
      <c r="BI112" s="928"/>
    </row>
    <row r="113" spans="1:61">
      <c r="A113" s="891" t="s">
        <v>889</v>
      </c>
      <c r="B113" s="891" t="s">
        <v>626</v>
      </c>
      <c r="C113" s="891" t="s">
        <v>359</v>
      </c>
      <c r="D113" s="891">
        <v>5</v>
      </c>
      <c r="E113" s="891">
        <v>15.67</v>
      </c>
      <c r="F113" s="891">
        <v>4</v>
      </c>
      <c r="G113" s="891">
        <v>5.75</v>
      </c>
      <c r="H113" s="891">
        <v>9</v>
      </c>
      <c r="I113" s="891">
        <v>0.47</v>
      </c>
      <c r="J113" s="891">
        <v>0.25</v>
      </c>
      <c r="K113" s="891">
        <v>0.83</v>
      </c>
      <c r="L113" s="891">
        <v>0.5</v>
      </c>
      <c r="M113" s="891">
        <v>2.2000000000000002</v>
      </c>
      <c r="N113" s="891">
        <v>3.27</v>
      </c>
      <c r="O113" s="891">
        <v>0.32</v>
      </c>
      <c r="P113" s="891">
        <v>25</v>
      </c>
      <c r="Q113" s="891">
        <v>4.32</v>
      </c>
      <c r="R113" s="891">
        <v>4.25</v>
      </c>
      <c r="S113" s="891">
        <v>2.75</v>
      </c>
      <c r="T113" s="891">
        <v>0.15</v>
      </c>
      <c r="U113" s="891">
        <v>3.5</v>
      </c>
      <c r="V113" s="891">
        <v>33.5</v>
      </c>
      <c r="W113" s="891">
        <v>0.5</v>
      </c>
      <c r="X113" s="927">
        <v>25000</v>
      </c>
      <c r="Y113" s="891">
        <v>350</v>
      </c>
      <c r="Z113" s="891">
        <v>200</v>
      </c>
      <c r="AA113" s="891">
        <v>850</v>
      </c>
      <c r="AB113" s="891">
        <v>500.6</v>
      </c>
      <c r="AC113" s="891">
        <v>35</v>
      </c>
      <c r="AD113" s="891">
        <v>0.03</v>
      </c>
      <c r="AE113" s="891">
        <v>35</v>
      </c>
      <c r="AF113" s="891">
        <v>32.56</v>
      </c>
      <c r="AG113" s="891">
        <v>6</v>
      </c>
      <c r="AH113" s="891">
        <v>2.4700000000000002</v>
      </c>
      <c r="AI113" s="891">
        <v>48.58</v>
      </c>
      <c r="AJ113" s="891">
        <v>50</v>
      </c>
      <c r="AK113" s="891">
        <v>100</v>
      </c>
      <c r="AL113" s="891">
        <v>45.35</v>
      </c>
      <c r="AM113" s="891">
        <v>2200</v>
      </c>
      <c r="AN113" s="891">
        <v>1000</v>
      </c>
      <c r="AO113" s="891">
        <v>408.33</v>
      </c>
      <c r="AP113" s="891">
        <v>22.5</v>
      </c>
      <c r="AQ113" s="891">
        <v>0.64</v>
      </c>
      <c r="AR113" s="891">
        <v>0.4</v>
      </c>
      <c r="AS113" s="891">
        <v>4.88</v>
      </c>
      <c r="AT113" s="891">
        <v>1.65</v>
      </c>
      <c r="AU113" s="891">
        <v>1.55</v>
      </c>
      <c r="AV113" s="891">
        <v>0.8</v>
      </c>
      <c r="AW113" s="891">
        <v>0.7</v>
      </c>
      <c r="AX113" s="891">
        <v>2.2200000000000002</v>
      </c>
      <c r="AY113" s="891">
        <v>3.26</v>
      </c>
      <c r="AZ113" s="891">
        <v>1.22</v>
      </c>
      <c r="BA113" s="891">
        <f t="shared" si="3"/>
        <v>70.03</v>
      </c>
      <c r="BB113" s="926">
        <f t="shared" si="4"/>
        <v>25040.070000000003</v>
      </c>
      <c r="BC113" s="926">
        <f t="shared" si="5"/>
        <v>39.570000000003347</v>
      </c>
      <c r="BD113" s="891"/>
      <c r="BE113" s="891"/>
      <c r="BF113" s="891"/>
      <c r="BG113" s="928"/>
      <c r="BH113" s="928"/>
      <c r="BI113" s="928"/>
    </row>
    <row r="114" spans="1:61">
      <c r="A114" s="891" t="s">
        <v>890</v>
      </c>
      <c r="B114" s="891" t="s">
        <v>563</v>
      </c>
      <c r="C114" s="891" t="s">
        <v>42</v>
      </c>
      <c r="D114" s="891">
        <v>20.32</v>
      </c>
      <c r="E114" s="891">
        <v>81.28</v>
      </c>
      <c r="F114" s="891">
        <v>9.48</v>
      </c>
      <c r="G114" s="891">
        <v>5.08</v>
      </c>
      <c r="H114" s="891">
        <v>5.36</v>
      </c>
      <c r="I114" s="891">
        <v>2.71</v>
      </c>
      <c r="J114" s="891">
        <v>1.35</v>
      </c>
      <c r="K114" s="891">
        <v>1.83</v>
      </c>
      <c r="L114" s="891">
        <v>1.35</v>
      </c>
      <c r="M114" s="891">
        <v>4.0599999999999996</v>
      </c>
      <c r="N114" s="891">
        <v>21</v>
      </c>
      <c r="O114" s="891">
        <v>0.68</v>
      </c>
      <c r="P114" s="891">
        <v>6.77</v>
      </c>
      <c r="Q114" s="891">
        <v>1.35</v>
      </c>
      <c r="R114" s="891">
        <v>2.0299999999999998</v>
      </c>
      <c r="S114" s="891">
        <v>6.77</v>
      </c>
      <c r="T114" s="891">
        <v>1.63</v>
      </c>
      <c r="U114" s="891">
        <v>12.19</v>
      </c>
      <c r="V114" s="891">
        <v>47.41</v>
      </c>
      <c r="W114" s="891">
        <v>2.44</v>
      </c>
      <c r="X114" s="927">
        <v>27092.93</v>
      </c>
      <c r="Y114" s="891">
        <v>958.3</v>
      </c>
      <c r="Z114" s="891">
        <v>948.25</v>
      </c>
      <c r="AA114" s="891">
        <v>1625.58</v>
      </c>
      <c r="AB114" s="891">
        <v>1354.65</v>
      </c>
      <c r="AC114" s="891">
        <v>243.84</v>
      </c>
      <c r="AD114" s="891">
        <v>0.27</v>
      </c>
      <c r="AE114" s="891">
        <v>40.64</v>
      </c>
      <c r="AF114" s="891">
        <v>115.14</v>
      </c>
      <c r="AG114" s="891">
        <v>20.32</v>
      </c>
      <c r="AH114" s="891">
        <v>10.84</v>
      </c>
      <c r="AI114" s="891">
        <v>121.92</v>
      </c>
      <c r="AJ114" s="891">
        <v>40.64</v>
      </c>
      <c r="AK114" s="891">
        <v>128.69</v>
      </c>
      <c r="AL114" s="891">
        <v>135.46</v>
      </c>
      <c r="AM114" s="891">
        <v>8127.88</v>
      </c>
      <c r="AN114" s="891">
        <v>5418.59</v>
      </c>
      <c r="AO114" s="891">
        <v>2031.97</v>
      </c>
      <c r="AP114" s="891">
        <v>5.5</v>
      </c>
      <c r="AQ114" s="891">
        <v>5.62</v>
      </c>
      <c r="AR114" s="891">
        <v>1.21</v>
      </c>
      <c r="AS114" s="891">
        <v>32.51</v>
      </c>
      <c r="AT114" s="891">
        <v>2.71</v>
      </c>
      <c r="AU114" s="891">
        <v>2.71</v>
      </c>
      <c r="AV114" s="891">
        <v>2.37</v>
      </c>
      <c r="AW114" s="891">
        <v>1.35</v>
      </c>
      <c r="AX114" s="891">
        <v>1.63</v>
      </c>
      <c r="AY114" s="891">
        <v>3.05</v>
      </c>
      <c r="AZ114" s="891">
        <v>3.73</v>
      </c>
      <c r="BA114" s="891">
        <f t="shared" si="3"/>
        <v>284.75</v>
      </c>
      <c r="BB114" s="926">
        <f t="shared" si="4"/>
        <v>27183.749999999996</v>
      </c>
      <c r="BC114" s="926">
        <f t="shared" si="5"/>
        <v>88.379999999996073</v>
      </c>
      <c r="BD114" s="891"/>
      <c r="BE114" s="891"/>
      <c r="BF114" s="891"/>
      <c r="BG114" s="928"/>
      <c r="BH114" s="928"/>
      <c r="BI114" s="928"/>
    </row>
    <row r="115" spans="1:61">
      <c r="A115" s="891" t="s">
        <v>891</v>
      </c>
      <c r="B115" s="891" t="s">
        <v>611</v>
      </c>
      <c r="C115" s="891" t="s">
        <v>269</v>
      </c>
      <c r="D115" s="891">
        <v>5.5</v>
      </c>
      <c r="E115" s="891">
        <v>27.51</v>
      </c>
      <c r="F115" s="891">
        <v>7.34</v>
      </c>
      <c r="G115" s="891">
        <v>2</v>
      </c>
      <c r="H115" s="891">
        <v>3.44</v>
      </c>
      <c r="I115" s="891">
        <v>1.2</v>
      </c>
      <c r="J115" s="891">
        <v>0.75</v>
      </c>
      <c r="K115" s="891">
        <v>0.92</v>
      </c>
      <c r="L115" s="891">
        <v>2.29</v>
      </c>
      <c r="M115" s="891">
        <v>1.83</v>
      </c>
      <c r="N115" s="891">
        <v>8.48</v>
      </c>
      <c r="O115" s="891">
        <v>0.92</v>
      </c>
      <c r="P115" s="891">
        <v>6.88</v>
      </c>
      <c r="Q115" s="891">
        <v>0.85</v>
      </c>
      <c r="R115" s="891">
        <v>2.87</v>
      </c>
      <c r="S115" s="891">
        <v>2.52</v>
      </c>
      <c r="T115" s="891">
        <v>1.34</v>
      </c>
      <c r="U115" s="891">
        <v>4.3600000000000003</v>
      </c>
      <c r="V115" s="891">
        <v>61.9</v>
      </c>
      <c r="W115" s="891">
        <v>1.28</v>
      </c>
      <c r="X115" s="927">
        <v>24131.13</v>
      </c>
      <c r="Y115" s="891">
        <v>389.73</v>
      </c>
      <c r="Z115" s="891">
        <v>298.02999999999997</v>
      </c>
      <c r="AA115" s="891">
        <v>825.31</v>
      </c>
      <c r="AB115" s="891">
        <v>596.05999999999995</v>
      </c>
      <c r="AC115" s="891">
        <v>58.46</v>
      </c>
      <c r="AD115" s="891">
        <v>0.46</v>
      </c>
      <c r="AE115" s="891">
        <v>36.68</v>
      </c>
      <c r="AF115" s="891">
        <v>43.56</v>
      </c>
      <c r="AG115" s="891">
        <v>13.76</v>
      </c>
      <c r="AH115" s="891">
        <v>8.7100000000000009</v>
      </c>
      <c r="AI115" s="891">
        <v>91.7</v>
      </c>
      <c r="AJ115" s="891">
        <v>45.85</v>
      </c>
      <c r="AK115" s="891">
        <v>125.86</v>
      </c>
      <c r="AL115" s="891">
        <v>84.82</v>
      </c>
      <c r="AM115" s="891">
        <v>3117.84</v>
      </c>
      <c r="AN115" s="891">
        <v>2494.27</v>
      </c>
      <c r="AO115" s="891">
        <v>825.31</v>
      </c>
      <c r="AP115" s="891">
        <v>8</v>
      </c>
      <c r="AQ115" s="891">
        <v>2.1800000000000002</v>
      </c>
      <c r="AR115" s="891">
        <v>0.92</v>
      </c>
      <c r="AS115" s="891">
        <v>9.33</v>
      </c>
      <c r="AT115" s="891">
        <v>2.29</v>
      </c>
      <c r="AU115" s="891">
        <v>1.6</v>
      </c>
      <c r="AV115" s="891">
        <v>1.83</v>
      </c>
      <c r="AW115" s="891">
        <v>1.6</v>
      </c>
      <c r="AX115" s="891">
        <v>2.25</v>
      </c>
      <c r="AY115" s="891">
        <v>1.03</v>
      </c>
      <c r="AZ115" s="891">
        <v>1.26</v>
      </c>
      <c r="BA115" s="891">
        <f t="shared" si="3"/>
        <v>95.6</v>
      </c>
      <c r="BB115" s="926">
        <f t="shared" si="4"/>
        <v>24208.080000000002</v>
      </c>
      <c r="BC115" s="926">
        <f t="shared" si="5"/>
        <v>75.670000000000726</v>
      </c>
      <c r="BD115" s="891"/>
      <c r="BE115" s="891"/>
      <c r="BF115" s="891"/>
      <c r="BG115" s="928"/>
      <c r="BH115" s="928"/>
      <c r="BI115" s="928"/>
    </row>
    <row r="116" spans="1:61">
      <c r="A116" s="891" t="s">
        <v>1601</v>
      </c>
      <c r="B116" s="891" t="s">
        <v>559</v>
      </c>
      <c r="C116" s="891" t="s">
        <v>27</v>
      </c>
      <c r="D116" s="891">
        <v>14.96</v>
      </c>
      <c r="E116" s="891">
        <v>72.430000000000007</v>
      </c>
      <c r="F116" s="891">
        <v>8.9700000000000006</v>
      </c>
      <c r="G116" s="891">
        <v>5.07</v>
      </c>
      <c r="H116" s="891">
        <v>5.79</v>
      </c>
      <c r="I116" s="891">
        <v>1.69</v>
      </c>
      <c r="J116" s="891">
        <v>1.93</v>
      </c>
      <c r="K116" s="891">
        <v>2.46</v>
      </c>
      <c r="L116" s="891">
        <v>3.62</v>
      </c>
      <c r="M116" s="891">
        <v>3.38</v>
      </c>
      <c r="N116" s="891">
        <v>12.78</v>
      </c>
      <c r="O116" s="891">
        <v>3.38</v>
      </c>
      <c r="P116" s="891">
        <v>19.32</v>
      </c>
      <c r="Q116" s="891">
        <v>2.0499999999999998</v>
      </c>
      <c r="R116" s="891">
        <v>5.79</v>
      </c>
      <c r="S116" s="891">
        <v>12.56</v>
      </c>
      <c r="T116" s="891">
        <v>1.21</v>
      </c>
      <c r="U116" s="891">
        <v>14.49</v>
      </c>
      <c r="V116" s="891">
        <v>70.02</v>
      </c>
      <c r="W116" s="891">
        <v>1.19</v>
      </c>
      <c r="X116" s="927">
        <v>22696.54</v>
      </c>
      <c r="Y116" s="891">
        <v>1786.75</v>
      </c>
      <c r="Z116" s="891">
        <v>2124.7800000000002</v>
      </c>
      <c r="AA116" s="891">
        <v>2704.27</v>
      </c>
      <c r="AB116" s="891">
        <v>3187.17</v>
      </c>
      <c r="AC116" s="891">
        <v>213</v>
      </c>
      <c r="AD116" s="891">
        <v>0.28999999999999998</v>
      </c>
      <c r="AE116" s="891">
        <v>43.46</v>
      </c>
      <c r="AF116" s="891">
        <v>50.71</v>
      </c>
      <c r="AG116" s="891">
        <v>35</v>
      </c>
      <c r="AH116" s="891">
        <v>14.49</v>
      </c>
      <c r="AI116" s="891">
        <v>57.95</v>
      </c>
      <c r="AJ116" s="891">
        <v>77.260000000000005</v>
      </c>
      <c r="AK116" s="891">
        <v>117.83</v>
      </c>
      <c r="AL116" s="891">
        <v>96.58</v>
      </c>
      <c r="AM116" s="891">
        <v>2827.68</v>
      </c>
      <c r="AN116" s="891">
        <v>4346.1499999999996</v>
      </c>
      <c r="AO116" s="891">
        <v>5311.96</v>
      </c>
      <c r="AP116" s="891">
        <v>3</v>
      </c>
      <c r="AQ116" s="891">
        <v>3.67</v>
      </c>
      <c r="AR116" s="891">
        <v>1.62</v>
      </c>
      <c r="AS116" s="891">
        <v>43.46</v>
      </c>
      <c r="AT116" s="891">
        <v>3.85</v>
      </c>
      <c r="AU116" s="891">
        <v>3.18</v>
      </c>
      <c r="AV116" s="891">
        <v>2.13</v>
      </c>
      <c r="AW116" s="891">
        <v>2.41</v>
      </c>
      <c r="AX116" s="891">
        <v>4.24</v>
      </c>
      <c r="AY116" s="891">
        <v>4.83</v>
      </c>
      <c r="AZ116" s="891">
        <v>3.72</v>
      </c>
      <c r="BA116" s="891">
        <f t="shared" si="3"/>
        <v>256.75</v>
      </c>
      <c r="BB116" s="926">
        <f t="shared" si="4"/>
        <v>22817.709999999995</v>
      </c>
      <c r="BC116" s="926">
        <f t="shared" si="5"/>
        <v>119.97999999999462</v>
      </c>
      <c r="BD116" s="891"/>
      <c r="BE116" s="891"/>
      <c r="BF116" s="891"/>
      <c r="BG116" s="928"/>
      <c r="BH116" s="928"/>
      <c r="BI116" s="928"/>
    </row>
    <row r="117" spans="1:61">
      <c r="A117" s="891" t="s">
        <v>893</v>
      </c>
      <c r="B117" s="891" t="s">
        <v>566</v>
      </c>
      <c r="C117" s="891" t="s">
        <v>77</v>
      </c>
      <c r="D117" s="891">
        <v>13.55</v>
      </c>
      <c r="E117" s="891">
        <v>67.73</v>
      </c>
      <c r="F117" s="891">
        <v>8.81</v>
      </c>
      <c r="G117" s="891">
        <v>4.4000000000000004</v>
      </c>
      <c r="H117" s="891">
        <v>4.0599999999999996</v>
      </c>
      <c r="I117" s="891">
        <v>2.71</v>
      </c>
      <c r="J117" s="891">
        <v>2.0499999999999998</v>
      </c>
      <c r="K117" s="891">
        <v>1.08</v>
      </c>
      <c r="L117" s="891">
        <v>2.0299999999999998</v>
      </c>
      <c r="M117" s="891">
        <v>2.93</v>
      </c>
      <c r="N117" s="891">
        <v>12.19</v>
      </c>
      <c r="O117" s="891">
        <v>0.68</v>
      </c>
      <c r="P117" s="891">
        <v>8.1300000000000008</v>
      </c>
      <c r="Q117" s="891">
        <v>1.08</v>
      </c>
      <c r="R117" s="891">
        <v>1.35</v>
      </c>
      <c r="S117" s="891">
        <v>6.77</v>
      </c>
      <c r="T117" s="891">
        <v>3.52</v>
      </c>
      <c r="U117" s="891">
        <v>10.84</v>
      </c>
      <c r="V117" s="891">
        <v>109.73</v>
      </c>
      <c r="W117" s="891">
        <v>2.17</v>
      </c>
      <c r="X117" s="927">
        <v>24383.64</v>
      </c>
      <c r="Y117" s="891">
        <v>948.25</v>
      </c>
      <c r="Z117" s="891">
        <v>575.72</v>
      </c>
      <c r="AA117" s="891">
        <v>1761.04</v>
      </c>
      <c r="AB117" s="891">
        <v>1286.9100000000001</v>
      </c>
      <c r="AC117" s="891">
        <v>326.24</v>
      </c>
      <c r="AD117" s="891">
        <v>0.12</v>
      </c>
      <c r="AE117" s="891">
        <v>33.869999999999997</v>
      </c>
      <c r="AF117" s="891">
        <v>67.73</v>
      </c>
      <c r="AG117" s="891">
        <v>24.38</v>
      </c>
      <c r="AH117" s="891">
        <v>12.87</v>
      </c>
      <c r="AI117" s="891">
        <v>121.24</v>
      </c>
      <c r="AJ117" s="891">
        <v>54.19</v>
      </c>
      <c r="AK117" s="891">
        <v>128.01</v>
      </c>
      <c r="AL117" s="891">
        <v>135.46</v>
      </c>
      <c r="AM117" s="891">
        <v>5147.66</v>
      </c>
      <c r="AN117" s="891">
        <v>2912.49</v>
      </c>
      <c r="AO117" s="891">
        <v>4063.94</v>
      </c>
      <c r="AP117" s="891">
        <v>3</v>
      </c>
      <c r="AQ117" s="891">
        <v>3.73</v>
      </c>
      <c r="AR117" s="891">
        <v>2.34</v>
      </c>
      <c r="AS117" s="891">
        <v>28.45</v>
      </c>
      <c r="AT117" s="891">
        <v>2.98</v>
      </c>
      <c r="AU117" s="891">
        <v>3.39</v>
      </c>
      <c r="AV117" s="891">
        <v>1.22</v>
      </c>
      <c r="AW117" s="891">
        <v>1.35</v>
      </c>
      <c r="AX117" s="891">
        <v>3.52</v>
      </c>
      <c r="AY117" s="891">
        <v>2.71</v>
      </c>
      <c r="AZ117" s="891">
        <v>3.65</v>
      </c>
      <c r="BA117" s="891">
        <f t="shared" si="3"/>
        <v>360.23</v>
      </c>
      <c r="BB117" s="926">
        <f t="shared" si="4"/>
        <v>24533.579999999998</v>
      </c>
      <c r="BC117" s="926">
        <f t="shared" si="5"/>
        <v>147.7699999999987</v>
      </c>
      <c r="BD117" s="891"/>
      <c r="BE117" s="891"/>
      <c r="BF117" s="891"/>
      <c r="BG117" s="928"/>
      <c r="BH117" s="928"/>
      <c r="BI117" s="928"/>
    </row>
    <row r="118" spans="1:61">
      <c r="A118" s="891" t="s">
        <v>894</v>
      </c>
      <c r="B118" s="891" t="s">
        <v>753</v>
      </c>
      <c r="C118" s="891" t="s">
        <v>335</v>
      </c>
      <c r="D118" s="891">
        <v>4.43</v>
      </c>
      <c r="E118" s="891">
        <v>25.27</v>
      </c>
      <c r="F118" s="891">
        <v>5.91</v>
      </c>
      <c r="G118" s="891">
        <v>1.06</v>
      </c>
      <c r="H118" s="891">
        <v>1.42</v>
      </c>
      <c r="I118" s="891">
        <v>0.71</v>
      </c>
      <c r="J118" s="891">
        <v>0.51</v>
      </c>
      <c r="K118" s="891">
        <v>1.3</v>
      </c>
      <c r="L118" s="891">
        <v>0.89</v>
      </c>
      <c r="M118" s="891">
        <v>2.13</v>
      </c>
      <c r="N118" s="891">
        <v>4.79</v>
      </c>
      <c r="O118" s="891">
        <v>1.2</v>
      </c>
      <c r="P118" s="891">
        <v>5.32</v>
      </c>
      <c r="Q118" s="891">
        <v>1.52</v>
      </c>
      <c r="R118" s="891">
        <v>1.06</v>
      </c>
      <c r="S118" s="891">
        <v>2.63</v>
      </c>
      <c r="T118" s="891">
        <v>0.4</v>
      </c>
      <c r="U118" s="891">
        <v>5.1100000000000003</v>
      </c>
      <c r="V118" s="891">
        <v>37.4</v>
      </c>
      <c r="W118" s="891">
        <v>1.1599999999999999</v>
      </c>
      <c r="X118" s="927">
        <v>23386.29</v>
      </c>
      <c r="Y118" s="891">
        <v>501.98</v>
      </c>
      <c r="Z118" s="891">
        <v>236.23</v>
      </c>
      <c r="AA118" s="891">
        <v>708.68</v>
      </c>
      <c r="AB118" s="891">
        <v>472.45</v>
      </c>
      <c r="AC118" s="891">
        <v>35.380000000000003</v>
      </c>
      <c r="AD118" s="891">
        <v>0.22</v>
      </c>
      <c r="AE118" s="891">
        <v>70.760000000000005</v>
      </c>
      <c r="AF118" s="891">
        <v>35.380000000000003</v>
      </c>
      <c r="AG118" s="891">
        <v>2.5299999999999998</v>
      </c>
      <c r="AH118" s="891">
        <v>4.38</v>
      </c>
      <c r="AI118" s="891">
        <v>59.06</v>
      </c>
      <c r="AJ118" s="891">
        <v>44.27</v>
      </c>
      <c r="AK118" s="891">
        <v>70.81</v>
      </c>
      <c r="AL118" s="891">
        <v>48.89</v>
      </c>
      <c r="AM118" s="891">
        <v>1213.04</v>
      </c>
      <c r="AN118" s="891">
        <v>1010.87</v>
      </c>
      <c r="AO118" s="891">
        <v>758.15</v>
      </c>
      <c r="AP118" s="891">
        <v>11.5</v>
      </c>
      <c r="AQ118" s="891">
        <v>3.03</v>
      </c>
      <c r="AR118" s="891">
        <v>2.02</v>
      </c>
      <c r="AS118" s="891">
        <v>10.11</v>
      </c>
      <c r="AT118" s="891">
        <v>1.8</v>
      </c>
      <c r="AU118" s="891">
        <v>1.62</v>
      </c>
      <c r="AV118" s="891">
        <v>2.02</v>
      </c>
      <c r="AW118" s="891">
        <v>1.01</v>
      </c>
      <c r="AX118" s="891">
        <v>1.82</v>
      </c>
      <c r="AY118" s="891">
        <v>1.3</v>
      </c>
      <c r="AZ118" s="891">
        <v>1.78</v>
      </c>
      <c r="BA118" s="891">
        <f t="shared" si="3"/>
        <v>106.36000000000001</v>
      </c>
      <c r="BB118" s="926">
        <f t="shared" si="4"/>
        <v>23440.41</v>
      </c>
      <c r="BC118" s="926">
        <f t="shared" si="5"/>
        <v>52.959999999998985</v>
      </c>
      <c r="BD118" s="891"/>
      <c r="BE118" s="891"/>
      <c r="BF118" s="891"/>
      <c r="BG118" s="928"/>
      <c r="BH118" s="928"/>
      <c r="BI118" s="928"/>
    </row>
    <row r="119" spans="1:61">
      <c r="A119" s="891" t="s">
        <v>895</v>
      </c>
      <c r="B119" s="891" t="s">
        <v>571</v>
      </c>
      <c r="C119" s="891" t="s">
        <v>64</v>
      </c>
      <c r="D119" s="891">
        <v>16.260000000000002</v>
      </c>
      <c r="E119" s="891">
        <v>67.73</v>
      </c>
      <c r="F119" s="891">
        <v>9.48</v>
      </c>
      <c r="G119" s="891">
        <v>5.42</v>
      </c>
      <c r="H119" s="891">
        <v>5.62</v>
      </c>
      <c r="I119" s="891">
        <v>1.83</v>
      </c>
      <c r="J119" s="891">
        <v>1.35</v>
      </c>
      <c r="K119" s="891">
        <v>1.48</v>
      </c>
      <c r="L119" s="891">
        <v>2.44</v>
      </c>
      <c r="M119" s="891">
        <v>3.49</v>
      </c>
      <c r="N119" s="891">
        <v>10.84</v>
      </c>
      <c r="O119" s="891">
        <v>2.57</v>
      </c>
      <c r="P119" s="891">
        <v>11.85</v>
      </c>
      <c r="Q119" s="891">
        <v>3.45</v>
      </c>
      <c r="R119" s="891">
        <v>3.73</v>
      </c>
      <c r="S119" s="891">
        <v>12.19</v>
      </c>
      <c r="T119" s="891">
        <v>2.44</v>
      </c>
      <c r="U119" s="891">
        <v>12.86</v>
      </c>
      <c r="V119" s="891">
        <v>74.17</v>
      </c>
      <c r="W119" s="891">
        <v>2.2000000000000002</v>
      </c>
      <c r="X119" s="927">
        <v>28102.14</v>
      </c>
      <c r="Y119" s="891">
        <v>948.25</v>
      </c>
      <c r="Z119" s="891">
        <v>745.06</v>
      </c>
      <c r="AA119" s="891">
        <v>1354.65</v>
      </c>
      <c r="AB119" s="891">
        <v>1083.72</v>
      </c>
      <c r="AC119" s="891">
        <v>155.78</v>
      </c>
      <c r="AD119" s="891">
        <v>0.28999999999999998</v>
      </c>
      <c r="AE119" s="891">
        <v>40.64</v>
      </c>
      <c r="AF119" s="891">
        <v>62.09</v>
      </c>
      <c r="AG119" s="891">
        <v>24.38</v>
      </c>
      <c r="AH119" s="891">
        <v>12.19</v>
      </c>
      <c r="AI119" s="891">
        <v>101.6</v>
      </c>
      <c r="AJ119" s="891">
        <v>33.869999999999997</v>
      </c>
      <c r="AK119" s="891">
        <v>94.83</v>
      </c>
      <c r="AL119" s="891">
        <v>94.69</v>
      </c>
      <c r="AM119" s="891">
        <v>2912.49</v>
      </c>
      <c r="AN119" s="891">
        <v>1815.23</v>
      </c>
      <c r="AO119" s="891">
        <v>3522.08</v>
      </c>
      <c r="AP119" s="891">
        <v>4.12</v>
      </c>
      <c r="AQ119" s="891">
        <v>5.55</v>
      </c>
      <c r="AR119" s="891">
        <v>1.4</v>
      </c>
      <c r="AS119" s="891">
        <v>30.89</v>
      </c>
      <c r="AT119" s="891">
        <v>2.7</v>
      </c>
      <c r="AU119" s="891">
        <v>2.83</v>
      </c>
      <c r="AV119" s="891">
        <v>2.0299999999999998</v>
      </c>
      <c r="AW119" s="891">
        <v>1.21</v>
      </c>
      <c r="AX119" s="891">
        <v>3.39</v>
      </c>
      <c r="AY119" s="891">
        <v>2.4</v>
      </c>
      <c r="AZ119" s="891">
        <v>3.21</v>
      </c>
      <c r="BA119" s="891">
        <f t="shared" si="3"/>
        <v>196.70999999999998</v>
      </c>
      <c r="BB119" s="926">
        <f t="shared" si="4"/>
        <v>28218.79</v>
      </c>
      <c r="BC119" s="926">
        <f t="shared" si="5"/>
        <v>114.45000000000145</v>
      </c>
      <c r="BD119" s="891"/>
      <c r="BE119" s="891"/>
      <c r="BF119" s="891"/>
      <c r="BG119" s="928"/>
      <c r="BH119" s="928"/>
      <c r="BI119" s="928"/>
    </row>
    <row r="120" spans="1:61">
      <c r="A120" s="891" t="s">
        <v>896</v>
      </c>
      <c r="B120" s="891" t="s">
        <v>629</v>
      </c>
      <c r="C120" s="891" t="s">
        <v>304</v>
      </c>
      <c r="D120" s="891">
        <v>6.14</v>
      </c>
      <c r="E120" s="891">
        <v>25.86</v>
      </c>
      <c r="F120" s="891">
        <v>5.17</v>
      </c>
      <c r="G120" s="891">
        <v>2.2599999999999998</v>
      </c>
      <c r="H120" s="891">
        <v>2.59</v>
      </c>
      <c r="I120" s="891">
        <v>1.62</v>
      </c>
      <c r="J120" s="891">
        <v>0.97</v>
      </c>
      <c r="K120" s="891">
        <v>0.78</v>
      </c>
      <c r="L120" s="891">
        <v>0.78</v>
      </c>
      <c r="M120" s="891">
        <v>1.94</v>
      </c>
      <c r="N120" s="891">
        <v>6.79</v>
      </c>
      <c r="O120" s="891">
        <v>0.62</v>
      </c>
      <c r="P120" s="891">
        <v>6.46</v>
      </c>
      <c r="Q120" s="891">
        <v>0.86</v>
      </c>
      <c r="R120" s="891">
        <v>1.29</v>
      </c>
      <c r="S120" s="891">
        <v>3.88</v>
      </c>
      <c r="T120" s="891">
        <v>0.97</v>
      </c>
      <c r="U120" s="891">
        <v>5.01</v>
      </c>
      <c r="V120" s="891">
        <v>31.03</v>
      </c>
      <c r="W120" s="891">
        <v>1.83</v>
      </c>
      <c r="X120" s="927">
        <v>20202.349999999999</v>
      </c>
      <c r="Y120" s="891">
        <v>484.86</v>
      </c>
      <c r="Z120" s="891">
        <v>387.89</v>
      </c>
      <c r="AA120" s="891">
        <v>646.48</v>
      </c>
      <c r="AB120" s="891">
        <v>581.83000000000004</v>
      </c>
      <c r="AC120" s="891">
        <v>196.25</v>
      </c>
      <c r="AD120" s="891">
        <v>0.09</v>
      </c>
      <c r="AE120" s="891">
        <v>16.16</v>
      </c>
      <c r="AF120" s="891">
        <v>46.87</v>
      </c>
      <c r="AG120" s="891">
        <v>9.6999999999999993</v>
      </c>
      <c r="AH120" s="891">
        <v>6.3</v>
      </c>
      <c r="AI120" s="891">
        <v>78.06</v>
      </c>
      <c r="AJ120" s="891">
        <v>45</v>
      </c>
      <c r="AK120" s="891">
        <v>80.81</v>
      </c>
      <c r="AL120" s="891">
        <v>74.34</v>
      </c>
      <c r="AM120" s="891">
        <v>2101.04</v>
      </c>
      <c r="AN120" s="891">
        <v>1454.57</v>
      </c>
      <c r="AO120" s="891">
        <v>840.42</v>
      </c>
      <c r="AP120" s="891">
        <v>4.8</v>
      </c>
      <c r="AQ120" s="891">
        <v>2.2599999999999998</v>
      </c>
      <c r="AR120" s="891">
        <v>0.97</v>
      </c>
      <c r="AS120" s="891">
        <v>10.67</v>
      </c>
      <c r="AT120" s="891">
        <v>0.97</v>
      </c>
      <c r="AU120" s="891">
        <v>1.4</v>
      </c>
      <c r="AV120" s="891">
        <v>0.39</v>
      </c>
      <c r="AW120" s="891">
        <v>0.7</v>
      </c>
      <c r="AX120" s="891">
        <v>2.2599999999999998</v>
      </c>
      <c r="AY120" s="891">
        <v>1.05</v>
      </c>
      <c r="AZ120" s="891">
        <v>1.62</v>
      </c>
      <c r="BA120" s="891">
        <f t="shared" si="3"/>
        <v>212.5</v>
      </c>
      <c r="BB120" s="926">
        <f t="shared" si="4"/>
        <v>20250.079999999998</v>
      </c>
      <c r="BC120" s="926">
        <f t="shared" si="5"/>
        <v>45.899999999999565</v>
      </c>
      <c r="BD120" s="891"/>
      <c r="BE120" s="891"/>
      <c r="BF120" s="891"/>
      <c r="BG120" s="928"/>
      <c r="BH120" s="928"/>
      <c r="BI120" s="928"/>
    </row>
    <row r="121" spans="1:61">
      <c r="A121" s="891" t="s">
        <v>897</v>
      </c>
      <c r="B121" s="891" t="s">
        <v>578</v>
      </c>
      <c r="C121" s="891" t="s">
        <v>5</v>
      </c>
      <c r="D121" s="891">
        <v>27.41</v>
      </c>
      <c r="E121" s="891">
        <v>109.63</v>
      </c>
      <c r="F121" s="891">
        <v>14.25</v>
      </c>
      <c r="G121" s="891">
        <v>6.58</v>
      </c>
      <c r="H121" s="891">
        <v>6.38</v>
      </c>
      <c r="I121" s="891">
        <v>4.3899999999999997</v>
      </c>
      <c r="J121" s="891">
        <v>3.29</v>
      </c>
      <c r="K121" s="891">
        <v>1.7</v>
      </c>
      <c r="L121" s="891">
        <v>2.74</v>
      </c>
      <c r="M121" s="891">
        <v>4.93</v>
      </c>
      <c r="N121" s="891">
        <v>21.93</v>
      </c>
      <c r="O121" s="891">
        <v>1.78</v>
      </c>
      <c r="P121" s="891">
        <v>16.440000000000001</v>
      </c>
      <c r="Q121" s="891">
        <v>2.19</v>
      </c>
      <c r="R121" s="891">
        <v>2.69</v>
      </c>
      <c r="S121" s="891">
        <v>8.77</v>
      </c>
      <c r="T121" s="891">
        <v>3.84</v>
      </c>
      <c r="U121" s="891">
        <v>31.79</v>
      </c>
      <c r="V121" s="891">
        <v>76.739999999999995</v>
      </c>
      <c r="W121" s="891">
        <v>2.0299999999999998</v>
      </c>
      <c r="X121" s="927">
        <v>32887.519999999997</v>
      </c>
      <c r="Y121" s="891">
        <v>2041.77</v>
      </c>
      <c r="Z121" s="891">
        <v>1754</v>
      </c>
      <c r="AA121" s="891">
        <v>4165.75</v>
      </c>
      <c r="AB121" s="891">
        <v>3727.25</v>
      </c>
      <c r="AC121" s="891">
        <v>213.77</v>
      </c>
      <c r="AD121" s="891">
        <v>0.33</v>
      </c>
      <c r="AE121" s="891">
        <v>54.81</v>
      </c>
      <c r="AF121" s="891">
        <v>109.63</v>
      </c>
      <c r="AG121" s="891">
        <v>16.440000000000001</v>
      </c>
      <c r="AH121" s="891">
        <v>20.83</v>
      </c>
      <c r="AI121" s="891">
        <v>131.55000000000001</v>
      </c>
      <c r="AJ121" s="891">
        <v>54.81</v>
      </c>
      <c r="AK121" s="891">
        <v>131.55000000000001</v>
      </c>
      <c r="AL121" s="891">
        <v>252.14</v>
      </c>
      <c r="AM121" s="891">
        <v>13703.14</v>
      </c>
      <c r="AN121" s="891">
        <v>9866.26</v>
      </c>
      <c r="AO121" s="891">
        <v>6577.5</v>
      </c>
      <c r="AP121" s="891">
        <v>2.1</v>
      </c>
      <c r="AQ121" s="891">
        <v>7.67</v>
      </c>
      <c r="AR121" s="891">
        <v>3.29</v>
      </c>
      <c r="AS121" s="891">
        <v>60.02</v>
      </c>
      <c r="AT121" s="891">
        <v>4.3899999999999997</v>
      </c>
      <c r="AU121" s="891">
        <v>5.48</v>
      </c>
      <c r="AV121" s="891">
        <v>2.85</v>
      </c>
      <c r="AW121" s="891">
        <v>2.19</v>
      </c>
      <c r="AX121" s="891">
        <v>4.3899999999999997</v>
      </c>
      <c r="AY121" s="891">
        <v>4.3899999999999997</v>
      </c>
      <c r="AZ121" s="891">
        <v>4.3899999999999997</v>
      </c>
      <c r="BA121" s="891">
        <f t="shared" si="3"/>
        <v>268.91000000000003</v>
      </c>
      <c r="BB121" s="926">
        <f t="shared" si="4"/>
        <v>33041.109999999993</v>
      </c>
      <c r="BC121" s="926">
        <f t="shared" si="5"/>
        <v>151.55999999999651</v>
      </c>
      <c r="BD121" s="891"/>
      <c r="BE121" s="891"/>
      <c r="BF121" s="891"/>
      <c r="BG121" s="928"/>
      <c r="BH121" s="928"/>
      <c r="BI121" s="928"/>
    </row>
    <row r="122" spans="1:61">
      <c r="A122" s="891" t="s">
        <v>898</v>
      </c>
      <c r="B122" s="891" t="s">
        <v>563</v>
      </c>
      <c r="C122" s="891" t="s">
        <v>35</v>
      </c>
      <c r="D122" s="891">
        <v>20.32</v>
      </c>
      <c r="E122" s="891">
        <v>81.28</v>
      </c>
      <c r="F122" s="891">
        <v>9.48</v>
      </c>
      <c r="G122" s="891">
        <v>6.77</v>
      </c>
      <c r="H122" s="891">
        <v>4.74</v>
      </c>
      <c r="I122" s="891">
        <v>2.37</v>
      </c>
      <c r="J122" s="891">
        <v>1.35</v>
      </c>
      <c r="K122" s="891">
        <v>2.2200000000000002</v>
      </c>
      <c r="L122" s="891">
        <v>2.71</v>
      </c>
      <c r="M122" s="891">
        <v>4.4000000000000004</v>
      </c>
      <c r="N122" s="891">
        <v>20.32</v>
      </c>
      <c r="O122" s="891">
        <v>0.68</v>
      </c>
      <c r="P122" s="891">
        <v>6.77</v>
      </c>
      <c r="Q122" s="891">
        <v>1.63</v>
      </c>
      <c r="R122" s="891">
        <v>2.64</v>
      </c>
      <c r="S122" s="891">
        <v>6.77</v>
      </c>
      <c r="T122" s="891">
        <v>2.0299999999999998</v>
      </c>
      <c r="U122" s="891">
        <v>9.82</v>
      </c>
      <c r="V122" s="891">
        <v>56.9</v>
      </c>
      <c r="W122" s="891">
        <v>2.5099999999999998</v>
      </c>
      <c r="X122" s="927">
        <v>28853.97</v>
      </c>
      <c r="Y122" s="891">
        <v>948.25</v>
      </c>
      <c r="Z122" s="891">
        <v>541.86</v>
      </c>
      <c r="AA122" s="891">
        <v>1557.84</v>
      </c>
      <c r="AB122" s="891">
        <v>1083.72</v>
      </c>
      <c r="AC122" s="891">
        <v>308.18</v>
      </c>
      <c r="AD122" s="891">
        <v>0.28999999999999998</v>
      </c>
      <c r="AE122" s="891">
        <v>27.09</v>
      </c>
      <c r="AF122" s="891">
        <v>67.73</v>
      </c>
      <c r="AG122" s="891">
        <v>23.64</v>
      </c>
      <c r="AH122" s="891">
        <v>10.84</v>
      </c>
      <c r="AI122" s="891">
        <v>135.46</v>
      </c>
      <c r="AJ122" s="891">
        <v>54.19</v>
      </c>
      <c r="AK122" s="891">
        <v>135.46</v>
      </c>
      <c r="AL122" s="891">
        <v>203.2</v>
      </c>
      <c r="AM122" s="891">
        <v>5757.25</v>
      </c>
      <c r="AN122" s="891">
        <v>3386.62</v>
      </c>
      <c r="AO122" s="891">
        <v>1896.51</v>
      </c>
      <c r="AP122" s="891">
        <v>5</v>
      </c>
      <c r="AQ122" s="891">
        <v>6.77</v>
      </c>
      <c r="AR122" s="891">
        <v>1.22</v>
      </c>
      <c r="AS122" s="891">
        <v>32.51</v>
      </c>
      <c r="AT122" s="891">
        <v>2.71</v>
      </c>
      <c r="AU122" s="891">
        <v>2.98</v>
      </c>
      <c r="AV122" s="891">
        <v>1.83</v>
      </c>
      <c r="AW122" s="891">
        <v>2.0299999999999998</v>
      </c>
      <c r="AX122" s="891">
        <v>1.63</v>
      </c>
      <c r="AY122" s="891">
        <v>2.0299999999999998</v>
      </c>
      <c r="AZ122" s="891">
        <v>3.39</v>
      </c>
      <c r="BA122" s="891">
        <f t="shared" si="3"/>
        <v>335.56</v>
      </c>
      <c r="BB122" s="926">
        <f t="shared" si="4"/>
        <v>28955.91</v>
      </c>
      <c r="BC122" s="926">
        <f t="shared" si="5"/>
        <v>99.429999999998685</v>
      </c>
      <c r="BD122" s="891"/>
      <c r="BE122" s="891"/>
      <c r="BF122" s="891"/>
      <c r="BG122" s="928"/>
      <c r="BH122" s="928"/>
      <c r="BI122" s="928"/>
    </row>
    <row r="123" spans="1:61">
      <c r="A123" s="891" t="s">
        <v>899</v>
      </c>
      <c r="B123" s="891" t="s">
        <v>587</v>
      </c>
      <c r="C123" s="891" t="s">
        <v>140</v>
      </c>
      <c r="D123" s="891">
        <v>17.61</v>
      </c>
      <c r="E123" s="891">
        <v>67.73</v>
      </c>
      <c r="F123" s="891">
        <v>10.16</v>
      </c>
      <c r="G123" s="891">
        <v>4.0599999999999996</v>
      </c>
      <c r="H123" s="891">
        <v>4.0599999999999996</v>
      </c>
      <c r="I123" s="891">
        <v>2.44</v>
      </c>
      <c r="J123" s="891">
        <v>2.57</v>
      </c>
      <c r="K123" s="891">
        <v>0.89</v>
      </c>
      <c r="L123" s="891">
        <v>2.1</v>
      </c>
      <c r="M123" s="891">
        <v>1.9</v>
      </c>
      <c r="N123" s="891">
        <v>11.65</v>
      </c>
      <c r="O123" s="891">
        <v>0.81</v>
      </c>
      <c r="P123" s="891">
        <v>6.77</v>
      </c>
      <c r="Q123" s="891">
        <v>1.63</v>
      </c>
      <c r="R123" s="891">
        <v>2.0299999999999998</v>
      </c>
      <c r="S123" s="891">
        <v>6.5</v>
      </c>
      <c r="T123" s="891">
        <v>2.2999999999999998</v>
      </c>
      <c r="U123" s="891">
        <v>8.1300000000000008</v>
      </c>
      <c r="V123" s="891">
        <v>27.09</v>
      </c>
      <c r="W123" s="891">
        <v>2.17</v>
      </c>
      <c r="X123" s="927">
        <v>27092.93</v>
      </c>
      <c r="Y123" s="891">
        <v>880.52</v>
      </c>
      <c r="Z123" s="891">
        <v>812.79</v>
      </c>
      <c r="AA123" s="891">
        <v>1625.58</v>
      </c>
      <c r="AB123" s="891">
        <v>1320.78</v>
      </c>
      <c r="AC123" s="891">
        <v>131.59</v>
      </c>
      <c r="AD123" s="891">
        <v>0.33</v>
      </c>
      <c r="AE123" s="891">
        <v>44.03</v>
      </c>
      <c r="AF123" s="891">
        <v>45.15</v>
      </c>
      <c r="AG123" s="891">
        <v>20.32</v>
      </c>
      <c r="AH123" s="891">
        <v>12.6</v>
      </c>
      <c r="AI123" s="891">
        <v>94.83</v>
      </c>
      <c r="AJ123" s="891">
        <v>67.73</v>
      </c>
      <c r="AK123" s="891">
        <v>94.83</v>
      </c>
      <c r="AL123" s="891">
        <v>169.33</v>
      </c>
      <c r="AM123" s="891">
        <v>3657.55</v>
      </c>
      <c r="AN123" s="891">
        <v>2709.29</v>
      </c>
      <c r="AO123" s="891">
        <v>2438.36</v>
      </c>
      <c r="AP123" s="891">
        <v>3.55</v>
      </c>
      <c r="AQ123" s="891">
        <v>11.51</v>
      </c>
      <c r="AR123" s="891">
        <v>2.98</v>
      </c>
      <c r="AS123" s="891">
        <v>47.41</v>
      </c>
      <c r="AT123" s="891">
        <v>1.63</v>
      </c>
      <c r="AU123" s="891">
        <v>2.46</v>
      </c>
      <c r="AV123" s="891">
        <v>1.49</v>
      </c>
      <c r="AW123" s="891">
        <v>1.01</v>
      </c>
      <c r="AX123" s="891">
        <v>3.39</v>
      </c>
      <c r="AY123" s="891">
        <v>4.2</v>
      </c>
      <c r="AZ123" s="891">
        <v>1.79</v>
      </c>
      <c r="BA123" s="891">
        <f t="shared" si="3"/>
        <v>175.95000000000002</v>
      </c>
      <c r="BB123" s="926">
        <f t="shared" si="4"/>
        <v>27186.39</v>
      </c>
      <c r="BC123" s="926">
        <f t="shared" si="5"/>
        <v>91.289999999999125</v>
      </c>
      <c r="BD123" s="891"/>
      <c r="BE123" s="891"/>
      <c r="BF123" s="891"/>
      <c r="BG123" s="928"/>
      <c r="BH123" s="928"/>
      <c r="BI123" s="928"/>
    </row>
    <row r="124" spans="1:61">
      <c r="A124" s="891" t="s">
        <v>900</v>
      </c>
      <c r="B124" s="891" t="s">
        <v>611</v>
      </c>
      <c r="C124" s="891" t="s">
        <v>322</v>
      </c>
      <c r="D124" s="891">
        <v>5.5</v>
      </c>
      <c r="E124" s="891">
        <v>27.51</v>
      </c>
      <c r="F124" s="891">
        <v>7.11</v>
      </c>
      <c r="G124" s="891">
        <v>1.6</v>
      </c>
      <c r="H124" s="891">
        <v>3.67</v>
      </c>
      <c r="I124" s="891">
        <v>0.92</v>
      </c>
      <c r="J124" s="891">
        <v>0.92</v>
      </c>
      <c r="K124" s="891">
        <v>0.92</v>
      </c>
      <c r="L124" s="891">
        <v>1.83</v>
      </c>
      <c r="M124" s="891">
        <v>1.49</v>
      </c>
      <c r="N124" s="891">
        <v>7.11</v>
      </c>
      <c r="O124" s="891">
        <v>0.92</v>
      </c>
      <c r="P124" s="891">
        <v>10.09</v>
      </c>
      <c r="Q124" s="891">
        <v>1.6</v>
      </c>
      <c r="R124" s="891">
        <v>2.75</v>
      </c>
      <c r="S124" s="891">
        <v>2.75</v>
      </c>
      <c r="T124" s="891">
        <v>1.26</v>
      </c>
      <c r="U124" s="891">
        <v>3.9</v>
      </c>
      <c r="V124" s="891">
        <v>55.02</v>
      </c>
      <c r="W124" s="891">
        <v>1.26</v>
      </c>
      <c r="X124" s="927">
        <v>22925.26</v>
      </c>
      <c r="Y124" s="891">
        <v>366.8</v>
      </c>
      <c r="Z124" s="891">
        <v>190.28</v>
      </c>
      <c r="AA124" s="891">
        <v>550.21</v>
      </c>
      <c r="AB124" s="891">
        <v>458.51</v>
      </c>
      <c r="AC124" s="891">
        <v>63.62</v>
      </c>
      <c r="AD124" s="891">
        <v>0.18</v>
      </c>
      <c r="AE124" s="891">
        <v>24.76</v>
      </c>
      <c r="AF124" s="891">
        <v>27.51</v>
      </c>
      <c r="AG124" s="891">
        <v>10.32</v>
      </c>
      <c r="AH124" s="891">
        <v>6.88</v>
      </c>
      <c r="AI124" s="891">
        <v>91.7</v>
      </c>
      <c r="AJ124" s="891">
        <v>87.12</v>
      </c>
      <c r="AK124" s="891">
        <v>119.21</v>
      </c>
      <c r="AL124" s="891">
        <v>91.7</v>
      </c>
      <c r="AM124" s="891">
        <v>1604.77</v>
      </c>
      <c r="AN124" s="891">
        <v>917.01</v>
      </c>
      <c r="AO124" s="891">
        <v>687.76</v>
      </c>
      <c r="AP124" s="891">
        <v>9</v>
      </c>
      <c r="AQ124" s="891">
        <v>1.83</v>
      </c>
      <c r="AR124" s="891">
        <v>1.08</v>
      </c>
      <c r="AS124" s="891">
        <v>9.06</v>
      </c>
      <c r="AT124" s="891">
        <v>1.38</v>
      </c>
      <c r="AU124" s="891">
        <v>0.48</v>
      </c>
      <c r="AV124" s="891">
        <v>1.1499999999999999</v>
      </c>
      <c r="AW124" s="891">
        <v>0.69</v>
      </c>
      <c r="AX124" s="891">
        <v>1.83</v>
      </c>
      <c r="AY124" s="891">
        <v>0.92</v>
      </c>
      <c r="AZ124" s="891">
        <v>1.71</v>
      </c>
      <c r="BA124" s="891">
        <f t="shared" si="3"/>
        <v>88.56</v>
      </c>
      <c r="BB124" s="926">
        <f t="shared" si="4"/>
        <v>22994.770000000004</v>
      </c>
      <c r="BC124" s="926">
        <f t="shared" si="5"/>
        <v>68.25000000000567</v>
      </c>
      <c r="BD124" s="891"/>
      <c r="BE124" s="891"/>
      <c r="BF124" s="891"/>
      <c r="BG124" s="928"/>
      <c r="BH124" s="928"/>
      <c r="BI124" s="928"/>
    </row>
    <row r="125" spans="1:61">
      <c r="A125" s="891" t="s">
        <v>1602</v>
      </c>
      <c r="B125" s="891" t="s">
        <v>579</v>
      </c>
      <c r="C125" s="891" t="s">
        <v>47</v>
      </c>
      <c r="D125" s="891">
        <v>15</v>
      </c>
      <c r="E125" s="891">
        <v>70.989999999999995</v>
      </c>
      <c r="F125" s="891">
        <v>7.57</v>
      </c>
      <c r="G125" s="891">
        <v>4.7300000000000004</v>
      </c>
      <c r="H125" s="891">
        <v>5.92</v>
      </c>
      <c r="I125" s="891">
        <v>2.84</v>
      </c>
      <c r="J125" s="891">
        <v>2.37</v>
      </c>
      <c r="K125" s="891">
        <v>1.33</v>
      </c>
      <c r="L125" s="891">
        <v>2.6</v>
      </c>
      <c r="M125" s="891">
        <v>4.26</v>
      </c>
      <c r="N125" s="891">
        <v>7.57</v>
      </c>
      <c r="O125" s="891">
        <v>2.13</v>
      </c>
      <c r="P125" s="891">
        <v>12.78</v>
      </c>
      <c r="Q125" s="891">
        <v>4.7300000000000004</v>
      </c>
      <c r="R125" s="891">
        <v>5.21</v>
      </c>
      <c r="S125" s="891">
        <v>16.09</v>
      </c>
      <c r="T125" s="891">
        <v>3.79</v>
      </c>
      <c r="U125" s="891">
        <v>9.4700000000000006</v>
      </c>
      <c r="V125" s="891">
        <v>33.130000000000003</v>
      </c>
      <c r="W125" s="891">
        <v>1.41</v>
      </c>
      <c r="X125" s="927">
        <v>18930.43</v>
      </c>
      <c r="Y125" s="891">
        <v>1467.11</v>
      </c>
      <c r="Z125" s="891">
        <v>1135.83</v>
      </c>
      <c r="AA125" s="891">
        <v>1848.56</v>
      </c>
      <c r="AB125" s="891">
        <v>1514.43</v>
      </c>
      <c r="AC125" s="891">
        <v>165.64</v>
      </c>
      <c r="AD125" s="891">
        <v>0.94</v>
      </c>
      <c r="AE125" s="891">
        <v>65.31</v>
      </c>
      <c r="AF125" s="891">
        <v>56.79</v>
      </c>
      <c r="AG125" s="891">
        <v>18.93</v>
      </c>
      <c r="AH125" s="891">
        <v>16.09</v>
      </c>
      <c r="AI125" s="891">
        <v>94.65</v>
      </c>
      <c r="AJ125" s="891">
        <v>54.42</v>
      </c>
      <c r="AK125" s="891">
        <v>141.97999999999999</v>
      </c>
      <c r="AL125" s="891">
        <v>123.05</v>
      </c>
      <c r="AM125" s="891">
        <v>3786.09</v>
      </c>
      <c r="AN125" s="891">
        <v>2839.56</v>
      </c>
      <c r="AO125" s="891">
        <v>3928.06</v>
      </c>
      <c r="AP125" s="891">
        <v>6.65</v>
      </c>
      <c r="AQ125" s="891">
        <v>2.74</v>
      </c>
      <c r="AR125" s="891">
        <v>1.95</v>
      </c>
      <c r="AS125" s="891">
        <v>43.16</v>
      </c>
      <c r="AT125" s="891">
        <v>3.53</v>
      </c>
      <c r="AU125" s="891">
        <v>2.84</v>
      </c>
      <c r="AV125" s="891">
        <v>2.13</v>
      </c>
      <c r="AW125" s="891">
        <v>1.88</v>
      </c>
      <c r="AX125" s="891">
        <v>3.79</v>
      </c>
      <c r="AY125" s="891">
        <v>2.84</v>
      </c>
      <c r="AZ125" s="891">
        <v>3.45</v>
      </c>
      <c r="BA125" s="891">
        <f t="shared" si="3"/>
        <v>231.89</v>
      </c>
      <c r="BB125" s="926">
        <f t="shared" si="4"/>
        <v>19016.610000000004</v>
      </c>
      <c r="BC125" s="926">
        <f t="shared" si="5"/>
        <v>84.770000000003932</v>
      </c>
      <c r="BD125" s="891"/>
      <c r="BE125" s="891"/>
      <c r="BF125" s="891"/>
      <c r="BG125" s="928"/>
      <c r="BH125" s="928"/>
      <c r="BI125" s="928"/>
    </row>
    <row r="126" spans="1:61">
      <c r="A126" s="891" t="s">
        <v>902</v>
      </c>
      <c r="B126" s="891" t="s">
        <v>582</v>
      </c>
      <c r="C126" s="891" t="s">
        <v>53</v>
      </c>
      <c r="D126" s="891">
        <v>13.89</v>
      </c>
      <c r="E126" s="891">
        <v>69.47</v>
      </c>
      <c r="F126" s="891">
        <v>10.73</v>
      </c>
      <c r="G126" s="891">
        <v>7.72</v>
      </c>
      <c r="H126" s="891">
        <v>6.72</v>
      </c>
      <c r="I126" s="891">
        <v>2.3199999999999998</v>
      </c>
      <c r="J126" s="891">
        <v>2.3199999999999998</v>
      </c>
      <c r="K126" s="891">
        <v>1.23</v>
      </c>
      <c r="L126" s="891">
        <v>3.7</v>
      </c>
      <c r="M126" s="891">
        <v>3.55</v>
      </c>
      <c r="N126" s="891">
        <v>12.35</v>
      </c>
      <c r="O126" s="891">
        <v>2.5499999999999998</v>
      </c>
      <c r="P126" s="891">
        <v>12.35</v>
      </c>
      <c r="Q126" s="891">
        <v>2.16</v>
      </c>
      <c r="R126" s="891">
        <v>2.3199999999999998</v>
      </c>
      <c r="S126" s="891">
        <v>8.49</v>
      </c>
      <c r="T126" s="891">
        <v>3.7</v>
      </c>
      <c r="U126" s="891">
        <v>12.35</v>
      </c>
      <c r="V126" s="891">
        <v>76.41</v>
      </c>
      <c r="W126" s="891">
        <v>2.3199999999999998</v>
      </c>
      <c r="X126" s="927">
        <v>26243.07</v>
      </c>
      <c r="Y126" s="891">
        <v>810.45</v>
      </c>
      <c r="Z126" s="891">
        <v>501.71</v>
      </c>
      <c r="AA126" s="891">
        <v>1736.67</v>
      </c>
      <c r="AB126" s="891">
        <v>1080.5999999999999</v>
      </c>
      <c r="AC126" s="891">
        <v>80.75</v>
      </c>
      <c r="AD126" s="891">
        <v>0.22</v>
      </c>
      <c r="AE126" s="891">
        <v>30.87</v>
      </c>
      <c r="AF126" s="891">
        <v>54.03</v>
      </c>
      <c r="AG126" s="891">
        <v>38.590000000000003</v>
      </c>
      <c r="AH126" s="891">
        <v>16.98</v>
      </c>
      <c r="AI126" s="891">
        <v>154.37</v>
      </c>
      <c r="AJ126" s="891">
        <v>61.75</v>
      </c>
      <c r="AK126" s="891">
        <v>138.93</v>
      </c>
      <c r="AL126" s="891">
        <v>135.07</v>
      </c>
      <c r="AM126" s="891">
        <v>6329.21</v>
      </c>
      <c r="AN126" s="891">
        <v>4631.13</v>
      </c>
      <c r="AO126" s="891">
        <v>3704.9</v>
      </c>
      <c r="AP126" s="891">
        <v>2.25</v>
      </c>
      <c r="AQ126" s="891">
        <v>6.33</v>
      </c>
      <c r="AR126" s="891">
        <v>1.96</v>
      </c>
      <c r="AS126" s="891">
        <v>65.61</v>
      </c>
      <c r="AT126" s="891">
        <v>3.09</v>
      </c>
      <c r="AU126" s="891">
        <v>3.09</v>
      </c>
      <c r="AV126" s="891">
        <v>0.93</v>
      </c>
      <c r="AW126" s="891">
        <v>1.54</v>
      </c>
      <c r="AX126" s="891">
        <v>4.63</v>
      </c>
      <c r="AY126" s="891">
        <v>2.93</v>
      </c>
      <c r="AZ126" s="891">
        <v>3.7</v>
      </c>
      <c r="BA126" s="891">
        <f t="shared" si="3"/>
        <v>111.84</v>
      </c>
      <c r="BB126" s="926">
        <f t="shared" si="4"/>
        <v>26399.4</v>
      </c>
      <c r="BC126" s="926">
        <f t="shared" si="5"/>
        <v>154.01000000000175</v>
      </c>
      <c r="BD126" s="891"/>
      <c r="BE126" s="891"/>
      <c r="BF126" s="891"/>
      <c r="BG126" s="928"/>
      <c r="BH126" s="928"/>
      <c r="BI126" s="928"/>
    </row>
    <row r="127" spans="1:61">
      <c r="A127" s="891" t="s">
        <v>903</v>
      </c>
      <c r="B127" s="891" t="s">
        <v>593</v>
      </c>
      <c r="C127" s="891" t="s">
        <v>174</v>
      </c>
      <c r="D127" s="891">
        <v>9.35</v>
      </c>
      <c r="E127" s="891">
        <v>27.09</v>
      </c>
      <c r="F127" s="891">
        <v>9.08</v>
      </c>
      <c r="G127" s="891">
        <v>4.33</v>
      </c>
      <c r="H127" s="891">
        <v>4.74</v>
      </c>
      <c r="I127" s="891">
        <v>2.98</v>
      </c>
      <c r="J127" s="891">
        <v>2.57</v>
      </c>
      <c r="K127" s="891">
        <v>1.1399999999999999</v>
      </c>
      <c r="L127" s="891">
        <v>1.35</v>
      </c>
      <c r="M127" s="891">
        <v>3.85</v>
      </c>
      <c r="N127" s="891">
        <v>14.9</v>
      </c>
      <c r="O127" s="891">
        <v>0.61</v>
      </c>
      <c r="P127" s="891">
        <v>7.45</v>
      </c>
      <c r="Q127" s="891">
        <v>1.1499999999999999</v>
      </c>
      <c r="R127" s="891">
        <v>1.22</v>
      </c>
      <c r="S127" s="891">
        <v>5.69</v>
      </c>
      <c r="T127" s="891">
        <v>2.71</v>
      </c>
      <c r="U127" s="891">
        <v>8.1300000000000008</v>
      </c>
      <c r="V127" s="891">
        <v>54.32</v>
      </c>
      <c r="W127" s="891">
        <v>1.9</v>
      </c>
      <c r="X127" s="927">
        <v>27092.93</v>
      </c>
      <c r="Y127" s="891">
        <v>609.59</v>
      </c>
      <c r="Z127" s="891">
        <v>507.99</v>
      </c>
      <c r="AA127" s="891">
        <v>1354.65</v>
      </c>
      <c r="AB127" s="891">
        <v>1219.18</v>
      </c>
      <c r="AC127" s="891">
        <v>169.33</v>
      </c>
      <c r="AD127" s="891">
        <v>0.14000000000000001</v>
      </c>
      <c r="AE127" s="891">
        <v>27.09</v>
      </c>
      <c r="AF127" s="891">
        <v>29.8</v>
      </c>
      <c r="AG127" s="891">
        <v>16.260000000000002</v>
      </c>
      <c r="AH127" s="891">
        <v>10.16</v>
      </c>
      <c r="AI127" s="891">
        <v>118.53</v>
      </c>
      <c r="AJ127" s="891">
        <v>40.64</v>
      </c>
      <c r="AK127" s="891">
        <v>108.37</v>
      </c>
      <c r="AL127" s="891">
        <v>94.83</v>
      </c>
      <c r="AM127" s="891">
        <v>3386.62</v>
      </c>
      <c r="AN127" s="891">
        <v>1354.65</v>
      </c>
      <c r="AO127" s="891">
        <v>2099.6999999999998</v>
      </c>
      <c r="AP127" s="891">
        <v>2.4500000000000002</v>
      </c>
      <c r="AQ127" s="891">
        <v>5.28</v>
      </c>
      <c r="AR127" s="891">
        <v>1.76</v>
      </c>
      <c r="AS127" s="891">
        <v>36.58</v>
      </c>
      <c r="AT127" s="891">
        <v>2.59</v>
      </c>
      <c r="AU127" s="891">
        <v>2.57</v>
      </c>
      <c r="AV127" s="891">
        <v>1.35</v>
      </c>
      <c r="AW127" s="891">
        <v>1.08</v>
      </c>
      <c r="AX127" s="891">
        <v>3.39</v>
      </c>
      <c r="AY127" s="891">
        <v>2.0299999999999998</v>
      </c>
      <c r="AZ127" s="891">
        <v>3.04</v>
      </c>
      <c r="BA127" s="891">
        <f t="shared" ref="BA127:BA190" si="6">AC127+AD127+AE127</f>
        <v>196.56</v>
      </c>
      <c r="BB127" s="926">
        <f t="shared" ref="BB127:BB190" si="7">T127+V127+W127+X127+AQ127+AR127+AS127</f>
        <v>27195.48</v>
      </c>
      <c r="BC127" s="926">
        <f t="shared" ref="BC127:BC190" si="8">BB127-X127-W127</f>
        <v>100.64999999999927</v>
      </c>
      <c r="BD127" s="891"/>
      <c r="BE127" s="891"/>
      <c r="BF127" s="891"/>
      <c r="BG127" s="928"/>
      <c r="BH127" s="928"/>
      <c r="BI127" s="928"/>
    </row>
    <row r="128" spans="1:61">
      <c r="A128" s="891" t="s">
        <v>904</v>
      </c>
      <c r="B128" s="891" t="s">
        <v>569</v>
      </c>
      <c r="C128" s="891" t="s">
        <v>71</v>
      </c>
      <c r="D128" s="891">
        <v>16.260000000000002</v>
      </c>
      <c r="E128" s="891">
        <v>55.82</v>
      </c>
      <c r="F128" s="891">
        <v>9.48</v>
      </c>
      <c r="G128" s="891">
        <v>6.1</v>
      </c>
      <c r="H128" s="891">
        <v>5.42</v>
      </c>
      <c r="I128" s="891">
        <v>2.0299999999999998</v>
      </c>
      <c r="J128" s="891">
        <v>1.35</v>
      </c>
      <c r="K128" s="891">
        <v>1.35</v>
      </c>
      <c r="L128" s="891">
        <v>1.35</v>
      </c>
      <c r="M128" s="891">
        <v>2.71</v>
      </c>
      <c r="N128" s="891">
        <v>13.55</v>
      </c>
      <c r="O128" s="891">
        <v>2.0299999999999998</v>
      </c>
      <c r="P128" s="891">
        <v>6.77</v>
      </c>
      <c r="Q128" s="891">
        <v>2.5099999999999998</v>
      </c>
      <c r="R128" s="891">
        <v>2.5099999999999998</v>
      </c>
      <c r="S128" s="891">
        <v>8.36</v>
      </c>
      <c r="T128" s="891">
        <v>2.1</v>
      </c>
      <c r="U128" s="891">
        <v>14.9</v>
      </c>
      <c r="V128" s="891">
        <v>62.31</v>
      </c>
      <c r="W128" s="891">
        <v>2.2999999999999998</v>
      </c>
      <c r="X128" s="927">
        <v>19006.37</v>
      </c>
      <c r="Y128" s="891">
        <v>778.92</v>
      </c>
      <c r="Z128" s="891">
        <v>711.19</v>
      </c>
      <c r="AA128" s="891">
        <v>1557.84</v>
      </c>
      <c r="AB128" s="891">
        <v>1286.9100000000001</v>
      </c>
      <c r="AC128" s="891">
        <v>191.91</v>
      </c>
      <c r="AD128" s="891">
        <v>0.27</v>
      </c>
      <c r="AE128" s="891">
        <v>40.64</v>
      </c>
      <c r="AF128" s="891">
        <v>121.92</v>
      </c>
      <c r="AG128" s="891">
        <v>20.32</v>
      </c>
      <c r="AH128" s="891">
        <v>13.55</v>
      </c>
      <c r="AI128" s="891">
        <v>118.53</v>
      </c>
      <c r="AJ128" s="891">
        <v>40.64</v>
      </c>
      <c r="AK128" s="891">
        <v>135.46</v>
      </c>
      <c r="AL128" s="891">
        <v>135.46</v>
      </c>
      <c r="AM128" s="891">
        <v>5079.92</v>
      </c>
      <c r="AN128" s="891">
        <v>3047.95</v>
      </c>
      <c r="AO128" s="891">
        <v>2628.01</v>
      </c>
      <c r="AP128" s="891">
        <v>3.31</v>
      </c>
      <c r="AQ128" s="891">
        <v>3.59</v>
      </c>
      <c r="AR128" s="891">
        <v>1.1000000000000001</v>
      </c>
      <c r="AS128" s="891">
        <v>33.76</v>
      </c>
      <c r="AT128" s="891">
        <v>2.71</v>
      </c>
      <c r="AU128" s="891">
        <v>2.71</v>
      </c>
      <c r="AV128" s="891">
        <v>1.35</v>
      </c>
      <c r="AW128" s="891">
        <v>1.22</v>
      </c>
      <c r="AX128" s="891">
        <v>3.55</v>
      </c>
      <c r="AY128" s="891">
        <v>2.0299999999999998</v>
      </c>
      <c r="AZ128" s="891">
        <v>2.88</v>
      </c>
      <c r="BA128" s="891">
        <f t="shared" si="6"/>
        <v>232.82</v>
      </c>
      <c r="BB128" s="926">
        <f t="shared" si="7"/>
        <v>19111.529999999995</v>
      </c>
      <c r="BC128" s="926">
        <f t="shared" si="8"/>
        <v>102.85999999999622</v>
      </c>
      <c r="BD128" s="891"/>
      <c r="BE128" s="891"/>
      <c r="BF128" s="891"/>
      <c r="BG128" s="928"/>
      <c r="BH128" s="928"/>
      <c r="BI128" s="928"/>
    </row>
    <row r="129" spans="1:61">
      <c r="A129" s="891" t="s">
        <v>905</v>
      </c>
      <c r="B129" s="891" t="s">
        <v>590</v>
      </c>
      <c r="C129" s="891" t="s">
        <v>55</v>
      </c>
      <c r="D129" s="891">
        <v>20.32</v>
      </c>
      <c r="E129" s="891">
        <v>60.96</v>
      </c>
      <c r="F129" s="891">
        <v>9.48</v>
      </c>
      <c r="G129" s="891">
        <v>3.39</v>
      </c>
      <c r="H129" s="891">
        <v>3.93</v>
      </c>
      <c r="I129" s="891">
        <v>2.0299999999999998</v>
      </c>
      <c r="J129" s="891">
        <v>1.63</v>
      </c>
      <c r="K129" s="891">
        <v>1.35</v>
      </c>
      <c r="L129" s="891">
        <v>2.44</v>
      </c>
      <c r="M129" s="891">
        <v>2.5099999999999998</v>
      </c>
      <c r="N129" s="891">
        <v>10.16</v>
      </c>
      <c r="O129" s="891">
        <v>1.35</v>
      </c>
      <c r="P129" s="891">
        <v>6.77</v>
      </c>
      <c r="Q129" s="891">
        <v>1.69</v>
      </c>
      <c r="R129" s="891">
        <v>2.71</v>
      </c>
      <c r="S129" s="891">
        <v>7.45</v>
      </c>
      <c r="T129" s="891">
        <v>2.71</v>
      </c>
      <c r="U129" s="891">
        <v>8.1300000000000008</v>
      </c>
      <c r="V129" s="891">
        <v>77.89</v>
      </c>
      <c r="W129" s="891">
        <v>2.2999999999999998</v>
      </c>
      <c r="X129" s="927">
        <v>27092.93</v>
      </c>
      <c r="Y129" s="891">
        <v>948.25</v>
      </c>
      <c r="Z129" s="891">
        <v>609.59</v>
      </c>
      <c r="AA129" s="891">
        <v>1761.04</v>
      </c>
      <c r="AB129" s="891">
        <v>1388.51</v>
      </c>
      <c r="AC129" s="891">
        <v>199.81</v>
      </c>
      <c r="AD129" s="891">
        <v>0.23</v>
      </c>
      <c r="AE129" s="891">
        <v>40.64</v>
      </c>
      <c r="AF129" s="891">
        <v>56.9</v>
      </c>
      <c r="AG129" s="891">
        <v>67.73</v>
      </c>
      <c r="AH129" s="891">
        <v>11.51</v>
      </c>
      <c r="AI129" s="891">
        <v>128.69</v>
      </c>
      <c r="AJ129" s="891">
        <v>65.7</v>
      </c>
      <c r="AK129" s="891">
        <v>121.92</v>
      </c>
      <c r="AL129" s="891">
        <v>121.92</v>
      </c>
      <c r="AM129" s="891">
        <v>3318.88</v>
      </c>
      <c r="AN129" s="891">
        <v>2111.2199999999998</v>
      </c>
      <c r="AO129" s="891">
        <v>3251.15</v>
      </c>
      <c r="AP129" s="891">
        <v>4.4000000000000004</v>
      </c>
      <c r="AQ129" s="891">
        <v>9.82</v>
      </c>
      <c r="AR129" s="891">
        <v>4.0599999999999996</v>
      </c>
      <c r="AS129" s="891">
        <v>81.28</v>
      </c>
      <c r="AT129" s="891">
        <v>4.0599999999999996</v>
      </c>
      <c r="AU129" s="891">
        <v>4.0599999999999996</v>
      </c>
      <c r="AV129" s="891">
        <v>2.0299999999999998</v>
      </c>
      <c r="AW129" s="891">
        <v>1.35</v>
      </c>
      <c r="AX129" s="891">
        <v>3.39</v>
      </c>
      <c r="AY129" s="891">
        <v>2.68</v>
      </c>
      <c r="AZ129" s="891">
        <v>2.67</v>
      </c>
      <c r="BA129" s="891">
        <f t="shared" si="6"/>
        <v>240.68</v>
      </c>
      <c r="BB129" s="926">
        <f t="shared" si="7"/>
        <v>27270.99</v>
      </c>
      <c r="BC129" s="926">
        <f t="shared" si="8"/>
        <v>175.7600000000013</v>
      </c>
      <c r="BD129" s="891"/>
      <c r="BE129" s="891"/>
      <c r="BF129" s="891"/>
      <c r="BG129" s="928"/>
      <c r="BH129" s="928"/>
      <c r="BI129" s="928"/>
    </row>
    <row r="130" spans="1:61">
      <c r="A130" s="891" t="s">
        <v>906</v>
      </c>
      <c r="B130" s="891" t="s">
        <v>558</v>
      </c>
      <c r="C130" s="891" t="s">
        <v>349</v>
      </c>
      <c r="D130" s="891">
        <v>6.54</v>
      </c>
      <c r="E130" s="891">
        <v>26.94</v>
      </c>
      <c r="F130" s="891">
        <v>5</v>
      </c>
      <c r="G130" s="891">
        <v>1.54</v>
      </c>
      <c r="H130" s="891">
        <v>2.31</v>
      </c>
      <c r="I130" s="891">
        <v>0.62</v>
      </c>
      <c r="J130" s="891">
        <v>0.54</v>
      </c>
      <c r="K130" s="891">
        <v>0.92</v>
      </c>
      <c r="L130" s="891">
        <v>1.54</v>
      </c>
      <c r="M130" s="891">
        <v>1.73</v>
      </c>
      <c r="N130" s="891">
        <v>3.85</v>
      </c>
      <c r="O130" s="891">
        <v>1</v>
      </c>
      <c r="P130" s="891">
        <v>6.93</v>
      </c>
      <c r="Q130" s="891">
        <v>1.1499999999999999</v>
      </c>
      <c r="R130" s="891">
        <v>1.39</v>
      </c>
      <c r="S130" s="891">
        <v>3.08</v>
      </c>
      <c r="T130" s="891">
        <v>0.46</v>
      </c>
      <c r="U130" s="891">
        <v>5.58</v>
      </c>
      <c r="V130" s="891">
        <v>23.09</v>
      </c>
      <c r="W130" s="891">
        <v>0.85</v>
      </c>
      <c r="X130" s="927">
        <v>15394.21</v>
      </c>
      <c r="Y130" s="891">
        <v>307.88</v>
      </c>
      <c r="Z130" s="891">
        <v>211.67</v>
      </c>
      <c r="AA130" s="891">
        <v>625.39</v>
      </c>
      <c r="AB130" s="891">
        <v>432.96</v>
      </c>
      <c r="AC130" s="891">
        <v>61.58</v>
      </c>
      <c r="AD130" s="891">
        <v>0.23</v>
      </c>
      <c r="AE130" s="891">
        <v>26.94</v>
      </c>
      <c r="AF130" s="891">
        <v>38.49</v>
      </c>
      <c r="AG130" s="891">
        <v>9.24</v>
      </c>
      <c r="AH130" s="891">
        <v>4.62</v>
      </c>
      <c r="AI130" s="891">
        <v>57.73</v>
      </c>
      <c r="AJ130" s="891">
        <v>42.33</v>
      </c>
      <c r="AK130" s="891">
        <v>92.37</v>
      </c>
      <c r="AL130" s="891">
        <v>69.27</v>
      </c>
      <c r="AM130" s="891">
        <v>1000.62</v>
      </c>
      <c r="AN130" s="891">
        <v>769.71</v>
      </c>
      <c r="AO130" s="891">
        <v>784</v>
      </c>
      <c r="AP130" s="891">
        <v>11</v>
      </c>
      <c r="AQ130" s="891">
        <v>1.54</v>
      </c>
      <c r="AR130" s="891">
        <v>0.5</v>
      </c>
      <c r="AS130" s="891">
        <v>11.03</v>
      </c>
      <c r="AT130" s="891">
        <v>2.27</v>
      </c>
      <c r="AU130" s="891">
        <v>0.77</v>
      </c>
      <c r="AV130" s="891">
        <v>1</v>
      </c>
      <c r="AW130" s="891">
        <v>0.62</v>
      </c>
      <c r="AX130" s="891">
        <v>1.92</v>
      </c>
      <c r="AY130" s="891">
        <v>1.42</v>
      </c>
      <c r="AZ130" s="891">
        <v>1.1499999999999999</v>
      </c>
      <c r="BA130" s="891">
        <f t="shared" si="6"/>
        <v>88.75</v>
      </c>
      <c r="BB130" s="926">
        <f t="shared" si="7"/>
        <v>15431.68</v>
      </c>
      <c r="BC130" s="926">
        <f t="shared" si="8"/>
        <v>36.620000000001163</v>
      </c>
      <c r="BD130" s="891"/>
      <c r="BE130" s="891"/>
      <c r="BF130" s="891"/>
      <c r="BG130" s="928"/>
      <c r="BH130" s="928"/>
      <c r="BI130" s="928"/>
    </row>
    <row r="131" spans="1:61">
      <c r="A131" s="891" t="s">
        <v>907</v>
      </c>
      <c r="B131" s="891" t="s">
        <v>552</v>
      </c>
      <c r="C131" s="891" t="s">
        <v>319</v>
      </c>
      <c r="D131" s="891">
        <v>1.31</v>
      </c>
      <c r="E131" s="891">
        <v>12.25</v>
      </c>
      <c r="F131" s="891">
        <v>4.9000000000000004</v>
      </c>
      <c r="G131" s="891">
        <v>0.49</v>
      </c>
      <c r="H131" s="891">
        <v>2.4500000000000002</v>
      </c>
      <c r="I131" s="891">
        <v>0.41</v>
      </c>
      <c r="J131" s="891">
        <v>0.41</v>
      </c>
      <c r="K131" s="891">
        <v>1.96</v>
      </c>
      <c r="L131" s="891">
        <v>1.31</v>
      </c>
      <c r="M131" s="891">
        <v>1.63</v>
      </c>
      <c r="N131" s="891">
        <v>14.7</v>
      </c>
      <c r="O131" s="891">
        <v>0.49</v>
      </c>
      <c r="P131" s="891">
        <v>11.44</v>
      </c>
      <c r="Q131" s="891">
        <v>0.82</v>
      </c>
      <c r="R131" s="891">
        <v>1.8</v>
      </c>
      <c r="S131" s="891">
        <v>2.4500000000000002</v>
      </c>
      <c r="T131" s="891">
        <v>0.33</v>
      </c>
      <c r="U131" s="891">
        <v>4.08</v>
      </c>
      <c r="V131" s="891">
        <v>14.3</v>
      </c>
      <c r="W131" s="891">
        <v>1.31</v>
      </c>
      <c r="X131" s="927">
        <v>24802.720000000001</v>
      </c>
      <c r="Y131" s="891">
        <v>518.48</v>
      </c>
      <c r="Z131" s="891">
        <v>212.39</v>
      </c>
      <c r="AA131" s="891">
        <v>1019.64</v>
      </c>
      <c r="AB131" s="891">
        <v>490.13</v>
      </c>
      <c r="AC131" s="891">
        <v>59.22</v>
      </c>
      <c r="AD131" s="891">
        <v>0.06</v>
      </c>
      <c r="AE131" s="891">
        <v>20.67</v>
      </c>
      <c r="AF131" s="891">
        <v>50.27</v>
      </c>
      <c r="AG131" s="891">
        <v>8.17</v>
      </c>
      <c r="AH131" s="891">
        <v>13.07</v>
      </c>
      <c r="AI131" s="891">
        <v>88.01</v>
      </c>
      <c r="AJ131" s="891">
        <v>65.349999999999994</v>
      </c>
      <c r="AK131" s="891">
        <v>109.3</v>
      </c>
      <c r="AL131" s="891">
        <v>106.2</v>
      </c>
      <c r="AM131" s="891">
        <v>3698.7</v>
      </c>
      <c r="AN131" s="891">
        <v>1951.13</v>
      </c>
      <c r="AO131" s="891">
        <v>490.13</v>
      </c>
      <c r="AP131" s="891">
        <v>6.25</v>
      </c>
      <c r="AQ131" s="891">
        <v>1.63</v>
      </c>
      <c r="AR131" s="891">
        <v>0.42</v>
      </c>
      <c r="AS131" s="891">
        <v>4.25</v>
      </c>
      <c r="AT131" s="891">
        <v>1.63</v>
      </c>
      <c r="AU131" s="891">
        <v>2.21</v>
      </c>
      <c r="AV131" s="891">
        <v>0.9</v>
      </c>
      <c r="AW131" s="891">
        <v>0.82</v>
      </c>
      <c r="AX131" s="891">
        <v>4.57</v>
      </c>
      <c r="AY131" s="891">
        <v>0.98</v>
      </c>
      <c r="AZ131" s="891">
        <v>1.47</v>
      </c>
      <c r="BA131" s="891">
        <f t="shared" si="6"/>
        <v>79.95</v>
      </c>
      <c r="BB131" s="926">
        <f t="shared" si="7"/>
        <v>24824.959999999999</v>
      </c>
      <c r="BC131" s="926">
        <f t="shared" si="8"/>
        <v>20.929999999997964</v>
      </c>
      <c r="BD131" s="891"/>
      <c r="BE131" s="891"/>
      <c r="BF131" s="891"/>
      <c r="BG131" s="928"/>
      <c r="BH131" s="928"/>
      <c r="BI131" s="928"/>
    </row>
    <row r="132" spans="1:61">
      <c r="A132" s="891" t="s">
        <v>1603</v>
      </c>
      <c r="B132" s="891" t="s">
        <v>754</v>
      </c>
      <c r="C132" s="891" t="s">
        <v>291</v>
      </c>
      <c r="D132" s="891">
        <v>3.14</v>
      </c>
      <c r="E132" s="891">
        <v>25.1</v>
      </c>
      <c r="F132" s="891">
        <v>4.8899999999999997</v>
      </c>
      <c r="G132" s="891">
        <v>2</v>
      </c>
      <c r="H132" s="891">
        <v>2</v>
      </c>
      <c r="I132" s="891">
        <v>0.85</v>
      </c>
      <c r="J132" s="891">
        <v>0.63</v>
      </c>
      <c r="K132" s="891">
        <v>1.49</v>
      </c>
      <c r="L132" s="891">
        <v>1.88</v>
      </c>
      <c r="M132" s="891">
        <v>2</v>
      </c>
      <c r="N132" s="891">
        <v>7.17</v>
      </c>
      <c r="O132" s="891">
        <v>1</v>
      </c>
      <c r="P132" s="891">
        <v>9.7100000000000009</v>
      </c>
      <c r="Q132" s="891">
        <v>1.38</v>
      </c>
      <c r="R132" s="891">
        <v>2.2000000000000002</v>
      </c>
      <c r="S132" s="891">
        <v>2</v>
      </c>
      <c r="T132" s="891">
        <v>0.25</v>
      </c>
      <c r="U132" s="891">
        <v>6.09</v>
      </c>
      <c r="V132" s="891">
        <v>13.05</v>
      </c>
      <c r="W132" s="891">
        <v>1.18</v>
      </c>
      <c r="X132" s="927">
        <v>20079.060000000001</v>
      </c>
      <c r="Y132" s="891">
        <v>363.24</v>
      </c>
      <c r="Z132" s="891">
        <v>439.23</v>
      </c>
      <c r="AA132" s="891">
        <v>650</v>
      </c>
      <c r="AB132" s="891">
        <v>663.74</v>
      </c>
      <c r="AC132" s="891">
        <v>137.75</v>
      </c>
      <c r="AD132" s="891">
        <v>0.25</v>
      </c>
      <c r="AE132" s="891">
        <v>47.06</v>
      </c>
      <c r="AF132" s="891">
        <v>43.92</v>
      </c>
      <c r="AG132" s="891">
        <v>6.27</v>
      </c>
      <c r="AH132" s="891">
        <v>5</v>
      </c>
      <c r="AI132" s="891">
        <v>47.06</v>
      </c>
      <c r="AJ132" s="891">
        <v>56.47</v>
      </c>
      <c r="AK132" s="891">
        <v>87.85</v>
      </c>
      <c r="AL132" s="891">
        <v>75.3</v>
      </c>
      <c r="AM132" s="891">
        <v>951.98</v>
      </c>
      <c r="AN132" s="891">
        <v>880.98</v>
      </c>
      <c r="AO132" s="891">
        <v>525</v>
      </c>
      <c r="AP132" s="891">
        <v>9</v>
      </c>
      <c r="AQ132" s="891">
        <v>1.1299999999999999</v>
      </c>
      <c r="AR132" s="891">
        <v>2.5099999999999998</v>
      </c>
      <c r="AS132" s="891">
        <v>1.94</v>
      </c>
      <c r="AT132" s="891">
        <v>2.4900000000000002</v>
      </c>
      <c r="AU132" s="891">
        <v>3.23</v>
      </c>
      <c r="AV132" s="891">
        <v>1.02</v>
      </c>
      <c r="AW132" s="891">
        <v>1</v>
      </c>
      <c r="AX132" s="891">
        <v>1.88</v>
      </c>
      <c r="AY132" s="891">
        <v>1.1299999999999999</v>
      </c>
      <c r="AZ132" s="891">
        <v>1</v>
      </c>
      <c r="BA132" s="891">
        <f t="shared" si="6"/>
        <v>185.06</v>
      </c>
      <c r="BB132" s="926">
        <f t="shared" si="7"/>
        <v>20099.12</v>
      </c>
      <c r="BC132" s="926">
        <f t="shared" si="8"/>
        <v>18.879999999997672</v>
      </c>
      <c r="BD132" s="891"/>
      <c r="BE132" s="891"/>
      <c r="BF132" s="891"/>
      <c r="BG132" s="928"/>
      <c r="BH132" s="928"/>
      <c r="BI132" s="928"/>
    </row>
    <row r="133" spans="1:61">
      <c r="A133" s="891" t="s">
        <v>909</v>
      </c>
      <c r="B133" s="891" t="s">
        <v>1569</v>
      </c>
      <c r="C133" s="891" t="s">
        <v>46</v>
      </c>
      <c r="D133" s="891">
        <v>23.93</v>
      </c>
      <c r="E133" s="891">
        <v>75.78</v>
      </c>
      <c r="F133" s="891">
        <v>8.77</v>
      </c>
      <c r="G133" s="891">
        <v>5.5</v>
      </c>
      <c r="H133" s="891">
        <v>4.95</v>
      </c>
      <c r="I133" s="891">
        <v>1.6</v>
      </c>
      <c r="J133" s="891">
        <v>1.6</v>
      </c>
      <c r="K133" s="891">
        <v>1.56</v>
      </c>
      <c r="L133" s="891">
        <v>1.91</v>
      </c>
      <c r="M133" s="891">
        <v>3.19</v>
      </c>
      <c r="N133" s="891">
        <v>12.43</v>
      </c>
      <c r="O133" s="891">
        <v>1.6</v>
      </c>
      <c r="P133" s="891">
        <v>11.81</v>
      </c>
      <c r="Q133" s="891">
        <v>2.39</v>
      </c>
      <c r="R133" s="891">
        <v>3.59</v>
      </c>
      <c r="S133" s="891">
        <v>11.17</v>
      </c>
      <c r="T133" s="891">
        <v>2.63</v>
      </c>
      <c r="U133" s="891">
        <v>12.14</v>
      </c>
      <c r="V133" s="891">
        <v>78.97</v>
      </c>
      <c r="W133" s="891">
        <v>2.15</v>
      </c>
      <c r="X133" s="927">
        <v>30312.7</v>
      </c>
      <c r="Y133" s="891">
        <v>1156.67</v>
      </c>
      <c r="Z133" s="891">
        <v>797.7</v>
      </c>
      <c r="AA133" s="891">
        <v>2386.73</v>
      </c>
      <c r="AB133" s="891">
        <v>1754.95</v>
      </c>
      <c r="AC133" s="891">
        <v>143.59</v>
      </c>
      <c r="AD133" s="891">
        <v>0.27</v>
      </c>
      <c r="AE133" s="891">
        <v>47.86</v>
      </c>
      <c r="AF133" s="891">
        <v>55.84</v>
      </c>
      <c r="AG133" s="891">
        <v>17.87</v>
      </c>
      <c r="AH133" s="891">
        <v>15.63</v>
      </c>
      <c r="AI133" s="891">
        <v>119.66</v>
      </c>
      <c r="AJ133" s="891">
        <v>39.89</v>
      </c>
      <c r="AK133" s="891">
        <v>95.72</v>
      </c>
      <c r="AL133" s="891">
        <v>79.77</v>
      </c>
      <c r="AM133" s="891">
        <v>6062.54</v>
      </c>
      <c r="AN133" s="891">
        <v>4467.13</v>
      </c>
      <c r="AO133" s="891">
        <v>2552.65</v>
      </c>
      <c r="AP133" s="891">
        <v>3</v>
      </c>
      <c r="AQ133" s="891">
        <v>4.79</v>
      </c>
      <c r="AR133" s="891">
        <v>2.25</v>
      </c>
      <c r="AS133" s="891">
        <v>35.9</v>
      </c>
      <c r="AT133" s="891">
        <v>3.19</v>
      </c>
      <c r="AU133" s="891">
        <v>3.29</v>
      </c>
      <c r="AV133" s="891">
        <v>1.2</v>
      </c>
      <c r="AW133" s="891">
        <v>1.44</v>
      </c>
      <c r="AX133" s="891">
        <v>3.75</v>
      </c>
      <c r="AY133" s="891">
        <v>2.4500000000000002</v>
      </c>
      <c r="AZ133" s="891">
        <v>3.19</v>
      </c>
      <c r="BA133" s="891">
        <f t="shared" si="6"/>
        <v>191.72000000000003</v>
      </c>
      <c r="BB133" s="926">
        <f t="shared" si="7"/>
        <v>30439.390000000003</v>
      </c>
      <c r="BC133" s="926">
        <f t="shared" si="8"/>
        <v>124.54000000000232</v>
      </c>
      <c r="BD133" s="891"/>
      <c r="BE133" s="891"/>
      <c r="BF133" s="891"/>
      <c r="BG133" s="928"/>
      <c r="BH133" s="928"/>
      <c r="BI133" s="928"/>
    </row>
    <row r="134" spans="1:61">
      <c r="A134" s="891" t="s">
        <v>910</v>
      </c>
      <c r="B134" s="891" t="s">
        <v>560</v>
      </c>
      <c r="C134" s="891" t="s">
        <v>373</v>
      </c>
      <c r="D134" s="891">
        <v>3.28</v>
      </c>
      <c r="E134" s="891">
        <v>16.399999999999999</v>
      </c>
      <c r="F134" s="891">
        <v>2.91</v>
      </c>
      <c r="G134" s="891">
        <v>1.31</v>
      </c>
      <c r="H134" s="891">
        <v>2.09</v>
      </c>
      <c r="I134" s="891">
        <v>0.41</v>
      </c>
      <c r="J134" s="891">
        <v>0.2</v>
      </c>
      <c r="K134" s="891">
        <v>0.56999999999999995</v>
      </c>
      <c r="L134" s="891">
        <v>0.39</v>
      </c>
      <c r="M134" s="891">
        <v>0.98</v>
      </c>
      <c r="N134" s="891">
        <v>4.0999999999999996</v>
      </c>
      <c r="O134" s="891">
        <v>0.33</v>
      </c>
      <c r="P134" s="891">
        <v>9.43</v>
      </c>
      <c r="Q134" s="891">
        <v>1.31</v>
      </c>
      <c r="R134" s="891">
        <v>1.97</v>
      </c>
      <c r="S134" s="891">
        <v>1.97</v>
      </c>
      <c r="T134" s="891">
        <v>0.34</v>
      </c>
      <c r="U134" s="891">
        <v>3.61</v>
      </c>
      <c r="V134" s="891">
        <v>16.399999999999999</v>
      </c>
      <c r="W134" s="891">
        <v>1.1499999999999999</v>
      </c>
      <c r="X134" s="927">
        <v>10822.33</v>
      </c>
      <c r="Y134" s="891">
        <v>237.76</v>
      </c>
      <c r="Z134" s="891">
        <v>147.58000000000001</v>
      </c>
      <c r="AA134" s="891">
        <v>573.91</v>
      </c>
      <c r="AB134" s="891">
        <v>401.74</v>
      </c>
      <c r="AC134" s="891">
        <v>34.43</v>
      </c>
      <c r="AD134" s="891">
        <v>0.02</v>
      </c>
      <c r="AE134" s="891">
        <v>20.91</v>
      </c>
      <c r="AF134" s="891">
        <v>28.7</v>
      </c>
      <c r="AG134" s="891">
        <v>4.92</v>
      </c>
      <c r="AH134" s="891">
        <v>4.0999999999999996</v>
      </c>
      <c r="AI134" s="891">
        <v>39.35</v>
      </c>
      <c r="AJ134" s="891">
        <v>45.09</v>
      </c>
      <c r="AK134" s="891">
        <v>64.77</v>
      </c>
      <c r="AL134" s="891">
        <v>49.19</v>
      </c>
      <c r="AM134" s="891">
        <v>1941.51</v>
      </c>
      <c r="AN134" s="891">
        <v>1147.26</v>
      </c>
      <c r="AO134" s="891">
        <v>696.89</v>
      </c>
      <c r="AP134" s="891">
        <v>10.58</v>
      </c>
      <c r="AQ134" s="891">
        <v>0.82</v>
      </c>
      <c r="AR134" s="891">
        <v>0.33</v>
      </c>
      <c r="AS134" s="891">
        <v>1.64</v>
      </c>
      <c r="AT134" s="891">
        <v>1.97</v>
      </c>
      <c r="AU134" s="891">
        <v>1.23</v>
      </c>
      <c r="AV134" s="891">
        <v>0.33</v>
      </c>
      <c r="AW134" s="891">
        <v>1.1100000000000001</v>
      </c>
      <c r="AX134" s="891">
        <v>1.31</v>
      </c>
      <c r="AY134" s="891">
        <v>0.84</v>
      </c>
      <c r="AZ134" s="891">
        <v>0.53</v>
      </c>
      <c r="BA134" s="891">
        <f t="shared" si="6"/>
        <v>55.36</v>
      </c>
      <c r="BB134" s="926">
        <f t="shared" si="7"/>
        <v>10843.009999999998</v>
      </c>
      <c r="BC134" s="926">
        <f t="shared" si="8"/>
        <v>19.529999999998473</v>
      </c>
      <c r="BD134" s="891"/>
      <c r="BE134" s="891"/>
      <c r="BF134" s="891"/>
      <c r="BG134" s="928"/>
      <c r="BH134" s="928"/>
      <c r="BI134" s="928"/>
    </row>
    <row r="135" spans="1:61">
      <c r="A135" s="891" t="s">
        <v>911</v>
      </c>
      <c r="B135" s="891" t="s">
        <v>570</v>
      </c>
      <c r="C135" s="891" t="s">
        <v>139</v>
      </c>
      <c r="D135" s="891">
        <v>14.1</v>
      </c>
      <c r="E135" s="891">
        <v>72.739999999999995</v>
      </c>
      <c r="F135" s="891">
        <v>12.69</v>
      </c>
      <c r="G135" s="891">
        <v>7.05</v>
      </c>
      <c r="H135" s="891">
        <v>6.77</v>
      </c>
      <c r="I135" s="891">
        <v>2.2599999999999998</v>
      </c>
      <c r="J135" s="891">
        <v>1.97</v>
      </c>
      <c r="K135" s="891">
        <v>1.69</v>
      </c>
      <c r="L135" s="891">
        <v>1.41</v>
      </c>
      <c r="M135" s="891">
        <v>3.66</v>
      </c>
      <c r="N135" s="891">
        <v>12.69</v>
      </c>
      <c r="O135" s="891">
        <v>1.06</v>
      </c>
      <c r="P135" s="891">
        <v>12.69</v>
      </c>
      <c r="Q135" s="891">
        <v>2.11</v>
      </c>
      <c r="R135" s="891">
        <v>2.68</v>
      </c>
      <c r="S135" s="891">
        <v>7.05</v>
      </c>
      <c r="T135" s="891">
        <v>1.86</v>
      </c>
      <c r="U135" s="891">
        <v>7.47</v>
      </c>
      <c r="V135" s="891">
        <v>66.25</v>
      </c>
      <c r="W135" s="891">
        <v>2.14</v>
      </c>
      <c r="X135" s="927">
        <v>34393.32</v>
      </c>
      <c r="Y135" s="891">
        <v>704.78</v>
      </c>
      <c r="Z135" s="891">
        <v>507.44</v>
      </c>
      <c r="AA135" s="891">
        <v>1268.6099999999999</v>
      </c>
      <c r="AB135" s="891">
        <v>845.74</v>
      </c>
      <c r="AC135" s="891">
        <v>169.15</v>
      </c>
      <c r="AD135" s="891">
        <v>0.1</v>
      </c>
      <c r="AE135" s="891">
        <v>23.96</v>
      </c>
      <c r="AF135" s="891">
        <v>56.38</v>
      </c>
      <c r="AG135" s="891">
        <v>7.05</v>
      </c>
      <c r="AH135" s="891">
        <v>10.43</v>
      </c>
      <c r="AI135" s="891">
        <v>84.57</v>
      </c>
      <c r="AJ135" s="891">
        <v>56.38</v>
      </c>
      <c r="AK135" s="891">
        <v>133.91</v>
      </c>
      <c r="AL135" s="891">
        <v>108.54</v>
      </c>
      <c r="AM135" s="891">
        <v>3523.91</v>
      </c>
      <c r="AN135" s="891">
        <v>2255.3000000000002</v>
      </c>
      <c r="AO135" s="891">
        <v>1973.39</v>
      </c>
      <c r="AP135" s="891">
        <v>3</v>
      </c>
      <c r="AQ135" s="891">
        <v>2.82</v>
      </c>
      <c r="AR135" s="891">
        <v>0.92</v>
      </c>
      <c r="AS135" s="891">
        <v>32.21</v>
      </c>
      <c r="AT135" s="891">
        <v>2.4</v>
      </c>
      <c r="AU135" s="891">
        <v>1.55</v>
      </c>
      <c r="AV135" s="891">
        <v>1.1299999999999999</v>
      </c>
      <c r="AW135" s="891">
        <v>1.41</v>
      </c>
      <c r="AX135" s="891">
        <v>3.38</v>
      </c>
      <c r="AY135" s="891">
        <v>1.97</v>
      </c>
      <c r="AZ135" s="891">
        <v>1.41</v>
      </c>
      <c r="BA135" s="891">
        <f t="shared" si="6"/>
        <v>193.21</v>
      </c>
      <c r="BB135" s="926">
        <f t="shared" si="7"/>
        <v>34499.519999999997</v>
      </c>
      <c r="BC135" s="926">
        <f t="shared" si="8"/>
        <v>104.05999999999709</v>
      </c>
      <c r="BD135" s="891"/>
      <c r="BE135" s="891"/>
      <c r="BF135" s="891"/>
      <c r="BG135" s="928"/>
      <c r="BH135" s="928"/>
      <c r="BI135" s="928"/>
    </row>
    <row r="136" spans="1:61">
      <c r="A136" s="891" t="s">
        <v>912</v>
      </c>
      <c r="B136" s="891" t="s">
        <v>559</v>
      </c>
      <c r="C136" s="891" t="s">
        <v>49</v>
      </c>
      <c r="D136" s="891">
        <v>11.59</v>
      </c>
      <c r="E136" s="891">
        <v>53.12</v>
      </c>
      <c r="F136" s="891">
        <v>7.73</v>
      </c>
      <c r="G136" s="891">
        <v>4.83</v>
      </c>
      <c r="H136" s="891">
        <v>5.79</v>
      </c>
      <c r="I136" s="891">
        <v>1.91</v>
      </c>
      <c r="J136" s="891">
        <v>1.45</v>
      </c>
      <c r="K136" s="891">
        <v>2.12</v>
      </c>
      <c r="L136" s="891">
        <v>2.89</v>
      </c>
      <c r="M136" s="891">
        <v>2.9</v>
      </c>
      <c r="N136" s="891">
        <v>11.59</v>
      </c>
      <c r="O136" s="891">
        <v>2.41</v>
      </c>
      <c r="P136" s="891">
        <v>14</v>
      </c>
      <c r="Q136" s="891">
        <v>4.3499999999999996</v>
      </c>
      <c r="R136" s="891">
        <v>4.83</v>
      </c>
      <c r="S136" s="891">
        <v>11.59</v>
      </c>
      <c r="T136" s="891">
        <v>2.17</v>
      </c>
      <c r="U136" s="891">
        <v>19.16</v>
      </c>
      <c r="V136" s="891">
        <v>67.61</v>
      </c>
      <c r="W136" s="891">
        <v>1.27</v>
      </c>
      <c r="X136" s="927">
        <v>24145.26</v>
      </c>
      <c r="Y136" s="891">
        <v>924.76</v>
      </c>
      <c r="Z136" s="891">
        <v>676.07</v>
      </c>
      <c r="AA136" s="891">
        <v>1931.62</v>
      </c>
      <c r="AB136" s="891">
        <v>1448.72</v>
      </c>
      <c r="AC136" s="891">
        <v>115.9</v>
      </c>
      <c r="AD136" s="891">
        <v>0.34</v>
      </c>
      <c r="AE136" s="891">
        <v>56.02</v>
      </c>
      <c r="AF136" s="891">
        <v>48.29</v>
      </c>
      <c r="AG136" s="891">
        <v>33.799999999999997</v>
      </c>
      <c r="AH136" s="891">
        <v>11.11</v>
      </c>
      <c r="AI136" s="891">
        <v>53.12</v>
      </c>
      <c r="AJ136" s="891">
        <v>43.46</v>
      </c>
      <c r="AK136" s="891">
        <v>108.65</v>
      </c>
      <c r="AL136" s="891">
        <v>96.58</v>
      </c>
      <c r="AM136" s="891">
        <v>2897.43</v>
      </c>
      <c r="AN136" s="891">
        <v>1448.72</v>
      </c>
      <c r="AO136" s="891">
        <v>3187.17</v>
      </c>
      <c r="AP136" s="891">
        <v>4</v>
      </c>
      <c r="AQ136" s="891">
        <v>3.09</v>
      </c>
      <c r="AR136" s="891">
        <v>1.64</v>
      </c>
      <c r="AS136" s="891">
        <v>25.88</v>
      </c>
      <c r="AT136" s="891">
        <v>4.3499999999999996</v>
      </c>
      <c r="AU136" s="891">
        <v>4.0599999999999996</v>
      </c>
      <c r="AV136" s="891">
        <v>1.93</v>
      </c>
      <c r="AW136" s="891">
        <v>2.41</v>
      </c>
      <c r="AX136" s="891">
        <v>2.9</v>
      </c>
      <c r="AY136" s="891">
        <v>2.82</v>
      </c>
      <c r="AZ136" s="891">
        <v>4.26</v>
      </c>
      <c r="BA136" s="891">
        <f t="shared" si="6"/>
        <v>172.26000000000002</v>
      </c>
      <c r="BB136" s="926">
        <f t="shared" si="7"/>
        <v>24246.92</v>
      </c>
      <c r="BC136" s="926">
        <f t="shared" si="8"/>
        <v>100.38999999999986</v>
      </c>
      <c r="BD136" s="891"/>
      <c r="BE136" s="891"/>
      <c r="BF136" s="891"/>
      <c r="BG136" s="928"/>
      <c r="BH136" s="928"/>
      <c r="BI136" s="928"/>
    </row>
    <row r="137" spans="1:61">
      <c r="A137" s="891" t="s">
        <v>913</v>
      </c>
      <c r="B137" s="891" t="s">
        <v>566</v>
      </c>
      <c r="C137" s="891" t="s">
        <v>122</v>
      </c>
      <c r="D137" s="891">
        <v>12.87</v>
      </c>
      <c r="E137" s="891">
        <v>50.8</v>
      </c>
      <c r="F137" s="891">
        <v>9.48</v>
      </c>
      <c r="G137" s="891">
        <v>4.0599999999999996</v>
      </c>
      <c r="H137" s="891">
        <v>4.0599999999999996</v>
      </c>
      <c r="I137" s="891">
        <v>2.71</v>
      </c>
      <c r="J137" s="891">
        <v>2.71</v>
      </c>
      <c r="K137" s="891">
        <v>0.85</v>
      </c>
      <c r="L137" s="891">
        <v>2.2400000000000002</v>
      </c>
      <c r="M137" s="891">
        <v>2.71</v>
      </c>
      <c r="N137" s="891">
        <v>10.84</v>
      </c>
      <c r="O137" s="891">
        <v>0.68</v>
      </c>
      <c r="P137" s="891">
        <v>5.42</v>
      </c>
      <c r="Q137" s="891">
        <v>1.19</v>
      </c>
      <c r="R137" s="891">
        <v>1.29</v>
      </c>
      <c r="S137" s="891">
        <v>6.77</v>
      </c>
      <c r="T137" s="891">
        <v>2.98</v>
      </c>
      <c r="U137" s="891">
        <v>8.81</v>
      </c>
      <c r="V137" s="891">
        <v>102.68</v>
      </c>
      <c r="W137" s="891">
        <v>2.17</v>
      </c>
      <c r="X137" s="927">
        <v>23028.99</v>
      </c>
      <c r="Y137" s="891">
        <v>812.79</v>
      </c>
      <c r="Z137" s="891">
        <v>609.59</v>
      </c>
      <c r="AA137" s="891">
        <v>2031.97</v>
      </c>
      <c r="AB137" s="891">
        <v>1083.72</v>
      </c>
      <c r="AC137" s="891">
        <v>216.74</v>
      </c>
      <c r="AD137" s="891">
        <v>0.14000000000000001</v>
      </c>
      <c r="AE137" s="891">
        <v>27.09</v>
      </c>
      <c r="AF137" s="891">
        <v>81.28</v>
      </c>
      <c r="AG137" s="891">
        <v>28.45</v>
      </c>
      <c r="AH137" s="891">
        <v>12.19</v>
      </c>
      <c r="AI137" s="891">
        <v>101.6</v>
      </c>
      <c r="AJ137" s="891">
        <v>54.19</v>
      </c>
      <c r="AK137" s="891">
        <v>135.46</v>
      </c>
      <c r="AL137" s="891">
        <v>111.76</v>
      </c>
      <c r="AM137" s="891">
        <v>8127.88</v>
      </c>
      <c r="AN137" s="891">
        <v>4063.94</v>
      </c>
      <c r="AO137" s="891">
        <v>2743.16</v>
      </c>
      <c r="AP137" s="891">
        <v>2.15</v>
      </c>
      <c r="AQ137" s="891">
        <v>3.86</v>
      </c>
      <c r="AR137" s="891">
        <v>2.29</v>
      </c>
      <c r="AS137" s="891">
        <v>33.869999999999997</v>
      </c>
      <c r="AT137" s="891">
        <v>2.71</v>
      </c>
      <c r="AU137" s="891">
        <v>2.71</v>
      </c>
      <c r="AV137" s="891">
        <v>1.35</v>
      </c>
      <c r="AW137" s="891">
        <v>1.1100000000000001</v>
      </c>
      <c r="AX137" s="891">
        <v>3.39</v>
      </c>
      <c r="AY137" s="891">
        <v>2.2999999999999998</v>
      </c>
      <c r="AZ137" s="891">
        <v>2.71</v>
      </c>
      <c r="BA137" s="891">
        <f t="shared" si="6"/>
        <v>243.97</v>
      </c>
      <c r="BB137" s="926">
        <f t="shared" si="7"/>
        <v>23176.840000000004</v>
      </c>
      <c r="BC137" s="926">
        <f t="shared" si="8"/>
        <v>145.6800000000022</v>
      </c>
      <c r="BD137" s="891"/>
      <c r="BE137" s="891"/>
      <c r="BF137" s="891"/>
      <c r="BG137" s="928"/>
      <c r="BH137" s="928"/>
      <c r="BI137" s="928"/>
    </row>
    <row r="138" spans="1:61">
      <c r="A138" s="891" t="s">
        <v>914</v>
      </c>
      <c r="B138" s="891" t="s">
        <v>559</v>
      </c>
      <c r="C138" s="891" t="s">
        <v>123</v>
      </c>
      <c r="D138" s="891">
        <v>11.59</v>
      </c>
      <c r="E138" s="891">
        <v>43.46</v>
      </c>
      <c r="F138" s="891">
        <v>7.46</v>
      </c>
      <c r="G138" s="891">
        <v>4.83</v>
      </c>
      <c r="H138" s="891">
        <v>5.67</v>
      </c>
      <c r="I138" s="891">
        <v>1.74</v>
      </c>
      <c r="J138" s="891">
        <v>1.45</v>
      </c>
      <c r="K138" s="891">
        <v>1.93</v>
      </c>
      <c r="L138" s="891">
        <v>1.93</v>
      </c>
      <c r="M138" s="891">
        <v>2.73</v>
      </c>
      <c r="N138" s="891">
        <v>15.45</v>
      </c>
      <c r="O138" s="891">
        <v>1.57</v>
      </c>
      <c r="P138" s="891">
        <v>13.28</v>
      </c>
      <c r="Q138" s="891">
        <v>1.45</v>
      </c>
      <c r="R138" s="891">
        <v>1.93</v>
      </c>
      <c r="S138" s="891">
        <v>9.66</v>
      </c>
      <c r="T138" s="891">
        <v>2.46</v>
      </c>
      <c r="U138" s="891">
        <v>8.52</v>
      </c>
      <c r="V138" s="891">
        <v>67.61</v>
      </c>
      <c r="W138" s="891">
        <v>1.21</v>
      </c>
      <c r="X138" s="927">
        <v>21489.279999999999</v>
      </c>
      <c r="Y138" s="891">
        <v>676.07</v>
      </c>
      <c r="Z138" s="891">
        <v>651.91999999999996</v>
      </c>
      <c r="AA138" s="891">
        <v>1062.3900000000001</v>
      </c>
      <c r="AB138" s="891">
        <v>1062.3900000000001</v>
      </c>
      <c r="AC138" s="891">
        <v>289.74</v>
      </c>
      <c r="AD138" s="891">
        <v>0.28999999999999998</v>
      </c>
      <c r="AE138" s="891">
        <v>46.84</v>
      </c>
      <c r="AF138" s="891">
        <v>43.46</v>
      </c>
      <c r="AG138" s="891">
        <v>48.29</v>
      </c>
      <c r="AH138" s="891">
        <v>10.87</v>
      </c>
      <c r="AI138" s="891">
        <v>57.95</v>
      </c>
      <c r="AJ138" s="891">
        <v>36.22</v>
      </c>
      <c r="AK138" s="891">
        <v>77.260000000000005</v>
      </c>
      <c r="AL138" s="891">
        <v>72.44</v>
      </c>
      <c r="AM138" s="891">
        <v>1559.38</v>
      </c>
      <c r="AN138" s="891">
        <v>1746.51</v>
      </c>
      <c r="AO138" s="891">
        <v>2414.5300000000002</v>
      </c>
      <c r="AP138" s="891">
        <v>3</v>
      </c>
      <c r="AQ138" s="891">
        <v>3.09</v>
      </c>
      <c r="AR138" s="891">
        <v>1.76</v>
      </c>
      <c r="AS138" s="891">
        <v>45.12</v>
      </c>
      <c r="AT138" s="891">
        <v>2.3199999999999998</v>
      </c>
      <c r="AU138" s="891">
        <v>2.2200000000000002</v>
      </c>
      <c r="AV138" s="891">
        <v>1.45</v>
      </c>
      <c r="AW138" s="891">
        <v>1.45</v>
      </c>
      <c r="AX138" s="891">
        <v>2.66</v>
      </c>
      <c r="AY138" s="891">
        <v>3.14</v>
      </c>
      <c r="AZ138" s="891">
        <v>1.93</v>
      </c>
      <c r="BA138" s="891">
        <f t="shared" si="6"/>
        <v>336.87</v>
      </c>
      <c r="BB138" s="926">
        <f t="shared" si="7"/>
        <v>21610.529999999995</v>
      </c>
      <c r="BC138" s="926">
        <f t="shared" si="8"/>
        <v>120.03999999999637</v>
      </c>
      <c r="BD138" s="891"/>
      <c r="BE138" s="891"/>
      <c r="BF138" s="891"/>
      <c r="BG138" s="928"/>
      <c r="BH138" s="928"/>
      <c r="BI138" s="928"/>
    </row>
    <row r="139" spans="1:61">
      <c r="A139" s="891" t="s">
        <v>915</v>
      </c>
      <c r="B139" s="891" t="s">
        <v>552</v>
      </c>
      <c r="C139" s="891" t="s">
        <v>270</v>
      </c>
      <c r="D139" s="891">
        <v>4.49</v>
      </c>
      <c r="E139" s="891">
        <v>17.97</v>
      </c>
      <c r="F139" s="891">
        <v>4.9000000000000004</v>
      </c>
      <c r="G139" s="891">
        <v>1.63</v>
      </c>
      <c r="H139" s="891">
        <v>4.57</v>
      </c>
      <c r="I139" s="891">
        <v>0.82</v>
      </c>
      <c r="J139" s="891">
        <v>0.33</v>
      </c>
      <c r="K139" s="891">
        <v>2.4500000000000002</v>
      </c>
      <c r="L139" s="891">
        <v>1.39</v>
      </c>
      <c r="M139" s="891">
        <v>1.96</v>
      </c>
      <c r="N139" s="891">
        <v>17.239999999999998</v>
      </c>
      <c r="O139" s="891">
        <v>0.98</v>
      </c>
      <c r="P139" s="891">
        <v>13.07</v>
      </c>
      <c r="Q139" s="891">
        <v>0.87</v>
      </c>
      <c r="R139" s="891">
        <v>2.4500000000000002</v>
      </c>
      <c r="S139" s="891">
        <v>2.4500000000000002</v>
      </c>
      <c r="T139" s="891">
        <v>0.49</v>
      </c>
      <c r="U139" s="891">
        <v>4.08</v>
      </c>
      <c r="V139" s="891">
        <v>12.25</v>
      </c>
      <c r="W139" s="891">
        <v>1.25</v>
      </c>
      <c r="X139" s="927">
        <v>25770.19</v>
      </c>
      <c r="Y139" s="891">
        <v>612.66999999999996</v>
      </c>
      <c r="Z139" s="891">
        <v>326.75</v>
      </c>
      <c r="AA139" s="891">
        <v>1576.59</v>
      </c>
      <c r="AB139" s="891">
        <v>816.89</v>
      </c>
      <c r="AC139" s="891">
        <v>49.01</v>
      </c>
      <c r="AD139" s="891">
        <v>0.06</v>
      </c>
      <c r="AE139" s="891">
        <v>24.51</v>
      </c>
      <c r="AF139" s="891">
        <v>40.840000000000003</v>
      </c>
      <c r="AG139" s="891">
        <v>17.97</v>
      </c>
      <c r="AH139" s="891">
        <v>16.34</v>
      </c>
      <c r="AI139" s="891">
        <v>146.22</v>
      </c>
      <c r="AJ139" s="891">
        <v>91.49</v>
      </c>
      <c r="AK139" s="891">
        <v>147.04</v>
      </c>
      <c r="AL139" s="891">
        <v>204.22</v>
      </c>
      <c r="AM139" s="891">
        <v>6535.09</v>
      </c>
      <c r="AN139" s="891">
        <v>3104.17</v>
      </c>
      <c r="AO139" s="891">
        <v>889.29</v>
      </c>
      <c r="AP139" s="891">
        <v>5.78</v>
      </c>
      <c r="AQ139" s="891">
        <v>1.8</v>
      </c>
      <c r="AR139" s="891">
        <v>0.42</v>
      </c>
      <c r="AS139" s="891">
        <v>4.9000000000000004</v>
      </c>
      <c r="AT139" s="891">
        <v>1.47</v>
      </c>
      <c r="AU139" s="891">
        <v>1.63</v>
      </c>
      <c r="AV139" s="891">
        <v>0.96</v>
      </c>
      <c r="AW139" s="891">
        <v>1.23</v>
      </c>
      <c r="AX139" s="891">
        <v>3.92</v>
      </c>
      <c r="AY139" s="891">
        <v>1.26</v>
      </c>
      <c r="AZ139" s="891">
        <v>2.12</v>
      </c>
      <c r="BA139" s="891">
        <f t="shared" si="6"/>
        <v>73.58</v>
      </c>
      <c r="BB139" s="926">
        <f t="shared" si="7"/>
        <v>25791.3</v>
      </c>
      <c r="BC139" s="926">
        <f t="shared" si="8"/>
        <v>19.860000000000582</v>
      </c>
      <c r="BD139" s="891"/>
      <c r="BE139" s="891"/>
      <c r="BF139" s="891"/>
      <c r="BG139" s="928"/>
      <c r="BH139" s="928"/>
      <c r="BI139" s="928"/>
    </row>
    <row r="140" spans="1:61">
      <c r="A140" s="891" t="s">
        <v>916</v>
      </c>
      <c r="B140" s="891" t="s">
        <v>653</v>
      </c>
      <c r="C140" s="891" t="s">
        <v>332</v>
      </c>
      <c r="D140" s="891">
        <v>2.13</v>
      </c>
      <c r="E140" s="891">
        <v>14.23</v>
      </c>
      <c r="F140" s="891">
        <v>3.68</v>
      </c>
      <c r="G140" s="891">
        <v>0.95</v>
      </c>
      <c r="H140" s="891">
        <v>2.25</v>
      </c>
      <c r="I140" s="891">
        <v>0.47</v>
      </c>
      <c r="J140" s="891">
        <v>0.38</v>
      </c>
      <c r="K140" s="891">
        <v>1.35</v>
      </c>
      <c r="L140" s="891">
        <v>0.68</v>
      </c>
      <c r="M140" s="891">
        <v>1.42</v>
      </c>
      <c r="N140" s="891">
        <v>8.3000000000000007</v>
      </c>
      <c r="O140" s="891">
        <v>0.71</v>
      </c>
      <c r="P140" s="891">
        <v>12</v>
      </c>
      <c r="Q140" s="891">
        <v>0.6</v>
      </c>
      <c r="R140" s="891">
        <v>0.97</v>
      </c>
      <c r="S140" s="891">
        <v>1.1100000000000001</v>
      </c>
      <c r="T140" s="891">
        <v>0.24</v>
      </c>
      <c r="U140" s="891">
        <v>2.85</v>
      </c>
      <c r="V140" s="891">
        <v>5.69</v>
      </c>
      <c r="W140" s="891">
        <v>1.26</v>
      </c>
      <c r="X140" s="927">
        <v>53456.25</v>
      </c>
      <c r="Y140" s="891">
        <v>474.27</v>
      </c>
      <c r="Z140" s="891">
        <v>225</v>
      </c>
      <c r="AA140" s="891">
        <v>974.27</v>
      </c>
      <c r="AB140" s="891">
        <v>474.27</v>
      </c>
      <c r="AC140" s="891">
        <v>47.09</v>
      </c>
      <c r="AD140" s="891">
        <v>7.0000000000000007E-2</v>
      </c>
      <c r="AE140" s="891">
        <v>13.89</v>
      </c>
      <c r="AF140" s="891">
        <v>94.85</v>
      </c>
      <c r="AG140" s="891">
        <v>4.74</v>
      </c>
      <c r="AH140" s="891">
        <v>4.74</v>
      </c>
      <c r="AI140" s="891">
        <v>94.85</v>
      </c>
      <c r="AJ140" s="891">
        <v>17.11</v>
      </c>
      <c r="AK140" s="891">
        <v>103.98</v>
      </c>
      <c r="AL140" s="891">
        <v>55.83</v>
      </c>
      <c r="AM140" s="891">
        <v>1897.08</v>
      </c>
      <c r="AN140" s="891">
        <v>853.69</v>
      </c>
      <c r="AO140" s="891">
        <v>284.56</v>
      </c>
      <c r="AP140" s="891">
        <v>12</v>
      </c>
      <c r="AQ140" s="891">
        <v>0.56999999999999995</v>
      </c>
      <c r="AR140" s="891">
        <v>0.56999999999999995</v>
      </c>
      <c r="AS140" s="891">
        <v>4.74</v>
      </c>
      <c r="AT140" s="891">
        <v>2.85</v>
      </c>
      <c r="AU140" s="891">
        <v>1.7</v>
      </c>
      <c r="AV140" s="891">
        <v>0.68</v>
      </c>
      <c r="AW140" s="891">
        <v>1</v>
      </c>
      <c r="AX140" s="891">
        <v>1.95</v>
      </c>
      <c r="AY140" s="891">
        <v>0.66</v>
      </c>
      <c r="AZ140" s="891">
        <v>0.71</v>
      </c>
      <c r="BA140" s="891">
        <f t="shared" si="6"/>
        <v>61.050000000000004</v>
      </c>
      <c r="BB140" s="926">
        <f t="shared" si="7"/>
        <v>53469.32</v>
      </c>
      <c r="BC140" s="926">
        <f t="shared" si="8"/>
        <v>11.809999999999709</v>
      </c>
      <c r="BD140" s="891"/>
      <c r="BE140" s="891"/>
      <c r="BF140" s="891"/>
      <c r="BG140" s="928"/>
      <c r="BH140" s="928"/>
      <c r="BI140" s="928"/>
    </row>
    <row r="141" spans="1:61">
      <c r="A141" s="891" t="s">
        <v>917</v>
      </c>
      <c r="B141" s="891" t="s">
        <v>755</v>
      </c>
      <c r="C141" s="891" t="s">
        <v>223</v>
      </c>
      <c r="D141" s="891">
        <v>10</v>
      </c>
      <c r="E141" s="891">
        <v>30</v>
      </c>
      <c r="F141" s="891">
        <v>8.5</v>
      </c>
      <c r="G141" s="891">
        <v>1.25</v>
      </c>
      <c r="H141" s="891">
        <v>2</v>
      </c>
      <c r="I141" s="891">
        <v>1</v>
      </c>
      <c r="J141" s="891">
        <v>0.5</v>
      </c>
      <c r="K141" s="891">
        <v>1.35</v>
      </c>
      <c r="L141" s="891">
        <v>1</v>
      </c>
      <c r="M141" s="891">
        <v>2.5</v>
      </c>
      <c r="N141" s="891">
        <v>10</v>
      </c>
      <c r="O141" s="891">
        <v>2.75</v>
      </c>
      <c r="P141" s="891">
        <v>7</v>
      </c>
      <c r="Q141" s="891">
        <v>1</v>
      </c>
      <c r="R141" s="891">
        <v>1.75</v>
      </c>
      <c r="S141" s="891">
        <v>1.5</v>
      </c>
      <c r="T141" s="891">
        <v>1</v>
      </c>
      <c r="U141" s="891">
        <v>5.63</v>
      </c>
      <c r="V141" s="891">
        <v>20</v>
      </c>
      <c r="W141" s="891">
        <v>1.5</v>
      </c>
      <c r="X141" s="927">
        <v>17000</v>
      </c>
      <c r="Y141" s="891">
        <v>450</v>
      </c>
      <c r="Z141" s="891">
        <v>450</v>
      </c>
      <c r="AA141" s="891">
        <v>800</v>
      </c>
      <c r="AB141" s="891">
        <v>950</v>
      </c>
      <c r="AC141" s="891">
        <v>192.5</v>
      </c>
      <c r="AD141" s="891">
        <v>0.25</v>
      </c>
      <c r="AE141" s="891">
        <v>52.5</v>
      </c>
      <c r="AF141" s="891">
        <v>100</v>
      </c>
      <c r="AG141" s="891">
        <v>2.5</v>
      </c>
      <c r="AH141" s="891">
        <v>3.5</v>
      </c>
      <c r="AI141" s="891">
        <v>52.5</v>
      </c>
      <c r="AJ141" s="891">
        <v>20</v>
      </c>
      <c r="AK141" s="891">
        <v>120</v>
      </c>
      <c r="AL141" s="891">
        <v>90</v>
      </c>
      <c r="AM141" s="891">
        <v>1000</v>
      </c>
      <c r="AN141" s="891">
        <v>1000</v>
      </c>
      <c r="AO141" s="891">
        <v>500</v>
      </c>
      <c r="AP141" s="891">
        <v>21</v>
      </c>
      <c r="AQ141" s="891">
        <v>3</v>
      </c>
      <c r="AR141" s="891">
        <v>1</v>
      </c>
      <c r="AS141" s="891">
        <v>4</v>
      </c>
      <c r="AT141" s="891">
        <v>3</v>
      </c>
      <c r="AU141" s="891">
        <v>3</v>
      </c>
      <c r="AV141" s="891">
        <v>2</v>
      </c>
      <c r="AW141" s="891">
        <v>0.5</v>
      </c>
      <c r="AX141" s="891">
        <v>2</v>
      </c>
      <c r="AY141" s="891">
        <v>2.5</v>
      </c>
      <c r="AZ141" s="891">
        <v>2</v>
      </c>
      <c r="BA141" s="891">
        <f t="shared" si="6"/>
        <v>245.25</v>
      </c>
      <c r="BB141" s="926">
        <f t="shared" si="7"/>
        <v>17030.5</v>
      </c>
      <c r="BC141" s="926">
        <f t="shared" si="8"/>
        <v>29</v>
      </c>
      <c r="BD141" s="891"/>
      <c r="BE141" s="891"/>
      <c r="BF141" s="891"/>
      <c r="BG141" s="928"/>
      <c r="BH141" s="928"/>
      <c r="BI141" s="928"/>
    </row>
    <row r="142" spans="1:61">
      <c r="A142" s="891" t="s">
        <v>918</v>
      </c>
      <c r="B142" s="891" t="s">
        <v>566</v>
      </c>
      <c r="C142" s="891" t="s">
        <v>85</v>
      </c>
      <c r="D142" s="891">
        <v>12.19</v>
      </c>
      <c r="E142" s="891">
        <v>38.61</v>
      </c>
      <c r="F142" s="891">
        <v>7.92</v>
      </c>
      <c r="G142" s="891">
        <v>4.0599999999999996</v>
      </c>
      <c r="H142" s="891">
        <v>3.39</v>
      </c>
      <c r="I142" s="891">
        <v>2.91</v>
      </c>
      <c r="J142" s="891">
        <v>2.71</v>
      </c>
      <c r="K142" s="891">
        <v>1.35</v>
      </c>
      <c r="L142" s="891">
        <v>2.0299999999999998</v>
      </c>
      <c r="M142" s="891">
        <v>3.98</v>
      </c>
      <c r="N142" s="891">
        <v>16.93</v>
      </c>
      <c r="O142" s="891">
        <v>0.81</v>
      </c>
      <c r="P142" s="891">
        <v>6.77</v>
      </c>
      <c r="Q142" s="891">
        <v>1.08</v>
      </c>
      <c r="R142" s="891">
        <v>1.35</v>
      </c>
      <c r="S142" s="891">
        <v>6.77</v>
      </c>
      <c r="T142" s="891">
        <v>3.12</v>
      </c>
      <c r="U142" s="891">
        <v>13.55</v>
      </c>
      <c r="V142" s="891">
        <v>83.99</v>
      </c>
      <c r="W142" s="891">
        <v>2.17</v>
      </c>
      <c r="X142" s="927">
        <v>23028.99</v>
      </c>
      <c r="Y142" s="891">
        <v>812.79</v>
      </c>
      <c r="Z142" s="891">
        <v>650.23</v>
      </c>
      <c r="AA142" s="891">
        <v>1490.11</v>
      </c>
      <c r="AB142" s="891">
        <v>1083.72</v>
      </c>
      <c r="AC142" s="891">
        <v>216.74</v>
      </c>
      <c r="AD142" s="891">
        <v>0.14000000000000001</v>
      </c>
      <c r="AE142" s="891">
        <v>27.09</v>
      </c>
      <c r="AF142" s="891">
        <v>67.73</v>
      </c>
      <c r="AG142" s="891">
        <v>27.09</v>
      </c>
      <c r="AH142" s="891">
        <v>12.19</v>
      </c>
      <c r="AI142" s="891">
        <v>101.6</v>
      </c>
      <c r="AJ142" s="891">
        <v>40.64</v>
      </c>
      <c r="AK142" s="891">
        <v>115.14</v>
      </c>
      <c r="AL142" s="891">
        <v>94.83</v>
      </c>
      <c r="AM142" s="891">
        <v>3725.28</v>
      </c>
      <c r="AN142" s="891">
        <v>2031.97</v>
      </c>
      <c r="AO142" s="891">
        <v>2844.76</v>
      </c>
      <c r="AP142" s="891">
        <v>3.58</v>
      </c>
      <c r="AQ142" s="891">
        <v>3.93</v>
      </c>
      <c r="AR142" s="891">
        <v>3.39</v>
      </c>
      <c r="AS142" s="891">
        <v>54.19</v>
      </c>
      <c r="AT142" s="891">
        <v>3.39</v>
      </c>
      <c r="AU142" s="891">
        <v>3.39</v>
      </c>
      <c r="AV142" s="891">
        <v>2.0299999999999998</v>
      </c>
      <c r="AW142" s="891">
        <v>1.22</v>
      </c>
      <c r="AX142" s="891">
        <v>2.98</v>
      </c>
      <c r="AY142" s="891">
        <v>2.2999999999999998</v>
      </c>
      <c r="AZ142" s="891">
        <v>4.0599999999999996</v>
      </c>
      <c r="BA142" s="891">
        <f t="shared" si="6"/>
        <v>243.97</v>
      </c>
      <c r="BB142" s="926">
        <f t="shared" si="7"/>
        <v>23179.78</v>
      </c>
      <c r="BC142" s="926">
        <f t="shared" si="8"/>
        <v>148.61999999999725</v>
      </c>
      <c r="BD142" s="891"/>
      <c r="BE142" s="891"/>
      <c r="BF142" s="891"/>
      <c r="BG142" s="928"/>
      <c r="BH142" s="928"/>
      <c r="BI142" s="928"/>
    </row>
    <row r="143" spans="1:61">
      <c r="A143" s="891" t="s">
        <v>919</v>
      </c>
      <c r="B143" s="891" t="s">
        <v>588</v>
      </c>
      <c r="C143" s="891" t="s">
        <v>36</v>
      </c>
      <c r="D143" s="891">
        <v>13.55</v>
      </c>
      <c r="E143" s="891">
        <v>81.28</v>
      </c>
      <c r="F143" s="891">
        <v>10.77</v>
      </c>
      <c r="G143" s="891">
        <v>7.18</v>
      </c>
      <c r="H143" s="891">
        <v>8.1300000000000008</v>
      </c>
      <c r="I143" s="891">
        <v>2.71</v>
      </c>
      <c r="J143" s="891">
        <v>2.71</v>
      </c>
      <c r="K143" s="891">
        <v>1.35</v>
      </c>
      <c r="L143" s="891">
        <v>2.71</v>
      </c>
      <c r="M143" s="891">
        <v>2.78</v>
      </c>
      <c r="N143" s="891">
        <v>10.84</v>
      </c>
      <c r="O143" s="891">
        <v>2.71</v>
      </c>
      <c r="P143" s="891">
        <v>14.9</v>
      </c>
      <c r="Q143" s="891">
        <v>3.39</v>
      </c>
      <c r="R143" s="891">
        <v>4.0599999999999996</v>
      </c>
      <c r="S143" s="891">
        <v>7.04</v>
      </c>
      <c r="T143" s="891">
        <v>3.66</v>
      </c>
      <c r="U143" s="891">
        <v>16.260000000000002</v>
      </c>
      <c r="V143" s="891">
        <v>60.96</v>
      </c>
      <c r="W143" s="891">
        <v>2.2999999999999998</v>
      </c>
      <c r="X143" s="927">
        <v>33527.5</v>
      </c>
      <c r="Y143" s="891">
        <v>1259.82</v>
      </c>
      <c r="Z143" s="891">
        <v>1015.98</v>
      </c>
      <c r="AA143" s="891">
        <v>2438.36</v>
      </c>
      <c r="AB143" s="891">
        <v>1625.58</v>
      </c>
      <c r="AC143" s="891">
        <v>107.95</v>
      </c>
      <c r="AD143" s="891">
        <v>0.1</v>
      </c>
      <c r="AE143" s="891">
        <v>27.09</v>
      </c>
      <c r="AF143" s="891">
        <v>81.28</v>
      </c>
      <c r="AG143" s="891">
        <v>32.51</v>
      </c>
      <c r="AH143" s="891">
        <v>16.260000000000002</v>
      </c>
      <c r="AI143" s="891">
        <v>128.69</v>
      </c>
      <c r="AJ143" s="891">
        <v>47.41</v>
      </c>
      <c r="AK143" s="891">
        <v>135.46</v>
      </c>
      <c r="AL143" s="891">
        <v>121.92</v>
      </c>
      <c r="AM143" s="891">
        <v>7856.95</v>
      </c>
      <c r="AN143" s="891">
        <v>5147.66</v>
      </c>
      <c r="AO143" s="891">
        <v>3115.69</v>
      </c>
      <c r="AP143" s="891">
        <v>2.5</v>
      </c>
      <c r="AQ143" s="891">
        <v>9.48</v>
      </c>
      <c r="AR143" s="891">
        <v>2.06</v>
      </c>
      <c r="AS143" s="891">
        <v>56.9</v>
      </c>
      <c r="AT143" s="891">
        <v>3.05</v>
      </c>
      <c r="AU143" s="891">
        <v>3.05</v>
      </c>
      <c r="AV143" s="891">
        <v>1.35</v>
      </c>
      <c r="AW143" s="891">
        <v>2.0299999999999998</v>
      </c>
      <c r="AX143" s="891">
        <v>4.0599999999999996</v>
      </c>
      <c r="AY143" s="891">
        <v>2.71</v>
      </c>
      <c r="AZ143" s="891">
        <v>4.0599999999999996</v>
      </c>
      <c r="BA143" s="891">
        <f t="shared" si="6"/>
        <v>135.13999999999999</v>
      </c>
      <c r="BB143" s="926">
        <f t="shared" si="7"/>
        <v>33662.86</v>
      </c>
      <c r="BC143" s="926">
        <f t="shared" si="8"/>
        <v>133.06000000000057</v>
      </c>
      <c r="BD143" s="891"/>
      <c r="BE143" s="891"/>
      <c r="BF143" s="891"/>
      <c r="BG143" s="928"/>
      <c r="BH143" s="928"/>
      <c r="BI143" s="928"/>
    </row>
    <row r="144" spans="1:61">
      <c r="A144" s="891" t="s">
        <v>1512</v>
      </c>
      <c r="B144" s="891" t="s">
        <v>564</v>
      </c>
      <c r="C144" s="891" t="s">
        <v>413</v>
      </c>
      <c r="D144" s="891">
        <v>14.22</v>
      </c>
      <c r="E144" s="891">
        <v>39.28</v>
      </c>
      <c r="F144" s="891">
        <v>8.1300000000000008</v>
      </c>
      <c r="G144" s="891">
        <v>3.73</v>
      </c>
      <c r="H144" s="891">
        <v>5.08</v>
      </c>
      <c r="I144" s="891">
        <v>1.9</v>
      </c>
      <c r="J144" s="891">
        <v>0.68</v>
      </c>
      <c r="K144" s="891">
        <v>1.83</v>
      </c>
      <c r="L144" s="891">
        <v>1.29</v>
      </c>
      <c r="M144" s="891">
        <v>4.4000000000000004</v>
      </c>
      <c r="N144" s="891">
        <v>12.19</v>
      </c>
      <c r="O144" s="891">
        <v>1.02</v>
      </c>
      <c r="P144" s="891">
        <v>7.45</v>
      </c>
      <c r="Q144" s="891">
        <v>1.56</v>
      </c>
      <c r="R144" s="891">
        <v>2.71</v>
      </c>
      <c r="S144" s="891">
        <v>5.42</v>
      </c>
      <c r="T144" s="891">
        <v>1.63</v>
      </c>
      <c r="U144" s="891">
        <v>10.16</v>
      </c>
      <c r="V144" s="891">
        <v>36.58</v>
      </c>
      <c r="W144" s="891">
        <v>2.44</v>
      </c>
      <c r="X144" s="927">
        <v>23028.99</v>
      </c>
      <c r="Y144" s="891">
        <v>338.66</v>
      </c>
      <c r="Z144" s="891">
        <v>291.25</v>
      </c>
      <c r="AA144" s="891">
        <v>575.72</v>
      </c>
      <c r="AB144" s="891">
        <v>609.59</v>
      </c>
      <c r="AC144" s="891">
        <v>138.16999999999999</v>
      </c>
      <c r="AD144" s="891">
        <v>0.41</v>
      </c>
      <c r="AE144" s="891">
        <v>32.51</v>
      </c>
      <c r="AF144" s="891">
        <v>47.41</v>
      </c>
      <c r="AG144" s="891">
        <v>12.19</v>
      </c>
      <c r="AH144" s="891">
        <v>10.84</v>
      </c>
      <c r="AI144" s="891">
        <v>115.14</v>
      </c>
      <c r="AJ144" s="891">
        <v>54.19</v>
      </c>
      <c r="AK144" s="891">
        <v>121.92</v>
      </c>
      <c r="AL144" s="891">
        <v>115.14</v>
      </c>
      <c r="AM144" s="891">
        <v>3725.28</v>
      </c>
      <c r="AN144" s="891">
        <v>1896.51</v>
      </c>
      <c r="AO144" s="891">
        <v>948.25</v>
      </c>
      <c r="AP144" s="891">
        <v>6</v>
      </c>
      <c r="AQ144" s="891">
        <v>3.39</v>
      </c>
      <c r="AR144" s="891">
        <v>2.54</v>
      </c>
      <c r="AS144" s="891">
        <v>12.87</v>
      </c>
      <c r="AT144" s="891">
        <v>2.0299999999999998</v>
      </c>
      <c r="AU144" s="891">
        <v>1.35</v>
      </c>
      <c r="AV144" s="891">
        <v>0.81</v>
      </c>
      <c r="AW144" s="891">
        <v>0.91</v>
      </c>
      <c r="AX144" s="891">
        <v>4.9400000000000004</v>
      </c>
      <c r="AY144" s="891">
        <v>2.17</v>
      </c>
      <c r="AZ144" s="891">
        <v>1.83</v>
      </c>
      <c r="BA144" s="891">
        <f t="shared" si="6"/>
        <v>171.08999999999997</v>
      </c>
      <c r="BB144" s="926">
        <f t="shared" si="7"/>
        <v>23088.440000000002</v>
      </c>
      <c r="BC144" s="926">
        <f t="shared" si="8"/>
        <v>57.01000000000073</v>
      </c>
      <c r="BD144" s="891"/>
      <c r="BE144" s="891"/>
      <c r="BF144" s="891"/>
      <c r="BG144" s="928"/>
      <c r="BH144" s="928"/>
      <c r="BI144" s="928"/>
    </row>
    <row r="145" spans="1:61">
      <c r="A145" s="891" t="s">
        <v>1604</v>
      </c>
      <c r="B145" s="891" t="s">
        <v>653</v>
      </c>
      <c r="C145" s="891" t="s">
        <v>356</v>
      </c>
      <c r="D145" s="891">
        <v>2.85</v>
      </c>
      <c r="E145" s="891">
        <v>14.23</v>
      </c>
      <c r="F145" s="891">
        <v>4</v>
      </c>
      <c r="G145" s="891">
        <v>1</v>
      </c>
      <c r="H145" s="891">
        <v>1.9</v>
      </c>
      <c r="I145" s="891">
        <v>0.48</v>
      </c>
      <c r="J145" s="891">
        <v>0.38</v>
      </c>
      <c r="K145" s="891">
        <v>1.63</v>
      </c>
      <c r="L145" s="891">
        <v>0.97</v>
      </c>
      <c r="M145" s="891">
        <v>1.42</v>
      </c>
      <c r="N145" s="891">
        <v>9.49</v>
      </c>
      <c r="O145" s="891">
        <v>0.53</v>
      </c>
      <c r="P145" s="891">
        <v>7.11</v>
      </c>
      <c r="Q145" s="891">
        <v>0.56999999999999995</v>
      </c>
      <c r="R145" s="891">
        <v>1.07</v>
      </c>
      <c r="S145" s="891">
        <v>1</v>
      </c>
      <c r="T145" s="891">
        <v>0.22</v>
      </c>
      <c r="U145" s="891">
        <v>3.79</v>
      </c>
      <c r="V145" s="891">
        <v>7.83</v>
      </c>
      <c r="W145" s="891">
        <v>1.1499999999999999</v>
      </c>
      <c r="X145" s="927">
        <v>47427.08</v>
      </c>
      <c r="Y145" s="891">
        <v>414.71</v>
      </c>
      <c r="Z145" s="891">
        <v>284.56</v>
      </c>
      <c r="AA145" s="891">
        <v>948.54</v>
      </c>
      <c r="AB145" s="891">
        <v>474.27</v>
      </c>
      <c r="AC145" s="891">
        <v>51.2</v>
      </c>
      <c r="AD145" s="891">
        <v>0.09</v>
      </c>
      <c r="AE145" s="891">
        <v>15.09</v>
      </c>
      <c r="AF145" s="891">
        <v>50</v>
      </c>
      <c r="AG145" s="891">
        <v>9.49</v>
      </c>
      <c r="AH145" s="891">
        <v>4.2699999999999996</v>
      </c>
      <c r="AI145" s="891">
        <v>45.89</v>
      </c>
      <c r="AJ145" s="891">
        <v>30.83</v>
      </c>
      <c r="AK145" s="891">
        <v>47.43</v>
      </c>
      <c r="AL145" s="891">
        <v>28.46</v>
      </c>
      <c r="AM145" s="891">
        <v>1404.1</v>
      </c>
      <c r="AN145" s="891">
        <v>711.41</v>
      </c>
      <c r="AO145" s="891">
        <v>379.42</v>
      </c>
      <c r="AP145" s="891">
        <v>12</v>
      </c>
      <c r="AQ145" s="891">
        <v>0.56999999999999995</v>
      </c>
      <c r="AR145" s="891">
        <v>0.6</v>
      </c>
      <c r="AS145" s="891">
        <v>1</v>
      </c>
      <c r="AT145" s="891">
        <v>2.13</v>
      </c>
      <c r="AU145" s="891">
        <v>1.68</v>
      </c>
      <c r="AV145" s="891">
        <v>0.8</v>
      </c>
      <c r="AW145" s="891">
        <v>0.47</v>
      </c>
      <c r="AX145" s="891">
        <v>2.25</v>
      </c>
      <c r="AY145" s="891">
        <v>0.85</v>
      </c>
      <c r="AZ145" s="891">
        <v>0.47</v>
      </c>
      <c r="BA145" s="891">
        <f t="shared" si="6"/>
        <v>66.38000000000001</v>
      </c>
      <c r="BB145" s="926">
        <f t="shared" si="7"/>
        <v>47438.45</v>
      </c>
      <c r="BC145" s="926">
        <f t="shared" si="8"/>
        <v>10.219999999995343</v>
      </c>
      <c r="BD145" s="891"/>
      <c r="BE145" s="891"/>
      <c r="BF145" s="891"/>
      <c r="BG145" s="928"/>
      <c r="BH145" s="928"/>
      <c r="BI145" s="928"/>
    </row>
    <row r="146" spans="1:61">
      <c r="A146" s="891" t="s">
        <v>1605</v>
      </c>
      <c r="B146" s="891" t="s">
        <v>1605</v>
      </c>
      <c r="C146" s="891" t="s">
        <v>159</v>
      </c>
      <c r="D146" s="891">
        <v>6.45</v>
      </c>
      <c r="E146" s="891">
        <v>51.58</v>
      </c>
      <c r="F146" s="891">
        <v>3.87</v>
      </c>
      <c r="G146" s="891">
        <v>5.55</v>
      </c>
      <c r="H146" s="891">
        <v>3.87</v>
      </c>
      <c r="I146" s="891">
        <v>1.03</v>
      </c>
      <c r="J146" s="891">
        <v>0.64</v>
      </c>
      <c r="K146" s="891">
        <v>2.77</v>
      </c>
      <c r="L146" s="891">
        <v>1.81</v>
      </c>
      <c r="M146" s="891">
        <v>3.61</v>
      </c>
      <c r="N146" s="891">
        <v>12.9</v>
      </c>
      <c r="O146" s="891">
        <v>1.87</v>
      </c>
      <c r="P146" s="891">
        <v>15.48</v>
      </c>
      <c r="Q146" s="891">
        <v>1.61</v>
      </c>
      <c r="R146" s="891">
        <v>2.58</v>
      </c>
      <c r="S146" s="891">
        <v>6.45</v>
      </c>
      <c r="T146" s="891">
        <v>1.1599999999999999</v>
      </c>
      <c r="U146" s="891">
        <v>6.71</v>
      </c>
      <c r="V146" s="891">
        <v>51.58</v>
      </c>
      <c r="W146" s="891">
        <v>2.21</v>
      </c>
      <c r="X146" s="927">
        <v>29661.34</v>
      </c>
      <c r="Y146" s="891">
        <v>2450.29</v>
      </c>
      <c r="Z146" s="891">
        <v>1418.59</v>
      </c>
      <c r="AA146" s="891">
        <v>6448.12</v>
      </c>
      <c r="AB146" s="891">
        <v>3868.87</v>
      </c>
      <c r="AC146" s="891">
        <v>187</v>
      </c>
      <c r="AD146" s="891">
        <v>0.04</v>
      </c>
      <c r="AE146" s="891">
        <v>25.15</v>
      </c>
      <c r="AF146" s="891">
        <v>77.38</v>
      </c>
      <c r="AG146" s="891">
        <v>7.09</v>
      </c>
      <c r="AH146" s="891">
        <v>9.0299999999999994</v>
      </c>
      <c r="AI146" s="891">
        <v>116.07</v>
      </c>
      <c r="AJ146" s="891">
        <v>72.86</v>
      </c>
      <c r="AK146" s="891">
        <v>90.27</v>
      </c>
      <c r="AL146" s="891">
        <v>103.17</v>
      </c>
      <c r="AM146" s="891">
        <v>16657.669999999998</v>
      </c>
      <c r="AN146" s="891">
        <v>9716.98</v>
      </c>
      <c r="AO146" s="891">
        <v>2624.38</v>
      </c>
      <c r="AP146" s="891">
        <v>2.5</v>
      </c>
      <c r="AQ146" s="891">
        <v>2.58</v>
      </c>
      <c r="AR146" s="891">
        <v>1.03</v>
      </c>
      <c r="AS146" s="891">
        <v>11.61</v>
      </c>
      <c r="AT146" s="891">
        <v>3.35</v>
      </c>
      <c r="AU146" s="891">
        <v>2.9</v>
      </c>
      <c r="AV146" s="891">
        <v>2.3199999999999998</v>
      </c>
      <c r="AW146" s="891">
        <v>1.1599999999999999</v>
      </c>
      <c r="AX146" s="891">
        <v>4.1900000000000004</v>
      </c>
      <c r="AY146" s="891">
        <v>1.56</v>
      </c>
      <c r="AZ146" s="891">
        <v>2.76</v>
      </c>
      <c r="BA146" s="891">
        <f t="shared" si="6"/>
        <v>212.19</v>
      </c>
      <c r="BB146" s="926">
        <f t="shared" si="7"/>
        <v>29731.510000000002</v>
      </c>
      <c r="BC146" s="926">
        <f t="shared" si="8"/>
        <v>67.960000000001898</v>
      </c>
      <c r="BD146" s="891"/>
      <c r="BE146" s="891"/>
      <c r="BF146" s="891"/>
      <c r="BG146" s="928"/>
      <c r="BH146" s="928"/>
      <c r="BI146" s="928"/>
    </row>
    <row r="147" spans="1:61">
      <c r="A147" s="891" t="s">
        <v>921</v>
      </c>
      <c r="B147" s="891" t="s">
        <v>1606</v>
      </c>
      <c r="C147" s="891" t="s">
        <v>51</v>
      </c>
      <c r="D147" s="891">
        <v>12</v>
      </c>
      <c r="E147" s="891">
        <v>50</v>
      </c>
      <c r="F147" s="891">
        <v>8</v>
      </c>
      <c r="G147" s="891">
        <v>4</v>
      </c>
      <c r="H147" s="891">
        <v>5</v>
      </c>
      <c r="I147" s="891">
        <v>1.75</v>
      </c>
      <c r="J147" s="891">
        <v>1.49</v>
      </c>
      <c r="K147" s="891">
        <v>1.72</v>
      </c>
      <c r="L147" s="891">
        <v>4.95</v>
      </c>
      <c r="M147" s="891">
        <v>4</v>
      </c>
      <c r="N147" s="891">
        <v>17</v>
      </c>
      <c r="O147" s="891">
        <v>1.25</v>
      </c>
      <c r="P147" s="891">
        <v>17</v>
      </c>
      <c r="Q147" s="891">
        <v>2</v>
      </c>
      <c r="R147" s="891">
        <v>2</v>
      </c>
      <c r="S147" s="891">
        <v>10.47</v>
      </c>
      <c r="T147" s="891">
        <v>2.5</v>
      </c>
      <c r="U147" s="891">
        <v>10.58</v>
      </c>
      <c r="V147" s="891">
        <v>60</v>
      </c>
      <c r="W147" s="891">
        <v>1.1399999999999999</v>
      </c>
      <c r="X147" s="927">
        <v>18500</v>
      </c>
      <c r="Y147" s="891">
        <v>1600</v>
      </c>
      <c r="Z147" s="891">
        <v>1600</v>
      </c>
      <c r="AA147" s="891">
        <v>3000</v>
      </c>
      <c r="AB147" s="891">
        <v>2500</v>
      </c>
      <c r="AC147" s="891">
        <v>294.08999999999997</v>
      </c>
      <c r="AD147" s="891">
        <v>0.1</v>
      </c>
      <c r="AE147" s="891">
        <v>40</v>
      </c>
      <c r="AF147" s="891">
        <v>30</v>
      </c>
      <c r="AG147" s="891">
        <v>15</v>
      </c>
      <c r="AH147" s="891">
        <v>9.9499999999999993</v>
      </c>
      <c r="AI147" s="891">
        <v>52</v>
      </c>
      <c r="AJ147" s="891">
        <v>35</v>
      </c>
      <c r="AK147" s="891">
        <v>40</v>
      </c>
      <c r="AL147" s="891">
        <v>65</v>
      </c>
      <c r="AM147" s="891">
        <v>6996.54</v>
      </c>
      <c r="AN147" s="891">
        <v>4736.12</v>
      </c>
      <c r="AO147" s="891">
        <v>3372</v>
      </c>
      <c r="AP147" s="891">
        <v>4</v>
      </c>
      <c r="AQ147" s="891">
        <v>3.78</v>
      </c>
      <c r="AR147" s="891">
        <v>3.04</v>
      </c>
      <c r="AS147" s="891">
        <v>41.06</v>
      </c>
      <c r="AT147" s="891">
        <v>5.24</v>
      </c>
      <c r="AU147" s="891">
        <v>4.13</v>
      </c>
      <c r="AV147" s="891">
        <v>6.56</v>
      </c>
      <c r="AW147" s="891">
        <v>2.77</v>
      </c>
      <c r="AX147" s="891">
        <v>4</v>
      </c>
      <c r="AY147" s="891">
        <v>2.87</v>
      </c>
      <c r="AZ147" s="891">
        <v>6.49</v>
      </c>
      <c r="BA147" s="891">
        <f t="shared" si="6"/>
        <v>334.19</v>
      </c>
      <c r="BB147" s="926">
        <f t="shared" si="7"/>
        <v>18611.52</v>
      </c>
      <c r="BC147" s="926">
        <f t="shared" si="8"/>
        <v>110.38000000000044</v>
      </c>
      <c r="BD147" s="891"/>
      <c r="BE147" s="891"/>
      <c r="BF147" s="891"/>
      <c r="BG147" s="928"/>
      <c r="BH147" s="928"/>
      <c r="BI147" s="928"/>
    </row>
    <row r="148" spans="1:61">
      <c r="A148" s="891" t="s">
        <v>922</v>
      </c>
      <c r="B148" s="891" t="s">
        <v>1606</v>
      </c>
      <c r="C148" s="891" t="s">
        <v>192</v>
      </c>
      <c r="D148" s="891">
        <v>11.5</v>
      </c>
      <c r="E148" s="891">
        <v>48</v>
      </c>
      <c r="F148" s="891">
        <v>6.5</v>
      </c>
      <c r="G148" s="891">
        <v>2.75</v>
      </c>
      <c r="H148" s="891">
        <v>4</v>
      </c>
      <c r="I148" s="891">
        <v>1.54</v>
      </c>
      <c r="J148" s="891">
        <v>1.33</v>
      </c>
      <c r="K148" s="891">
        <v>1.05</v>
      </c>
      <c r="L148" s="891">
        <v>2</v>
      </c>
      <c r="M148" s="891">
        <v>2</v>
      </c>
      <c r="N148" s="891">
        <v>8.82</v>
      </c>
      <c r="O148" s="891">
        <v>1.69</v>
      </c>
      <c r="P148" s="891">
        <v>10</v>
      </c>
      <c r="Q148" s="891">
        <v>1.52</v>
      </c>
      <c r="R148" s="891">
        <v>2</v>
      </c>
      <c r="S148" s="891">
        <v>6.5</v>
      </c>
      <c r="T148" s="891">
        <v>1.25</v>
      </c>
      <c r="U148" s="891">
        <v>6.1</v>
      </c>
      <c r="V148" s="891">
        <v>45</v>
      </c>
      <c r="W148" s="891">
        <v>0.92</v>
      </c>
      <c r="X148" s="927">
        <v>21000</v>
      </c>
      <c r="Y148" s="891">
        <v>1275</v>
      </c>
      <c r="Z148" s="891">
        <v>825</v>
      </c>
      <c r="AA148" s="891">
        <v>2400</v>
      </c>
      <c r="AB148" s="891">
        <v>1500</v>
      </c>
      <c r="AC148" s="891">
        <v>202.93</v>
      </c>
      <c r="AD148" s="891">
        <v>0.24</v>
      </c>
      <c r="AE148" s="891">
        <v>54</v>
      </c>
      <c r="AF148" s="891">
        <v>39</v>
      </c>
      <c r="AG148" s="891">
        <v>12</v>
      </c>
      <c r="AH148" s="891">
        <v>10.25</v>
      </c>
      <c r="AI148" s="891">
        <v>48</v>
      </c>
      <c r="AJ148" s="891">
        <v>45</v>
      </c>
      <c r="AK148" s="891">
        <v>77.5</v>
      </c>
      <c r="AL148" s="891">
        <v>90</v>
      </c>
      <c r="AM148" s="891">
        <v>1883.68</v>
      </c>
      <c r="AN148" s="891">
        <v>1270.1400000000001</v>
      </c>
      <c r="AO148" s="891">
        <v>3450</v>
      </c>
      <c r="AP148" s="891">
        <v>4.25</v>
      </c>
      <c r="AQ148" s="891">
        <v>3.5</v>
      </c>
      <c r="AR148" s="891">
        <v>1.44</v>
      </c>
      <c r="AS148" s="891">
        <v>18</v>
      </c>
      <c r="AT148" s="891">
        <v>3.73</v>
      </c>
      <c r="AU148" s="891">
        <v>2.35</v>
      </c>
      <c r="AV148" s="891">
        <v>2.23</v>
      </c>
      <c r="AW148" s="891">
        <v>1.29</v>
      </c>
      <c r="AX148" s="891">
        <v>3.55</v>
      </c>
      <c r="AY148" s="891">
        <v>2.0499999999999998</v>
      </c>
      <c r="AZ148" s="891">
        <v>2.83</v>
      </c>
      <c r="BA148" s="891">
        <f t="shared" si="6"/>
        <v>257.17</v>
      </c>
      <c r="BB148" s="926">
        <f t="shared" si="7"/>
        <v>21070.109999999997</v>
      </c>
      <c r="BC148" s="926">
        <f t="shared" si="8"/>
        <v>69.189999999996942</v>
      </c>
      <c r="BD148" s="891"/>
      <c r="BE148" s="891"/>
      <c r="BF148" s="891"/>
      <c r="BG148" s="928"/>
      <c r="BH148" s="928"/>
      <c r="BI148" s="928"/>
    </row>
    <row r="149" spans="1:61">
      <c r="A149" s="891" t="s">
        <v>923</v>
      </c>
      <c r="B149" s="891" t="s">
        <v>1606</v>
      </c>
      <c r="C149" s="891" t="s">
        <v>210</v>
      </c>
      <c r="D149" s="891">
        <v>8</v>
      </c>
      <c r="E149" s="891">
        <v>50</v>
      </c>
      <c r="F149" s="891">
        <v>6</v>
      </c>
      <c r="G149" s="891">
        <v>2.88</v>
      </c>
      <c r="H149" s="891">
        <v>3.75</v>
      </c>
      <c r="I149" s="891">
        <v>1.37</v>
      </c>
      <c r="J149" s="891">
        <v>1.1200000000000001</v>
      </c>
      <c r="K149" s="891">
        <v>0.83</v>
      </c>
      <c r="L149" s="891">
        <v>2.2000000000000002</v>
      </c>
      <c r="M149" s="891">
        <v>2</v>
      </c>
      <c r="N149" s="891">
        <v>10.14</v>
      </c>
      <c r="O149" s="891">
        <v>2</v>
      </c>
      <c r="P149" s="891">
        <v>16</v>
      </c>
      <c r="Q149" s="891">
        <v>1.25</v>
      </c>
      <c r="R149" s="891">
        <v>1.4</v>
      </c>
      <c r="S149" s="891">
        <v>3.75</v>
      </c>
      <c r="T149" s="891">
        <v>3.5</v>
      </c>
      <c r="U149" s="891">
        <v>6.59</v>
      </c>
      <c r="V149" s="891">
        <v>20</v>
      </c>
      <c r="W149" s="891">
        <v>0.92</v>
      </c>
      <c r="X149" s="927">
        <v>19000</v>
      </c>
      <c r="Y149" s="891">
        <v>592.5</v>
      </c>
      <c r="Z149" s="891">
        <v>400</v>
      </c>
      <c r="AA149" s="891">
        <v>1000</v>
      </c>
      <c r="AB149" s="891">
        <v>875</v>
      </c>
      <c r="AC149" s="891">
        <v>125.8</v>
      </c>
      <c r="AD149" s="891">
        <v>7.0000000000000007E-2</v>
      </c>
      <c r="AE149" s="891">
        <v>36</v>
      </c>
      <c r="AF149" s="891">
        <v>30</v>
      </c>
      <c r="AG149" s="891">
        <v>12</v>
      </c>
      <c r="AH149" s="891">
        <v>8.75</v>
      </c>
      <c r="AI149" s="891">
        <v>40</v>
      </c>
      <c r="AJ149" s="891">
        <v>60</v>
      </c>
      <c r="AK149" s="891">
        <v>100</v>
      </c>
      <c r="AL149" s="891">
        <v>82.5</v>
      </c>
      <c r="AM149" s="891">
        <v>1937.5</v>
      </c>
      <c r="AN149" s="891">
        <v>1237.8499999999999</v>
      </c>
      <c r="AO149" s="891">
        <v>2700</v>
      </c>
      <c r="AP149" s="891">
        <v>3.15</v>
      </c>
      <c r="AQ149" s="891">
        <v>3</v>
      </c>
      <c r="AR149" s="891">
        <v>0.85</v>
      </c>
      <c r="AS149" s="891">
        <v>12.5</v>
      </c>
      <c r="AT149" s="891">
        <v>4</v>
      </c>
      <c r="AU149" s="891">
        <v>3.86</v>
      </c>
      <c r="AV149" s="891">
        <v>3.05</v>
      </c>
      <c r="AW149" s="891">
        <v>1.25</v>
      </c>
      <c r="AX149" s="891">
        <v>3.5</v>
      </c>
      <c r="AY149" s="891">
        <v>3.25</v>
      </c>
      <c r="AZ149" s="891">
        <v>3.7</v>
      </c>
      <c r="BA149" s="891">
        <f t="shared" si="6"/>
        <v>161.87</v>
      </c>
      <c r="BB149" s="926">
        <f t="shared" si="7"/>
        <v>19040.769999999997</v>
      </c>
      <c r="BC149" s="926">
        <f t="shared" si="8"/>
        <v>39.849999999996797</v>
      </c>
      <c r="BD149" s="891"/>
      <c r="BE149" s="891"/>
      <c r="BF149" s="891"/>
      <c r="BG149" s="928"/>
      <c r="BH149" s="928"/>
      <c r="BI149" s="928"/>
    </row>
    <row r="150" spans="1:61">
      <c r="A150" s="891" t="s">
        <v>924</v>
      </c>
      <c r="B150" s="891" t="s">
        <v>560</v>
      </c>
      <c r="C150" s="891" t="s">
        <v>395</v>
      </c>
      <c r="D150" s="891">
        <v>1.23</v>
      </c>
      <c r="E150" s="891">
        <v>8.1999999999999993</v>
      </c>
      <c r="F150" s="891">
        <v>3.28</v>
      </c>
      <c r="G150" s="891">
        <v>1.31</v>
      </c>
      <c r="H150" s="891">
        <v>1.8</v>
      </c>
      <c r="I150" s="891">
        <v>0.34</v>
      </c>
      <c r="J150" s="891">
        <v>0.25</v>
      </c>
      <c r="K150" s="891">
        <v>0.62</v>
      </c>
      <c r="L150" s="891">
        <v>0.36</v>
      </c>
      <c r="M150" s="891">
        <v>0.72</v>
      </c>
      <c r="N150" s="891">
        <v>3.28</v>
      </c>
      <c r="O150" s="891">
        <v>0.41</v>
      </c>
      <c r="P150" s="891">
        <v>6.56</v>
      </c>
      <c r="Q150" s="891">
        <v>1.27</v>
      </c>
      <c r="R150" s="891">
        <v>1.8</v>
      </c>
      <c r="S150" s="891">
        <v>1.64</v>
      </c>
      <c r="T150" s="891">
        <v>0.16</v>
      </c>
      <c r="U150" s="891">
        <v>2.95</v>
      </c>
      <c r="V150" s="891">
        <v>9.84</v>
      </c>
      <c r="W150" s="891">
        <v>1.23</v>
      </c>
      <c r="X150" s="927">
        <v>11478.23</v>
      </c>
      <c r="Y150" s="891">
        <v>131.18</v>
      </c>
      <c r="Z150" s="891">
        <v>65.59</v>
      </c>
      <c r="AA150" s="891">
        <v>327.95</v>
      </c>
      <c r="AB150" s="891">
        <v>163.97</v>
      </c>
      <c r="AC150" s="891">
        <v>24.6</v>
      </c>
      <c r="AD150" s="891">
        <v>0.02</v>
      </c>
      <c r="AE150" s="891">
        <v>16.399999999999999</v>
      </c>
      <c r="AF150" s="891">
        <v>13.12</v>
      </c>
      <c r="AG150" s="891">
        <v>3.28</v>
      </c>
      <c r="AH150" s="891">
        <v>2.46</v>
      </c>
      <c r="AI150" s="891">
        <v>32.79</v>
      </c>
      <c r="AJ150" s="891">
        <v>19.68</v>
      </c>
      <c r="AK150" s="891">
        <v>49.19</v>
      </c>
      <c r="AL150" s="891">
        <v>40.99</v>
      </c>
      <c r="AM150" s="891">
        <v>741.3</v>
      </c>
      <c r="AN150" s="891">
        <v>423.6</v>
      </c>
      <c r="AO150" s="891">
        <v>491.92</v>
      </c>
      <c r="AP150" s="891">
        <v>12</v>
      </c>
      <c r="AQ150" s="891">
        <v>0.82</v>
      </c>
      <c r="AR150" s="891">
        <v>0.25</v>
      </c>
      <c r="AS150" s="891">
        <v>1.64</v>
      </c>
      <c r="AT150" s="891">
        <v>2.2999999999999998</v>
      </c>
      <c r="AU150" s="891">
        <v>1.31</v>
      </c>
      <c r="AV150" s="891">
        <v>0.33</v>
      </c>
      <c r="AW150" s="891">
        <v>0.33</v>
      </c>
      <c r="AX150" s="891">
        <v>0.98</v>
      </c>
      <c r="AY150" s="891">
        <v>0.69</v>
      </c>
      <c r="AZ150" s="891">
        <v>0.46</v>
      </c>
      <c r="BA150" s="891">
        <f t="shared" si="6"/>
        <v>41.019999999999996</v>
      </c>
      <c r="BB150" s="926">
        <f t="shared" si="7"/>
        <v>11492.169999999998</v>
      </c>
      <c r="BC150" s="926">
        <f t="shared" si="8"/>
        <v>12.70999999999869</v>
      </c>
      <c r="BD150" s="891"/>
      <c r="BE150" s="891"/>
      <c r="BF150" s="891"/>
      <c r="BG150" s="928"/>
      <c r="BH150" s="928"/>
      <c r="BI150" s="928"/>
    </row>
    <row r="151" spans="1:61">
      <c r="A151" s="891" t="s">
        <v>925</v>
      </c>
      <c r="B151" s="891" t="s">
        <v>638</v>
      </c>
      <c r="C151" s="891" t="s">
        <v>316</v>
      </c>
      <c r="D151" s="891">
        <v>4.5599999999999996</v>
      </c>
      <c r="E151" s="891">
        <v>24.34</v>
      </c>
      <c r="F151" s="891">
        <v>5.48</v>
      </c>
      <c r="G151" s="891">
        <v>1.29</v>
      </c>
      <c r="H151" s="891">
        <v>1.83</v>
      </c>
      <c r="I151" s="891">
        <v>1.29</v>
      </c>
      <c r="J151" s="891">
        <v>0.91</v>
      </c>
      <c r="K151" s="891">
        <v>1.22</v>
      </c>
      <c r="L151" s="891">
        <v>0.61</v>
      </c>
      <c r="M151" s="891">
        <v>2.5</v>
      </c>
      <c r="N151" s="891">
        <v>6.09</v>
      </c>
      <c r="O151" s="891">
        <v>0.61</v>
      </c>
      <c r="P151" s="891">
        <v>4.5599999999999996</v>
      </c>
      <c r="Q151" s="891">
        <v>0.91</v>
      </c>
      <c r="R151" s="891">
        <v>1.22</v>
      </c>
      <c r="S151" s="891">
        <v>4.18</v>
      </c>
      <c r="T151" s="891">
        <v>0.61</v>
      </c>
      <c r="U151" s="891">
        <v>6.09</v>
      </c>
      <c r="V151" s="891">
        <v>24.34</v>
      </c>
      <c r="W151" s="891">
        <v>1.83</v>
      </c>
      <c r="X151" s="927">
        <v>21754.1</v>
      </c>
      <c r="Y151" s="891">
        <v>319.52999999999997</v>
      </c>
      <c r="Z151" s="891">
        <v>243.45</v>
      </c>
      <c r="AA151" s="891">
        <v>578.19000000000005</v>
      </c>
      <c r="AB151" s="891">
        <v>395.61</v>
      </c>
      <c r="AC151" s="891">
        <v>159</v>
      </c>
      <c r="AD151" s="891">
        <v>0.21</v>
      </c>
      <c r="AE151" s="891">
        <v>9.89</v>
      </c>
      <c r="AF151" s="891">
        <v>30.43</v>
      </c>
      <c r="AG151" s="891">
        <v>9.1300000000000008</v>
      </c>
      <c r="AH151" s="891">
        <v>6.09</v>
      </c>
      <c r="AI151" s="891">
        <v>79.510000000000005</v>
      </c>
      <c r="AJ151" s="891">
        <v>57.82</v>
      </c>
      <c r="AK151" s="891">
        <v>78.680000000000007</v>
      </c>
      <c r="AL151" s="891">
        <v>76.08</v>
      </c>
      <c r="AM151" s="891">
        <v>1464.75</v>
      </c>
      <c r="AN151" s="891">
        <v>1083.72</v>
      </c>
      <c r="AO151" s="891">
        <v>456.47</v>
      </c>
      <c r="AP151" s="891">
        <v>9.5</v>
      </c>
      <c r="AQ151" s="891">
        <v>0.61</v>
      </c>
      <c r="AR151" s="891">
        <v>0.61</v>
      </c>
      <c r="AS151" s="891">
        <v>5.63</v>
      </c>
      <c r="AT151" s="891">
        <v>1.1599999999999999</v>
      </c>
      <c r="AU151" s="891">
        <v>1.29</v>
      </c>
      <c r="AV151" s="891">
        <v>0.61</v>
      </c>
      <c r="AW151" s="891">
        <v>0.64</v>
      </c>
      <c r="AX151" s="891">
        <v>1.52</v>
      </c>
      <c r="AY151" s="891">
        <v>1.52</v>
      </c>
      <c r="AZ151" s="891">
        <v>1.52</v>
      </c>
      <c r="BA151" s="891">
        <f t="shared" si="6"/>
        <v>169.10000000000002</v>
      </c>
      <c r="BB151" s="926">
        <f t="shared" si="7"/>
        <v>21787.73</v>
      </c>
      <c r="BC151" s="926">
        <f t="shared" si="8"/>
        <v>31.80000000000102</v>
      </c>
      <c r="BD151" s="891"/>
      <c r="BE151" s="891"/>
      <c r="BF151" s="891"/>
      <c r="BG151" s="928"/>
      <c r="BH151" s="928"/>
      <c r="BI151" s="928"/>
    </row>
    <row r="152" spans="1:61">
      <c r="A152" s="891" t="s">
        <v>926</v>
      </c>
      <c r="B152" s="891" t="s">
        <v>1606</v>
      </c>
      <c r="C152" s="891" t="s">
        <v>205</v>
      </c>
      <c r="D152" s="891">
        <v>9.99</v>
      </c>
      <c r="E152" s="891">
        <v>50</v>
      </c>
      <c r="F152" s="891">
        <v>6</v>
      </c>
      <c r="G152" s="891">
        <v>3</v>
      </c>
      <c r="H152" s="891">
        <v>4.75</v>
      </c>
      <c r="I152" s="891">
        <v>2</v>
      </c>
      <c r="J152" s="891">
        <v>1.1200000000000001</v>
      </c>
      <c r="K152" s="891">
        <v>0.69</v>
      </c>
      <c r="L152" s="891">
        <v>1.44</v>
      </c>
      <c r="M152" s="891">
        <v>1.75</v>
      </c>
      <c r="N152" s="891">
        <v>12.68</v>
      </c>
      <c r="O152" s="891">
        <v>1.5</v>
      </c>
      <c r="P152" s="891">
        <v>10</v>
      </c>
      <c r="Q152" s="891">
        <v>2.5</v>
      </c>
      <c r="R152" s="891">
        <v>4</v>
      </c>
      <c r="S152" s="891">
        <v>5</v>
      </c>
      <c r="T152" s="891">
        <v>2.88</v>
      </c>
      <c r="U152" s="891">
        <v>6.61</v>
      </c>
      <c r="V152" s="891">
        <v>45</v>
      </c>
      <c r="W152" s="891">
        <v>0.98</v>
      </c>
      <c r="X152" s="927">
        <v>20000</v>
      </c>
      <c r="Y152" s="891">
        <v>725</v>
      </c>
      <c r="Z152" s="891">
        <v>550</v>
      </c>
      <c r="AA152" s="891">
        <v>1225</v>
      </c>
      <c r="AB152" s="891">
        <v>900</v>
      </c>
      <c r="AC152" s="891">
        <v>128.75</v>
      </c>
      <c r="AD152" s="891">
        <v>0.1</v>
      </c>
      <c r="AE152" s="891">
        <v>30</v>
      </c>
      <c r="AF152" s="891">
        <v>29.99</v>
      </c>
      <c r="AG152" s="891">
        <v>36</v>
      </c>
      <c r="AH152" s="891">
        <v>8.5</v>
      </c>
      <c r="AI152" s="891">
        <v>40</v>
      </c>
      <c r="AJ152" s="891">
        <v>40</v>
      </c>
      <c r="AK152" s="891">
        <v>75</v>
      </c>
      <c r="AL152" s="891">
        <v>80</v>
      </c>
      <c r="AM152" s="891">
        <v>1291.67</v>
      </c>
      <c r="AN152" s="891">
        <v>807.29</v>
      </c>
      <c r="AO152" s="891">
        <v>3146</v>
      </c>
      <c r="AP152" s="891">
        <v>4.5</v>
      </c>
      <c r="AQ152" s="891">
        <v>3</v>
      </c>
      <c r="AR152" s="891">
        <v>1.55</v>
      </c>
      <c r="AS152" s="891">
        <v>21</v>
      </c>
      <c r="AT152" s="891">
        <v>2.65</v>
      </c>
      <c r="AU152" s="891">
        <v>2.65</v>
      </c>
      <c r="AV152" s="891">
        <v>1.53</v>
      </c>
      <c r="AW152" s="891">
        <v>1</v>
      </c>
      <c r="AX152" s="891">
        <v>3.98</v>
      </c>
      <c r="AY152" s="891">
        <v>3.25</v>
      </c>
      <c r="AZ152" s="891">
        <v>4</v>
      </c>
      <c r="BA152" s="891">
        <f t="shared" si="6"/>
        <v>158.85</v>
      </c>
      <c r="BB152" s="926">
        <f t="shared" si="7"/>
        <v>20074.41</v>
      </c>
      <c r="BC152" s="926">
        <f t="shared" si="8"/>
        <v>73.429999999999851</v>
      </c>
      <c r="BD152" s="891"/>
      <c r="BE152" s="891"/>
      <c r="BF152" s="891"/>
      <c r="BG152" s="928"/>
      <c r="BH152" s="928"/>
      <c r="BI152" s="928"/>
    </row>
    <row r="153" spans="1:61">
      <c r="A153" s="891" t="s">
        <v>927</v>
      </c>
      <c r="B153" s="891" t="s">
        <v>560</v>
      </c>
      <c r="C153" s="891" t="s">
        <v>398</v>
      </c>
      <c r="D153" s="891">
        <v>1.56</v>
      </c>
      <c r="E153" s="891">
        <v>5.12</v>
      </c>
      <c r="F153" s="891">
        <v>2.46</v>
      </c>
      <c r="G153" s="891">
        <v>1.31</v>
      </c>
      <c r="H153" s="891">
        <v>1.89</v>
      </c>
      <c r="I153" s="891">
        <v>0.33</v>
      </c>
      <c r="J153" s="891">
        <v>0.25</v>
      </c>
      <c r="K153" s="891">
        <v>0.55000000000000004</v>
      </c>
      <c r="L153" s="891">
        <v>0.33</v>
      </c>
      <c r="M153" s="891">
        <v>0.82</v>
      </c>
      <c r="N153" s="891">
        <v>3.94</v>
      </c>
      <c r="O153" s="891">
        <v>0.33</v>
      </c>
      <c r="P153" s="891">
        <v>6.56</v>
      </c>
      <c r="Q153" s="891">
        <v>1.48</v>
      </c>
      <c r="R153" s="891">
        <v>2.0499999999999998</v>
      </c>
      <c r="S153" s="891">
        <v>1.82</v>
      </c>
      <c r="T153" s="891">
        <v>0.16</v>
      </c>
      <c r="U153" s="891">
        <v>1.97</v>
      </c>
      <c r="V153" s="891">
        <v>6.56</v>
      </c>
      <c r="W153" s="891">
        <v>1.23</v>
      </c>
      <c r="X153" s="927">
        <v>11068.3</v>
      </c>
      <c r="Y153" s="891">
        <v>147.58000000000001</v>
      </c>
      <c r="Z153" s="891">
        <v>98.38</v>
      </c>
      <c r="AA153" s="891">
        <v>295.14999999999998</v>
      </c>
      <c r="AB153" s="891">
        <v>122.98</v>
      </c>
      <c r="AC153" s="891">
        <v>14.76</v>
      </c>
      <c r="AD153" s="891">
        <v>0.02</v>
      </c>
      <c r="AE153" s="891">
        <v>19.68</v>
      </c>
      <c r="AF153" s="891">
        <v>16.399999999999999</v>
      </c>
      <c r="AG153" s="891">
        <v>8.1999999999999993</v>
      </c>
      <c r="AH153" s="891">
        <v>2.54</v>
      </c>
      <c r="AI153" s="891">
        <v>19.68</v>
      </c>
      <c r="AJ153" s="891">
        <v>22.14</v>
      </c>
      <c r="AK153" s="891">
        <v>22.96</v>
      </c>
      <c r="AL153" s="891">
        <v>32.79</v>
      </c>
      <c r="AM153" s="891">
        <v>882.5</v>
      </c>
      <c r="AN153" s="891">
        <v>399.12</v>
      </c>
      <c r="AO153" s="891">
        <v>245.96</v>
      </c>
      <c r="AP153" s="891">
        <v>12</v>
      </c>
      <c r="AQ153" s="891">
        <v>0.33</v>
      </c>
      <c r="AR153" s="891">
        <v>0.28000000000000003</v>
      </c>
      <c r="AS153" s="891">
        <v>0.82</v>
      </c>
      <c r="AT153" s="891">
        <v>1.97</v>
      </c>
      <c r="AU153" s="891">
        <v>0.66</v>
      </c>
      <c r="AV153" s="891">
        <v>0.22</v>
      </c>
      <c r="AW153" s="891">
        <v>0.39</v>
      </c>
      <c r="AX153" s="891">
        <v>1.07</v>
      </c>
      <c r="AY153" s="891">
        <v>0.66</v>
      </c>
      <c r="AZ153" s="891">
        <v>0.16</v>
      </c>
      <c r="BA153" s="891">
        <f t="shared" si="6"/>
        <v>34.46</v>
      </c>
      <c r="BB153" s="926">
        <f t="shared" si="7"/>
        <v>11077.68</v>
      </c>
      <c r="BC153" s="926">
        <f t="shared" si="8"/>
        <v>8.1500000000010182</v>
      </c>
      <c r="BD153" s="891"/>
      <c r="BE153" s="891"/>
      <c r="BF153" s="891"/>
      <c r="BG153" s="928"/>
      <c r="BH153" s="928"/>
      <c r="BI153" s="928"/>
    </row>
    <row r="154" spans="1:61">
      <c r="A154" s="891" t="s">
        <v>928</v>
      </c>
      <c r="B154" s="891" t="s">
        <v>553</v>
      </c>
      <c r="C154" s="891" t="s">
        <v>265</v>
      </c>
      <c r="D154" s="891">
        <v>8.59</v>
      </c>
      <c r="E154" s="891">
        <v>55.76</v>
      </c>
      <c r="F154" s="891">
        <v>11</v>
      </c>
      <c r="G154" s="891">
        <v>2.38</v>
      </c>
      <c r="H154" s="891">
        <v>2.81</v>
      </c>
      <c r="I154" s="891">
        <v>0.44</v>
      </c>
      <c r="J154" s="891">
        <v>0.2</v>
      </c>
      <c r="K154" s="891">
        <v>1.27</v>
      </c>
      <c r="L154" s="891">
        <v>1.25</v>
      </c>
      <c r="M154" s="891">
        <v>2</v>
      </c>
      <c r="N154" s="891">
        <v>5.5</v>
      </c>
      <c r="O154" s="891">
        <v>0.8</v>
      </c>
      <c r="P154" s="891">
        <v>4.1399999999999997</v>
      </c>
      <c r="Q154" s="891">
        <v>1.9</v>
      </c>
      <c r="R154" s="891">
        <v>1.82</v>
      </c>
      <c r="S154" s="891">
        <v>1.75</v>
      </c>
      <c r="T154" s="891">
        <v>1.4</v>
      </c>
      <c r="U154" s="891">
        <v>5</v>
      </c>
      <c r="V154" s="891">
        <v>55.43</v>
      </c>
      <c r="W154" s="891">
        <v>0.93</v>
      </c>
      <c r="X154" s="927">
        <v>18889.63</v>
      </c>
      <c r="Y154" s="891">
        <v>1000</v>
      </c>
      <c r="Z154" s="891">
        <v>700</v>
      </c>
      <c r="AA154" s="891">
        <v>1100</v>
      </c>
      <c r="AB154" s="891">
        <v>750</v>
      </c>
      <c r="AC154" s="891">
        <v>171.72</v>
      </c>
      <c r="AD154" s="891">
        <v>0.09</v>
      </c>
      <c r="AE154" s="891">
        <v>40</v>
      </c>
      <c r="AF154" s="891">
        <v>94.7</v>
      </c>
      <c r="AG154" s="891">
        <v>9</v>
      </c>
      <c r="AH154" s="891">
        <v>9</v>
      </c>
      <c r="AI154" s="891">
        <v>30</v>
      </c>
      <c r="AJ154" s="891">
        <v>35</v>
      </c>
      <c r="AK154" s="891">
        <v>50</v>
      </c>
      <c r="AL154" s="891">
        <v>50</v>
      </c>
      <c r="AM154" s="891">
        <v>1000</v>
      </c>
      <c r="AN154" s="891">
        <v>850</v>
      </c>
      <c r="AO154" s="891">
        <v>725</v>
      </c>
      <c r="AP154" s="891">
        <v>17</v>
      </c>
      <c r="AQ154" s="891">
        <v>2.31</v>
      </c>
      <c r="AR154" s="891">
        <v>0.5</v>
      </c>
      <c r="AS154" s="891">
        <v>3</v>
      </c>
      <c r="AT154" s="891">
        <v>2</v>
      </c>
      <c r="AU154" s="891">
        <v>1.5</v>
      </c>
      <c r="AV154" s="891">
        <v>0.83</v>
      </c>
      <c r="AW154" s="891">
        <v>1.1200000000000001</v>
      </c>
      <c r="AX154" s="891">
        <v>1</v>
      </c>
      <c r="AY154" s="891">
        <v>1.72</v>
      </c>
      <c r="AZ154" s="891">
        <v>0.87</v>
      </c>
      <c r="BA154" s="891">
        <f t="shared" si="6"/>
        <v>211.81</v>
      </c>
      <c r="BB154" s="926">
        <f t="shared" si="7"/>
        <v>18953.2</v>
      </c>
      <c r="BC154" s="926">
        <f t="shared" si="8"/>
        <v>62.639999999999709</v>
      </c>
      <c r="BD154" s="891"/>
      <c r="BE154" s="891"/>
      <c r="BF154" s="891"/>
      <c r="BG154" s="928"/>
      <c r="BH154" s="928"/>
      <c r="BI154" s="928"/>
    </row>
    <row r="155" spans="1:61">
      <c r="A155" s="891" t="s">
        <v>929</v>
      </c>
      <c r="B155" s="891" t="s">
        <v>656</v>
      </c>
      <c r="C155" s="891" t="s">
        <v>376</v>
      </c>
      <c r="D155" s="891">
        <v>2.2599999999999998</v>
      </c>
      <c r="E155" s="891">
        <v>11.31</v>
      </c>
      <c r="F155" s="891">
        <v>4.95</v>
      </c>
      <c r="G155" s="891">
        <v>4.71</v>
      </c>
      <c r="H155" s="891">
        <v>4.71</v>
      </c>
      <c r="I155" s="891">
        <v>0.33</v>
      </c>
      <c r="J155" s="891">
        <v>0.24</v>
      </c>
      <c r="K155" s="891">
        <v>0.75</v>
      </c>
      <c r="L155" s="891">
        <v>0.56999999999999995</v>
      </c>
      <c r="M155" s="891">
        <v>0.94</v>
      </c>
      <c r="N155" s="891">
        <v>3.77</v>
      </c>
      <c r="O155" s="891">
        <v>0.47</v>
      </c>
      <c r="P155" s="891">
        <v>2.12</v>
      </c>
      <c r="Q155" s="891">
        <v>4.71</v>
      </c>
      <c r="R155" s="891">
        <v>4.71</v>
      </c>
      <c r="S155" s="891">
        <v>0.97</v>
      </c>
      <c r="T155" s="891">
        <v>0.28000000000000003</v>
      </c>
      <c r="U155" s="891">
        <v>3.05</v>
      </c>
      <c r="V155" s="891">
        <v>9.42</v>
      </c>
      <c r="W155" s="891">
        <v>0.98</v>
      </c>
      <c r="X155" s="927">
        <v>14134.94</v>
      </c>
      <c r="Y155" s="891">
        <v>155.47999999999999</v>
      </c>
      <c r="Z155" s="891">
        <v>94.23</v>
      </c>
      <c r="AA155" s="891">
        <v>447.61</v>
      </c>
      <c r="AB155" s="891">
        <v>282.7</v>
      </c>
      <c r="AC155" s="891">
        <v>56.54</v>
      </c>
      <c r="AD155" s="891">
        <v>0.03</v>
      </c>
      <c r="AE155" s="891">
        <v>23.56</v>
      </c>
      <c r="AF155" s="891">
        <v>18.850000000000001</v>
      </c>
      <c r="AG155" s="891">
        <v>16.489999999999998</v>
      </c>
      <c r="AH155" s="891">
        <v>4.24</v>
      </c>
      <c r="AI155" s="891">
        <v>37.69</v>
      </c>
      <c r="AJ155" s="891">
        <v>25.91</v>
      </c>
      <c r="AK155" s="891">
        <v>37.69</v>
      </c>
      <c r="AL155" s="891">
        <v>47.12</v>
      </c>
      <c r="AM155" s="891">
        <v>963.6</v>
      </c>
      <c r="AN155" s="891">
        <v>811.45</v>
      </c>
      <c r="AO155" s="891">
        <v>235.58</v>
      </c>
      <c r="AP155" s="891">
        <v>13.86</v>
      </c>
      <c r="AQ155" s="891">
        <v>0.85</v>
      </c>
      <c r="AR155" s="891">
        <v>0.47</v>
      </c>
      <c r="AS155" s="891">
        <v>1.88</v>
      </c>
      <c r="AT155" s="891">
        <v>1.18</v>
      </c>
      <c r="AU155" s="891">
        <v>0.75</v>
      </c>
      <c r="AV155" s="891">
        <v>0.32</v>
      </c>
      <c r="AW155" s="891">
        <v>0.28999999999999998</v>
      </c>
      <c r="AX155" s="891">
        <v>1.88</v>
      </c>
      <c r="AY155" s="891">
        <v>1.1299999999999999</v>
      </c>
      <c r="AZ155" s="891">
        <v>0.52</v>
      </c>
      <c r="BA155" s="891">
        <f t="shared" si="6"/>
        <v>80.13</v>
      </c>
      <c r="BB155" s="926">
        <f t="shared" si="7"/>
        <v>14148.82</v>
      </c>
      <c r="BC155" s="926">
        <f t="shared" si="8"/>
        <v>12.899999999999199</v>
      </c>
      <c r="BD155" s="891"/>
      <c r="BE155" s="891"/>
      <c r="BF155" s="891"/>
      <c r="BG155" s="928"/>
      <c r="BH155" s="928"/>
      <c r="BI155" s="928"/>
    </row>
    <row r="156" spans="1:61">
      <c r="A156" s="891" t="s">
        <v>930</v>
      </c>
      <c r="B156" s="891" t="s">
        <v>617</v>
      </c>
      <c r="C156" s="891" t="s">
        <v>266</v>
      </c>
      <c r="D156" s="891">
        <v>6.07</v>
      </c>
      <c r="E156" s="891">
        <v>30.33</v>
      </c>
      <c r="F156" s="891">
        <v>6.07</v>
      </c>
      <c r="G156" s="891">
        <v>3.29</v>
      </c>
      <c r="H156" s="891">
        <v>4.04</v>
      </c>
      <c r="I156" s="891">
        <v>1.01</v>
      </c>
      <c r="J156" s="891">
        <v>0.44</v>
      </c>
      <c r="K156" s="891">
        <v>1.01</v>
      </c>
      <c r="L156" s="891">
        <v>0.51</v>
      </c>
      <c r="M156" s="891">
        <v>2.02</v>
      </c>
      <c r="N156" s="891">
        <v>7.58</v>
      </c>
      <c r="O156" s="891">
        <v>0.51</v>
      </c>
      <c r="P156" s="891">
        <v>12.64</v>
      </c>
      <c r="Q156" s="891">
        <v>2.02</v>
      </c>
      <c r="R156" s="891">
        <v>2.5299999999999998</v>
      </c>
      <c r="S156" s="891">
        <v>4.55</v>
      </c>
      <c r="T156" s="891">
        <v>1.01</v>
      </c>
      <c r="U156" s="891">
        <v>5.0599999999999996</v>
      </c>
      <c r="V156" s="891">
        <v>70.78</v>
      </c>
      <c r="W156" s="891">
        <v>2.4300000000000002</v>
      </c>
      <c r="X156" s="927">
        <v>22750.25</v>
      </c>
      <c r="Y156" s="891">
        <v>505.56</v>
      </c>
      <c r="Z156" s="891">
        <v>303.33999999999997</v>
      </c>
      <c r="AA156" s="891">
        <v>1011.12</v>
      </c>
      <c r="AB156" s="891">
        <v>505.56</v>
      </c>
      <c r="AC156" s="891">
        <v>107.43</v>
      </c>
      <c r="AD156" s="891">
        <v>0.2</v>
      </c>
      <c r="AE156" s="891">
        <v>27.81</v>
      </c>
      <c r="AF156" s="891">
        <v>60.67</v>
      </c>
      <c r="AG156" s="891">
        <v>20.22</v>
      </c>
      <c r="AH156" s="891">
        <v>7.58</v>
      </c>
      <c r="AI156" s="891">
        <v>63.2</v>
      </c>
      <c r="AJ156" s="891">
        <v>37.92</v>
      </c>
      <c r="AK156" s="891">
        <v>73.31</v>
      </c>
      <c r="AL156" s="891">
        <v>75.83</v>
      </c>
      <c r="AM156" s="891">
        <v>2022.24</v>
      </c>
      <c r="AN156" s="891">
        <v>1011.12</v>
      </c>
      <c r="AO156" s="891">
        <v>910.01</v>
      </c>
      <c r="AP156" s="891">
        <v>12</v>
      </c>
      <c r="AQ156" s="891">
        <v>1.39</v>
      </c>
      <c r="AR156" s="891">
        <v>0.86</v>
      </c>
      <c r="AS156" s="891">
        <v>10.11</v>
      </c>
      <c r="AT156" s="891">
        <v>1.52</v>
      </c>
      <c r="AU156" s="891">
        <v>1.26</v>
      </c>
      <c r="AV156" s="891">
        <v>0.78</v>
      </c>
      <c r="AW156" s="891">
        <v>1.01</v>
      </c>
      <c r="AX156" s="891">
        <v>3.03</v>
      </c>
      <c r="AY156" s="891">
        <v>2.02</v>
      </c>
      <c r="AZ156" s="891">
        <v>1.01</v>
      </c>
      <c r="BA156" s="891">
        <f t="shared" si="6"/>
        <v>135.44</v>
      </c>
      <c r="BB156" s="926">
        <f t="shared" si="7"/>
        <v>22836.83</v>
      </c>
      <c r="BC156" s="926">
        <f t="shared" si="8"/>
        <v>84.150000000001739</v>
      </c>
      <c r="BD156" s="891"/>
      <c r="BE156" s="891"/>
      <c r="BF156" s="891"/>
      <c r="BG156" s="928"/>
      <c r="BH156" s="928"/>
      <c r="BI156" s="928"/>
    </row>
    <row r="157" spans="1:61">
      <c r="A157" s="891" t="s">
        <v>931</v>
      </c>
      <c r="B157" s="891" t="s">
        <v>617</v>
      </c>
      <c r="C157" s="891" t="s">
        <v>296</v>
      </c>
      <c r="D157" s="891">
        <v>5.0599999999999996</v>
      </c>
      <c r="E157" s="891">
        <v>30.33</v>
      </c>
      <c r="F157" s="891">
        <v>5.18</v>
      </c>
      <c r="G157" s="891">
        <v>3.03</v>
      </c>
      <c r="H157" s="891">
        <v>3.54</v>
      </c>
      <c r="I157" s="891">
        <v>1.52</v>
      </c>
      <c r="J157" s="891">
        <v>0.51</v>
      </c>
      <c r="K157" s="891">
        <v>1.01</v>
      </c>
      <c r="L157" s="891">
        <v>0.51</v>
      </c>
      <c r="M157" s="891">
        <v>2.02</v>
      </c>
      <c r="N157" s="891">
        <v>7.08</v>
      </c>
      <c r="O157" s="891">
        <v>0.51</v>
      </c>
      <c r="P157" s="891">
        <v>10.11</v>
      </c>
      <c r="Q157" s="891">
        <v>2.02</v>
      </c>
      <c r="R157" s="891">
        <v>2.5299999999999998</v>
      </c>
      <c r="S157" s="891">
        <v>4.04</v>
      </c>
      <c r="T157" s="891">
        <v>0.92</v>
      </c>
      <c r="U157" s="891">
        <v>4.8</v>
      </c>
      <c r="V157" s="891">
        <v>35.39</v>
      </c>
      <c r="W157" s="891">
        <v>2.5299999999999998</v>
      </c>
      <c r="X157" s="927">
        <v>21486.35</v>
      </c>
      <c r="Y157" s="891">
        <v>417.09</v>
      </c>
      <c r="Z157" s="891">
        <v>252.78</v>
      </c>
      <c r="AA157" s="891">
        <v>758.34</v>
      </c>
      <c r="AB157" s="891">
        <v>417.09</v>
      </c>
      <c r="AC157" s="891">
        <v>107.43</v>
      </c>
      <c r="AD157" s="891">
        <v>0.25</v>
      </c>
      <c r="AE157" s="891">
        <v>30.33</v>
      </c>
      <c r="AF157" s="891">
        <v>50.56</v>
      </c>
      <c r="AG157" s="891">
        <v>12.64</v>
      </c>
      <c r="AH157" s="891">
        <v>7.08</v>
      </c>
      <c r="AI157" s="891">
        <v>75.83</v>
      </c>
      <c r="AJ157" s="891">
        <v>40.44</v>
      </c>
      <c r="AK157" s="891">
        <v>70.78</v>
      </c>
      <c r="AL157" s="891">
        <v>55.61</v>
      </c>
      <c r="AM157" s="891">
        <v>1339.74</v>
      </c>
      <c r="AN157" s="891">
        <v>846.81</v>
      </c>
      <c r="AO157" s="891">
        <v>758.34</v>
      </c>
      <c r="AP157" s="891">
        <v>7</v>
      </c>
      <c r="AQ157" s="891">
        <v>1.38</v>
      </c>
      <c r="AR157" s="891">
        <v>1.01</v>
      </c>
      <c r="AS157" s="891">
        <v>15.17</v>
      </c>
      <c r="AT157" s="891">
        <v>1.01</v>
      </c>
      <c r="AU157" s="891">
        <v>1.26</v>
      </c>
      <c r="AV157" s="891">
        <v>0.76</v>
      </c>
      <c r="AW157" s="891">
        <v>0.51</v>
      </c>
      <c r="AX157" s="891">
        <v>2.78</v>
      </c>
      <c r="AY157" s="891">
        <v>2.5299999999999998</v>
      </c>
      <c r="AZ157" s="891">
        <v>1.01</v>
      </c>
      <c r="BA157" s="891">
        <f t="shared" si="6"/>
        <v>138.01</v>
      </c>
      <c r="BB157" s="926">
        <f t="shared" si="7"/>
        <v>21542.749999999996</v>
      </c>
      <c r="BC157" s="926">
        <f t="shared" si="8"/>
        <v>53.869999999997816</v>
      </c>
      <c r="BD157" s="891"/>
      <c r="BE157" s="891"/>
      <c r="BF157" s="891"/>
      <c r="BG157" s="928"/>
      <c r="BH157" s="928"/>
      <c r="BI157" s="928"/>
    </row>
    <row r="158" spans="1:61">
      <c r="A158" s="891" t="s">
        <v>932</v>
      </c>
      <c r="B158" s="891" t="s">
        <v>560</v>
      </c>
      <c r="C158" s="891" t="s">
        <v>394</v>
      </c>
      <c r="D158" s="891">
        <v>1.97</v>
      </c>
      <c r="E158" s="891">
        <v>6.56</v>
      </c>
      <c r="F158" s="891">
        <v>2.13</v>
      </c>
      <c r="G158" s="891">
        <v>0.98</v>
      </c>
      <c r="H158" s="891">
        <v>1.64</v>
      </c>
      <c r="I158" s="891">
        <v>0.3</v>
      </c>
      <c r="J158" s="891">
        <v>0.25</v>
      </c>
      <c r="K158" s="891">
        <v>0.56999999999999995</v>
      </c>
      <c r="L158" s="891">
        <v>0.33</v>
      </c>
      <c r="M158" s="891">
        <v>0.79</v>
      </c>
      <c r="N158" s="891">
        <v>4.67</v>
      </c>
      <c r="O158" s="891">
        <v>0.31</v>
      </c>
      <c r="P158" s="891">
        <v>9.84</v>
      </c>
      <c r="Q158" s="891">
        <v>1.1499999999999999</v>
      </c>
      <c r="R158" s="891">
        <v>1.8</v>
      </c>
      <c r="S158" s="891">
        <v>1.8</v>
      </c>
      <c r="T158" s="891">
        <v>0.2</v>
      </c>
      <c r="U158" s="891">
        <v>3.94</v>
      </c>
      <c r="V158" s="891">
        <v>12.3</v>
      </c>
      <c r="W158" s="891">
        <v>1.18</v>
      </c>
      <c r="X158" s="927">
        <v>11478.23</v>
      </c>
      <c r="Y158" s="891">
        <v>98.38</v>
      </c>
      <c r="Z158" s="891">
        <v>65.59</v>
      </c>
      <c r="AA158" s="891">
        <v>245.96</v>
      </c>
      <c r="AB158" s="891">
        <v>147.58000000000001</v>
      </c>
      <c r="AC158" s="891">
        <v>29.52</v>
      </c>
      <c r="AD158" s="891">
        <v>0.01</v>
      </c>
      <c r="AE158" s="891">
        <v>14.76</v>
      </c>
      <c r="AF158" s="891">
        <v>14.76</v>
      </c>
      <c r="AG158" s="891">
        <v>4.92</v>
      </c>
      <c r="AH158" s="891">
        <v>2.21</v>
      </c>
      <c r="AI158" s="891">
        <v>31.16</v>
      </c>
      <c r="AJ158" s="891">
        <v>28.7</v>
      </c>
      <c r="AK158" s="891">
        <v>32.79</v>
      </c>
      <c r="AL158" s="891">
        <v>27.88</v>
      </c>
      <c r="AM158" s="891">
        <v>970.76</v>
      </c>
      <c r="AN158" s="891">
        <v>264.75</v>
      </c>
      <c r="AO158" s="891">
        <v>450.93</v>
      </c>
      <c r="AP158" s="891">
        <v>11.25</v>
      </c>
      <c r="AQ158" s="891">
        <v>0.56999999999999995</v>
      </c>
      <c r="AR158" s="891">
        <v>0.23</v>
      </c>
      <c r="AS158" s="891">
        <v>1.64</v>
      </c>
      <c r="AT158" s="891">
        <v>1.48</v>
      </c>
      <c r="AU158" s="891">
        <v>0.84</v>
      </c>
      <c r="AV158" s="891">
        <v>0.33</v>
      </c>
      <c r="AW158" s="891">
        <v>0.43</v>
      </c>
      <c r="AX158" s="891">
        <v>0.9</v>
      </c>
      <c r="AY158" s="891">
        <v>0.66</v>
      </c>
      <c r="AZ158" s="891">
        <v>0.56999999999999995</v>
      </c>
      <c r="BA158" s="891">
        <f t="shared" si="6"/>
        <v>44.29</v>
      </c>
      <c r="BB158" s="926">
        <f t="shared" si="7"/>
        <v>11494.349999999999</v>
      </c>
      <c r="BC158" s="926">
        <f t="shared" si="8"/>
        <v>14.939999999998982</v>
      </c>
      <c r="BD158" s="891"/>
      <c r="BE158" s="891"/>
      <c r="BF158" s="891"/>
      <c r="BG158" s="928"/>
      <c r="BH158" s="928"/>
      <c r="BI158" s="928"/>
    </row>
    <row r="159" spans="1:61">
      <c r="A159" s="891" t="s">
        <v>933</v>
      </c>
      <c r="B159" s="891" t="s">
        <v>562</v>
      </c>
      <c r="C159" s="891" t="s">
        <v>351</v>
      </c>
      <c r="D159" s="891">
        <v>2.64</v>
      </c>
      <c r="E159" s="891">
        <v>13.42</v>
      </c>
      <c r="F159" s="891">
        <v>3.52</v>
      </c>
      <c r="G159" s="891">
        <v>2.0699999999999998</v>
      </c>
      <c r="H159" s="891">
        <v>3.52</v>
      </c>
      <c r="I159" s="891">
        <v>0.56999999999999995</v>
      </c>
      <c r="J159" s="891">
        <v>0.26</v>
      </c>
      <c r="K159" s="891">
        <v>1.23</v>
      </c>
      <c r="L159" s="891">
        <v>0.88</v>
      </c>
      <c r="M159" s="891">
        <v>1.5</v>
      </c>
      <c r="N159" s="891">
        <v>11</v>
      </c>
      <c r="O159" s="891">
        <v>0.4</v>
      </c>
      <c r="P159" s="891">
        <v>26.4</v>
      </c>
      <c r="Q159" s="891">
        <v>1.76</v>
      </c>
      <c r="R159" s="891">
        <v>2.99</v>
      </c>
      <c r="S159" s="891">
        <v>1.32</v>
      </c>
      <c r="T159" s="891">
        <v>0.31</v>
      </c>
      <c r="U159" s="891">
        <v>3.52</v>
      </c>
      <c r="V159" s="891">
        <v>13.2</v>
      </c>
      <c r="W159" s="891">
        <v>0.56999999999999995</v>
      </c>
      <c r="X159" s="927">
        <v>26396.83</v>
      </c>
      <c r="Y159" s="891">
        <v>527.94000000000005</v>
      </c>
      <c r="Z159" s="891">
        <v>197.98</v>
      </c>
      <c r="AA159" s="891">
        <v>1055.8699999999999</v>
      </c>
      <c r="AB159" s="891">
        <v>316.76</v>
      </c>
      <c r="AC159" s="891">
        <v>87.99</v>
      </c>
      <c r="AD159" s="891">
        <v>0.1</v>
      </c>
      <c r="AE159" s="891">
        <v>30.8</v>
      </c>
      <c r="AF159" s="891">
        <v>39.6</v>
      </c>
      <c r="AG159" s="891">
        <v>4.4000000000000004</v>
      </c>
      <c r="AH159" s="891">
        <v>4.4000000000000004</v>
      </c>
      <c r="AI159" s="891">
        <v>57.19</v>
      </c>
      <c r="AJ159" s="891">
        <v>41.79</v>
      </c>
      <c r="AK159" s="891">
        <v>65.989999999999995</v>
      </c>
      <c r="AL159" s="891">
        <v>68</v>
      </c>
      <c r="AM159" s="891">
        <v>1759.79</v>
      </c>
      <c r="AN159" s="891">
        <v>791.9</v>
      </c>
      <c r="AO159" s="891">
        <v>351.96</v>
      </c>
      <c r="AP159" s="891">
        <v>9.75</v>
      </c>
      <c r="AQ159" s="891">
        <v>0.53</v>
      </c>
      <c r="AR159" s="891">
        <v>0.26</v>
      </c>
      <c r="AS159" s="891">
        <v>2.64</v>
      </c>
      <c r="AT159" s="891">
        <v>2.82</v>
      </c>
      <c r="AU159" s="891">
        <v>1.76</v>
      </c>
      <c r="AV159" s="891">
        <v>1.32</v>
      </c>
      <c r="AW159" s="891">
        <v>0.88</v>
      </c>
      <c r="AX159" s="891">
        <v>2.2000000000000002</v>
      </c>
      <c r="AY159" s="891">
        <v>0.88</v>
      </c>
      <c r="AZ159" s="891">
        <v>0.88</v>
      </c>
      <c r="BA159" s="891">
        <f t="shared" si="6"/>
        <v>118.88999999999999</v>
      </c>
      <c r="BB159" s="926">
        <f t="shared" si="7"/>
        <v>26414.34</v>
      </c>
      <c r="BC159" s="926">
        <f t="shared" si="8"/>
        <v>16.939999999998399</v>
      </c>
      <c r="BD159" s="891"/>
      <c r="BE159" s="891"/>
      <c r="BF159" s="891"/>
      <c r="BG159" s="928"/>
      <c r="BH159" s="928"/>
      <c r="BI159" s="928"/>
    </row>
    <row r="160" spans="1:61">
      <c r="A160" s="891" t="s">
        <v>1607</v>
      </c>
      <c r="B160" s="891" t="s">
        <v>1573</v>
      </c>
      <c r="C160" s="891" t="s">
        <v>26</v>
      </c>
      <c r="D160" s="891">
        <v>3.7</v>
      </c>
      <c r="E160" s="891">
        <v>26.67</v>
      </c>
      <c r="F160" s="891">
        <v>4.8</v>
      </c>
      <c r="G160" s="891">
        <v>0.8</v>
      </c>
      <c r="H160" s="891">
        <v>1.07</v>
      </c>
      <c r="I160" s="891">
        <v>0.4</v>
      </c>
      <c r="J160" s="891">
        <v>0.27</v>
      </c>
      <c r="K160" s="891">
        <v>1.07</v>
      </c>
      <c r="L160" s="891">
        <v>0.8</v>
      </c>
      <c r="M160" s="891">
        <v>2</v>
      </c>
      <c r="N160" s="891">
        <v>6.67</v>
      </c>
      <c r="O160" s="891">
        <v>0.53</v>
      </c>
      <c r="P160" s="891">
        <v>533.29999999999995</v>
      </c>
      <c r="Q160" s="891">
        <v>0.8</v>
      </c>
      <c r="R160" s="891">
        <v>1.1499999999999999</v>
      </c>
      <c r="S160" s="891">
        <v>2.19</v>
      </c>
      <c r="T160" s="891">
        <v>0.53</v>
      </c>
      <c r="U160" s="891">
        <v>6.83</v>
      </c>
      <c r="V160" s="891">
        <v>15.34</v>
      </c>
      <c r="W160" s="891">
        <v>0.15</v>
      </c>
      <c r="X160" s="927">
        <v>18665.669999999998</v>
      </c>
      <c r="Y160" s="891">
        <v>399.98</v>
      </c>
      <c r="Z160" s="891">
        <v>293.32</v>
      </c>
      <c r="AA160" s="891">
        <v>799.96</v>
      </c>
      <c r="AB160" s="891">
        <v>666.63</v>
      </c>
      <c r="AC160" s="891">
        <v>53.33</v>
      </c>
      <c r="AD160" s="891">
        <v>0.13</v>
      </c>
      <c r="AE160" s="891">
        <v>51.67</v>
      </c>
      <c r="AF160" s="891">
        <v>85</v>
      </c>
      <c r="AG160" s="891">
        <v>20</v>
      </c>
      <c r="AH160" s="891">
        <v>75</v>
      </c>
      <c r="AI160" s="891">
        <v>80</v>
      </c>
      <c r="AJ160" s="891">
        <v>65.5</v>
      </c>
      <c r="AK160" s="891">
        <v>86.66</v>
      </c>
      <c r="AL160" s="891">
        <v>93.33</v>
      </c>
      <c r="AM160" s="891">
        <v>1066.6099999999999</v>
      </c>
      <c r="AN160" s="891">
        <v>666.63</v>
      </c>
      <c r="AO160" s="891">
        <v>1866.57</v>
      </c>
      <c r="AP160" s="891">
        <v>3.5</v>
      </c>
      <c r="AQ160" s="891">
        <v>2.67</v>
      </c>
      <c r="AR160" s="891">
        <v>1.33</v>
      </c>
      <c r="AS160" s="891">
        <v>10.67</v>
      </c>
      <c r="AT160" s="891">
        <v>2.13</v>
      </c>
      <c r="AU160" s="891">
        <v>1.33</v>
      </c>
      <c r="AV160" s="891">
        <v>1</v>
      </c>
      <c r="AW160" s="891">
        <v>1.07</v>
      </c>
      <c r="AX160" s="891">
        <v>2.67</v>
      </c>
      <c r="AY160" s="891">
        <v>1.33</v>
      </c>
      <c r="AZ160" s="891">
        <v>1.47</v>
      </c>
      <c r="BA160" s="891">
        <f t="shared" si="6"/>
        <v>105.13</v>
      </c>
      <c r="BB160" s="926">
        <f t="shared" si="7"/>
        <v>18696.359999999997</v>
      </c>
      <c r="BC160" s="926">
        <f t="shared" si="8"/>
        <v>30.539999999998692</v>
      </c>
      <c r="BD160" s="891"/>
      <c r="BE160" s="891"/>
      <c r="BF160" s="891"/>
      <c r="BG160" s="928"/>
      <c r="BH160" s="928"/>
      <c r="BI160" s="928"/>
    </row>
    <row r="161" spans="1:61">
      <c r="A161" s="891" t="s">
        <v>935</v>
      </c>
      <c r="B161" s="891" t="s">
        <v>570</v>
      </c>
      <c r="C161" s="891" t="s">
        <v>121</v>
      </c>
      <c r="D161" s="891">
        <v>14.1</v>
      </c>
      <c r="E161" s="891">
        <v>70.48</v>
      </c>
      <c r="F161" s="891">
        <v>12.69</v>
      </c>
      <c r="G161" s="891">
        <v>7.05</v>
      </c>
      <c r="H161" s="891">
        <v>7.05</v>
      </c>
      <c r="I161" s="891">
        <v>2.54</v>
      </c>
      <c r="J161" s="891">
        <v>1.69</v>
      </c>
      <c r="K161" s="891">
        <v>1.66</v>
      </c>
      <c r="L161" s="891">
        <v>1.83</v>
      </c>
      <c r="M161" s="891">
        <v>4.09</v>
      </c>
      <c r="N161" s="891">
        <v>13.39</v>
      </c>
      <c r="O161" s="891">
        <v>0.99</v>
      </c>
      <c r="P161" s="891">
        <v>9.8699999999999992</v>
      </c>
      <c r="Q161" s="891">
        <v>2.54</v>
      </c>
      <c r="R161" s="891">
        <v>3.1</v>
      </c>
      <c r="S161" s="891">
        <v>7.61</v>
      </c>
      <c r="T161" s="891">
        <v>1.86</v>
      </c>
      <c r="U161" s="891">
        <v>7.05</v>
      </c>
      <c r="V161" s="891">
        <v>68.36</v>
      </c>
      <c r="W161" s="891">
        <v>2.25</v>
      </c>
      <c r="X161" s="927">
        <v>37353.410000000003</v>
      </c>
      <c r="Y161" s="891">
        <v>873.93</v>
      </c>
      <c r="Z161" s="891">
        <v>648.4</v>
      </c>
      <c r="AA161" s="891">
        <v>1409.56</v>
      </c>
      <c r="AB161" s="891">
        <v>1268.6099999999999</v>
      </c>
      <c r="AC161" s="891">
        <v>188.53</v>
      </c>
      <c r="AD161" s="891">
        <v>0.08</v>
      </c>
      <c r="AE161" s="891">
        <v>24.67</v>
      </c>
      <c r="AF161" s="891">
        <v>70.48</v>
      </c>
      <c r="AG161" s="891">
        <v>15.5</v>
      </c>
      <c r="AH161" s="891">
        <v>10.99</v>
      </c>
      <c r="AI161" s="891">
        <v>98.67</v>
      </c>
      <c r="AJ161" s="891">
        <v>70.48</v>
      </c>
      <c r="AK161" s="891">
        <v>140.96</v>
      </c>
      <c r="AL161" s="891">
        <v>126.86</v>
      </c>
      <c r="AM161" s="891">
        <v>8500</v>
      </c>
      <c r="AN161" s="891">
        <v>5931.89</v>
      </c>
      <c r="AO161" s="891">
        <v>1550.52</v>
      </c>
      <c r="AP161" s="891">
        <v>4</v>
      </c>
      <c r="AQ161" s="891">
        <v>3.38</v>
      </c>
      <c r="AR161" s="891">
        <v>1.06</v>
      </c>
      <c r="AS161" s="891">
        <v>18.97</v>
      </c>
      <c r="AT161" s="891">
        <v>2.25</v>
      </c>
      <c r="AU161" s="891">
        <v>1.83</v>
      </c>
      <c r="AV161" s="891">
        <v>1.1299999999999999</v>
      </c>
      <c r="AW161" s="891">
        <v>1.48</v>
      </c>
      <c r="AX161" s="891">
        <v>3.66</v>
      </c>
      <c r="AY161" s="891">
        <v>2.1800000000000002</v>
      </c>
      <c r="AZ161" s="891">
        <v>1.41</v>
      </c>
      <c r="BA161" s="891">
        <f t="shared" si="6"/>
        <v>213.28000000000003</v>
      </c>
      <c r="BB161" s="926">
        <f t="shared" si="7"/>
        <v>37449.29</v>
      </c>
      <c r="BC161" s="926">
        <f t="shared" si="8"/>
        <v>93.629999999997381</v>
      </c>
      <c r="BD161" s="891"/>
      <c r="BE161" s="891"/>
      <c r="BF161" s="891"/>
      <c r="BG161" s="928"/>
      <c r="BH161" s="928"/>
      <c r="BI161" s="928"/>
    </row>
    <row r="162" spans="1:61">
      <c r="A162" s="891" t="s">
        <v>936</v>
      </c>
      <c r="B162" s="891" t="s">
        <v>1591</v>
      </c>
      <c r="C162" s="891" t="s">
        <v>289</v>
      </c>
      <c r="D162" s="891">
        <v>8.09</v>
      </c>
      <c r="E162" s="891">
        <v>35.380000000000003</v>
      </c>
      <c r="F162" s="891">
        <v>4.04</v>
      </c>
      <c r="G162" s="891">
        <v>1.62</v>
      </c>
      <c r="H162" s="891">
        <v>1.82</v>
      </c>
      <c r="I162" s="891">
        <v>1.01</v>
      </c>
      <c r="J162" s="891">
        <v>0.81</v>
      </c>
      <c r="K162" s="891">
        <v>1.1100000000000001</v>
      </c>
      <c r="L162" s="891">
        <v>1.01</v>
      </c>
      <c r="M162" s="891">
        <v>1.82</v>
      </c>
      <c r="N162" s="891">
        <v>6.57</v>
      </c>
      <c r="O162" s="891">
        <v>1.1599999999999999</v>
      </c>
      <c r="P162" s="891">
        <v>5.05</v>
      </c>
      <c r="Q162" s="891">
        <v>1.25</v>
      </c>
      <c r="R162" s="891">
        <v>1.62</v>
      </c>
      <c r="S162" s="891">
        <v>3.23</v>
      </c>
      <c r="T162" s="891">
        <v>2.02</v>
      </c>
      <c r="U162" s="891">
        <v>4.7</v>
      </c>
      <c r="V162" s="891">
        <v>73.790000000000006</v>
      </c>
      <c r="W162" s="891">
        <v>1.21</v>
      </c>
      <c r="X162" s="927">
        <v>18195.599999999999</v>
      </c>
      <c r="Y162" s="891">
        <v>555.98</v>
      </c>
      <c r="Z162" s="891">
        <v>454.89</v>
      </c>
      <c r="AA162" s="891">
        <v>966.92</v>
      </c>
      <c r="AB162" s="891">
        <v>833.97</v>
      </c>
      <c r="AC162" s="891">
        <v>101.09</v>
      </c>
      <c r="AD162" s="891">
        <v>0.25</v>
      </c>
      <c r="AE162" s="891">
        <v>60.65</v>
      </c>
      <c r="AF162" s="891">
        <v>40.43</v>
      </c>
      <c r="AG162" s="891">
        <v>7.58</v>
      </c>
      <c r="AH162" s="891">
        <v>5.05</v>
      </c>
      <c r="AI162" s="891">
        <v>70.760000000000005</v>
      </c>
      <c r="AJ162" s="891">
        <v>40.43</v>
      </c>
      <c r="AK162" s="891">
        <v>80.87</v>
      </c>
      <c r="AL162" s="891">
        <v>70.760000000000005</v>
      </c>
      <c r="AM162" s="891">
        <v>1263.58</v>
      </c>
      <c r="AN162" s="891">
        <v>1010.87</v>
      </c>
      <c r="AO162" s="891">
        <v>1617.39</v>
      </c>
      <c r="AP162" s="891">
        <v>9</v>
      </c>
      <c r="AQ162" s="891">
        <v>5.05</v>
      </c>
      <c r="AR162" s="891">
        <v>1.01</v>
      </c>
      <c r="AS162" s="891">
        <v>5.05</v>
      </c>
      <c r="AT162" s="891">
        <v>1.62</v>
      </c>
      <c r="AU162" s="891">
        <v>1.52</v>
      </c>
      <c r="AV162" s="891">
        <v>1.57</v>
      </c>
      <c r="AW162" s="891">
        <v>1.01</v>
      </c>
      <c r="AX162" s="891">
        <v>1.82</v>
      </c>
      <c r="AY162" s="891">
        <v>1.62</v>
      </c>
      <c r="AZ162" s="891">
        <v>1.52</v>
      </c>
      <c r="BA162" s="891">
        <f t="shared" si="6"/>
        <v>161.99</v>
      </c>
      <c r="BB162" s="926">
        <f t="shared" si="7"/>
        <v>18283.729999999996</v>
      </c>
      <c r="BC162" s="926">
        <f t="shared" si="8"/>
        <v>86.919999999997387</v>
      </c>
      <c r="BD162" s="891"/>
      <c r="BE162" s="891"/>
      <c r="BF162" s="891"/>
      <c r="BG162" s="928"/>
      <c r="BH162" s="928"/>
      <c r="BI162" s="928"/>
    </row>
    <row r="163" spans="1:61">
      <c r="A163" s="891" t="s">
        <v>1608</v>
      </c>
      <c r="B163" s="891" t="s">
        <v>576</v>
      </c>
      <c r="C163" s="891" t="s">
        <v>312</v>
      </c>
      <c r="D163" s="891">
        <v>3.14</v>
      </c>
      <c r="E163" s="891">
        <v>13.52</v>
      </c>
      <c r="F163" s="891">
        <v>3.77</v>
      </c>
      <c r="G163" s="891">
        <v>2.52</v>
      </c>
      <c r="H163" s="891">
        <v>3.77</v>
      </c>
      <c r="I163" s="891">
        <v>0.88</v>
      </c>
      <c r="J163" s="891">
        <v>0.47</v>
      </c>
      <c r="K163" s="891">
        <v>1.65</v>
      </c>
      <c r="L163" s="891">
        <v>0.94</v>
      </c>
      <c r="M163" s="891">
        <v>1.57</v>
      </c>
      <c r="N163" s="891">
        <v>4.5599999999999996</v>
      </c>
      <c r="O163" s="891">
        <v>0.86</v>
      </c>
      <c r="P163" s="891">
        <v>14.15</v>
      </c>
      <c r="Q163" s="891">
        <v>1.89</v>
      </c>
      <c r="R163" s="891">
        <v>2.52</v>
      </c>
      <c r="S163" s="891">
        <v>3.14</v>
      </c>
      <c r="T163" s="891">
        <v>0.94</v>
      </c>
      <c r="U163" s="891">
        <v>3.77</v>
      </c>
      <c r="V163" s="891">
        <v>15.72</v>
      </c>
      <c r="W163" s="891">
        <v>0.6</v>
      </c>
      <c r="X163" s="927">
        <v>55134.78</v>
      </c>
      <c r="Y163" s="891">
        <v>220.13</v>
      </c>
      <c r="Z163" s="891">
        <v>157.22999999999999</v>
      </c>
      <c r="AA163" s="891">
        <v>550.30999999999995</v>
      </c>
      <c r="AB163" s="891">
        <v>251.57</v>
      </c>
      <c r="AC163" s="891">
        <v>56.6</v>
      </c>
      <c r="AD163" s="891">
        <v>0.13</v>
      </c>
      <c r="AE163" s="891">
        <v>40.880000000000003</v>
      </c>
      <c r="AF163" s="891">
        <v>47.17</v>
      </c>
      <c r="AG163" s="891">
        <v>7.08</v>
      </c>
      <c r="AH163" s="891">
        <v>3.77</v>
      </c>
      <c r="AI163" s="891">
        <v>88.05</v>
      </c>
      <c r="AJ163" s="891">
        <v>47.17</v>
      </c>
      <c r="AK163" s="891">
        <v>86.48</v>
      </c>
      <c r="AL163" s="891">
        <v>122.64</v>
      </c>
      <c r="AM163" s="891">
        <v>2640.2</v>
      </c>
      <c r="AN163" s="891">
        <v>1509.43</v>
      </c>
      <c r="AO163" s="891">
        <v>581.76</v>
      </c>
      <c r="AP163" s="891">
        <v>8</v>
      </c>
      <c r="AQ163" s="891">
        <v>0.94</v>
      </c>
      <c r="AR163" s="891">
        <v>0.31</v>
      </c>
      <c r="AS163" s="891">
        <v>5.97</v>
      </c>
      <c r="AT163" s="891">
        <v>2.04</v>
      </c>
      <c r="AU163" s="891">
        <v>1.73</v>
      </c>
      <c r="AV163" s="891">
        <v>0.86</v>
      </c>
      <c r="AW163" s="891">
        <v>0.94</v>
      </c>
      <c r="AX163" s="891">
        <v>2.52</v>
      </c>
      <c r="AY163" s="891">
        <v>1.04</v>
      </c>
      <c r="AZ163" s="891">
        <v>1.51</v>
      </c>
      <c r="BA163" s="891">
        <f t="shared" si="6"/>
        <v>97.610000000000014</v>
      </c>
      <c r="BB163" s="926">
        <f t="shared" si="7"/>
        <v>55159.26</v>
      </c>
      <c r="BC163" s="926">
        <f t="shared" si="8"/>
        <v>23.8800000000032</v>
      </c>
      <c r="BD163" s="891"/>
      <c r="BE163" s="891"/>
      <c r="BF163" s="891"/>
      <c r="BG163" s="928"/>
      <c r="BH163" s="928"/>
      <c r="BI163" s="928"/>
    </row>
    <row r="164" spans="1:61">
      <c r="A164" s="891" t="s">
        <v>938</v>
      </c>
      <c r="B164" s="891" t="s">
        <v>756</v>
      </c>
      <c r="C164" s="891" t="s">
        <v>317</v>
      </c>
      <c r="D164" s="891">
        <v>1.99</v>
      </c>
      <c r="E164" s="891">
        <v>18</v>
      </c>
      <c r="F164" s="891">
        <v>7.88</v>
      </c>
      <c r="G164" s="891">
        <v>1.18</v>
      </c>
      <c r="H164" s="891">
        <v>1.77</v>
      </c>
      <c r="I164" s="891">
        <v>0.59</v>
      </c>
      <c r="J164" s="891">
        <v>0.59</v>
      </c>
      <c r="K164" s="891">
        <v>0.77</v>
      </c>
      <c r="L164" s="891">
        <v>0.94</v>
      </c>
      <c r="M164" s="891">
        <v>1.89</v>
      </c>
      <c r="N164" s="891">
        <v>13</v>
      </c>
      <c r="O164" s="891">
        <v>0.69</v>
      </c>
      <c r="P164" s="891">
        <v>9.85</v>
      </c>
      <c r="Q164" s="891">
        <v>1.18</v>
      </c>
      <c r="R164" s="891">
        <v>1.29</v>
      </c>
      <c r="S164" s="891">
        <v>1.4</v>
      </c>
      <c r="T164" s="891">
        <v>0.28999999999999998</v>
      </c>
      <c r="U164" s="891">
        <v>4.33</v>
      </c>
      <c r="V164" s="891">
        <v>98.5</v>
      </c>
      <c r="W164" s="891">
        <v>1.5</v>
      </c>
      <c r="X164" s="927">
        <v>19000</v>
      </c>
      <c r="Y164" s="891">
        <v>250</v>
      </c>
      <c r="Z164" s="891">
        <v>200</v>
      </c>
      <c r="AA164" s="891">
        <v>744.01</v>
      </c>
      <c r="AB164" s="891">
        <v>394.01</v>
      </c>
      <c r="AC164" s="891">
        <v>78.8</v>
      </c>
      <c r="AD164" s="891">
        <v>0.15</v>
      </c>
      <c r="AE164" s="891">
        <v>39.4</v>
      </c>
      <c r="AF164" s="891">
        <v>60</v>
      </c>
      <c r="AG164" s="891">
        <v>5.96</v>
      </c>
      <c r="AH164" s="891">
        <v>7.58</v>
      </c>
      <c r="AI164" s="891">
        <v>29.32</v>
      </c>
      <c r="AJ164" s="891">
        <v>21.67</v>
      </c>
      <c r="AK164" s="891">
        <v>40</v>
      </c>
      <c r="AL164" s="891">
        <v>59.1</v>
      </c>
      <c r="AM164" s="891">
        <v>3052.78</v>
      </c>
      <c r="AN164" s="891">
        <v>450</v>
      </c>
      <c r="AO164" s="891">
        <v>407.6</v>
      </c>
      <c r="AP164" s="891">
        <v>24</v>
      </c>
      <c r="AQ164" s="891">
        <v>3.94</v>
      </c>
      <c r="AR164" s="891">
        <v>1.97</v>
      </c>
      <c r="AS164" s="891">
        <v>17.350000000000001</v>
      </c>
      <c r="AT164" s="891">
        <v>1.51</v>
      </c>
      <c r="AU164" s="891">
        <v>1.18</v>
      </c>
      <c r="AV164" s="891">
        <v>0.8</v>
      </c>
      <c r="AW164" s="891">
        <v>0.99</v>
      </c>
      <c r="AX164" s="891">
        <v>2.1800000000000002</v>
      </c>
      <c r="AY164" s="891">
        <v>1</v>
      </c>
      <c r="AZ164" s="891">
        <v>1.08</v>
      </c>
      <c r="BA164" s="891">
        <f t="shared" si="6"/>
        <v>118.35</v>
      </c>
      <c r="BB164" s="926">
        <f t="shared" si="7"/>
        <v>19123.55</v>
      </c>
      <c r="BC164" s="926">
        <f t="shared" si="8"/>
        <v>122.04999999999927</v>
      </c>
      <c r="BD164" s="891"/>
      <c r="BE164" s="891"/>
      <c r="BF164" s="891"/>
      <c r="BG164" s="928"/>
      <c r="BH164" s="928"/>
      <c r="BI164" s="928"/>
    </row>
    <row r="165" spans="1:61">
      <c r="A165" s="891" t="s">
        <v>1609</v>
      </c>
      <c r="B165" s="891" t="s">
        <v>1606</v>
      </c>
      <c r="C165" s="891" t="s">
        <v>200</v>
      </c>
      <c r="D165" s="891">
        <v>10</v>
      </c>
      <c r="E165" s="891">
        <v>50</v>
      </c>
      <c r="F165" s="891">
        <v>6</v>
      </c>
      <c r="G165" s="891">
        <v>3</v>
      </c>
      <c r="H165" s="891">
        <v>4</v>
      </c>
      <c r="I165" s="891">
        <v>1.4</v>
      </c>
      <c r="J165" s="891">
        <v>1.25</v>
      </c>
      <c r="K165" s="891">
        <v>1.06</v>
      </c>
      <c r="L165" s="891">
        <v>2.5</v>
      </c>
      <c r="M165" s="891">
        <v>1.73</v>
      </c>
      <c r="N165" s="891">
        <v>9.41</v>
      </c>
      <c r="O165" s="891">
        <v>2</v>
      </c>
      <c r="P165" s="891">
        <v>9.5</v>
      </c>
      <c r="Q165" s="891">
        <v>2.75</v>
      </c>
      <c r="R165" s="891">
        <v>3</v>
      </c>
      <c r="S165" s="891">
        <v>4.5</v>
      </c>
      <c r="T165" s="891">
        <v>1.5</v>
      </c>
      <c r="U165" s="891">
        <v>6.61</v>
      </c>
      <c r="V165" s="891">
        <v>45</v>
      </c>
      <c r="W165" s="891">
        <v>0.93</v>
      </c>
      <c r="X165" s="927">
        <v>20000</v>
      </c>
      <c r="Y165" s="891">
        <v>600</v>
      </c>
      <c r="Z165" s="891">
        <v>694</v>
      </c>
      <c r="AA165" s="891">
        <v>1200</v>
      </c>
      <c r="AB165" s="891">
        <v>900</v>
      </c>
      <c r="AC165" s="891">
        <v>150</v>
      </c>
      <c r="AD165" s="891">
        <v>0.12</v>
      </c>
      <c r="AE165" s="891">
        <v>42.5</v>
      </c>
      <c r="AF165" s="891">
        <v>45</v>
      </c>
      <c r="AG165" s="891">
        <v>10</v>
      </c>
      <c r="AH165" s="891">
        <v>9</v>
      </c>
      <c r="AI165" s="891">
        <v>40</v>
      </c>
      <c r="AJ165" s="891">
        <v>27.5</v>
      </c>
      <c r="AK165" s="891">
        <v>80</v>
      </c>
      <c r="AL165" s="891">
        <v>80</v>
      </c>
      <c r="AM165" s="891">
        <v>1451.39</v>
      </c>
      <c r="AN165" s="891">
        <v>968.75</v>
      </c>
      <c r="AO165" s="891">
        <v>3164</v>
      </c>
      <c r="AP165" s="891">
        <v>4.5</v>
      </c>
      <c r="AQ165" s="891">
        <v>2.5</v>
      </c>
      <c r="AR165" s="891">
        <v>1.34</v>
      </c>
      <c r="AS165" s="891">
        <v>40</v>
      </c>
      <c r="AT165" s="891">
        <v>3.57</v>
      </c>
      <c r="AU165" s="891">
        <v>4.62</v>
      </c>
      <c r="AV165" s="891">
        <v>2</v>
      </c>
      <c r="AW165" s="891">
        <v>1.5</v>
      </c>
      <c r="AX165" s="891">
        <v>3.5</v>
      </c>
      <c r="AY165" s="891">
        <v>1.6</v>
      </c>
      <c r="AZ165" s="891">
        <v>3</v>
      </c>
      <c r="BA165" s="891">
        <f t="shared" si="6"/>
        <v>192.62</v>
      </c>
      <c r="BB165" s="926">
        <f t="shared" si="7"/>
        <v>20091.27</v>
      </c>
      <c r="BC165" s="926">
        <f t="shared" si="8"/>
        <v>90.34000000000043</v>
      </c>
      <c r="BD165" s="891"/>
      <c r="BE165" s="891"/>
      <c r="BF165" s="891"/>
      <c r="BG165" s="928"/>
      <c r="BH165" s="928"/>
      <c r="BI165" s="928"/>
    </row>
    <row r="166" spans="1:61">
      <c r="A166" s="891" t="s">
        <v>940</v>
      </c>
      <c r="B166" s="891" t="s">
        <v>656</v>
      </c>
      <c r="C166" s="891" t="s">
        <v>377</v>
      </c>
      <c r="D166" s="891">
        <v>2</v>
      </c>
      <c r="E166" s="891">
        <v>11.31</v>
      </c>
      <c r="F166" s="891">
        <v>4.71</v>
      </c>
      <c r="G166" s="891">
        <v>1.88</v>
      </c>
      <c r="H166" s="891">
        <v>4.71</v>
      </c>
      <c r="I166" s="891">
        <v>0.33</v>
      </c>
      <c r="J166" s="891">
        <v>0.24</v>
      </c>
      <c r="K166" s="891">
        <v>0.75</v>
      </c>
      <c r="L166" s="891">
        <v>0.47</v>
      </c>
      <c r="M166" s="891">
        <v>0.94</v>
      </c>
      <c r="N166" s="891">
        <v>3.77</v>
      </c>
      <c r="O166" s="891">
        <v>0.42</v>
      </c>
      <c r="P166" s="891">
        <v>12.1</v>
      </c>
      <c r="Q166" s="891">
        <v>2.59</v>
      </c>
      <c r="R166" s="891">
        <v>4.84</v>
      </c>
      <c r="S166" s="891">
        <v>1.04</v>
      </c>
      <c r="T166" s="891">
        <v>0.19</v>
      </c>
      <c r="U166" s="891">
        <v>2.91</v>
      </c>
      <c r="V166" s="891">
        <v>9.42</v>
      </c>
      <c r="W166" s="891">
        <v>0.99</v>
      </c>
      <c r="X166" s="927">
        <v>14134.94</v>
      </c>
      <c r="Y166" s="891">
        <v>94.23</v>
      </c>
      <c r="Z166" s="891">
        <v>65.959999999999994</v>
      </c>
      <c r="AA166" s="891">
        <v>273.27999999999997</v>
      </c>
      <c r="AB166" s="891">
        <v>169.62</v>
      </c>
      <c r="AC166" s="891">
        <v>47.12</v>
      </c>
      <c r="AD166" s="891">
        <v>0.02</v>
      </c>
      <c r="AE166" s="891">
        <v>23.56</v>
      </c>
      <c r="AF166" s="891">
        <v>23.56</v>
      </c>
      <c r="AG166" s="891">
        <v>9.42</v>
      </c>
      <c r="AH166" s="891">
        <v>4.71</v>
      </c>
      <c r="AI166" s="891">
        <v>21.67</v>
      </c>
      <c r="AJ166" s="891">
        <v>28.27</v>
      </c>
      <c r="AK166" s="891">
        <v>56.54</v>
      </c>
      <c r="AL166" s="891">
        <v>28.27</v>
      </c>
      <c r="AM166" s="891">
        <v>885.79</v>
      </c>
      <c r="AN166" s="891">
        <v>282.7</v>
      </c>
      <c r="AO166" s="891">
        <v>188.47</v>
      </c>
      <c r="AP166" s="891">
        <v>15</v>
      </c>
      <c r="AQ166" s="891">
        <v>0.53</v>
      </c>
      <c r="AR166" s="891">
        <v>0.28000000000000003</v>
      </c>
      <c r="AS166" s="891">
        <v>1.88</v>
      </c>
      <c r="AT166" s="891">
        <v>1.1299999999999999</v>
      </c>
      <c r="AU166" s="891">
        <v>0.97</v>
      </c>
      <c r="AV166" s="891">
        <v>0.28000000000000003</v>
      </c>
      <c r="AW166" s="891">
        <v>0.38</v>
      </c>
      <c r="AX166" s="891">
        <v>1.41</v>
      </c>
      <c r="AY166" s="891">
        <v>1.1299999999999999</v>
      </c>
      <c r="AZ166" s="891">
        <v>0.66</v>
      </c>
      <c r="BA166" s="891">
        <f t="shared" si="6"/>
        <v>70.7</v>
      </c>
      <c r="BB166" s="926">
        <f t="shared" si="7"/>
        <v>14148.230000000001</v>
      </c>
      <c r="BC166" s="926">
        <f t="shared" si="8"/>
        <v>12.300000000000873</v>
      </c>
      <c r="BD166" s="891"/>
      <c r="BE166" s="891"/>
      <c r="BF166" s="891"/>
      <c r="BG166" s="928"/>
      <c r="BH166" s="928"/>
      <c r="BI166" s="928"/>
    </row>
    <row r="167" spans="1:61">
      <c r="A167" s="891" t="s">
        <v>941</v>
      </c>
      <c r="B167" s="891" t="s">
        <v>655</v>
      </c>
      <c r="C167" s="891" t="s">
        <v>374</v>
      </c>
      <c r="D167" s="891">
        <v>2.0299999999999998</v>
      </c>
      <c r="E167" s="891">
        <v>8.14</v>
      </c>
      <c r="F167" s="891">
        <v>6.77</v>
      </c>
      <c r="G167" s="891">
        <v>2.14</v>
      </c>
      <c r="H167" s="891">
        <v>3.05</v>
      </c>
      <c r="I167" s="891">
        <v>0.41</v>
      </c>
      <c r="J167" s="891">
        <v>0.2</v>
      </c>
      <c r="K167" s="891">
        <v>0.54</v>
      </c>
      <c r="L167" s="891">
        <v>0.51</v>
      </c>
      <c r="M167" s="891">
        <v>1.02</v>
      </c>
      <c r="N167" s="891">
        <v>6.56</v>
      </c>
      <c r="O167" s="891">
        <v>0.38</v>
      </c>
      <c r="P167" s="891">
        <v>7.08</v>
      </c>
      <c r="Q167" s="891">
        <v>2.0299999999999998</v>
      </c>
      <c r="R167" s="891">
        <v>2.54</v>
      </c>
      <c r="S167" s="891">
        <v>1.32</v>
      </c>
      <c r="T167" s="891">
        <v>0.2</v>
      </c>
      <c r="U167" s="891">
        <v>3.27</v>
      </c>
      <c r="V167" s="891">
        <v>8.14</v>
      </c>
      <c r="W167" s="891">
        <v>1.27</v>
      </c>
      <c r="X167" s="927">
        <v>30515.75</v>
      </c>
      <c r="Y167" s="891">
        <v>91.85</v>
      </c>
      <c r="Z167" s="891">
        <v>40.69</v>
      </c>
      <c r="AA167" s="891">
        <v>183.09</v>
      </c>
      <c r="AB167" s="891">
        <v>116.98</v>
      </c>
      <c r="AC167" s="891">
        <v>22.71</v>
      </c>
      <c r="AD167" s="891">
        <v>0.02</v>
      </c>
      <c r="AE167" s="891">
        <v>15.93</v>
      </c>
      <c r="AF167" s="891">
        <v>15.26</v>
      </c>
      <c r="AG167" s="891">
        <v>2.54</v>
      </c>
      <c r="AH167" s="891">
        <v>3.28</v>
      </c>
      <c r="AI167" s="891">
        <v>26</v>
      </c>
      <c r="AJ167" s="891">
        <v>24.6</v>
      </c>
      <c r="AK167" s="891">
        <v>40.69</v>
      </c>
      <c r="AL167" s="891">
        <v>35.26</v>
      </c>
      <c r="AM167" s="891">
        <v>1381</v>
      </c>
      <c r="AN167" s="891">
        <v>529.5</v>
      </c>
      <c r="AO167" s="891">
        <v>206.9</v>
      </c>
      <c r="AP167" s="891">
        <v>14</v>
      </c>
      <c r="AQ167" s="891">
        <v>0.14000000000000001</v>
      </c>
      <c r="AR167" s="891">
        <v>0.41</v>
      </c>
      <c r="AS167" s="891">
        <v>2.2000000000000002</v>
      </c>
      <c r="AT167" s="891">
        <v>1.53</v>
      </c>
      <c r="AU167" s="891">
        <v>1.02</v>
      </c>
      <c r="AV167" s="891">
        <v>0.41</v>
      </c>
      <c r="AW167" s="891">
        <v>0.32</v>
      </c>
      <c r="AX167" s="891">
        <v>1.31</v>
      </c>
      <c r="AY167" s="891">
        <v>0.81</v>
      </c>
      <c r="AZ167" s="891">
        <v>0.46</v>
      </c>
      <c r="BA167" s="891">
        <f t="shared" si="6"/>
        <v>38.659999999999997</v>
      </c>
      <c r="BB167" s="926">
        <f t="shared" si="7"/>
        <v>30528.11</v>
      </c>
      <c r="BC167" s="926">
        <f t="shared" si="8"/>
        <v>11.090000000000583</v>
      </c>
      <c r="BD167" s="891"/>
      <c r="BE167" s="891"/>
      <c r="BF167" s="891"/>
      <c r="BG167" s="928"/>
      <c r="BH167" s="928"/>
      <c r="BI167" s="928"/>
    </row>
    <row r="168" spans="1:61">
      <c r="A168" s="891" t="s">
        <v>942</v>
      </c>
      <c r="B168" s="891" t="s">
        <v>629</v>
      </c>
      <c r="C168" s="891" t="s">
        <v>336</v>
      </c>
      <c r="D168" s="891">
        <v>6.46</v>
      </c>
      <c r="E168" s="891">
        <v>25.86</v>
      </c>
      <c r="F168" s="891">
        <v>4.8499999999999996</v>
      </c>
      <c r="G168" s="891">
        <v>1.62</v>
      </c>
      <c r="H168" s="891">
        <v>1.62</v>
      </c>
      <c r="I168" s="891">
        <v>1.1499999999999999</v>
      </c>
      <c r="J168" s="891">
        <v>0.97</v>
      </c>
      <c r="K168" s="891">
        <v>0.83</v>
      </c>
      <c r="L168" s="891">
        <v>0.81</v>
      </c>
      <c r="M168" s="891">
        <v>2.46</v>
      </c>
      <c r="N168" s="891">
        <v>5.17</v>
      </c>
      <c r="O168" s="891">
        <v>0.57999999999999996</v>
      </c>
      <c r="P168" s="891">
        <v>5.5</v>
      </c>
      <c r="Q168" s="891">
        <v>0.97</v>
      </c>
      <c r="R168" s="891">
        <v>1.29</v>
      </c>
      <c r="S168" s="891">
        <v>3.88</v>
      </c>
      <c r="T168" s="891">
        <v>1.03</v>
      </c>
      <c r="U168" s="891">
        <v>5.01</v>
      </c>
      <c r="V168" s="891">
        <v>38.79</v>
      </c>
      <c r="W168" s="891">
        <v>1.75</v>
      </c>
      <c r="X168" s="927">
        <v>20525.580000000002</v>
      </c>
      <c r="Y168" s="891">
        <v>371.72</v>
      </c>
      <c r="Z168" s="891">
        <v>323.24</v>
      </c>
      <c r="AA168" s="891">
        <v>743.45</v>
      </c>
      <c r="AB168" s="891">
        <v>565.66999999999996</v>
      </c>
      <c r="AC168" s="891">
        <v>111.52</v>
      </c>
      <c r="AD168" s="891">
        <v>0.09</v>
      </c>
      <c r="AE168" s="891">
        <v>16</v>
      </c>
      <c r="AF168" s="891">
        <v>43.64</v>
      </c>
      <c r="AG168" s="891">
        <v>11.31</v>
      </c>
      <c r="AH168" s="891">
        <v>6.46</v>
      </c>
      <c r="AI168" s="891">
        <v>64.650000000000006</v>
      </c>
      <c r="AJ168" s="891">
        <v>38.79</v>
      </c>
      <c r="AK168" s="891">
        <v>64.650000000000006</v>
      </c>
      <c r="AL168" s="891">
        <v>64.650000000000006</v>
      </c>
      <c r="AM168" s="891">
        <v>1354.65</v>
      </c>
      <c r="AN168" s="891">
        <v>1256.07</v>
      </c>
      <c r="AO168" s="891">
        <v>937.39</v>
      </c>
      <c r="AP168" s="891">
        <v>5.5</v>
      </c>
      <c r="AQ168" s="891">
        <v>1.78</v>
      </c>
      <c r="AR168" s="891">
        <v>0.65</v>
      </c>
      <c r="AS168" s="891">
        <v>12.93</v>
      </c>
      <c r="AT168" s="891">
        <v>0.97</v>
      </c>
      <c r="AU168" s="891">
        <v>1.29</v>
      </c>
      <c r="AV168" s="891">
        <v>0.56999999999999995</v>
      </c>
      <c r="AW168" s="891">
        <v>0.97</v>
      </c>
      <c r="AX168" s="891">
        <v>1.94</v>
      </c>
      <c r="AY168" s="891">
        <v>1.45</v>
      </c>
      <c r="AZ168" s="891">
        <v>1.62</v>
      </c>
      <c r="BA168" s="891">
        <f t="shared" si="6"/>
        <v>127.61</v>
      </c>
      <c r="BB168" s="926">
        <f t="shared" si="7"/>
        <v>20582.510000000002</v>
      </c>
      <c r="BC168" s="926">
        <f t="shared" si="8"/>
        <v>55.180000000000291</v>
      </c>
      <c r="BD168" s="891"/>
      <c r="BE168" s="891"/>
      <c r="BF168" s="891"/>
      <c r="BG168" s="928"/>
      <c r="BH168" s="928"/>
      <c r="BI168" s="928"/>
    </row>
    <row r="169" spans="1:61">
      <c r="A169" s="891" t="s">
        <v>943</v>
      </c>
      <c r="B169" s="891" t="s">
        <v>620</v>
      </c>
      <c r="C169" s="891" t="s">
        <v>253</v>
      </c>
      <c r="D169" s="891">
        <v>5.89</v>
      </c>
      <c r="E169" s="891">
        <v>26.5</v>
      </c>
      <c r="F169" s="891">
        <v>4.71</v>
      </c>
      <c r="G169" s="891">
        <v>2.36</v>
      </c>
      <c r="H169" s="891">
        <v>1.96</v>
      </c>
      <c r="I169" s="891">
        <v>1.18</v>
      </c>
      <c r="J169" s="891">
        <v>0.79</v>
      </c>
      <c r="K169" s="891">
        <v>1</v>
      </c>
      <c r="L169" s="891">
        <v>1.18</v>
      </c>
      <c r="M169" s="891">
        <v>1.77</v>
      </c>
      <c r="N169" s="891">
        <v>7.07</v>
      </c>
      <c r="O169" s="891">
        <v>0.79</v>
      </c>
      <c r="P169" s="891">
        <v>7.85</v>
      </c>
      <c r="Q169" s="891">
        <v>1.18</v>
      </c>
      <c r="R169" s="891">
        <v>1.18</v>
      </c>
      <c r="S169" s="891">
        <v>3.53</v>
      </c>
      <c r="T169" s="891">
        <v>0.79</v>
      </c>
      <c r="U169" s="891">
        <v>7.07</v>
      </c>
      <c r="V169" s="891">
        <v>32.979999999999997</v>
      </c>
      <c r="W169" s="891">
        <v>1.87</v>
      </c>
      <c r="X169" s="927">
        <v>19549.080000000002</v>
      </c>
      <c r="Y169" s="891">
        <v>431.88</v>
      </c>
      <c r="Z169" s="891">
        <v>176.68</v>
      </c>
      <c r="AA169" s="891">
        <v>471.14</v>
      </c>
      <c r="AB169" s="891">
        <v>255.2</v>
      </c>
      <c r="AC169" s="891">
        <v>270.91000000000003</v>
      </c>
      <c r="AD169" s="891">
        <v>0.08</v>
      </c>
      <c r="AE169" s="891">
        <v>15.7</v>
      </c>
      <c r="AF169" s="891">
        <v>44.17</v>
      </c>
      <c r="AG169" s="891">
        <v>24.54</v>
      </c>
      <c r="AH169" s="891">
        <v>7.07</v>
      </c>
      <c r="AI169" s="891">
        <v>107.97</v>
      </c>
      <c r="AJ169" s="891">
        <v>68.709999999999994</v>
      </c>
      <c r="AK169" s="891">
        <v>107.97</v>
      </c>
      <c r="AL169" s="891">
        <v>127.6</v>
      </c>
      <c r="AM169" s="891">
        <v>1177.8599999999999</v>
      </c>
      <c r="AN169" s="891">
        <v>844.13</v>
      </c>
      <c r="AO169" s="891">
        <v>588.92999999999995</v>
      </c>
      <c r="AP169" s="891">
        <v>5</v>
      </c>
      <c r="AQ169" s="891">
        <v>0.79</v>
      </c>
      <c r="AR169" s="891">
        <v>0.83</v>
      </c>
      <c r="AS169" s="891">
        <v>9.7799999999999994</v>
      </c>
      <c r="AT169" s="891">
        <v>1.57</v>
      </c>
      <c r="AU169" s="891">
        <v>2.36</v>
      </c>
      <c r="AV169" s="891">
        <v>0.39</v>
      </c>
      <c r="AW169" s="891">
        <v>1.1299999999999999</v>
      </c>
      <c r="AX169" s="891">
        <v>1.96</v>
      </c>
      <c r="AY169" s="891">
        <v>1.82</v>
      </c>
      <c r="AZ169" s="891">
        <v>2.36</v>
      </c>
      <c r="BA169" s="891">
        <f t="shared" si="6"/>
        <v>286.69</v>
      </c>
      <c r="BB169" s="926">
        <f t="shared" si="7"/>
        <v>19596.120000000003</v>
      </c>
      <c r="BC169" s="926">
        <f t="shared" si="8"/>
        <v>45.170000000000876</v>
      </c>
      <c r="BD169" s="891"/>
      <c r="BE169" s="891"/>
      <c r="BF169" s="891"/>
      <c r="BG169" s="928"/>
      <c r="BH169" s="928"/>
      <c r="BI169" s="928"/>
    </row>
    <row r="170" spans="1:61">
      <c r="A170" s="891" t="s">
        <v>944</v>
      </c>
      <c r="B170" s="891" t="s">
        <v>559</v>
      </c>
      <c r="C170" s="891" t="s">
        <v>136</v>
      </c>
      <c r="D170" s="891">
        <v>12.07</v>
      </c>
      <c r="E170" s="891">
        <v>45.88</v>
      </c>
      <c r="F170" s="891">
        <v>7.24</v>
      </c>
      <c r="G170" s="891">
        <v>4.83</v>
      </c>
      <c r="H170" s="891">
        <v>5.79</v>
      </c>
      <c r="I170" s="891">
        <v>1.45</v>
      </c>
      <c r="J170" s="891">
        <v>1.93</v>
      </c>
      <c r="K170" s="891">
        <v>1.92</v>
      </c>
      <c r="L170" s="891">
        <v>2.9</v>
      </c>
      <c r="M170" s="891">
        <v>3.76</v>
      </c>
      <c r="N170" s="891">
        <v>9.66</v>
      </c>
      <c r="O170" s="891">
        <v>2.0299999999999998</v>
      </c>
      <c r="P170" s="891">
        <v>15.45</v>
      </c>
      <c r="Q170" s="891">
        <v>1.93</v>
      </c>
      <c r="R170" s="891">
        <v>2.9</v>
      </c>
      <c r="S170" s="891">
        <v>9.66</v>
      </c>
      <c r="T170" s="891">
        <v>2.17</v>
      </c>
      <c r="U170" s="891">
        <v>10.62</v>
      </c>
      <c r="V170" s="891">
        <v>57.95</v>
      </c>
      <c r="W170" s="891">
        <v>1.27</v>
      </c>
      <c r="X170" s="927">
        <v>24048.68</v>
      </c>
      <c r="Y170" s="891">
        <v>820.94</v>
      </c>
      <c r="Z170" s="891">
        <v>724.36</v>
      </c>
      <c r="AA170" s="891">
        <v>1641.88</v>
      </c>
      <c r="AB170" s="891">
        <v>1255.55</v>
      </c>
      <c r="AC170" s="891">
        <v>144.87</v>
      </c>
      <c r="AD170" s="891">
        <v>0.39</v>
      </c>
      <c r="AE170" s="891">
        <v>48.29</v>
      </c>
      <c r="AF170" s="891">
        <v>48.29</v>
      </c>
      <c r="AG170" s="891">
        <v>0</v>
      </c>
      <c r="AH170" s="891">
        <v>10.62</v>
      </c>
      <c r="AI170" s="891">
        <v>53.12</v>
      </c>
      <c r="AJ170" s="891">
        <v>43.46</v>
      </c>
      <c r="AK170" s="891">
        <v>86.92</v>
      </c>
      <c r="AL170" s="891">
        <v>86.92</v>
      </c>
      <c r="AM170" s="891">
        <v>2546.9899999999998</v>
      </c>
      <c r="AN170" s="891">
        <v>2124.7800000000002</v>
      </c>
      <c r="AO170" s="891">
        <v>2269.65</v>
      </c>
      <c r="AP170" s="891">
        <v>3.5</v>
      </c>
      <c r="AQ170" s="891">
        <v>2.08</v>
      </c>
      <c r="AR170" s="891">
        <v>1.98</v>
      </c>
      <c r="AS170" s="891">
        <v>36.57</v>
      </c>
      <c r="AT170" s="891">
        <v>2.17</v>
      </c>
      <c r="AU170" s="891">
        <v>3.62</v>
      </c>
      <c r="AV170" s="891">
        <v>1.93</v>
      </c>
      <c r="AW170" s="891">
        <v>1.29</v>
      </c>
      <c r="AX170" s="891">
        <v>3.86</v>
      </c>
      <c r="AY170" s="891">
        <v>3.07</v>
      </c>
      <c r="AZ170" s="891">
        <v>2.9</v>
      </c>
      <c r="BA170" s="891">
        <f t="shared" si="6"/>
        <v>193.54999999999998</v>
      </c>
      <c r="BB170" s="926">
        <f t="shared" si="7"/>
        <v>24150.7</v>
      </c>
      <c r="BC170" s="926">
        <f t="shared" si="8"/>
        <v>100.75000000000044</v>
      </c>
      <c r="BD170" s="891"/>
      <c r="BE170" s="891"/>
      <c r="BF170" s="891"/>
      <c r="BG170" s="928"/>
      <c r="BH170" s="928"/>
      <c r="BI170" s="928"/>
    </row>
    <row r="171" spans="1:61">
      <c r="A171" s="891" t="s">
        <v>945</v>
      </c>
      <c r="B171" s="891" t="s">
        <v>645</v>
      </c>
      <c r="C171" s="891" t="s">
        <v>346</v>
      </c>
      <c r="D171" s="891">
        <v>7.66</v>
      </c>
      <c r="E171" s="891">
        <v>36.630000000000003</v>
      </c>
      <c r="F171" s="891">
        <v>4.88</v>
      </c>
      <c r="G171" s="891">
        <v>0.98</v>
      </c>
      <c r="H171" s="891">
        <v>1.83</v>
      </c>
      <c r="I171" s="891">
        <v>0.79</v>
      </c>
      <c r="J171" s="891">
        <v>0.5</v>
      </c>
      <c r="K171" s="891">
        <v>1.1000000000000001</v>
      </c>
      <c r="L171" s="891">
        <v>0.5</v>
      </c>
      <c r="M171" s="891">
        <v>1.59</v>
      </c>
      <c r="N171" s="891">
        <v>8.1300000000000008</v>
      </c>
      <c r="O171" s="891">
        <v>0.73</v>
      </c>
      <c r="P171" s="891">
        <v>4.9400000000000004</v>
      </c>
      <c r="Q171" s="891">
        <v>0.78</v>
      </c>
      <c r="R171" s="891">
        <v>1.66</v>
      </c>
      <c r="S171" s="891">
        <v>1.61</v>
      </c>
      <c r="T171" s="891">
        <v>0.31</v>
      </c>
      <c r="U171" s="891">
        <v>4.3899999999999997</v>
      </c>
      <c r="V171" s="891">
        <v>12.21</v>
      </c>
      <c r="W171" s="891">
        <v>1.35</v>
      </c>
      <c r="X171" s="927">
        <v>23000</v>
      </c>
      <c r="Y171" s="891">
        <v>407.57</v>
      </c>
      <c r="Z171" s="891">
        <v>290.42</v>
      </c>
      <c r="AA171" s="891">
        <v>800</v>
      </c>
      <c r="AB171" s="891">
        <v>439.56</v>
      </c>
      <c r="AC171" s="891">
        <v>94.1</v>
      </c>
      <c r="AD171" s="891">
        <v>0.06</v>
      </c>
      <c r="AE171" s="891">
        <v>10.68</v>
      </c>
      <c r="AF171" s="891">
        <v>36.630000000000003</v>
      </c>
      <c r="AG171" s="891">
        <v>5</v>
      </c>
      <c r="AH171" s="891">
        <v>5</v>
      </c>
      <c r="AI171" s="891">
        <v>100</v>
      </c>
      <c r="AJ171" s="891">
        <v>60</v>
      </c>
      <c r="AK171" s="891">
        <v>100</v>
      </c>
      <c r="AL171" s="891">
        <v>85.47</v>
      </c>
      <c r="AM171" s="891">
        <v>1400</v>
      </c>
      <c r="AN171" s="891">
        <v>938.4</v>
      </c>
      <c r="AO171" s="891">
        <v>354.09</v>
      </c>
      <c r="AP171" s="891">
        <v>19.5</v>
      </c>
      <c r="AQ171" s="891">
        <v>3.05</v>
      </c>
      <c r="AR171" s="891">
        <v>0.37</v>
      </c>
      <c r="AS171" s="891">
        <v>3.73</v>
      </c>
      <c r="AT171" s="891">
        <v>1.05</v>
      </c>
      <c r="AU171" s="891">
        <v>1.47</v>
      </c>
      <c r="AV171" s="891">
        <v>0.49</v>
      </c>
      <c r="AW171" s="891">
        <v>0.7</v>
      </c>
      <c r="AX171" s="891">
        <v>1.67</v>
      </c>
      <c r="AY171" s="891">
        <v>1.59</v>
      </c>
      <c r="AZ171" s="891">
        <v>2.44</v>
      </c>
      <c r="BA171" s="891">
        <f t="shared" si="6"/>
        <v>104.84</v>
      </c>
      <c r="BB171" s="926">
        <f t="shared" si="7"/>
        <v>23021.019999999997</v>
      </c>
      <c r="BC171" s="926">
        <f t="shared" si="8"/>
        <v>19.669999999996797</v>
      </c>
      <c r="BD171" s="891"/>
      <c r="BE171" s="891"/>
      <c r="BF171" s="891"/>
      <c r="BG171" s="928"/>
      <c r="BH171" s="928"/>
      <c r="BI171" s="928"/>
    </row>
    <row r="172" spans="1:61">
      <c r="A172" s="891" t="s">
        <v>946</v>
      </c>
      <c r="B172" s="891" t="s">
        <v>662</v>
      </c>
      <c r="C172" s="891" t="s">
        <v>249</v>
      </c>
      <c r="D172" s="891">
        <v>6</v>
      </c>
      <c r="E172" s="891">
        <v>12.5</v>
      </c>
      <c r="F172" s="891">
        <v>10.92</v>
      </c>
      <c r="G172" s="891">
        <v>1.1000000000000001</v>
      </c>
      <c r="H172" s="891">
        <v>6.6</v>
      </c>
      <c r="I172" s="891">
        <v>0.34</v>
      </c>
      <c r="J172" s="891">
        <v>0.2</v>
      </c>
      <c r="K172" s="891">
        <v>1</v>
      </c>
      <c r="L172" s="891">
        <v>1.1000000000000001</v>
      </c>
      <c r="M172" s="891">
        <v>2</v>
      </c>
      <c r="N172" s="891">
        <v>7</v>
      </c>
      <c r="O172" s="891">
        <v>0.5</v>
      </c>
      <c r="P172" s="891">
        <v>20</v>
      </c>
      <c r="Q172" s="891">
        <v>2</v>
      </c>
      <c r="R172" s="891">
        <v>6</v>
      </c>
      <c r="S172" s="891">
        <v>3</v>
      </c>
      <c r="T172" s="891">
        <v>0.66</v>
      </c>
      <c r="U172" s="891">
        <v>6.5</v>
      </c>
      <c r="V172" s="891">
        <v>50</v>
      </c>
      <c r="W172" s="891">
        <v>0.51</v>
      </c>
      <c r="X172" s="927">
        <v>30000</v>
      </c>
      <c r="Y172" s="891">
        <v>500</v>
      </c>
      <c r="Z172" s="891">
        <v>175</v>
      </c>
      <c r="AA172" s="891">
        <v>1250</v>
      </c>
      <c r="AB172" s="891">
        <v>500</v>
      </c>
      <c r="AC172" s="891">
        <v>50</v>
      </c>
      <c r="AD172" s="891">
        <v>0.08</v>
      </c>
      <c r="AE172" s="891">
        <v>50</v>
      </c>
      <c r="AF172" s="891">
        <v>100</v>
      </c>
      <c r="AG172" s="891">
        <v>22.5</v>
      </c>
      <c r="AH172" s="891">
        <v>4.5</v>
      </c>
      <c r="AI172" s="891">
        <v>70</v>
      </c>
      <c r="AJ172" s="891">
        <v>102.5</v>
      </c>
      <c r="AK172" s="891">
        <v>100</v>
      </c>
      <c r="AL172" s="891">
        <v>150</v>
      </c>
      <c r="AM172" s="891">
        <v>1000</v>
      </c>
      <c r="AN172" s="891">
        <v>850</v>
      </c>
      <c r="AO172" s="891">
        <v>750</v>
      </c>
      <c r="AP172" s="891">
        <v>10</v>
      </c>
      <c r="AQ172" s="891">
        <v>1.17</v>
      </c>
      <c r="AR172" s="891">
        <v>0.22</v>
      </c>
      <c r="AS172" s="891">
        <v>3.41</v>
      </c>
      <c r="AT172" s="891">
        <v>3.5</v>
      </c>
      <c r="AU172" s="891">
        <v>1.75</v>
      </c>
      <c r="AV172" s="891">
        <v>1.24</v>
      </c>
      <c r="AW172" s="891">
        <v>1</v>
      </c>
      <c r="AX172" s="891">
        <v>3</v>
      </c>
      <c r="AY172" s="891">
        <v>1.75</v>
      </c>
      <c r="AZ172" s="891">
        <v>1.1000000000000001</v>
      </c>
      <c r="BA172" s="891">
        <f t="shared" si="6"/>
        <v>100.08</v>
      </c>
      <c r="BB172" s="926">
        <f t="shared" si="7"/>
        <v>30055.969999999998</v>
      </c>
      <c r="BC172" s="926">
        <f t="shared" si="8"/>
        <v>55.459999999997528</v>
      </c>
      <c r="BD172" s="891"/>
      <c r="BE172" s="891"/>
      <c r="BF172" s="891"/>
      <c r="BG172" s="928"/>
      <c r="BH172" s="928"/>
      <c r="BI172" s="928"/>
    </row>
    <row r="173" spans="1:61">
      <c r="A173" s="891" t="s">
        <v>947</v>
      </c>
      <c r="B173" s="891" t="s">
        <v>645</v>
      </c>
      <c r="C173" s="891" t="s">
        <v>313</v>
      </c>
      <c r="D173" s="891">
        <v>7.33</v>
      </c>
      <c r="E173" s="891">
        <v>36.630000000000003</v>
      </c>
      <c r="F173" s="891">
        <v>4.88</v>
      </c>
      <c r="G173" s="891">
        <v>1.22</v>
      </c>
      <c r="H173" s="891">
        <v>2.0499999999999998</v>
      </c>
      <c r="I173" s="891">
        <v>0.85</v>
      </c>
      <c r="J173" s="891">
        <v>0.61</v>
      </c>
      <c r="K173" s="891">
        <v>1.1000000000000001</v>
      </c>
      <c r="L173" s="891">
        <v>0.5</v>
      </c>
      <c r="M173" s="891">
        <v>1.47</v>
      </c>
      <c r="N173" s="891">
        <v>8.5500000000000007</v>
      </c>
      <c r="O173" s="891">
        <v>0.8</v>
      </c>
      <c r="P173" s="891">
        <v>6</v>
      </c>
      <c r="Q173" s="891">
        <v>0.75</v>
      </c>
      <c r="R173" s="891">
        <v>1.83</v>
      </c>
      <c r="S173" s="891">
        <v>1.71</v>
      </c>
      <c r="T173" s="891">
        <v>0.25</v>
      </c>
      <c r="U173" s="891">
        <v>4.88</v>
      </c>
      <c r="V173" s="891">
        <v>12.21</v>
      </c>
      <c r="W173" s="891">
        <v>1.4</v>
      </c>
      <c r="X173" s="927">
        <v>23687.42</v>
      </c>
      <c r="Y173" s="891">
        <v>766.3</v>
      </c>
      <c r="Z173" s="891">
        <v>430</v>
      </c>
      <c r="AA173" s="891">
        <v>1500</v>
      </c>
      <c r="AB173" s="891">
        <v>732.6</v>
      </c>
      <c r="AC173" s="891">
        <v>84.25</v>
      </c>
      <c r="AD173" s="891">
        <v>0.08</v>
      </c>
      <c r="AE173" s="891">
        <v>10</v>
      </c>
      <c r="AF173" s="891">
        <v>48.84</v>
      </c>
      <c r="AG173" s="891">
        <v>12.21</v>
      </c>
      <c r="AH173" s="891">
        <v>6.11</v>
      </c>
      <c r="AI173" s="891">
        <v>85.47</v>
      </c>
      <c r="AJ173" s="891">
        <v>60.53</v>
      </c>
      <c r="AK173" s="891">
        <v>100</v>
      </c>
      <c r="AL173" s="891">
        <v>122.1</v>
      </c>
      <c r="AM173" s="891">
        <v>2686.2</v>
      </c>
      <c r="AN173" s="891">
        <v>1371.55</v>
      </c>
      <c r="AO173" s="891">
        <v>575</v>
      </c>
      <c r="AP173" s="891">
        <v>18</v>
      </c>
      <c r="AQ173" s="891">
        <v>3.66</v>
      </c>
      <c r="AR173" s="891">
        <v>0.37</v>
      </c>
      <c r="AS173" s="891">
        <v>7.33</v>
      </c>
      <c r="AT173" s="891">
        <v>1.47</v>
      </c>
      <c r="AU173" s="891">
        <v>2</v>
      </c>
      <c r="AV173" s="891">
        <v>0.49</v>
      </c>
      <c r="AW173" s="891">
        <v>0.85</v>
      </c>
      <c r="AX173" s="891">
        <v>2</v>
      </c>
      <c r="AY173" s="891">
        <v>1.47</v>
      </c>
      <c r="AZ173" s="891">
        <v>1.98</v>
      </c>
      <c r="BA173" s="891">
        <f t="shared" si="6"/>
        <v>94.33</v>
      </c>
      <c r="BB173" s="926">
        <f t="shared" si="7"/>
        <v>23712.639999999999</v>
      </c>
      <c r="BC173" s="926">
        <f t="shared" si="8"/>
        <v>23.820000000001166</v>
      </c>
      <c r="BD173" s="891"/>
      <c r="BE173" s="891"/>
      <c r="BF173" s="891"/>
      <c r="BG173" s="928"/>
      <c r="BH173" s="928"/>
      <c r="BI173" s="928"/>
    </row>
    <row r="174" spans="1:61">
      <c r="A174" s="891" t="s">
        <v>948</v>
      </c>
      <c r="B174" s="891" t="s">
        <v>757</v>
      </c>
      <c r="C174" s="891" t="s">
        <v>163</v>
      </c>
      <c r="D174" s="891">
        <v>4.91</v>
      </c>
      <c r="E174" s="891">
        <v>38.54</v>
      </c>
      <c r="F174" s="891">
        <v>5.78</v>
      </c>
      <c r="G174" s="891">
        <v>2.17</v>
      </c>
      <c r="H174" s="891">
        <v>4.34</v>
      </c>
      <c r="I174" s="891">
        <v>0.96</v>
      </c>
      <c r="J174" s="891">
        <v>0.74</v>
      </c>
      <c r="K174" s="891">
        <v>2.17</v>
      </c>
      <c r="L174" s="891">
        <v>2.46</v>
      </c>
      <c r="M174" s="891">
        <v>2.36</v>
      </c>
      <c r="N174" s="891">
        <v>5.55</v>
      </c>
      <c r="O174" s="891">
        <v>1.45</v>
      </c>
      <c r="P174" s="891">
        <v>13.01</v>
      </c>
      <c r="Q174" s="891">
        <v>1.93</v>
      </c>
      <c r="R174" s="891">
        <v>4.34</v>
      </c>
      <c r="S174" s="891">
        <v>5.0599999999999996</v>
      </c>
      <c r="T174" s="891">
        <v>0.87</v>
      </c>
      <c r="U174" s="891">
        <v>11.56</v>
      </c>
      <c r="V174" s="891">
        <v>50.1</v>
      </c>
      <c r="W174" s="891">
        <v>1.2</v>
      </c>
      <c r="X174" s="927">
        <v>30828.52</v>
      </c>
      <c r="Y174" s="891">
        <v>578.03</v>
      </c>
      <c r="Z174" s="891">
        <v>279.38</v>
      </c>
      <c r="AA174" s="891">
        <v>1685.93</v>
      </c>
      <c r="AB174" s="891">
        <v>867.05</v>
      </c>
      <c r="AC174" s="891">
        <v>136.47999999999999</v>
      </c>
      <c r="AD174" s="891">
        <v>0.38</v>
      </c>
      <c r="AE174" s="891">
        <v>33.72</v>
      </c>
      <c r="AF174" s="891">
        <v>105.97</v>
      </c>
      <c r="AG174" s="891">
        <v>28.9</v>
      </c>
      <c r="AH174" s="891">
        <v>9.6300000000000008</v>
      </c>
      <c r="AI174" s="891">
        <v>77.069999999999993</v>
      </c>
      <c r="AJ174" s="891">
        <v>43.35</v>
      </c>
      <c r="AK174" s="891">
        <v>57.8</v>
      </c>
      <c r="AL174" s="891">
        <v>86.71</v>
      </c>
      <c r="AM174" s="891">
        <v>2000</v>
      </c>
      <c r="AN174" s="891">
        <v>1250</v>
      </c>
      <c r="AO174" s="891">
        <v>2408.48</v>
      </c>
      <c r="AP174" s="891">
        <v>16.25</v>
      </c>
      <c r="AQ174" s="891">
        <v>2.89</v>
      </c>
      <c r="AR174" s="891">
        <v>3.37</v>
      </c>
      <c r="AS174" s="891">
        <v>7.23</v>
      </c>
      <c r="AT174" s="891">
        <v>2.31</v>
      </c>
      <c r="AU174" s="891">
        <v>1.93</v>
      </c>
      <c r="AV174" s="891">
        <v>2.11</v>
      </c>
      <c r="AW174" s="891">
        <v>1.1599999999999999</v>
      </c>
      <c r="AX174" s="891">
        <v>2.89</v>
      </c>
      <c r="AY174" s="891">
        <v>2.41</v>
      </c>
      <c r="AZ174" s="891">
        <v>2.12</v>
      </c>
      <c r="BA174" s="891">
        <f t="shared" si="6"/>
        <v>170.57999999999998</v>
      </c>
      <c r="BB174" s="926">
        <f t="shared" si="7"/>
        <v>30894.179999999997</v>
      </c>
      <c r="BC174" s="926">
        <f t="shared" si="8"/>
        <v>64.459999999996214</v>
      </c>
      <c r="BD174" s="891"/>
      <c r="BE174" s="891"/>
      <c r="BF174" s="891"/>
      <c r="BG174" s="928"/>
      <c r="BH174" s="928"/>
      <c r="BI174" s="928"/>
    </row>
    <row r="175" spans="1:61">
      <c r="A175" s="891" t="s">
        <v>949</v>
      </c>
      <c r="B175" s="891" t="s">
        <v>559</v>
      </c>
      <c r="C175" s="891" t="s">
        <v>124</v>
      </c>
      <c r="D175" s="891">
        <v>10.87</v>
      </c>
      <c r="E175" s="891">
        <v>48.29</v>
      </c>
      <c r="F175" s="891">
        <v>7.73</v>
      </c>
      <c r="G175" s="891">
        <v>4.83</v>
      </c>
      <c r="H175" s="891">
        <v>4.83</v>
      </c>
      <c r="I175" s="891">
        <v>1.45</v>
      </c>
      <c r="J175" s="891">
        <v>1.2</v>
      </c>
      <c r="K175" s="891">
        <v>2.66</v>
      </c>
      <c r="L175" s="891">
        <v>2.9</v>
      </c>
      <c r="M175" s="891">
        <v>2.9</v>
      </c>
      <c r="N175" s="891">
        <v>15.45</v>
      </c>
      <c r="O175" s="891">
        <v>1.93</v>
      </c>
      <c r="P175" s="891">
        <v>14</v>
      </c>
      <c r="Q175" s="891">
        <v>2.41</v>
      </c>
      <c r="R175" s="891">
        <v>2.78</v>
      </c>
      <c r="S175" s="891">
        <v>10.14</v>
      </c>
      <c r="T175" s="891">
        <v>2.9</v>
      </c>
      <c r="U175" s="891">
        <v>10.62</v>
      </c>
      <c r="V175" s="891">
        <v>65.680000000000007</v>
      </c>
      <c r="W175" s="891">
        <v>1.25</v>
      </c>
      <c r="X175" s="927">
        <v>16418.78</v>
      </c>
      <c r="Y175" s="891">
        <v>869.23</v>
      </c>
      <c r="Z175" s="891">
        <v>651.91999999999996</v>
      </c>
      <c r="AA175" s="891">
        <v>1352.13</v>
      </c>
      <c r="AB175" s="891">
        <v>1158.97</v>
      </c>
      <c r="AC175" s="891">
        <v>102.62</v>
      </c>
      <c r="AD175" s="891">
        <v>0.14000000000000001</v>
      </c>
      <c r="AE175" s="891">
        <v>34.29</v>
      </c>
      <c r="AF175" s="891">
        <v>43.46</v>
      </c>
      <c r="AG175" s="891">
        <v>19.32</v>
      </c>
      <c r="AH175" s="891">
        <v>11.59</v>
      </c>
      <c r="AI175" s="891">
        <v>57.95</v>
      </c>
      <c r="AJ175" s="891">
        <v>53.12</v>
      </c>
      <c r="AK175" s="891">
        <v>91.75</v>
      </c>
      <c r="AL175" s="891">
        <v>115.9</v>
      </c>
      <c r="AM175" s="891">
        <v>2109.36</v>
      </c>
      <c r="AN175" s="891">
        <v>2079.1799999999998</v>
      </c>
      <c r="AO175" s="891">
        <v>3863.24</v>
      </c>
      <c r="AP175" s="891">
        <v>4</v>
      </c>
      <c r="AQ175" s="891">
        <v>3.38</v>
      </c>
      <c r="AR175" s="891">
        <v>2.0299999999999998</v>
      </c>
      <c r="AS175" s="891">
        <v>30.13</v>
      </c>
      <c r="AT175" s="891">
        <v>3.38</v>
      </c>
      <c r="AU175" s="891">
        <v>3.86</v>
      </c>
      <c r="AV175" s="891">
        <v>2.9</v>
      </c>
      <c r="AW175" s="891">
        <v>1.93</v>
      </c>
      <c r="AX175" s="891">
        <v>2.9</v>
      </c>
      <c r="AY175" s="891">
        <v>2.9</v>
      </c>
      <c r="AZ175" s="891">
        <v>2.9</v>
      </c>
      <c r="BA175" s="891">
        <f t="shared" si="6"/>
        <v>137.05000000000001</v>
      </c>
      <c r="BB175" s="926">
        <f t="shared" si="7"/>
        <v>16524.150000000001</v>
      </c>
      <c r="BC175" s="926">
        <f t="shared" si="8"/>
        <v>104.12000000000262</v>
      </c>
      <c r="BD175" s="891"/>
      <c r="BE175" s="891"/>
      <c r="BF175" s="891"/>
      <c r="BG175" s="928"/>
      <c r="BH175" s="928"/>
      <c r="BI175" s="928"/>
    </row>
    <row r="176" spans="1:61">
      <c r="A176" s="891" t="s">
        <v>950</v>
      </c>
      <c r="B176" s="891" t="s">
        <v>560</v>
      </c>
      <c r="C176" s="891" t="s">
        <v>392</v>
      </c>
      <c r="D176" s="891">
        <v>0.82</v>
      </c>
      <c r="E176" s="891">
        <v>4.92</v>
      </c>
      <c r="F176" s="891">
        <v>4.0999999999999996</v>
      </c>
      <c r="G176" s="891">
        <v>1.39</v>
      </c>
      <c r="H176" s="891">
        <v>1.72</v>
      </c>
      <c r="I176" s="891">
        <v>0.41</v>
      </c>
      <c r="J176" s="891">
        <v>0.25</v>
      </c>
      <c r="K176" s="891">
        <v>0.52</v>
      </c>
      <c r="L176" s="891">
        <v>0.38</v>
      </c>
      <c r="M176" s="891">
        <v>0.74</v>
      </c>
      <c r="N176" s="891">
        <v>7.21</v>
      </c>
      <c r="O176" s="891">
        <v>0.38</v>
      </c>
      <c r="P176" s="891">
        <v>5.9</v>
      </c>
      <c r="Q176" s="891">
        <v>1.23</v>
      </c>
      <c r="R176" s="891">
        <v>2.0499999999999998</v>
      </c>
      <c r="S176" s="891">
        <v>1.72</v>
      </c>
      <c r="T176" s="891">
        <v>0.16</v>
      </c>
      <c r="U176" s="891">
        <v>2.46</v>
      </c>
      <c r="V176" s="891">
        <v>6.97</v>
      </c>
      <c r="W176" s="891">
        <v>1.1499999999999999</v>
      </c>
      <c r="X176" s="927">
        <v>10658.36</v>
      </c>
      <c r="Y176" s="891">
        <v>114.78</v>
      </c>
      <c r="Z176" s="891">
        <v>57.39</v>
      </c>
      <c r="AA176" s="891">
        <v>245.96</v>
      </c>
      <c r="AB176" s="891">
        <v>131.18</v>
      </c>
      <c r="AC176" s="891">
        <v>28.29</v>
      </c>
      <c r="AD176" s="891">
        <v>0.01</v>
      </c>
      <c r="AE176" s="891">
        <v>19.68</v>
      </c>
      <c r="AF176" s="891">
        <v>16.399999999999999</v>
      </c>
      <c r="AG176" s="891">
        <v>5.74</v>
      </c>
      <c r="AH176" s="891">
        <v>2.46</v>
      </c>
      <c r="AI176" s="891">
        <v>37.71</v>
      </c>
      <c r="AJ176" s="891">
        <v>32.79</v>
      </c>
      <c r="AK176" s="891">
        <v>55.75</v>
      </c>
      <c r="AL176" s="891">
        <v>40.99</v>
      </c>
      <c r="AM176" s="891">
        <v>983.85</v>
      </c>
      <c r="AN176" s="891">
        <v>529.5</v>
      </c>
      <c r="AO176" s="891">
        <v>327.95</v>
      </c>
      <c r="AP176" s="891">
        <v>11</v>
      </c>
      <c r="AQ176" s="891">
        <v>1.64</v>
      </c>
      <c r="AR176" s="891">
        <v>0.2</v>
      </c>
      <c r="AS176" s="891">
        <v>1.52</v>
      </c>
      <c r="AT176" s="891">
        <v>1.97</v>
      </c>
      <c r="AU176" s="891">
        <v>0.98</v>
      </c>
      <c r="AV176" s="891">
        <v>0.41</v>
      </c>
      <c r="AW176" s="891">
        <v>0.69</v>
      </c>
      <c r="AX176" s="891">
        <v>0.82</v>
      </c>
      <c r="AY176" s="891">
        <v>0.61</v>
      </c>
      <c r="AZ176" s="891">
        <v>0.49</v>
      </c>
      <c r="BA176" s="891">
        <f t="shared" si="6"/>
        <v>47.980000000000004</v>
      </c>
      <c r="BB176" s="926">
        <f t="shared" si="7"/>
        <v>10670.000000000002</v>
      </c>
      <c r="BC176" s="926">
        <f t="shared" si="8"/>
        <v>10.490000000001237</v>
      </c>
      <c r="BD176" s="891"/>
      <c r="BE176" s="891"/>
      <c r="BF176" s="891"/>
      <c r="BG176" s="928"/>
      <c r="BH176" s="928"/>
      <c r="BI176" s="928"/>
    </row>
    <row r="177" spans="1:61">
      <c r="A177" s="891" t="s">
        <v>951</v>
      </c>
      <c r="B177" s="891" t="s">
        <v>560</v>
      </c>
      <c r="C177" s="891" t="s">
        <v>390</v>
      </c>
      <c r="D177" s="891">
        <v>1.64</v>
      </c>
      <c r="E177" s="891">
        <v>8.1999999999999993</v>
      </c>
      <c r="F177" s="891">
        <v>3.28</v>
      </c>
      <c r="G177" s="891">
        <v>1.23</v>
      </c>
      <c r="H177" s="891">
        <v>2.0499999999999998</v>
      </c>
      <c r="I177" s="891">
        <v>0.25</v>
      </c>
      <c r="J177" s="891">
        <v>0.2</v>
      </c>
      <c r="K177" s="891">
        <v>0.49</v>
      </c>
      <c r="L177" s="891">
        <v>0.28000000000000003</v>
      </c>
      <c r="M177" s="891">
        <v>0.79</v>
      </c>
      <c r="N177" s="891">
        <v>3.94</v>
      </c>
      <c r="O177" s="891">
        <v>0.33</v>
      </c>
      <c r="P177" s="891">
        <v>8.1999999999999993</v>
      </c>
      <c r="Q177" s="891">
        <v>1.23</v>
      </c>
      <c r="R177" s="891">
        <v>1.8</v>
      </c>
      <c r="S177" s="891">
        <v>1.97</v>
      </c>
      <c r="T177" s="891">
        <v>0.16</v>
      </c>
      <c r="U177" s="891">
        <v>2.62</v>
      </c>
      <c r="V177" s="891">
        <v>4.0999999999999996</v>
      </c>
      <c r="W177" s="891">
        <v>1.21</v>
      </c>
      <c r="X177" s="927">
        <v>11478.23</v>
      </c>
      <c r="Y177" s="891">
        <v>131.18</v>
      </c>
      <c r="Z177" s="891">
        <v>69.69</v>
      </c>
      <c r="AA177" s="891">
        <v>360.74</v>
      </c>
      <c r="AB177" s="891">
        <v>163.97</v>
      </c>
      <c r="AC177" s="891">
        <v>32.79</v>
      </c>
      <c r="AD177" s="891">
        <v>0.02</v>
      </c>
      <c r="AE177" s="891">
        <v>16.399999999999999</v>
      </c>
      <c r="AF177" s="891">
        <v>16.399999999999999</v>
      </c>
      <c r="AG177" s="891">
        <v>8.61</v>
      </c>
      <c r="AH177" s="891">
        <v>3.28</v>
      </c>
      <c r="AI177" s="891">
        <v>34.43</v>
      </c>
      <c r="AJ177" s="891">
        <v>24.6</v>
      </c>
      <c r="AK177" s="891">
        <v>48.37</v>
      </c>
      <c r="AL177" s="891">
        <v>32.79</v>
      </c>
      <c r="AM177" s="891">
        <v>1235.51</v>
      </c>
      <c r="AN177" s="891">
        <v>529.5</v>
      </c>
      <c r="AO177" s="891">
        <v>344.35</v>
      </c>
      <c r="AP177" s="891">
        <v>10</v>
      </c>
      <c r="AQ177" s="891">
        <v>0.4</v>
      </c>
      <c r="AR177" s="891">
        <v>0.25</v>
      </c>
      <c r="AS177" s="891">
        <v>0.98</v>
      </c>
      <c r="AT177" s="891">
        <v>1.97</v>
      </c>
      <c r="AU177" s="891">
        <v>1.31</v>
      </c>
      <c r="AV177" s="891">
        <v>0.25</v>
      </c>
      <c r="AW177" s="891">
        <v>0.46</v>
      </c>
      <c r="AX177" s="891">
        <v>1.23</v>
      </c>
      <c r="AY177" s="891">
        <v>0.56999999999999995</v>
      </c>
      <c r="AZ177" s="891">
        <v>0.53</v>
      </c>
      <c r="BA177" s="891">
        <f t="shared" si="6"/>
        <v>49.21</v>
      </c>
      <c r="BB177" s="926">
        <f t="shared" si="7"/>
        <v>11485.329999999998</v>
      </c>
      <c r="BC177" s="926">
        <f t="shared" si="8"/>
        <v>5.8899999999985448</v>
      </c>
      <c r="BD177" s="891"/>
      <c r="BE177" s="891"/>
      <c r="BF177" s="891"/>
      <c r="BG177" s="928"/>
      <c r="BH177" s="928"/>
      <c r="BI177" s="928"/>
    </row>
    <row r="178" spans="1:61">
      <c r="A178" s="891" t="s">
        <v>952</v>
      </c>
      <c r="B178" s="891" t="s">
        <v>616</v>
      </c>
      <c r="C178" s="891" t="s">
        <v>263</v>
      </c>
      <c r="D178" s="891">
        <v>6.43</v>
      </c>
      <c r="E178" s="891">
        <v>25.74</v>
      </c>
      <c r="F178" s="891">
        <v>6.1</v>
      </c>
      <c r="G178" s="891">
        <v>1.49</v>
      </c>
      <c r="H178" s="891">
        <v>2.1</v>
      </c>
      <c r="I178" s="891">
        <v>1.63</v>
      </c>
      <c r="J178" s="891">
        <v>1.35</v>
      </c>
      <c r="K178" s="891">
        <v>0.95</v>
      </c>
      <c r="L178" s="891">
        <v>1.1499999999999999</v>
      </c>
      <c r="M178" s="891">
        <v>2.44</v>
      </c>
      <c r="N178" s="891">
        <v>8.4700000000000006</v>
      </c>
      <c r="O178" s="891">
        <v>0.72</v>
      </c>
      <c r="P178" s="891">
        <v>6.77</v>
      </c>
      <c r="Q178" s="891">
        <v>0.81</v>
      </c>
      <c r="R178" s="891">
        <v>1.22</v>
      </c>
      <c r="S178" s="891">
        <v>4.47</v>
      </c>
      <c r="T178" s="891">
        <v>0.81</v>
      </c>
      <c r="U178" s="891">
        <v>7.04</v>
      </c>
      <c r="V178" s="891">
        <v>27.09</v>
      </c>
      <c r="W178" s="891">
        <v>2</v>
      </c>
      <c r="X178" s="927">
        <v>20319.7</v>
      </c>
      <c r="Y178" s="891">
        <v>541.86</v>
      </c>
      <c r="Z178" s="891">
        <v>440.26</v>
      </c>
      <c r="AA178" s="891">
        <v>948.25</v>
      </c>
      <c r="AB178" s="891">
        <v>745.06</v>
      </c>
      <c r="AC178" s="891">
        <v>230.29</v>
      </c>
      <c r="AD178" s="891">
        <v>0.18</v>
      </c>
      <c r="AE178" s="891">
        <v>22.35</v>
      </c>
      <c r="AF178" s="891">
        <v>43.35</v>
      </c>
      <c r="AG178" s="891">
        <v>6.77</v>
      </c>
      <c r="AH178" s="891">
        <v>7.18</v>
      </c>
      <c r="AI178" s="891">
        <v>59.6</v>
      </c>
      <c r="AJ178" s="891">
        <v>57.57</v>
      </c>
      <c r="AK178" s="891">
        <v>104.99</v>
      </c>
      <c r="AL178" s="891">
        <v>94.83</v>
      </c>
      <c r="AM178" s="891">
        <v>1557.84</v>
      </c>
      <c r="AN178" s="891">
        <v>1314.01</v>
      </c>
      <c r="AO178" s="891">
        <v>873.75</v>
      </c>
      <c r="AP178" s="891">
        <v>5</v>
      </c>
      <c r="AQ178" s="891">
        <v>4.0599999999999996</v>
      </c>
      <c r="AR178" s="891">
        <v>0.68</v>
      </c>
      <c r="AS178" s="891">
        <v>16.260000000000002</v>
      </c>
      <c r="AT178" s="891">
        <v>1.63</v>
      </c>
      <c r="AU178" s="891">
        <v>1.63</v>
      </c>
      <c r="AV178" s="891">
        <v>0.57999999999999996</v>
      </c>
      <c r="AW178" s="891">
        <v>1.08</v>
      </c>
      <c r="AX178" s="891">
        <v>2.0299999999999998</v>
      </c>
      <c r="AY178" s="891">
        <v>1.35</v>
      </c>
      <c r="AZ178" s="891">
        <v>2.0299999999999998</v>
      </c>
      <c r="BA178" s="891">
        <f t="shared" si="6"/>
        <v>252.82</v>
      </c>
      <c r="BB178" s="926">
        <f t="shared" si="7"/>
        <v>20370.600000000002</v>
      </c>
      <c r="BC178" s="926">
        <f t="shared" si="8"/>
        <v>48.900000000001455</v>
      </c>
      <c r="BD178" s="891"/>
      <c r="BE178" s="891"/>
      <c r="BF178" s="891"/>
      <c r="BG178" s="928"/>
      <c r="BH178" s="928"/>
      <c r="BI178" s="928"/>
    </row>
    <row r="179" spans="1:61">
      <c r="A179" s="891" t="s">
        <v>953</v>
      </c>
      <c r="B179" s="891" t="s">
        <v>1605</v>
      </c>
      <c r="C179" s="891" t="s">
        <v>221</v>
      </c>
      <c r="D179" s="891">
        <v>5.16</v>
      </c>
      <c r="E179" s="891">
        <v>35.46</v>
      </c>
      <c r="F179" s="891">
        <v>3.87</v>
      </c>
      <c r="G179" s="891">
        <v>2.3199999999999998</v>
      </c>
      <c r="H179" s="891">
        <v>2.58</v>
      </c>
      <c r="I179" s="891">
        <v>0.81</v>
      </c>
      <c r="J179" s="891">
        <v>0.77</v>
      </c>
      <c r="K179" s="891">
        <v>2.06</v>
      </c>
      <c r="L179" s="891">
        <v>1.61</v>
      </c>
      <c r="M179" s="891">
        <v>1.93</v>
      </c>
      <c r="N179" s="891">
        <v>7.09</v>
      </c>
      <c r="O179" s="891">
        <v>2.19</v>
      </c>
      <c r="P179" s="891">
        <v>12.57</v>
      </c>
      <c r="Q179" s="891">
        <v>1.29</v>
      </c>
      <c r="R179" s="891">
        <v>1.55</v>
      </c>
      <c r="S179" s="891">
        <v>6.45</v>
      </c>
      <c r="T179" s="891">
        <v>1.29</v>
      </c>
      <c r="U179" s="891">
        <v>7.74</v>
      </c>
      <c r="V179" s="891">
        <v>59.32</v>
      </c>
      <c r="W179" s="891">
        <v>2.19</v>
      </c>
      <c r="X179" s="927">
        <v>30241.68</v>
      </c>
      <c r="Y179" s="891">
        <v>1450.83</v>
      </c>
      <c r="Z179" s="891">
        <v>902.74</v>
      </c>
      <c r="AA179" s="891">
        <v>3030.62</v>
      </c>
      <c r="AB179" s="891">
        <v>1418.59</v>
      </c>
      <c r="AC179" s="891">
        <v>128.96</v>
      </c>
      <c r="AD179" s="891">
        <v>0.03</v>
      </c>
      <c r="AE179" s="891">
        <v>25.66</v>
      </c>
      <c r="AF179" s="891">
        <v>45.14</v>
      </c>
      <c r="AG179" s="891">
        <v>7.09</v>
      </c>
      <c r="AH179" s="891">
        <v>8.3800000000000008</v>
      </c>
      <c r="AI179" s="891">
        <v>90.27</v>
      </c>
      <c r="AJ179" s="891">
        <v>57.97</v>
      </c>
      <c r="AK179" s="891">
        <v>90.14</v>
      </c>
      <c r="AL179" s="891">
        <v>115.94</v>
      </c>
      <c r="AM179" s="891">
        <v>15269.53</v>
      </c>
      <c r="AN179" s="891">
        <v>8675.8700000000008</v>
      </c>
      <c r="AO179" s="891">
        <v>2450.29</v>
      </c>
      <c r="AP179" s="891">
        <v>3</v>
      </c>
      <c r="AQ179" s="891">
        <v>2.58</v>
      </c>
      <c r="AR179" s="891">
        <v>0.97</v>
      </c>
      <c r="AS179" s="891">
        <v>10.96</v>
      </c>
      <c r="AT179" s="891">
        <v>2.19</v>
      </c>
      <c r="AU179" s="891">
        <v>3.22</v>
      </c>
      <c r="AV179" s="891">
        <v>1.93</v>
      </c>
      <c r="AW179" s="891">
        <v>0.84</v>
      </c>
      <c r="AX179" s="891">
        <v>3.61</v>
      </c>
      <c r="AY179" s="891">
        <v>1.93</v>
      </c>
      <c r="AZ179" s="891">
        <v>1.93</v>
      </c>
      <c r="BA179" s="891">
        <f t="shared" si="6"/>
        <v>154.65</v>
      </c>
      <c r="BB179" s="926">
        <f t="shared" si="7"/>
        <v>30318.99</v>
      </c>
      <c r="BC179" s="926">
        <f t="shared" si="8"/>
        <v>75.120000000001312</v>
      </c>
      <c r="BD179" s="891"/>
      <c r="BE179" s="891"/>
      <c r="BF179" s="891"/>
      <c r="BG179" s="928"/>
      <c r="BH179" s="928"/>
      <c r="BI179" s="928"/>
    </row>
    <row r="180" spans="1:61">
      <c r="A180" s="891" t="s">
        <v>1610</v>
      </c>
      <c r="B180" s="891" t="s">
        <v>629</v>
      </c>
      <c r="C180" s="891" t="s">
        <v>309</v>
      </c>
      <c r="D180" s="891">
        <v>4.8499999999999996</v>
      </c>
      <c r="E180" s="891">
        <v>29.09</v>
      </c>
      <c r="F180" s="891">
        <v>5.17</v>
      </c>
      <c r="G180" s="891">
        <v>2.2599999999999998</v>
      </c>
      <c r="H180" s="891">
        <v>2.2599999999999998</v>
      </c>
      <c r="I180" s="891">
        <v>1.1299999999999999</v>
      </c>
      <c r="J180" s="891">
        <v>0.97</v>
      </c>
      <c r="K180" s="891">
        <v>0.81</v>
      </c>
      <c r="L180" s="891">
        <v>0.81</v>
      </c>
      <c r="M180" s="891">
        <v>2.2599999999999998</v>
      </c>
      <c r="N180" s="891">
        <v>7.11</v>
      </c>
      <c r="O180" s="891">
        <v>0.65</v>
      </c>
      <c r="P180" s="891">
        <v>6.46</v>
      </c>
      <c r="Q180" s="891">
        <v>0.97</v>
      </c>
      <c r="R180" s="891">
        <v>1.45</v>
      </c>
      <c r="S180" s="891">
        <v>3.88</v>
      </c>
      <c r="T180" s="891">
        <v>1.03</v>
      </c>
      <c r="U180" s="891">
        <v>5.17</v>
      </c>
      <c r="V180" s="891">
        <v>29.74</v>
      </c>
      <c r="W180" s="891">
        <v>1.78</v>
      </c>
      <c r="X180" s="927">
        <v>22237.13</v>
      </c>
      <c r="Y180" s="891">
        <v>484.86</v>
      </c>
      <c r="Z180" s="891">
        <v>355.56</v>
      </c>
      <c r="AA180" s="891">
        <v>969.71</v>
      </c>
      <c r="AB180" s="891">
        <v>646.48</v>
      </c>
      <c r="AC180" s="891">
        <v>157</v>
      </c>
      <c r="AD180" s="891">
        <v>0.09</v>
      </c>
      <c r="AE180" s="891">
        <v>17.78</v>
      </c>
      <c r="AF180" s="891">
        <v>40.4</v>
      </c>
      <c r="AG180" s="891">
        <v>12.93</v>
      </c>
      <c r="AH180" s="891">
        <v>6.46</v>
      </c>
      <c r="AI180" s="891">
        <v>84.04</v>
      </c>
      <c r="AJ180" s="891">
        <v>41.21</v>
      </c>
      <c r="AK180" s="891">
        <v>84.04</v>
      </c>
      <c r="AL180" s="891">
        <v>80.81</v>
      </c>
      <c r="AM180" s="891">
        <v>2909.14</v>
      </c>
      <c r="AN180" s="891">
        <v>1939.43</v>
      </c>
      <c r="AO180" s="891">
        <v>905.07</v>
      </c>
      <c r="AP180" s="891">
        <v>5</v>
      </c>
      <c r="AQ180" s="891">
        <v>1.94</v>
      </c>
      <c r="AR180" s="891">
        <v>0.74</v>
      </c>
      <c r="AS180" s="891">
        <v>11.31</v>
      </c>
      <c r="AT180" s="891">
        <v>0.97</v>
      </c>
      <c r="AU180" s="891">
        <v>1.45</v>
      </c>
      <c r="AV180" s="891">
        <v>0.55000000000000004</v>
      </c>
      <c r="AW180" s="891">
        <v>0.65</v>
      </c>
      <c r="AX180" s="891">
        <v>1.94</v>
      </c>
      <c r="AY180" s="891">
        <v>1.05</v>
      </c>
      <c r="AZ180" s="891">
        <v>1.62</v>
      </c>
      <c r="BA180" s="891">
        <f t="shared" si="6"/>
        <v>174.87</v>
      </c>
      <c r="BB180" s="926">
        <f t="shared" si="7"/>
        <v>22283.670000000002</v>
      </c>
      <c r="BC180" s="926">
        <f t="shared" si="8"/>
        <v>44.760000000000872</v>
      </c>
      <c r="BD180" s="891"/>
      <c r="BE180" s="891"/>
      <c r="BF180" s="891"/>
      <c r="BG180" s="928"/>
      <c r="BH180" s="928"/>
      <c r="BI180" s="928"/>
    </row>
    <row r="181" spans="1:61">
      <c r="A181" s="891" t="s">
        <v>955</v>
      </c>
      <c r="B181" s="891" t="s">
        <v>556</v>
      </c>
      <c r="C181" s="891" t="s">
        <v>305</v>
      </c>
      <c r="D181" s="891">
        <v>7.42</v>
      </c>
      <c r="E181" s="891">
        <v>27.83</v>
      </c>
      <c r="F181" s="891">
        <v>6.18</v>
      </c>
      <c r="G181" s="891">
        <v>1.55</v>
      </c>
      <c r="H181" s="891">
        <v>2.16</v>
      </c>
      <c r="I181" s="891">
        <v>1.08</v>
      </c>
      <c r="J181" s="891">
        <v>0.85</v>
      </c>
      <c r="K181" s="891">
        <v>1.07</v>
      </c>
      <c r="L181" s="891">
        <v>0.59</v>
      </c>
      <c r="M181" s="891">
        <v>1.24</v>
      </c>
      <c r="N181" s="891">
        <v>8.0399999999999991</v>
      </c>
      <c r="O181" s="891">
        <v>0.7</v>
      </c>
      <c r="P181" s="891">
        <v>8.5</v>
      </c>
      <c r="Q181" s="891">
        <v>1.24</v>
      </c>
      <c r="R181" s="891">
        <v>1.86</v>
      </c>
      <c r="S181" s="891">
        <v>1.55</v>
      </c>
      <c r="T181" s="891">
        <v>0.46</v>
      </c>
      <c r="U181" s="891">
        <v>5.57</v>
      </c>
      <c r="V181" s="891">
        <v>12.37</v>
      </c>
      <c r="W181" s="891">
        <v>0.92</v>
      </c>
      <c r="X181" s="927">
        <v>21645.69</v>
      </c>
      <c r="Y181" s="891">
        <v>618.45000000000005</v>
      </c>
      <c r="Z181" s="891">
        <v>371.07</v>
      </c>
      <c r="AA181" s="891">
        <v>1082.28</v>
      </c>
      <c r="AB181" s="891">
        <v>773.06</v>
      </c>
      <c r="AC181" s="891">
        <v>131.41999999999999</v>
      </c>
      <c r="AD181" s="891">
        <v>0.02</v>
      </c>
      <c r="AE181" s="891">
        <v>13.92</v>
      </c>
      <c r="AF181" s="891">
        <v>57.21</v>
      </c>
      <c r="AG181" s="891">
        <v>13.92</v>
      </c>
      <c r="AH181" s="891">
        <v>7.73</v>
      </c>
      <c r="AI181" s="891">
        <v>123.69</v>
      </c>
      <c r="AJ181" s="891">
        <v>92.77</v>
      </c>
      <c r="AK181" s="891">
        <v>108.23</v>
      </c>
      <c r="AL181" s="891">
        <v>95.86</v>
      </c>
      <c r="AM181" s="891">
        <v>1700.73</v>
      </c>
      <c r="AN181" s="891">
        <v>1236.9000000000001</v>
      </c>
      <c r="AO181" s="891">
        <v>850.37</v>
      </c>
      <c r="AP181" s="891">
        <v>15</v>
      </c>
      <c r="AQ181" s="891">
        <v>3.09</v>
      </c>
      <c r="AR181" s="891">
        <v>0.56000000000000005</v>
      </c>
      <c r="AS181" s="891">
        <v>12.37</v>
      </c>
      <c r="AT181" s="891">
        <v>1.55</v>
      </c>
      <c r="AU181" s="891">
        <v>1.24</v>
      </c>
      <c r="AV181" s="891">
        <v>0.85</v>
      </c>
      <c r="AW181" s="891">
        <v>1.24</v>
      </c>
      <c r="AX181" s="891">
        <v>2.16</v>
      </c>
      <c r="AY181" s="891">
        <v>1.39</v>
      </c>
      <c r="AZ181" s="891">
        <v>2.09</v>
      </c>
      <c r="BA181" s="891">
        <f t="shared" si="6"/>
        <v>145.35999999999999</v>
      </c>
      <c r="BB181" s="926">
        <f t="shared" si="7"/>
        <v>21675.46</v>
      </c>
      <c r="BC181" s="926">
        <f t="shared" si="8"/>
        <v>28.850000000000435</v>
      </c>
      <c r="BD181" s="891"/>
      <c r="BE181" s="891"/>
      <c r="BF181" s="891"/>
      <c r="BG181" s="928"/>
      <c r="BH181" s="928"/>
      <c r="BI181" s="928"/>
    </row>
    <row r="182" spans="1:61">
      <c r="A182" s="891" t="s">
        <v>1611</v>
      </c>
      <c r="B182" s="891" t="s">
        <v>576</v>
      </c>
      <c r="C182" s="891" t="s">
        <v>292</v>
      </c>
      <c r="D182" s="891">
        <v>2.52</v>
      </c>
      <c r="E182" s="891">
        <v>15.72</v>
      </c>
      <c r="F182" s="891">
        <v>3.77</v>
      </c>
      <c r="G182" s="891">
        <v>3.14</v>
      </c>
      <c r="H182" s="891">
        <v>3.88</v>
      </c>
      <c r="I182" s="891">
        <v>0.63</v>
      </c>
      <c r="J182" s="891">
        <v>0.41</v>
      </c>
      <c r="K182" s="891">
        <v>1.82</v>
      </c>
      <c r="L182" s="891">
        <v>0.94</v>
      </c>
      <c r="M182" s="891">
        <v>1.48</v>
      </c>
      <c r="N182" s="891">
        <v>11.01</v>
      </c>
      <c r="O182" s="891">
        <v>0.77</v>
      </c>
      <c r="P182" s="891">
        <v>15.72</v>
      </c>
      <c r="Q182" s="891">
        <v>2.67</v>
      </c>
      <c r="R182" s="891">
        <v>3.77</v>
      </c>
      <c r="S182" s="891">
        <v>3.21</v>
      </c>
      <c r="T182" s="891">
        <v>0.63</v>
      </c>
      <c r="U182" s="891">
        <v>3.77</v>
      </c>
      <c r="V182" s="891">
        <v>31.45</v>
      </c>
      <c r="W182" s="891">
        <v>0.63</v>
      </c>
      <c r="X182" s="927">
        <v>47169.81</v>
      </c>
      <c r="Y182" s="891">
        <v>691.82</v>
      </c>
      <c r="Z182" s="891">
        <v>440.25</v>
      </c>
      <c r="AA182" s="891">
        <v>1257.8599999999999</v>
      </c>
      <c r="AB182" s="891">
        <v>628.92999999999995</v>
      </c>
      <c r="AC182" s="891">
        <v>47.17</v>
      </c>
      <c r="AD182" s="891">
        <v>0.09</v>
      </c>
      <c r="AE182" s="891">
        <v>47.17</v>
      </c>
      <c r="AF182" s="891">
        <v>53.46</v>
      </c>
      <c r="AG182" s="891">
        <v>7.86</v>
      </c>
      <c r="AH182" s="891">
        <v>3.77</v>
      </c>
      <c r="AI182" s="891">
        <v>78.62</v>
      </c>
      <c r="AJ182" s="891">
        <v>62.89</v>
      </c>
      <c r="AK182" s="891">
        <v>94.34</v>
      </c>
      <c r="AL182" s="891">
        <v>78.62</v>
      </c>
      <c r="AM182" s="891">
        <v>3095.52</v>
      </c>
      <c r="AN182" s="891">
        <v>1572.33</v>
      </c>
      <c r="AO182" s="891">
        <v>1257.8599999999999</v>
      </c>
      <c r="AP182" s="891">
        <v>5</v>
      </c>
      <c r="AQ182" s="891">
        <v>0.94</v>
      </c>
      <c r="AR182" s="891">
        <v>0.36</v>
      </c>
      <c r="AS182" s="891">
        <v>7.86</v>
      </c>
      <c r="AT182" s="891">
        <v>2.52</v>
      </c>
      <c r="AU182" s="891">
        <v>2.75</v>
      </c>
      <c r="AV182" s="891">
        <v>0.94</v>
      </c>
      <c r="AW182" s="891">
        <v>0.94</v>
      </c>
      <c r="AX182" s="891">
        <v>2.83</v>
      </c>
      <c r="AY182" s="891">
        <v>1.26</v>
      </c>
      <c r="AZ182" s="891">
        <v>1.1499999999999999</v>
      </c>
      <c r="BA182" s="891">
        <f t="shared" si="6"/>
        <v>94.43</v>
      </c>
      <c r="BB182" s="926">
        <f t="shared" si="7"/>
        <v>47211.68</v>
      </c>
      <c r="BC182" s="926">
        <f t="shared" si="8"/>
        <v>41.240000000002617</v>
      </c>
      <c r="BD182" s="891"/>
      <c r="BE182" s="891"/>
      <c r="BF182" s="891"/>
      <c r="BG182" s="928"/>
      <c r="BH182" s="928"/>
      <c r="BI182" s="928"/>
    </row>
    <row r="183" spans="1:61">
      <c r="A183" s="891" t="s">
        <v>1612</v>
      </c>
      <c r="B183" s="891" t="s">
        <v>601</v>
      </c>
      <c r="C183" s="891" t="s">
        <v>156</v>
      </c>
      <c r="D183" s="891">
        <v>5.65</v>
      </c>
      <c r="E183" s="891">
        <v>39.74</v>
      </c>
      <c r="F183" s="891">
        <v>5.35</v>
      </c>
      <c r="G183" s="891">
        <v>8.85</v>
      </c>
      <c r="H183" s="891">
        <v>6.92</v>
      </c>
      <c r="I183" s="891">
        <v>2</v>
      </c>
      <c r="J183" s="891">
        <v>0.35</v>
      </c>
      <c r="K183" s="891">
        <v>1.42</v>
      </c>
      <c r="L183" s="891">
        <v>1.77</v>
      </c>
      <c r="M183" s="891">
        <v>1.62</v>
      </c>
      <c r="N183" s="891">
        <v>3.54</v>
      </c>
      <c r="O183" s="891">
        <v>0.52</v>
      </c>
      <c r="P183" s="891">
        <v>200.44</v>
      </c>
      <c r="Q183" s="891">
        <v>0.6</v>
      </c>
      <c r="R183" s="891">
        <v>0.6</v>
      </c>
      <c r="S183" s="891">
        <v>2.65</v>
      </c>
      <c r="T183" s="891">
        <v>0.71</v>
      </c>
      <c r="U183" s="891">
        <v>3.89</v>
      </c>
      <c r="V183" s="891">
        <v>60</v>
      </c>
      <c r="W183" s="891">
        <v>0.24</v>
      </c>
      <c r="X183" s="927">
        <v>17349.560000000001</v>
      </c>
      <c r="Y183" s="891">
        <v>853.98</v>
      </c>
      <c r="Z183" s="891">
        <v>672.57</v>
      </c>
      <c r="AA183" s="891">
        <v>1800</v>
      </c>
      <c r="AB183" s="891">
        <v>1546.46</v>
      </c>
      <c r="AC183" s="891">
        <v>141.59</v>
      </c>
      <c r="AD183" s="891">
        <v>0.16</v>
      </c>
      <c r="AE183" s="891">
        <v>70.8</v>
      </c>
      <c r="AF183" s="891">
        <v>51.82</v>
      </c>
      <c r="AG183" s="891">
        <v>15</v>
      </c>
      <c r="AH183" s="891">
        <v>10.62</v>
      </c>
      <c r="AI183" s="891">
        <v>60.55</v>
      </c>
      <c r="AJ183" s="891">
        <v>45.49</v>
      </c>
      <c r="AK183" s="891">
        <v>85.89</v>
      </c>
      <c r="AL183" s="891">
        <v>79.650000000000006</v>
      </c>
      <c r="AM183" s="891">
        <v>3893.81</v>
      </c>
      <c r="AN183" s="891">
        <v>2915.93</v>
      </c>
      <c r="AO183" s="891">
        <v>2468.75</v>
      </c>
      <c r="AP183" s="891">
        <v>5</v>
      </c>
      <c r="AQ183" s="891">
        <v>1.77</v>
      </c>
      <c r="AR183" s="891">
        <v>1.19</v>
      </c>
      <c r="AS183" s="891">
        <v>1.76</v>
      </c>
      <c r="AT183" s="891">
        <v>2.48</v>
      </c>
      <c r="AU183" s="891">
        <v>1.88</v>
      </c>
      <c r="AV183" s="891">
        <v>1.29</v>
      </c>
      <c r="AW183" s="891">
        <v>1.02</v>
      </c>
      <c r="AX183" s="891">
        <v>4.42</v>
      </c>
      <c r="AY183" s="891">
        <v>3.54</v>
      </c>
      <c r="AZ183" s="891">
        <v>1.95</v>
      </c>
      <c r="BA183" s="891">
        <f t="shared" si="6"/>
        <v>212.55</v>
      </c>
      <c r="BB183" s="926">
        <f t="shared" si="7"/>
        <v>17415.23</v>
      </c>
      <c r="BC183" s="926">
        <f t="shared" si="8"/>
        <v>65.429999999998259</v>
      </c>
      <c r="BD183" s="891"/>
      <c r="BE183" s="891"/>
      <c r="BF183" s="891"/>
      <c r="BG183" s="928"/>
      <c r="BH183" s="928"/>
      <c r="BI183" s="928"/>
    </row>
    <row r="184" spans="1:61">
      <c r="A184" s="891" t="s">
        <v>958</v>
      </c>
      <c r="B184" s="891" t="s">
        <v>594</v>
      </c>
      <c r="C184" s="891" t="s">
        <v>157</v>
      </c>
      <c r="D184" s="891">
        <v>9.75</v>
      </c>
      <c r="E184" s="891">
        <v>41.41</v>
      </c>
      <c r="F184" s="891">
        <v>10</v>
      </c>
      <c r="G184" s="891">
        <v>2</v>
      </c>
      <c r="H184" s="891">
        <v>3.04</v>
      </c>
      <c r="I184" s="891">
        <v>0.75</v>
      </c>
      <c r="J184" s="891">
        <v>0.63</v>
      </c>
      <c r="K184" s="891">
        <v>2.6</v>
      </c>
      <c r="L184" s="891">
        <v>1.44</v>
      </c>
      <c r="M184" s="891">
        <v>2.56</v>
      </c>
      <c r="N184" s="891">
        <v>17.89</v>
      </c>
      <c r="O184" s="891">
        <v>0.84</v>
      </c>
      <c r="P184" s="891">
        <v>9.73</v>
      </c>
      <c r="Q184" s="891">
        <v>1.32</v>
      </c>
      <c r="R184" s="891">
        <v>2</v>
      </c>
      <c r="S184" s="891">
        <v>1.53</v>
      </c>
      <c r="T184" s="891">
        <v>0.97</v>
      </c>
      <c r="U184" s="891">
        <v>8.65</v>
      </c>
      <c r="V184" s="891">
        <v>70.489999999999995</v>
      </c>
      <c r="W184" s="891">
        <v>0.6</v>
      </c>
      <c r="X184" s="927">
        <v>19265.53</v>
      </c>
      <c r="Y184" s="891">
        <v>500</v>
      </c>
      <c r="Z184" s="891">
        <v>126.06</v>
      </c>
      <c r="AA184" s="891">
        <v>1800</v>
      </c>
      <c r="AB184" s="891">
        <v>455.11</v>
      </c>
      <c r="AC184" s="891">
        <v>125</v>
      </c>
      <c r="AD184" s="891">
        <v>0.19</v>
      </c>
      <c r="AE184" s="891">
        <v>69.099999999999994</v>
      </c>
      <c r="AF184" s="891">
        <v>100.66</v>
      </c>
      <c r="AG184" s="891">
        <v>10</v>
      </c>
      <c r="AH184" s="891">
        <v>9.73</v>
      </c>
      <c r="AI184" s="891">
        <v>71.709999999999994</v>
      </c>
      <c r="AJ184" s="891">
        <v>100</v>
      </c>
      <c r="AK184" s="891">
        <v>100</v>
      </c>
      <c r="AL184" s="891">
        <v>122.39</v>
      </c>
      <c r="AM184" s="891">
        <v>3000</v>
      </c>
      <c r="AN184" s="891">
        <v>1056.81</v>
      </c>
      <c r="AO184" s="891">
        <v>563.89</v>
      </c>
      <c r="AP184" s="891">
        <v>18</v>
      </c>
      <c r="AQ184" s="891">
        <v>3.5</v>
      </c>
      <c r="AR184" s="891">
        <v>2.5</v>
      </c>
      <c r="AS184" s="891">
        <v>9.2799999999999994</v>
      </c>
      <c r="AT184" s="891">
        <v>4.9400000000000004</v>
      </c>
      <c r="AU184" s="891">
        <v>1.89</v>
      </c>
      <c r="AV184" s="891">
        <v>2.48</v>
      </c>
      <c r="AW184" s="891">
        <v>1</v>
      </c>
      <c r="AX184" s="891">
        <v>3.17</v>
      </c>
      <c r="AY184" s="891">
        <v>3.11</v>
      </c>
      <c r="AZ184" s="891">
        <v>2.1800000000000002</v>
      </c>
      <c r="BA184" s="891">
        <f t="shared" si="6"/>
        <v>194.29</v>
      </c>
      <c r="BB184" s="926">
        <f t="shared" si="7"/>
        <v>19352.87</v>
      </c>
      <c r="BC184" s="926">
        <f t="shared" si="8"/>
        <v>86.740000000000151</v>
      </c>
      <c r="BD184" s="891"/>
      <c r="BE184" s="891"/>
      <c r="BF184" s="891"/>
      <c r="BG184" s="928"/>
      <c r="BH184" s="928"/>
      <c r="BI184" s="928"/>
    </row>
    <row r="185" spans="1:61">
      <c r="A185" s="891" t="s">
        <v>959</v>
      </c>
      <c r="B185" s="891" t="s">
        <v>656</v>
      </c>
      <c r="C185" s="891" t="s">
        <v>372</v>
      </c>
      <c r="D185" s="891">
        <v>2.36</v>
      </c>
      <c r="E185" s="891">
        <v>14.57</v>
      </c>
      <c r="F185" s="891">
        <v>4.71</v>
      </c>
      <c r="G185" s="891">
        <v>1.98</v>
      </c>
      <c r="H185" s="891">
        <v>4.71</v>
      </c>
      <c r="I185" s="891">
        <v>0.33</v>
      </c>
      <c r="J185" s="891">
        <v>0.24</v>
      </c>
      <c r="K185" s="891">
        <v>0.8</v>
      </c>
      <c r="L185" s="891">
        <v>0.47</v>
      </c>
      <c r="M185" s="891">
        <v>0.94</v>
      </c>
      <c r="N185" s="891">
        <v>4.71</v>
      </c>
      <c r="O185" s="891">
        <v>0.47</v>
      </c>
      <c r="P185" s="891">
        <v>17.899999999999999</v>
      </c>
      <c r="Q185" s="891">
        <v>2</v>
      </c>
      <c r="R185" s="891">
        <v>5.09</v>
      </c>
      <c r="S185" s="891">
        <v>0.97</v>
      </c>
      <c r="T185" s="891">
        <v>0.28999999999999998</v>
      </c>
      <c r="U185" s="891">
        <v>3.3</v>
      </c>
      <c r="V185" s="891">
        <v>11.31</v>
      </c>
      <c r="W185" s="891">
        <v>0.99</v>
      </c>
      <c r="X185" s="927">
        <v>15077.27</v>
      </c>
      <c r="Y185" s="891">
        <v>141.35</v>
      </c>
      <c r="Z185" s="891">
        <v>94.23</v>
      </c>
      <c r="AA185" s="891">
        <v>350</v>
      </c>
      <c r="AB185" s="891">
        <v>212.02</v>
      </c>
      <c r="AC185" s="891">
        <v>141.35</v>
      </c>
      <c r="AD185" s="891">
        <v>0.02</v>
      </c>
      <c r="AE185" s="891">
        <v>28.27</v>
      </c>
      <c r="AF185" s="891">
        <v>19.920000000000002</v>
      </c>
      <c r="AG185" s="891">
        <v>5.5</v>
      </c>
      <c r="AH185" s="891">
        <v>4.71</v>
      </c>
      <c r="AI185" s="891">
        <v>30.39</v>
      </c>
      <c r="AJ185" s="891">
        <v>37.69</v>
      </c>
      <c r="AK185" s="891">
        <v>61.25</v>
      </c>
      <c r="AL185" s="891">
        <v>28.27</v>
      </c>
      <c r="AM185" s="891">
        <v>706.75</v>
      </c>
      <c r="AN185" s="891">
        <v>471.16</v>
      </c>
      <c r="AO185" s="891">
        <v>235.58</v>
      </c>
      <c r="AP185" s="891">
        <v>16</v>
      </c>
      <c r="AQ185" s="891">
        <v>1.88</v>
      </c>
      <c r="AR185" s="891">
        <v>0.27</v>
      </c>
      <c r="AS185" s="891">
        <v>2.1800000000000002</v>
      </c>
      <c r="AT185" s="891">
        <v>1.37</v>
      </c>
      <c r="AU185" s="891">
        <v>0.94</v>
      </c>
      <c r="AV185" s="891">
        <v>0.38</v>
      </c>
      <c r="AW185" s="891">
        <v>0.44</v>
      </c>
      <c r="AX185" s="891">
        <v>1.72</v>
      </c>
      <c r="AY185" s="891">
        <v>1.1499999999999999</v>
      </c>
      <c r="AZ185" s="891">
        <v>0.56999999999999995</v>
      </c>
      <c r="BA185" s="891">
        <f t="shared" si="6"/>
        <v>169.64000000000001</v>
      </c>
      <c r="BB185" s="926">
        <f t="shared" si="7"/>
        <v>15094.19</v>
      </c>
      <c r="BC185" s="926">
        <f t="shared" si="8"/>
        <v>15.930000000000073</v>
      </c>
      <c r="BD185" s="891"/>
      <c r="BE185" s="891"/>
      <c r="BF185" s="891"/>
      <c r="BG185" s="928"/>
      <c r="BH185" s="928"/>
      <c r="BI185" s="928"/>
    </row>
    <row r="186" spans="1:61">
      <c r="A186" s="891" t="s">
        <v>1613</v>
      </c>
      <c r="B186" s="891" t="s">
        <v>1606</v>
      </c>
      <c r="C186" s="891" t="s">
        <v>180</v>
      </c>
      <c r="D186" s="891">
        <v>9</v>
      </c>
      <c r="E186" s="891">
        <v>60</v>
      </c>
      <c r="F186" s="891">
        <v>7</v>
      </c>
      <c r="G186" s="891">
        <v>3</v>
      </c>
      <c r="H186" s="891">
        <v>4</v>
      </c>
      <c r="I186" s="891">
        <v>1.54</v>
      </c>
      <c r="J186" s="891">
        <v>1</v>
      </c>
      <c r="K186" s="891">
        <v>0.8</v>
      </c>
      <c r="L186" s="891">
        <v>1.98</v>
      </c>
      <c r="M186" s="891">
        <v>2.25</v>
      </c>
      <c r="N186" s="891">
        <v>8.82</v>
      </c>
      <c r="O186" s="891">
        <v>1.5</v>
      </c>
      <c r="P186" s="891">
        <v>12</v>
      </c>
      <c r="Q186" s="891">
        <v>2</v>
      </c>
      <c r="R186" s="891">
        <v>2.75</v>
      </c>
      <c r="S186" s="891">
        <v>6</v>
      </c>
      <c r="T186" s="891">
        <v>2</v>
      </c>
      <c r="U186" s="891">
        <v>6.56</v>
      </c>
      <c r="V186" s="891">
        <v>65</v>
      </c>
      <c r="W186" s="891">
        <v>0.96</v>
      </c>
      <c r="X186" s="927">
        <v>23999.5</v>
      </c>
      <c r="Y186" s="891">
        <v>650</v>
      </c>
      <c r="Z186" s="891">
        <v>600</v>
      </c>
      <c r="AA186" s="891">
        <v>1000</v>
      </c>
      <c r="AB186" s="891">
        <v>1000</v>
      </c>
      <c r="AC186" s="891">
        <v>150</v>
      </c>
      <c r="AD186" s="891">
        <v>0.18</v>
      </c>
      <c r="AE186" s="891">
        <v>45</v>
      </c>
      <c r="AF186" s="891">
        <v>30</v>
      </c>
      <c r="AG186" s="891">
        <v>30</v>
      </c>
      <c r="AH186" s="891">
        <v>11</v>
      </c>
      <c r="AI186" s="891">
        <v>42.5</v>
      </c>
      <c r="AJ186" s="891">
        <v>30</v>
      </c>
      <c r="AK186" s="891">
        <v>84.68</v>
      </c>
      <c r="AL186" s="891">
        <v>80</v>
      </c>
      <c r="AM186" s="891">
        <v>2014.59</v>
      </c>
      <c r="AN186" s="891">
        <v>1397.57</v>
      </c>
      <c r="AO186" s="891">
        <v>3313</v>
      </c>
      <c r="AP186" s="891">
        <v>4.0599999999999996</v>
      </c>
      <c r="AQ186" s="891">
        <v>5</v>
      </c>
      <c r="AR186" s="891">
        <v>2.64</v>
      </c>
      <c r="AS186" s="891">
        <v>35</v>
      </c>
      <c r="AT186" s="891">
        <v>2.4700000000000002</v>
      </c>
      <c r="AU186" s="891">
        <v>2.93</v>
      </c>
      <c r="AV186" s="891">
        <v>1.96</v>
      </c>
      <c r="AW186" s="891">
        <v>1.1499999999999999</v>
      </c>
      <c r="AX186" s="891">
        <v>3.25</v>
      </c>
      <c r="AY186" s="891">
        <v>3.78</v>
      </c>
      <c r="AZ186" s="891">
        <v>2.73</v>
      </c>
      <c r="BA186" s="891">
        <f t="shared" si="6"/>
        <v>195.18</v>
      </c>
      <c r="BB186" s="926">
        <f t="shared" si="7"/>
        <v>24110.1</v>
      </c>
      <c r="BC186" s="926">
        <f t="shared" si="8"/>
        <v>109.63999999999855</v>
      </c>
      <c r="BD186" s="891"/>
      <c r="BE186" s="891"/>
      <c r="BF186" s="891"/>
      <c r="BG186" s="928"/>
      <c r="BH186" s="928"/>
      <c r="BI186" s="928"/>
    </row>
    <row r="187" spans="1:61">
      <c r="A187" s="891" t="s">
        <v>961</v>
      </c>
      <c r="B187" s="891" t="s">
        <v>578</v>
      </c>
      <c r="C187" s="891" t="s">
        <v>8</v>
      </c>
      <c r="D187" s="891">
        <v>18.64</v>
      </c>
      <c r="E187" s="891">
        <v>87.7</v>
      </c>
      <c r="F187" s="891">
        <v>13.16</v>
      </c>
      <c r="G187" s="891">
        <v>6.58</v>
      </c>
      <c r="H187" s="891">
        <v>6.58</v>
      </c>
      <c r="I187" s="891">
        <v>3.56</v>
      </c>
      <c r="J187" s="891">
        <v>3.29</v>
      </c>
      <c r="K187" s="891">
        <v>1.43</v>
      </c>
      <c r="L187" s="891">
        <v>3.34</v>
      </c>
      <c r="M187" s="891">
        <v>5.48</v>
      </c>
      <c r="N187" s="891">
        <v>24.12</v>
      </c>
      <c r="O187" s="891">
        <v>1.26</v>
      </c>
      <c r="P187" s="891">
        <v>13.16</v>
      </c>
      <c r="Q187" s="891">
        <v>1.64</v>
      </c>
      <c r="R187" s="891">
        <v>2.85</v>
      </c>
      <c r="S187" s="891">
        <v>8.77</v>
      </c>
      <c r="T187" s="891">
        <v>3.29</v>
      </c>
      <c r="U187" s="891">
        <v>29.05</v>
      </c>
      <c r="V187" s="891">
        <v>74.55</v>
      </c>
      <c r="W187" s="891">
        <v>2.0699999999999998</v>
      </c>
      <c r="X187" s="927">
        <v>28502.52</v>
      </c>
      <c r="Y187" s="891">
        <v>1425.13</v>
      </c>
      <c r="Z187" s="891">
        <v>1425.13</v>
      </c>
      <c r="AA187" s="891">
        <v>3288.75</v>
      </c>
      <c r="AB187" s="891">
        <v>2192.5</v>
      </c>
      <c r="AC187" s="891">
        <v>237.68</v>
      </c>
      <c r="AD187" s="891">
        <v>0.33</v>
      </c>
      <c r="AE187" s="891">
        <v>53.72</v>
      </c>
      <c r="AF187" s="891">
        <v>140.32</v>
      </c>
      <c r="AG187" s="891">
        <v>38.369999999999997</v>
      </c>
      <c r="AH187" s="891">
        <v>19.73</v>
      </c>
      <c r="AI187" s="891">
        <v>120.59</v>
      </c>
      <c r="AJ187" s="891">
        <v>76.739999999999995</v>
      </c>
      <c r="AK187" s="891">
        <v>164.44</v>
      </c>
      <c r="AL187" s="891">
        <v>164.44</v>
      </c>
      <c r="AM187" s="891">
        <v>9866.26</v>
      </c>
      <c r="AN187" s="891">
        <v>7673.76</v>
      </c>
      <c r="AO187" s="891">
        <v>5864.94</v>
      </c>
      <c r="AP187" s="891">
        <v>2</v>
      </c>
      <c r="AQ187" s="891">
        <v>6.8</v>
      </c>
      <c r="AR187" s="891">
        <v>3.29</v>
      </c>
      <c r="AS187" s="891">
        <v>59.2</v>
      </c>
      <c r="AT187" s="891">
        <v>3.95</v>
      </c>
      <c r="AU187" s="891">
        <v>3.51</v>
      </c>
      <c r="AV187" s="891">
        <v>2.69</v>
      </c>
      <c r="AW187" s="891">
        <v>2.58</v>
      </c>
      <c r="AX187" s="891">
        <v>4.66</v>
      </c>
      <c r="AY187" s="891">
        <v>2.41</v>
      </c>
      <c r="AZ187" s="891">
        <v>4.3899999999999997</v>
      </c>
      <c r="BA187" s="891">
        <f t="shared" si="6"/>
        <v>291.73</v>
      </c>
      <c r="BB187" s="926">
        <f t="shared" si="7"/>
        <v>28651.72</v>
      </c>
      <c r="BC187" s="926">
        <f t="shared" si="8"/>
        <v>147.13000000000073</v>
      </c>
      <c r="BD187" s="891"/>
      <c r="BE187" s="891"/>
      <c r="BF187" s="891"/>
      <c r="BG187" s="928"/>
      <c r="BH187" s="928"/>
      <c r="BI187" s="928"/>
    </row>
    <row r="188" spans="1:61">
      <c r="A188" s="891" t="s">
        <v>962</v>
      </c>
      <c r="B188" s="891" t="s">
        <v>1569</v>
      </c>
      <c r="C188" s="891" t="s">
        <v>92</v>
      </c>
      <c r="D188" s="891">
        <v>15.95</v>
      </c>
      <c r="E188" s="891">
        <v>87.75</v>
      </c>
      <c r="F188" s="891">
        <v>7.18</v>
      </c>
      <c r="G188" s="891">
        <v>4.55</v>
      </c>
      <c r="H188" s="891">
        <v>4.3099999999999996</v>
      </c>
      <c r="I188" s="891">
        <v>1.6</v>
      </c>
      <c r="J188" s="891">
        <v>1.39</v>
      </c>
      <c r="K188" s="891">
        <v>1.32</v>
      </c>
      <c r="L188" s="891">
        <v>1.6</v>
      </c>
      <c r="M188" s="891">
        <v>3.19</v>
      </c>
      <c r="N188" s="891">
        <v>7.58</v>
      </c>
      <c r="O188" s="891">
        <v>1.36</v>
      </c>
      <c r="P188" s="891">
        <v>10.130000000000001</v>
      </c>
      <c r="Q188" s="891">
        <v>1.99</v>
      </c>
      <c r="R188" s="891">
        <v>1.99</v>
      </c>
      <c r="S188" s="891">
        <v>11.97</v>
      </c>
      <c r="T188" s="891">
        <v>3.91</v>
      </c>
      <c r="U188" s="891">
        <v>7.26</v>
      </c>
      <c r="V188" s="891">
        <v>82.96</v>
      </c>
      <c r="W188" s="891">
        <v>2.21</v>
      </c>
      <c r="X188" s="927">
        <v>22335.67</v>
      </c>
      <c r="Y188" s="891">
        <v>877.47</v>
      </c>
      <c r="Z188" s="891">
        <v>717.93</v>
      </c>
      <c r="AA188" s="891">
        <v>1595.41</v>
      </c>
      <c r="AB188" s="891">
        <v>1076.9000000000001</v>
      </c>
      <c r="AC188" s="891">
        <v>231.33</v>
      </c>
      <c r="AD188" s="891">
        <v>0.13</v>
      </c>
      <c r="AE188" s="891">
        <v>39.89</v>
      </c>
      <c r="AF188" s="891">
        <v>55.84</v>
      </c>
      <c r="AG188" s="891">
        <v>19.14</v>
      </c>
      <c r="AH188" s="891">
        <v>12.76</v>
      </c>
      <c r="AI188" s="891">
        <v>75.78</v>
      </c>
      <c r="AJ188" s="891">
        <v>55.84</v>
      </c>
      <c r="AK188" s="891">
        <v>79.77</v>
      </c>
      <c r="AL188" s="891">
        <v>111.68</v>
      </c>
      <c r="AM188" s="891">
        <v>2393.11</v>
      </c>
      <c r="AN188" s="891">
        <v>1595.41</v>
      </c>
      <c r="AO188" s="891">
        <v>3190.81</v>
      </c>
      <c r="AP188" s="891">
        <v>3.92</v>
      </c>
      <c r="AQ188" s="891">
        <v>4.1500000000000004</v>
      </c>
      <c r="AR188" s="891">
        <v>2.39</v>
      </c>
      <c r="AS188" s="891">
        <v>19.14</v>
      </c>
      <c r="AT188" s="891">
        <v>2.91</v>
      </c>
      <c r="AU188" s="891">
        <v>2.91</v>
      </c>
      <c r="AV188" s="891">
        <v>1.79</v>
      </c>
      <c r="AW188" s="891">
        <v>1.54</v>
      </c>
      <c r="AX188" s="891">
        <v>3.19</v>
      </c>
      <c r="AY188" s="891">
        <v>3.99</v>
      </c>
      <c r="AZ188" s="891">
        <v>4.01</v>
      </c>
      <c r="BA188" s="891">
        <f t="shared" si="6"/>
        <v>271.35000000000002</v>
      </c>
      <c r="BB188" s="926">
        <f t="shared" si="7"/>
        <v>22450.43</v>
      </c>
      <c r="BC188" s="926">
        <f t="shared" si="8"/>
        <v>112.55000000000204</v>
      </c>
      <c r="BD188" s="891"/>
      <c r="BE188" s="891"/>
      <c r="BF188" s="891"/>
      <c r="BG188" s="928"/>
      <c r="BH188" s="928"/>
      <c r="BI188" s="928"/>
    </row>
    <row r="189" spans="1:61">
      <c r="A189" s="891" t="s">
        <v>963</v>
      </c>
      <c r="B189" s="891" t="s">
        <v>1569</v>
      </c>
      <c r="C189" s="891" t="s">
        <v>112</v>
      </c>
      <c r="D189" s="891">
        <v>12.76</v>
      </c>
      <c r="E189" s="891">
        <v>52.65</v>
      </c>
      <c r="F189" s="891">
        <v>8.3800000000000008</v>
      </c>
      <c r="G189" s="891">
        <v>4.79</v>
      </c>
      <c r="H189" s="891">
        <v>5.1100000000000003</v>
      </c>
      <c r="I189" s="891">
        <v>1.6</v>
      </c>
      <c r="J189" s="891">
        <v>1.6</v>
      </c>
      <c r="K189" s="891">
        <v>1.65</v>
      </c>
      <c r="L189" s="891">
        <v>1.44</v>
      </c>
      <c r="M189" s="891">
        <v>2.39</v>
      </c>
      <c r="N189" s="891">
        <v>10.77</v>
      </c>
      <c r="O189" s="891">
        <v>1.58</v>
      </c>
      <c r="P189" s="891">
        <v>8.61</v>
      </c>
      <c r="Q189" s="891">
        <v>4.1500000000000004</v>
      </c>
      <c r="R189" s="891">
        <v>2.95</v>
      </c>
      <c r="S189" s="891">
        <v>12.13</v>
      </c>
      <c r="T189" s="891">
        <v>3.99</v>
      </c>
      <c r="U189" s="891">
        <v>8.3800000000000008</v>
      </c>
      <c r="V189" s="891">
        <v>63.02</v>
      </c>
      <c r="W189" s="891">
        <v>2.39</v>
      </c>
      <c r="X189" s="927">
        <v>23931.08</v>
      </c>
      <c r="Y189" s="891">
        <v>717.93</v>
      </c>
      <c r="Z189" s="891">
        <v>614.23</v>
      </c>
      <c r="AA189" s="891">
        <v>1260.3699999999999</v>
      </c>
      <c r="AB189" s="891">
        <v>1076.9000000000001</v>
      </c>
      <c r="AC189" s="891">
        <v>319.08</v>
      </c>
      <c r="AD189" s="891">
        <v>0.13</v>
      </c>
      <c r="AE189" s="891">
        <v>24.73</v>
      </c>
      <c r="AF189" s="891">
        <v>39.89</v>
      </c>
      <c r="AG189" s="891">
        <v>7.98</v>
      </c>
      <c r="AH189" s="891">
        <v>13.56</v>
      </c>
      <c r="AI189" s="891">
        <v>105.3</v>
      </c>
      <c r="AJ189" s="891">
        <v>47.86</v>
      </c>
      <c r="AK189" s="891">
        <v>111.68</v>
      </c>
      <c r="AL189" s="891">
        <v>79.77</v>
      </c>
      <c r="AM189" s="891">
        <v>3190.81</v>
      </c>
      <c r="AN189" s="891">
        <v>2712.19</v>
      </c>
      <c r="AO189" s="891">
        <v>2552.65</v>
      </c>
      <c r="AP189" s="891">
        <v>4.12</v>
      </c>
      <c r="AQ189" s="891">
        <v>4.91</v>
      </c>
      <c r="AR189" s="891">
        <v>1.54</v>
      </c>
      <c r="AS189" s="891">
        <v>31.43</v>
      </c>
      <c r="AT189" s="891">
        <v>2.9</v>
      </c>
      <c r="AU189" s="891">
        <v>1.91</v>
      </c>
      <c r="AV189" s="891">
        <v>2.95</v>
      </c>
      <c r="AW189" s="891">
        <v>1.4</v>
      </c>
      <c r="AX189" s="891">
        <v>3.99</v>
      </c>
      <c r="AY189" s="891">
        <v>2.4500000000000002</v>
      </c>
      <c r="AZ189" s="891">
        <v>3.19</v>
      </c>
      <c r="BA189" s="891">
        <f t="shared" si="6"/>
        <v>343.94</v>
      </c>
      <c r="BB189" s="926">
        <f t="shared" si="7"/>
        <v>24038.360000000004</v>
      </c>
      <c r="BC189" s="926">
        <f t="shared" si="8"/>
        <v>104.89000000000247</v>
      </c>
      <c r="BD189" s="891"/>
      <c r="BE189" s="891"/>
      <c r="BF189" s="891"/>
      <c r="BG189" s="928"/>
      <c r="BH189" s="928"/>
      <c r="BI189" s="928"/>
    </row>
    <row r="190" spans="1:61">
      <c r="A190" s="891" t="s">
        <v>964</v>
      </c>
      <c r="B190" s="891" t="s">
        <v>590</v>
      </c>
      <c r="C190" s="891" t="s">
        <v>75</v>
      </c>
      <c r="D190" s="891">
        <v>20.32</v>
      </c>
      <c r="E190" s="891">
        <v>74.510000000000005</v>
      </c>
      <c r="F190" s="891">
        <v>9.48</v>
      </c>
      <c r="G190" s="891">
        <v>6.77</v>
      </c>
      <c r="H190" s="891">
        <v>4.0599999999999996</v>
      </c>
      <c r="I190" s="891">
        <v>2.78</v>
      </c>
      <c r="J190" s="891">
        <v>2.71</v>
      </c>
      <c r="K190" s="891">
        <v>1.1399999999999999</v>
      </c>
      <c r="L190" s="891">
        <v>1.63</v>
      </c>
      <c r="M190" s="891">
        <v>2.73</v>
      </c>
      <c r="N190" s="891">
        <v>9.48</v>
      </c>
      <c r="O190" s="891">
        <v>1.02</v>
      </c>
      <c r="P190" s="891">
        <v>7.79</v>
      </c>
      <c r="Q190" s="891">
        <v>1.35</v>
      </c>
      <c r="R190" s="891">
        <v>1.5</v>
      </c>
      <c r="S190" s="891">
        <v>7.91</v>
      </c>
      <c r="T190" s="891">
        <v>2.71</v>
      </c>
      <c r="U190" s="891">
        <v>9.58</v>
      </c>
      <c r="V190" s="891">
        <v>108.37</v>
      </c>
      <c r="W190" s="891">
        <v>2.38</v>
      </c>
      <c r="X190" s="927">
        <v>31421.02</v>
      </c>
      <c r="Y190" s="891">
        <v>1049.8499999999999</v>
      </c>
      <c r="Z190" s="891">
        <v>812.79</v>
      </c>
      <c r="AA190" s="891">
        <v>2031.97</v>
      </c>
      <c r="AB190" s="891">
        <v>1625.58</v>
      </c>
      <c r="AC190" s="891">
        <v>230.29</v>
      </c>
      <c r="AD190" s="891">
        <v>0.24</v>
      </c>
      <c r="AE190" s="891">
        <v>33.869999999999997</v>
      </c>
      <c r="AF190" s="891">
        <v>48.77</v>
      </c>
      <c r="AG190" s="891">
        <v>20.32</v>
      </c>
      <c r="AH190" s="891">
        <v>12.19</v>
      </c>
      <c r="AI190" s="891">
        <v>121.85</v>
      </c>
      <c r="AJ190" s="891">
        <v>40.64</v>
      </c>
      <c r="AK190" s="891">
        <v>172.72</v>
      </c>
      <c r="AL190" s="891">
        <v>203.2</v>
      </c>
      <c r="AM190" s="891">
        <v>3183.42</v>
      </c>
      <c r="AN190" s="891">
        <v>2898.94</v>
      </c>
      <c r="AO190" s="891">
        <v>3413.71</v>
      </c>
      <c r="AP190" s="891">
        <v>5</v>
      </c>
      <c r="AQ190" s="891">
        <v>9.48</v>
      </c>
      <c r="AR190" s="891">
        <v>2.64</v>
      </c>
      <c r="AS190" s="891">
        <v>48.5</v>
      </c>
      <c r="AT190" s="891">
        <v>2.37</v>
      </c>
      <c r="AU190" s="891">
        <v>2.71</v>
      </c>
      <c r="AV190" s="891">
        <v>2.0299999999999998</v>
      </c>
      <c r="AW190" s="891">
        <v>0.95</v>
      </c>
      <c r="AX190" s="891">
        <v>3.12</v>
      </c>
      <c r="AY190" s="891">
        <v>2.0299999999999998</v>
      </c>
      <c r="AZ190" s="891">
        <v>2.17</v>
      </c>
      <c r="BA190" s="891">
        <f t="shared" si="6"/>
        <v>264.39999999999998</v>
      </c>
      <c r="BB190" s="926">
        <f t="shared" si="7"/>
        <v>31595.1</v>
      </c>
      <c r="BC190" s="926">
        <f t="shared" si="8"/>
        <v>171.69999999999811</v>
      </c>
      <c r="BD190" s="891"/>
      <c r="BE190" s="891"/>
      <c r="BF190" s="891"/>
      <c r="BG190" s="928"/>
      <c r="BH190" s="928"/>
      <c r="BI190" s="928"/>
    </row>
    <row r="191" spans="1:61">
      <c r="A191" s="891" t="s">
        <v>1567</v>
      </c>
      <c r="B191" s="891" t="s">
        <v>559</v>
      </c>
      <c r="C191" s="891" t="s">
        <v>402</v>
      </c>
      <c r="D191" s="891">
        <v>16.899999999999999</v>
      </c>
      <c r="E191" s="891">
        <v>77.260000000000005</v>
      </c>
      <c r="F191" s="891">
        <v>7.72</v>
      </c>
      <c r="G191" s="891">
        <v>5.07</v>
      </c>
      <c r="H191" s="891">
        <v>6.76</v>
      </c>
      <c r="I191" s="891">
        <v>2.0499999999999998</v>
      </c>
      <c r="J191" s="891">
        <v>2.0499999999999998</v>
      </c>
      <c r="K191" s="891">
        <v>1.29</v>
      </c>
      <c r="L191" s="891">
        <v>1.92</v>
      </c>
      <c r="M191" s="891">
        <v>2.4900000000000002</v>
      </c>
      <c r="N191" s="891">
        <v>10.62</v>
      </c>
      <c r="O191" s="891">
        <v>4.82</v>
      </c>
      <c r="P191" s="891">
        <v>14.49</v>
      </c>
      <c r="Q191" s="891">
        <v>3.78</v>
      </c>
      <c r="R191" s="891">
        <v>5.31</v>
      </c>
      <c r="S191" s="891">
        <v>12.56</v>
      </c>
      <c r="T191" s="891">
        <v>2.66</v>
      </c>
      <c r="U191" s="891">
        <v>10.38</v>
      </c>
      <c r="V191" s="891">
        <v>70.989999999999995</v>
      </c>
      <c r="W191" s="891">
        <v>1.08</v>
      </c>
      <c r="X191" s="927">
        <v>17613.48</v>
      </c>
      <c r="Y191" s="891">
        <v>869.23</v>
      </c>
      <c r="Z191" s="891">
        <v>748.5</v>
      </c>
      <c r="AA191" s="891">
        <v>1641.88</v>
      </c>
      <c r="AB191" s="891">
        <v>1569.44</v>
      </c>
      <c r="AC191" s="891">
        <v>255.94</v>
      </c>
      <c r="AD191" s="891">
        <v>0.34</v>
      </c>
      <c r="AE191" s="891">
        <v>48.29</v>
      </c>
      <c r="AF191" s="891">
        <v>38.15</v>
      </c>
      <c r="AG191" s="891">
        <v>36.21</v>
      </c>
      <c r="AH191" s="891">
        <v>12.07</v>
      </c>
      <c r="AI191" s="891">
        <v>70.989999999999995</v>
      </c>
      <c r="AJ191" s="891">
        <v>94.17</v>
      </c>
      <c r="AK191" s="891">
        <v>108.65</v>
      </c>
      <c r="AL191" s="891">
        <v>98.03</v>
      </c>
      <c r="AM191" s="891">
        <v>5457.85</v>
      </c>
      <c r="AN191" s="891">
        <v>3638.56</v>
      </c>
      <c r="AO191" s="891">
        <v>965.81</v>
      </c>
      <c r="AP191" s="891">
        <v>3</v>
      </c>
      <c r="AQ191" s="891">
        <v>3.38</v>
      </c>
      <c r="AR191" s="891">
        <v>1.5</v>
      </c>
      <c r="AS191" s="891">
        <v>30.23</v>
      </c>
      <c r="AT191" s="891">
        <v>2</v>
      </c>
      <c r="AU191" s="891">
        <v>0.97</v>
      </c>
      <c r="AV191" s="891">
        <v>1.41</v>
      </c>
      <c r="AW191" s="891">
        <v>1.1100000000000001</v>
      </c>
      <c r="AX191" s="891">
        <v>4.3499999999999996</v>
      </c>
      <c r="AY191" s="891">
        <v>3.06</v>
      </c>
      <c r="AZ191" s="891">
        <v>1.93</v>
      </c>
      <c r="BA191" s="891">
        <f t="shared" ref="BA191:BA253" si="9">AC191+AD191+AE191</f>
        <v>304.57</v>
      </c>
      <c r="BB191" s="926">
        <f t="shared" ref="BB191:BB253" si="10">T191+V191+W191+X191+AQ191+AR191+AS191</f>
        <v>17723.32</v>
      </c>
      <c r="BC191" s="926">
        <f t="shared" ref="BC191:BC253" si="11">BB191-X191-W191</f>
        <v>108.76000000000015</v>
      </c>
      <c r="BD191" s="891"/>
      <c r="BE191" s="891"/>
      <c r="BF191" s="891"/>
      <c r="BG191" s="928"/>
      <c r="BH191" s="928"/>
      <c r="BI191" s="928"/>
    </row>
    <row r="192" spans="1:61">
      <c r="A192" s="891" t="s">
        <v>965</v>
      </c>
      <c r="B192" s="891" t="s">
        <v>569</v>
      </c>
      <c r="C192" s="891" t="s">
        <v>83</v>
      </c>
      <c r="D192" s="891">
        <v>13.55</v>
      </c>
      <c r="E192" s="891">
        <v>54.19</v>
      </c>
      <c r="F192" s="891">
        <v>12.19</v>
      </c>
      <c r="G192" s="891">
        <v>7.11</v>
      </c>
      <c r="H192" s="891">
        <v>5.76</v>
      </c>
      <c r="I192" s="891">
        <v>1.63</v>
      </c>
      <c r="J192" s="891">
        <v>1.08</v>
      </c>
      <c r="K192" s="891">
        <v>1.08</v>
      </c>
      <c r="L192" s="891">
        <v>1.63</v>
      </c>
      <c r="M192" s="891">
        <v>2.71</v>
      </c>
      <c r="N192" s="891">
        <v>18.29</v>
      </c>
      <c r="O192" s="891">
        <v>0.68</v>
      </c>
      <c r="P192" s="891">
        <v>6.77</v>
      </c>
      <c r="Q192" s="891">
        <v>3.39</v>
      </c>
      <c r="R192" s="891">
        <v>2.0299999999999998</v>
      </c>
      <c r="S192" s="891">
        <v>7.92</v>
      </c>
      <c r="T192" s="891">
        <v>2.0299999999999998</v>
      </c>
      <c r="U192" s="891">
        <v>16.260000000000002</v>
      </c>
      <c r="V192" s="891">
        <v>70.44</v>
      </c>
      <c r="W192" s="891">
        <v>1.9</v>
      </c>
      <c r="X192" s="927">
        <v>18965.05</v>
      </c>
      <c r="Y192" s="891">
        <v>745.06</v>
      </c>
      <c r="Z192" s="891">
        <v>541.86</v>
      </c>
      <c r="AA192" s="891">
        <v>1625.58</v>
      </c>
      <c r="AB192" s="891">
        <v>1083.72</v>
      </c>
      <c r="AC192" s="891">
        <v>172.72</v>
      </c>
      <c r="AD192" s="891">
        <v>0.41</v>
      </c>
      <c r="AE192" s="891">
        <v>40.64</v>
      </c>
      <c r="AF192" s="891">
        <v>54.19</v>
      </c>
      <c r="AG192" s="891">
        <v>21.67</v>
      </c>
      <c r="AH192" s="891">
        <v>12.6</v>
      </c>
      <c r="AI192" s="891">
        <v>125.3</v>
      </c>
      <c r="AJ192" s="891">
        <v>40.64</v>
      </c>
      <c r="AK192" s="891">
        <v>125.3</v>
      </c>
      <c r="AL192" s="891">
        <v>115.14</v>
      </c>
      <c r="AM192" s="891">
        <v>4063.94</v>
      </c>
      <c r="AN192" s="891">
        <v>2709.29</v>
      </c>
      <c r="AO192" s="891">
        <v>1896.51</v>
      </c>
      <c r="AP192" s="891">
        <v>4.5</v>
      </c>
      <c r="AQ192" s="891">
        <v>8.94</v>
      </c>
      <c r="AR192" s="891">
        <v>2.4700000000000002</v>
      </c>
      <c r="AS192" s="891">
        <v>27.77</v>
      </c>
      <c r="AT192" s="891">
        <v>2.71</v>
      </c>
      <c r="AU192" s="891">
        <v>2.2999999999999998</v>
      </c>
      <c r="AV192" s="891">
        <v>0.81</v>
      </c>
      <c r="AW192" s="891">
        <v>1.08</v>
      </c>
      <c r="AX192" s="891">
        <v>2.64</v>
      </c>
      <c r="AY192" s="891">
        <v>2.71</v>
      </c>
      <c r="AZ192" s="891">
        <v>2.88</v>
      </c>
      <c r="BA192" s="891">
        <f t="shared" si="9"/>
        <v>213.76999999999998</v>
      </c>
      <c r="BB192" s="926">
        <f t="shared" si="10"/>
        <v>19078.599999999999</v>
      </c>
      <c r="BC192" s="926">
        <f t="shared" si="11"/>
        <v>111.64999999999927</v>
      </c>
      <c r="BD192" s="891"/>
      <c r="BE192" s="891"/>
      <c r="BF192" s="891"/>
      <c r="BG192" s="928"/>
      <c r="BH192" s="928"/>
      <c r="BI192" s="928"/>
    </row>
    <row r="193" spans="1:61">
      <c r="A193" s="891" t="s">
        <v>966</v>
      </c>
      <c r="B193" s="891" t="s">
        <v>643</v>
      </c>
      <c r="C193" s="891" t="s">
        <v>294</v>
      </c>
      <c r="D193" s="891">
        <v>4.16</v>
      </c>
      <c r="E193" s="891">
        <v>29.9</v>
      </c>
      <c r="F193" s="891">
        <v>5.4</v>
      </c>
      <c r="G193" s="891">
        <v>1.8</v>
      </c>
      <c r="H193" s="891">
        <v>3.6</v>
      </c>
      <c r="I193" s="891">
        <v>0.9</v>
      </c>
      <c r="J193" s="891">
        <v>0.72</v>
      </c>
      <c r="K193" s="891">
        <v>1.44</v>
      </c>
      <c r="L193" s="891">
        <v>1.86</v>
      </c>
      <c r="M193" s="891">
        <v>1.8</v>
      </c>
      <c r="N193" s="891">
        <v>7</v>
      </c>
      <c r="O193" s="891">
        <v>1</v>
      </c>
      <c r="P193" s="891">
        <v>9.5</v>
      </c>
      <c r="Q193" s="891">
        <v>1.6</v>
      </c>
      <c r="R193" s="891">
        <v>1.9</v>
      </c>
      <c r="S193" s="891">
        <v>2.52</v>
      </c>
      <c r="T193" s="891">
        <v>0.55000000000000004</v>
      </c>
      <c r="U193" s="891">
        <v>5.15</v>
      </c>
      <c r="V193" s="891">
        <v>41</v>
      </c>
      <c r="W193" s="891">
        <v>1.47</v>
      </c>
      <c r="X193" s="927">
        <v>19250</v>
      </c>
      <c r="Y193" s="891">
        <v>600</v>
      </c>
      <c r="Z193" s="891">
        <v>309.54000000000002</v>
      </c>
      <c r="AA193" s="891">
        <v>1080.3</v>
      </c>
      <c r="AB193" s="891">
        <v>700</v>
      </c>
      <c r="AC193" s="891">
        <v>68.010000000000005</v>
      </c>
      <c r="AD193" s="891">
        <v>0.2</v>
      </c>
      <c r="AE193" s="891">
        <v>52</v>
      </c>
      <c r="AF193" s="891">
        <v>72.02</v>
      </c>
      <c r="AG193" s="891">
        <v>7.2</v>
      </c>
      <c r="AH193" s="891">
        <v>5.4</v>
      </c>
      <c r="AI193" s="891">
        <v>54.02</v>
      </c>
      <c r="AJ193" s="891">
        <v>54.02</v>
      </c>
      <c r="AK193" s="891">
        <v>82.46</v>
      </c>
      <c r="AL193" s="891">
        <v>79.22</v>
      </c>
      <c r="AM193" s="891">
        <v>1936.26</v>
      </c>
      <c r="AN193" s="891">
        <v>1054.1400000000001</v>
      </c>
      <c r="AO193" s="891">
        <v>575</v>
      </c>
      <c r="AP193" s="891">
        <v>9.5</v>
      </c>
      <c r="AQ193" s="891">
        <v>1.62</v>
      </c>
      <c r="AR193" s="891">
        <v>1.5</v>
      </c>
      <c r="AS193" s="891">
        <v>10</v>
      </c>
      <c r="AT193" s="891">
        <v>2.08</v>
      </c>
      <c r="AU193" s="891">
        <v>1.4</v>
      </c>
      <c r="AV193" s="891">
        <v>0.8</v>
      </c>
      <c r="AW193" s="891">
        <v>0.8</v>
      </c>
      <c r="AX193" s="891">
        <v>2.7</v>
      </c>
      <c r="AY193" s="891">
        <v>1.26</v>
      </c>
      <c r="AZ193" s="891">
        <v>1.08</v>
      </c>
      <c r="BA193" s="891">
        <f t="shared" si="9"/>
        <v>120.21000000000001</v>
      </c>
      <c r="BB193" s="926">
        <f t="shared" si="10"/>
        <v>19306.14</v>
      </c>
      <c r="BC193" s="926">
        <f t="shared" si="11"/>
        <v>54.669999999999419</v>
      </c>
      <c r="BD193" s="891"/>
      <c r="BE193" s="891"/>
      <c r="BF193" s="891"/>
      <c r="BG193" s="928"/>
      <c r="BH193" s="928"/>
      <c r="BI193" s="928"/>
    </row>
    <row r="194" spans="1:61">
      <c r="A194" s="891" t="s">
        <v>967</v>
      </c>
      <c r="B194" s="891" t="s">
        <v>592</v>
      </c>
      <c r="C194" s="891" t="s">
        <v>135</v>
      </c>
      <c r="D194" s="891">
        <v>17.61</v>
      </c>
      <c r="E194" s="891">
        <v>67.73</v>
      </c>
      <c r="F194" s="891">
        <v>8.1300000000000008</v>
      </c>
      <c r="G194" s="891">
        <v>4.74</v>
      </c>
      <c r="H194" s="891">
        <v>5.42</v>
      </c>
      <c r="I194" s="891">
        <v>2.71</v>
      </c>
      <c r="J194" s="891">
        <v>1.35</v>
      </c>
      <c r="K194" s="891">
        <v>1.96</v>
      </c>
      <c r="L194" s="891">
        <v>1.92</v>
      </c>
      <c r="M194" s="891">
        <v>4.74</v>
      </c>
      <c r="N194" s="891">
        <v>10.84</v>
      </c>
      <c r="O194" s="891">
        <v>0.81</v>
      </c>
      <c r="P194" s="891">
        <v>6.77</v>
      </c>
      <c r="Q194" s="891">
        <v>1.35</v>
      </c>
      <c r="R194" s="891">
        <v>1.69</v>
      </c>
      <c r="S194" s="891">
        <v>6.1</v>
      </c>
      <c r="T194" s="891">
        <v>1.35</v>
      </c>
      <c r="U194" s="891">
        <v>10.5</v>
      </c>
      <c r="V194" s="891">
        <v>40.64</v>
      </c>
      <c r="W194" s="891">
        <v>1.9</v>
      </c>
      <c r="X194" s="927">
        <v>24197.37</v>
      </c>
      <c r="Y194" s="891">
        <v>609.59</v>
      </c>
      <c r="Z194" s="891">
        <v>541.86</v>
      </c>
      <c r="AA194" s="891">
        <v>900.84</v>
      </c>
      <c r="AB194" s="891">
        <v>812.79</v>
      </c>
      <c r="AC194" s="891">
        <v>184.23</v>
      </c>
      <c r="AD194" s="891">
        <v>0.09</v>
      </c>
      <c r="AE194" s="891">
        <v>50.12</v>
      </c>
      <c r="AF194" s="891">
        <v>81.28</v>
      </c>
      <c r="AG194" s="891">
        <v>18.29</v>
      </c>
      <c r="AH194" s="891">
        <v>10.84</v>
      </c>
      <c r="AI194" s="891">
        <v>94.83</v>
      </c>
      <c r="AJ194" s="891">
        <v>33.869999999999997</v>
      </c>
      <c r="AK194" s="891">
        <v>81.28</v>
      </c>
      <c r="AL194" s="891">
        <v>88.05</v>
      </c>
      <c r="AM194" s="891">
        <v>2031.97</v>
      </c>
      <c r="AN194" s="891">
        <v>2133.5700000000002</v>
      </c>
      <c r="AO194" s="891">
        <v>1422.38</v>
      </c>
      <c r="AP194" s="891">
        <v>5.75</v>
      </c>
      <c r="AQ194" s="891">
        <v>6.1</v>
      </c>
      <c r="AR194" s="891">
        <v>1.08</v>
      </c>
      <c r="AS194" s="891">
        <v>18.5</v>
      </c>
      <c r="AT194" s="891">
        <v>2.64</v>
      </c>
      <c r="AU194" s="891">
        <v>1.35</v>
      </c>
      <c r="AV194" s="891">
        <v>1.02</v>
      </c>
      <c r="AW194" s="891">
        <v>1.02</v>
      </c>
      <c r="AX194" s="891">
        <v>4.74</v>
      </c>
      <c r="AY194" s="891">
        <v>2.71</v>
      </c>
      <c r="AZ194" s="891">
        <v>2.44</v>
      </c>
      <c r="BA194" s="891">
        <f t="shared" si="9"/>
        <v>234.44</v>
      </c>
      <c r="BB194" s="926">
        <f t="shared" si="10"/>
        <v>24266.94</v>
      </c>
      <c r="BC194" s="926">
        <f t="shared" si="11"/>
        <v>67.669999999999703</v>
      </c>
      <c r="BD194" s="891"/>
      <c r="BE194" s="891"/>
      <c r="BF194" s="891"/>
      <c r="BG194" s="928"/>
      <c r="BH194" s="928"/>
      <c r="BI194" s="928"/>
    </row>
    <row r="195" spans="1:61">
      <c r="A195" s="891" t="s">
        <v>968</v>
      </c>
      <c r="B195" s="891" t="s">
        <v>571</v>
      </c>
      <c r="C195" s="891" t="s">
        <v>72</v>
      </c>
      <c r="D195" s="891">
        <v>17.61</v>
      </c>
      <c r="E195" s="891">
        <v>40.64</v>
      </c>
      <c r="F195" s="891">
        <v>9.48</v>
      </c>
      <c r="G195" s="891">
        <v>5.42</v>
      </c>
      <c r="H195" s="891">
        <v>5.15</v>
      </c>
      <c r="I195" s="891">
        <v>1.35</v>
      </c>
      <c r="J195" s="891">
        <v>1.76</v>
      </c>
      <c r="K195" s="891">
        <v>1.35</v>
      </c>
      <c r="L195" s="891">
        <v>2.0299999999999998</v>
      </c>
      <c r="M195" s="891">
        <v>4.0599999999999996</v>
      </c>
      <c r="N195" s="891">
        <v>9.48</v>
      </c>
      <c r="O195" s="891">
        <v>2.71</v>
      </c>
      <c r="P195" s="891">
        <v>12.19</v>
      </c>
      <c r="Q195" s="891">
        <v>4.2</v>
      </c>
      <c r="R195" s="891">
        <v>3.39</v>
      </c>
      <c r="S195" s="891">
        <v>12.26</v>
      </c>
      <c r="T195" s="891">
        <v>2.2999999999999998</v>
      </c>
      <c r="U195" s="891">
        <v>11.51</v>
      </c>
      <c r="V195" s="891">
        <v>78.569999999999993</v>
      </c>
      <c r="W195" s="891">
        <v>2.0699999999999998</v>
      </c>
      <c r="X195" s="927">
        <v>31156.87</v>
      </c>
      <c r="Y195" s="891">
        <v>677.32</v>
      </c>
      <c r="Z195" s="891">
        <v>677.32</v>
      </c>
      <c r="AA195" s="891">
        <v>1015.98</v>
      </c>
      <c r="AB195" s="891">
        <v>1015.98</v>
      </c>
      <c r="AC195" s="891">
        <v>169.33</v>
      </c>
      <c r="AD195" s="891">
        <v>0.28000000000000003</v>
      </c>
      <c r="AE195" s="891">
        <v>44.03</v>
      </c>
      <c r="AF195" s="891">
        <v>44.03</v>
      </c>
      <c r="AG195" s="891">
        <v>35.22</v>
      </c>
      <c r="AH195" s="891">
        <v>13.55</v>
      </c>
      <c r="AI195" s="891">
        <v>81.28</v>
      </c>
      <c r="AJ195" s="891">
        <v>40.64</v>
      </c>
      <c r="AK195" s="891">
        <v>81.28</v>
      </c>
      <c r="AL195" s="891">
        <v>67.73</v>
      </c>
      <c r="AM195" s="891">
        <v>3386.62</v>
      </c>
      <c r="AN195" s="891">
        <v>2682.2</v>
      </c>
      <c r="AO195" s="891">
        <v>1896.51</v>
      </c>
      <c r="AP195" s="891">
        <v>4.0199999999999996</v>
      </c>
      <c r="AQ195" s="891">
        <v>5.55</v>
      </c>
      <c r="AR195" s="891">
        <v>1.4</v>
      </c>
      <c r="AS195" s="891">
        <v>29.26</v>
      </c>
      <c r="AT195" s="891">
        <v>4.0599999999999996</v>
      </c>
      <c r="AU195" s="891">
        <v>4.0599999999999996</v>
      </c>
      <c r="AV195" s="891">
        <v>1.49</v>
      </c>
      <c r="AW195" s="891">
        <v>1.35</v>
      </c>
      <c r="AX195" s="891">
        <v>4.0599999999999996</v>
      </c>
      <c r="AY195" s="891">
        <v>2.71</v>
      </c>
      <c r="AZ195" s="891">
        <v>2.42</v>
      </c>
      <c r="BA195" s="891">
        <f t="shared" si="9"/>
        <v>213.64000000000001</v>
      </c>
      <c r="BB195" s="926">
        <f t="shared" si="10"/>
        <v>31276.019999999997</v>
      </c>
      <c r="BC195" s="926">
        <f t="shared" si="11"/>
        <v>117.07999999999782</v>
      </c>
      <c r="BD195" s="891"/>
      <c r="BE195" s="891"/>
      <c r="BF195" s="891"/>
      <c r="BG195" s="928"/>
      <c r="BH195" s="928"/>
      <c r="BI195" s="928"/>
    </row>
    <row r="196" spans="1:61">
      <c r="A196" s="891" t="s">
        <v>969</v>
      </c>
      <c r="B196" s="891" t="s">
        <v>606</v>
      </c>
      <c r="C196" s="891" t="s">
        <v>204</v>
      </c>
      <c r="D196" s="891">
        <v>9.48</v>
      </c>
      <c r="E196" s="891">
        <v>46.06</v>
      </c>
      <c r="F196" s="891">
        <v>7.72</v>
      </c>
      <c r="G196" s="891">
        <v>2.44</v>
      </c>
      <c r="H196" s="891">
        <v>2.71</v>
      </c>
      <c r="I196" s="891">
        <v>1.63</v>
      </c>
      <c r="J196" s="891">
        <v>1.35</v>
      </c>
      <c r="K196" s="891">
        <v>0.81</v>
      </c>
      <c r="L196" s="891">
        <v>1.35</v>
      </c>
      <c r="M196" s="891">
        <v>2.44</v>
      </c>
      <c r="N196" s="891">
        <v>10.84</v>
      </c>
      <c r="O196" s="891">
        <v>0.68</v>
      </c>
      <c r="P196" s="891">
        <v>5.42</v>
      </c>
      <c r="Q196" s="891">
        <v>1.35</v>
      </c>
      <c r="R196" s="891">
        <v>1.35</v>
      </c>
      <c r="S196" s="891">
        <v>5.69</v>
      </c>
      <c r="T196" s="891">
        <v>2.0299999999999998</v>
      </c>
      <c r="U196" s="891">
        <v>8.1300000000000008</v>
      </c>
      <c r="V196" s="891">
        <v>47.41</v>
      </c>
      <c r="W196" s="891">
        <v>2.2400000000000002</v>
      </c>
      <c r="X196" s="927">
        <v>32511.51</v>
      </c>
      <c r="Y196" s="891">
        <v>745.06</v>
      </c>
      <c r="Z196" s="891">
        <v>541.86</v>
      </c>
      <c r="AA196" s="891">
        <v>1327.55</v>
      </c>
      <c r="AB196" s="891">
        <v>914.39</v>
      </c>
      <c r="AC196" s="891">
        <v>135.46</v>
      </c>
      <c r="AD196" s="891">
        <v>0.27</v>
      </c>
      <c r="AE196" s="891">
        <v>27.76</v>
      </c>
      <c r="AF196" s="891">
        <v>67.73</v>
      </c>
      <c r="AG196" s="891">
        <v>13.55</v>
      </c>
      <c r="AH196" s="891">
        <v>8.1300000000000008</v>
      </c>
      <c r="AI196" s="891">
        <v>115.14</v>
      </c>
      <c r="AJ196" s="891">
        <v>40.64</v>
      </c>
      <c r="AK196" s="891">
        <v>108.37</v>
      </c>
      <c r="AL196" s="891">
        <v>108.37</v>
      </c>
      <c r="AM196" s="891">
        <v>2709.29</v>
      </c>
      <c r="AN196" s="891">
        <v>1742.08</v>
      </c>
      <c r="AO196" s="891">
        <v>1117.58</v>
      </c>
      <c r="AP196" s="891">
        <v>4</v>
      </c>
      <c r="AQ196" s="891">
        <v>3.93</v>
      </c>
      <c r="AR196" s="891">
        <v>0.68</v>
      </c>
      <c r="AS196" s="891">
        <v>27.09</v>
      </c>
      <c r="AT196" s="891">
        <v>2.0299999999999998</v>
      </c>
      <c r="AU196" s="891">
        <v>1.35</v>
      </c>
      <c r="AV196" s="891">
        <v>1</v>
      </c>
      <c r="AW196" s="891">
        <v>1.08</v>
      </c>
      <c r="AX196" s="891">
        <v>1.63</v>
      </c>
      <c r="AY196" s="891">
        <v>1.35</v>
      </c>
      <c r="AZ196" s="891">
        <v>1.76</v>
      </c>
      <c r="BA196" s="891">
        <f t="shared" si="9"/>
        <v>163.49</v>
      </c>
      <c r="BB196" s="926">
        <f t="shared" si="10"/>
        <v>32594.89</v>
      </c>
      <c r="BC196" s="926">
        <f t="shared" si="11"/>
        <v>81.140000000001024</v>
      </c>
      <c r="BD196" s="891"/>
      <c r="BE196" s="891"/>
      <c r="BF196" s="891"/>
      <c r="BG196" s="928"/>
      <c r="BH196" s="928"/>
      <c r="BI196" s="928"/>
    </row>
    <row r="197" spans="1:61">
      <c r="A197" s="891" t="s">
        <v>970</v>
      </c>
      <c r="B197" s="891" t="s">
        <v>1569</v>
      </c>
      <c r="C197" s="891" t="s">
        <v>97</v>
      </c>
      <c r="D197" s="891">
        <v>15.95</v>
      </c>
      <c r="E197" s="891">
        <v>71.790000000000006</v>
      </c>
      <c r="F197" s="891">
        <v>6.86</v>
      </c>
      <c r="G197" s="891">
        <v>4.47</v>
      </c>
      <c r="H197" s="891">
        <v>4.79</v>
      </c>
      <c r="I197" s="891">
        <v>1.75</v>
      </c>
      <c r="J197" s="891">
        <v>1.6</v>
      </c>
      <c r="K197" s="891">
        <v>1.6</v>
      </c>
      <c r="L197" s="891">
        <v>1.6</v>
      </c>
      <c r="M197" s="891">
        <v>3.99</v>
      </c>
      <c r="N197" s="891">
        <v>12.76</v>
      </c>
      <c r="O197" s="891">
        <v>1.28</v>
      </c>
      <c r="P197" s="891">
        <v>8.77</v>
      </c>
      <c r="Q197" s="891">
        <v>1.91</v>
      </c>
      <c r="R197" s="891">
        <v>1.99</v>
      </c>
      <c r="S197" s="891">
        <v>10.37</v>
      </c>
      <c r="T197" s="891">
        <v>3.19</v>
      </c>
      <c r="U197" s="891">
        <v>10.37</v>
      </c>
      <c r="V197" s="891">
        <v>76.58</v>
      </c>
      <c r="W197" s="891">
        <v>2.15</v>
      </c>
      <c r="X197" s="927">
        <v>25526.48</v>
      </c>
      <c r="Y197" s="891">
        <v>857.53</v>
      </c>
      <c r="Z197" s="891">
        <v>678.05</v>
      </c>
      <c r="AA197" s="891">
        <v>1435.86</v>
      </c>
      <c r="AB197" s="891">
        <v>997.13</v>
      </c>
      <c r="AC197" s="891">
        <v>242.16</v>
      </c>
      <c r="AD197" s="891">
        <v>0.16</v>
      </c>
      <c r="AE197" s="891">
        <v>25.53</v>
      </c>
      <c r="AF197" s="891">
        <v>55.84</v>
      </c>
      <c r="AG197" s="891">
        <v>15.95</v>
      </c>
      <c r="AH197" s="891">
        <v>12.6</v>
      </c>
      <c r="AI197" s="891">
        <v>75.78</v>
      </c>
      <c r="AJ197" s="891">
        <v>55.84</v>
      </c>
      <c r="AK197" s="891">
        <v>87.75</v>
      </c>
      <c r="AL197" s="891">
        <v>59.83</v>
      </c>
      <c r="AM197" s="891">
        <v>2060.7399999999998</v>
      </c>
      <c r="AN197" s="891">
        <v>1373.82</v>
      </c>
      <c r="AO197" s="891">
        <v>3031.27</v>
      </c>
      <c r="AP197" s="891">
        <v>4.25</v>
      </c>
      <c r="AQ197" s="891">
        <v>3.19</v>
      </c>
      <c r="AR197" s="891">
        <v>1.69</v>
      </c>
      <c r="AS197" s="891">
        <v>23.93</v>
      </c>
      <c r="AT197" s="891">
        <v>2.39</v>
      </c>
      <c r="AU197" s="891">
        <v>1.91</v>
      </c>
      <c r="AV197" s="891">
        <v>2.87</v>
      </c>
      <c r="AW197" s="891">
        <v>1.44</v>
      </c>
      <c r="AX197" s="891">
        <v>3.19</v>
      </c>
      <c r="AY197" s="891">
        <v>2.42</v>
      </c>
      <c r="AZ197" s="891">
        <v>2.79</v>
      </c>
      <c r="BA197" s="891">
        <f t="shared" si="9"/>
        <v>267.85000000000002</v>
      </c>
      <c r="BB197" s="926">
        <f t="shared" si="10"/>
        <v>25637.209999999995</v>
      </c>
      <c r="BC197" s="926">
        <f t="shared" si="11"/>
        <v>108.57999999999592</v>
      </c>
      <c r="BD197" s="891"/>
      <c r="BE197" s="891"/>
      <c r="BF197" s="891"/>
      <c r="BG197" s="928"/>
      <c r="BH197" s="928"/>
      <c r="BI197" s="928"/>
    </row>
    <row r="198" spans="1:61">
      <c r="A198" s="891" t="s">
        <v>971</v>
      </c>
      <c r="B198" s="891" t="s">
        <v>599</v>
      </c>
      <c r="C198" s="891" t="s">
        <v>173</v>
      </c>
      <c r="D198" s="891">
        <v>9.48</v>
      </c>
      <c r="E198" s="891">
        <v>47.41</v>
      </c>
      <c r="F198" s="891">
        <v>6.77</v>
      </c>
      <c r="G198" s="891">
        <v>3.35</v>
      </c>
      <c r="H198" s="891">
        <v>3.66</v>
      </c>
      <c r="I198" s="891">
        <v>2.71</v>
      </c>
      <c r="J198" s="891">
        <v>2.0299999999999998</v>
      </c>
      <c r="K198" s="891">
        <v>1.1399999999999999</v>
      </c>
      <c r="L198" s="891">
        <v>1.35</v>
      </c>
      <c r="M198" s="891">
        <v>2.71</v>
      </c>
      <c r="N198" s="891">
        <v>10.16</v>
      </c>
      <c r="O198" s="891">
        <v>0.81</v>
      </c>
      <c r="P198" s="891">
        <v>6.77</v>
      </c>
      <c r="Q198" s="891">
        <v>1.35</v>
      </c>
      <c r="R198" s="891">
        <v>1.76</v>
      </c>
      <c r="S198" s="891">
        <v>4.74</v>
      </c>
      <c r="T198" s="891">
        <v>1.63</v>
      </c>
      <c r="U198" s="891">
        <v>9.48</v>
      </c>
      <c r="V198" s="891">
        <v>50.12</v>
      </c>
      <c r="W198" s="891">
        <v>2.0299999999999998</v>
      </c>
      <c r="X198" s="927">
        <v>23779.46</v>
      </c>
      <c r="Y198" s="891">
        <v>677.32</v>
      </c>
      <c r="Z198" s="891">
        <v>474.13</v>
      </c>
      <c r="AA198" s="891">
        <v>1219.18</v>
      </c>
      <c r="AB198" s="891">
        <v>948.25</v>
      </c>
      <c r="AC198" s="891">
        <v>271.55</v>
      </c>
      <c r="AD198" s="891">
        <v>0.16</v>
      </c>
      <c r="AE198" s="891">
        <v>39.28</v>
      </c>
      <c r="AF198" s="891">
        <v>67.73</v>
      </c>
      <c r="AG198" s="891">
        <v>14.9</v>
      </c>
      <c r="AH198" s="891">
        <v>7.45</v>
      </c>
      <c r="AI198" s="891">
        <v>115.14</v>
      </c>
      <c r="AJ198" s="891">
        <v>40.64</v>
      </c>
      <c r="AK198" s="891">
        <v>108.37</v>
      </c>
      <c r="AL198" s="891">
        <v>108.37</v>
      </c>
      <c r="AM198" s="891">
        <v>3793.01</v>
      </c>
      <c r="AN198" s="891">
        <v>2709.29</v>
      </c>
      <c r="AO198" s="891">
        <v>1327.55</v>
      </c>
      <c r="AP198" s="891">
        <v>5</v>
      </c>
      <c r="AQ198" s="891">
        <v>1.35</v>
      </c>
      <c r="AR198" s="891">
        <v>1.22</v>
      </c>
      <c r="AS198" s="891">
        <v>19.850000000000001</v>
      </c>
      <c r="AT198" s="891">
        <v>1.9</v>
      </c>
      <c r="AU198" s="891">
        <v>1.79</v>
      </c>
      <c r="AV198" s="891">
        <v>0.95</v>
      </c>
      <c r="AW198" s="891">
        <v>1.35</v>
      </c>
      <c r="AX198" s="891">
        <v>2.0299999999999998</v>
      </c>
      <c r="AY198" s="891">
        <v>2.0299999999999998</v>
      </c>
      <c r="AZ198" s="891">
        <v>2.17</v>
      </c>
      <c r="BA198" s="891">
        <f t="shared" si="9"/>
        <v>310.99</v>
      </c>
      <c r="BB198" s="926">
        <f t="shared" si="10"/>
        <v>23855.659999999996</v>
      </c>
      <c r="BC198" s="926">
        <f t="shared" si="11"/>
        <v>74.169999999997088</v>
      </c>
      <c r="BD198" s="891"/>
      <c r="BE198" s="891"/>
      <c r="BF198" s="891"/>
      <c r="BG198" s="928"/>
      <c r="BH198" s="928"/>
      <c r="BI198" s="928"/>
    </row>
    <row r="199" spans="1:61">
      <c r="A199" s="891" t="s">
        <v>972</v>
      </c>
      <c r="B199" s="891" t="s">
        <v>629</v>
      </c>
      <c r="C199" s="891" t="s">
        <v>310</v>
      </c>
      <c r="D199" s="891">
        <v>6.14</v>
      </c>
      <c r="E199" s="891">
        <v>25.86</v>
      </c>
      <c r="F199" s="891">
        <v>4.8499999999999996</v>
      </c>
      <c r="G199" s="891">
        <v>2.1</v>
      </c>
      <c r="H199" s="891">
        <v>2.1</v>
      </c>
      <c r="I199" s="891">
        <v>0.97</v>
      </c>
      <c r="J199" s="891">
        <v>0.97</v>
      </c>
      <c r="K199" s="891">
        <v>0.73</v>
      </c>
      <c r="L199" s="891">
        <v>0.71</v>
      </c>
      <c r="M199" s="891">
        <v>1.94</v>
      </c>
      <c r="N199" s="891">
        <v>7.11</v>
      </c>
      <c r="O199" s="891">
        <v>0.65</v>
      </c>
      <c r="P199" s="891">
        <v>5.82</v>
      </c>
      <c r="Q199" s="891">
        <v>0.97</v>
      </c>
      <c r="R199" s="891">
        <v>1.29</v>
      </c>
      <c r="S199" s="891">
        <v>4.12</v>
      </c>
      <c r="T199" s="891">
        <v>0.87</v>
      </c>
      <c r="U199" s="891">
        <v>5.5</v>
      </c>
      <c r="V199" s="891">
        <v>26.99</v>
      </c>
      <c r="W199" s="891">
        <v>1.84</v>
      </c>
      <c r="X199" s="927">
        <v>19717.490000000002</v>
      </c>
      <c r="Y199" s="891">
        <v>387.89</v>
      </c>
      <c r="Z199" s="891">
        <v>290.91000000000003</v>
      </c>
      <c r="AA199" s="891">
        <v>808.09</v>
      </c>
      <c r="AB199" s="891">
        <v>630.30999999999995</v>
      </c>
      <c r="AC199" s="891">
        <v>133.34</v>
      </c>
      <c r="AD199" s="891">
        <v>0.14000000000000001</v>
      </c>
      <c r="AE199" s="891">
        <v>19.39</v>
      </c>
      <c r="AF199" s="891">
        <v>38.79</v>
      </c>
      <c r="AG199" s="891">
        <v>16.16</v>
      </c>
      <c r="AH199" s="891">
        <v>7.76</v>
      </c>
      <c r="AI199" s="891">
        <v>77.58</v>
      </c>
      <c r="AJ199" s="891">
        <v>51.72</v>
      </c>
      <c r="AK199" s="891">
        <v>96.97</v>
      </c>
      <c r="AL199" s="891">
        <v>96.81</v>
      </c>
      <c r="AM199" s="891">
        <v>1357.6</v>
      </c>
      <c r="AN199" s="891">
        <v>1260.6300000000001</v>
      </c>
      <c r="AO199" s="891">
        <v>646.48</v>
      </c>
      <c r="AP199" s="891">
        <v>6</v>
      </c>
      <c r="AQ199" s="891">
        <v>1.86</v>
      </c>
      <c r="AR199" s="891">
        <v>0.74</v>
      </c>
      <c r="AS199" s="891">
        <v>10.67</v>
      </c>
      <c r="AT199" s="891">
        <v>0.97</v>
      </c>
      <c r="AU199" s="891">
        <v>1.62</v>
      </c>
      <c r="AV199" s="891">
        <v>0.32</v>
      </c>
      <c r="AW199" s="891">
        <v>0.65</v>
      </c>
      <c r="AX199" s="891">
        <v>2.2599999999999998</v>
      </c>
      <c r="AY199" s="891">
        <v>1.29</v>
      </c>
      <c r="AZ199" s="891">
        <v>1.29</v>
      </c>
      <c r="BA199" s="891">
        <f t="shared" si="9"/>
        <v>152.87</v>
      </c>
      <c r="BB199" s="926">
        <f t="shared" si="10"/>
        <v>19760.460000000003</v>
      </c>
      <c r="BC199" s="926">
        <f t="shared" si="11"/>
        <v>41.130000000001161</v>
      </c>
      <c r="BD199" s="891"/>
      <c r="BE199" s="891"/>
      <c r="BF199" s="891"/>
      <c r="BG199" s="928"/>
      <c r="BH199" s="928"/>
      <c r="BI199" s="928"/>
    </row>
    <row r="200" spans="1:61">
      <c r="A200" s="891" t="s">
        <v>973</v>
      </c>
      <c r="B200" s="891" t="s">
        <v>559</v>
      </c>
      <c r="C200" s="891" t="s">
        <v>115</v>
      </c>
      <c r="D200" s="891">
        <v>14.48</v>
      </c>
      <c r="E200" s="891">
        <v>57.95</v>
      </c>
      <c r="F200" s="891">
        <v>7.73</v>
      </c>
      <c r="G200" s="891">
        <v>4.2300000000000004</v>
      </c>
      <c r="H200" s="891">
        <v>3.86</v>
      </c>
      <c r="I200" s="891">
        <v>1.06</v>
      </c>
      <c r="J200" s="891">
        <v>0.99</v>
      </c>
      <c r="K200" s="891">
        <v>1.93</v>
      </c>
      <c r="L200" s="891">
        <v>1.93</v>
      </c>
      <c r="M200" s="891">
        <v>2.73</v>
      </c>
      <c r="N200" s="891">
        <v>7.72</v>
      </c>
      <c r="O200" s="891">
        <v>1.93</v>
      </c>
      <c r="P200" s="891">
        <v>11.59</v>
      </c>
      <c r="Q200" s="891">
        <v>3.86</v>
      </c>
      <c r="R200" s="891">
        <v>3.86</v>
      </c>
      <c r="S200" s="891">
        <v>8.5</v>
      </c>
      <c r="T200" s="891">
        <v>2.66</v>
      </c>
      <c r="U200" s="891">
        <v>13.22</v>
      </c>
      <c r="V200" s="891">
        <v>70.989999999999995</v>
      </c>
      <c r="W200" s="891">
        <v>1.21</v>
      </c>
      <c r="X200" s="927">
        <v>24145.26</v>
      </c>
      <c r="Y200" s="891">
        <v>869.23</v>
      </c>
      <c r="Z200" s="891">
        <v>724.36</v>
      </c>
      <c r="AA200" s="891">
        <v>1255.55</v>
      </c>
      <c r="AB200" s="891">
        <v>1062.3900000000001</v>
      </c>
      <c r="AC200" s="891">
        <v>112.43</v>
      </c>
      <c r="AD200" s="891">
        <v>0.39</v>
      </c>
      <c r="AE200" s="891">
        <v>38.630000000000003</v>
      </c>
      <c r="AF200" s="891">
        <v>42.01</v>
      </c>
      <c r="AG200" s="891">
        <v>43.46</v>
      </c>
      <c r="AH200" s="891">
        <v>12.55</v>
      </c>
      <c r="AI200" s="891">
        <v>45.87</v>
      </c>
      <c r="AJ200" s="891">
        <v>24.15</v>
      </c>
      <c r="AK200" s="891">
        <v>85.96</v>
      </c>
      <c r="AL200" s="891">
        <v>115.9</v>
      </c>
      <c r="AM200" s="891">
        <v>3863.24</v>
      </c>
      <c r="AN200" s="891">
        <v>1448.72</v>
      </c>
      <c r="AO200" s="891">
        <v>1931.62</v>
      </c>
      <c r="AP200" s="891">
        <v>3.75</v>
      </c>
      <c r="AQ200" s="891">
        <v>3.57</v>
      </c>
      <c r="AR200" s="891">
        <v>1.85</v>
      </c>
      <c r="AS200" s="891">
        <v>33.43</v>
      </c>
      <c r="AT200" s="891">
        <v>2.89</v>
      </c>
      <c r="AU200" s="891">
        <v>2.89</v>
      </c>
      <c r="AV200" s="891">
        <v>1.93</v>
      </c>
      <c r="AW200" s="891">
        <v>1.1100000000000001</v>
      </c>
      <c r="AX200" s="891">
        <v>2.9</v>
      </c>
      <c r="AY200" s="891">
        <v>2.9</v>
      </c>
      <c r="AZ200" s="891">
        <v>2.13</v>
      </c>
      <c r="BA200" s="891">
        <f t="shared" si="9"/>
        <v>151.45000000000002</v>
      </c>
      <c r="BB200" s="926">
        <f t="shared" si="10"/>
        <v>24258.969999999998</v>
      </c>
      <c r="BC200" s="926">
        <f t="shared" si="11"/>
        <v>112.49999999999913</v>
      </c>
      <c r="BD200" s="891"/>
      <c r="BE200" s="891"/>
      <c r="BF200" s="891"/>
      <c r="BG200" s="928"/>
      <c r="BH200" s="928"/>
      <c r="BI200" s="928"/>
    </row>
    <row r="201" spans="1:61">
      <c r="A201" s="891" t="s">
        <v>973</v>
      </c>
      <c r="B201" s="891" t="s">
        <v>1569</v>
      </c>
      <c r="C201" s="891" t="s">
        <v>30</v>
      </c>
      <c r="D201" s="891">
        <v>15.95</v>
      </c>
      <c r="E201" s="891">
        <v>79.77</v>
      </c>
      <c r="F201" s="891">
        <v>7.98</v>
      </c>
      <c r="G201" s="891">
        <v>5.58</v>
      </c>
      <c r="H201" s="891">
        <v>5.58</v>
      </c>
      <c r="I201" s="891">
        <v>1.6</v>
      </c>
      <c r="J201" s="891">
        <v>1.6</v>
      </c>
      <c r="K201" s="891">
        <v>1.59</v>
      </c>
      <c r="L201" s="891">
        <v>1.6</v>
      </c>
      <c r="M201" s="891">
        <v>3.73</v>
      </c>
      <c r="N201" s="891">
        <v>11.17</v>
      </c>
      <c r="O201" s="891">
        <v>1.6</v>
      </c>
      <c r="P201" s="891">
        <v>11.17</v>
      </c>
      <c r="Q201" s="891">
        <v>2.39</v>
      </c>
      <c r="R201" s="891">
        <v>2.39</v>
      </c>
      <c r="S201" s="891">
        <v>12.22</v>
      </c>
      <c r="T201" s="891">
        <v>4.79</v>
      </c>
      <c r="U201" s="891">
        <v>11.17</v>
      </c>
      <c r="V201" s="891">
        <v>194.64</v>
      </c>
      <c r="W201" s="891">
        <v>2.23</v>
      </c>
      <c r="X201" s="927">
        <v>25526.48</v>
      </c>
      <c r="Y201" s="891">
        <v>2393.11</v>
      </c>
      <c r="Z201" s="891">
        <v>1435.86</v>
      </c>
      <c r="AA201" s="891">
        <v>4148.05</v>
      </c>
      <c r="AB201" s="891">
        <v>2552.65</v>
      </c>
      <c r="AC201" s="891">
        <v>242.94</v>
      </c>
      <c r="AD201" s="891">
        <v>0.24</v>
      </c>
      <c r="AE201" s="891">
        <v>31.91</v>
      </c>
      <c r="AF201" s="891">
        <v>79.77</v>
      </c>
      <c r="AG201" s="891">
        <v>15.95</v>
      </c>
      <c r="AH201" s="891">
        <v>17.55</v>
      </c>
      <c r="AI201" s="891">
        <v>95.72</v>
      </c>
      <c r="AJ201" s="891">
        <v>47.86</v>
      </c>
      <c r="AK201" s="891">
        <v>95.72</v>
      </c>
      <c r="AL201" s="891">
        <v>103.7</v>
      </c>
      <c r="AM201" s="891">
        <v>12763.24</v>
      </c>
      <c r="AN201" s="891">
        <v>7338.07</v>
      </c>
      <c r="AO201" s="891">
        <v>3190.81</v>
      </c>
      <c r="AP201" s="891">
        <v>4.5</v>
      </c>
      <c r="AQ201" s="891">
        <v>4.79</v>
      </c>
      <c r="AR201" s="891">
        <v>3.33</v>
      </c>
      <c r="AS201" s="891">
        <v>79.77</v>
      </c>
      <c r="AT201" s="891">
        <v>2.83</v>
      </c>
      <c r="AU201" s="891">
        <v>2.5499999999999998</v>
      </c>
      <c r="AV201" s="891">
        <v>1.82</v>
      </c>
      <c r="AW201" s="891">
        <v>1.6</v>
      </c>
      <c r="AX201" s="891">
        <v>3.99</v>
      </c>
      <c r="AY201" s="891">
        <v>2.0299999999999998</v>
      </c>
      <c r="AZ201" s="891">
        <v>3.19</v>
      </c>
      <c r="BA201" s="891">
        <f t="shared" si="9"/>
        <v>275.09000000000003</v>
      </c>
      <c r="BB201" s="926">
        <f t="shared" si="10"/>
        <v>25816.030000000002</v>
      </c>
      <c r="BC201" s="926">
        <f t="shared" si="11"/>
        <v>287.32000000000289</v>
      </c>
      <c r="BD201" s="891"/>
      <c r="BE201" s="891"/>
      <c r="BF201" s="891"/>
      <c r="BG201" s="928"/>
      <c r="BH201" s="928"/>
      <c r="BI201" s="928"/>
    </row>
    <row r="202" spans="1:61">
      <c r="A202" s="891" t="s">
        <v>1614</v>
      </c>
      <c r="B202" s="891" t="s">
        <v>1606</v>
      </c>
      <c r="C202" s="891" t="s">
        <v>211</v>
      </c>
      <c r="D202" s="891">
        <v>12</v>
      </c>
      <c r="E202" s="891">
        <v>50</v>
      </c>
      <c r="F202" s="891">
        <v>6</v>
      </c>
      <c r="G202" s="891">
        <v>5</v>
      </c>
      <c r="H202" s="891">
        <v>5.5</v>
      </c>
      <c r="I202" s="891">
        <v>1.29</v>
      </c>
      <c r="J202" s="891">
        <v>1.25</v>
      </c>
      <c r="K202" s="891">
        <v>1.05</v>
      </c>
      <c r="L202" s="891">
        <v>2.4900000000000002</v>
      </c>
      <c r="M202" s="891">
        <v>2.19</v>
      </c>
      <c r="N202" s="891">
        <v>9.92</v>
      </c>
      <c r="O202" s="891">
        <v>1.5</v>
      </c>
      <c r="P202" s="891">
        <v>10</v>
      </c>
      <c r="Q202" s="891">
        <v>2</v>
      </c>
      <c r="R202" s="891">
        <v>4</v>
      </c>
      <c r="S202" s="891">
        <v>6</v>
      </c>
      <c r="T202" s="891">
        <v>1.5</v>
      </c>
      <c r="U202" s="891">
        <v>5</v>
      </c>
      <c r="V202" s="891">
        <v>75</v>
      </c>
      <c r="W202" s="891">
        <v>1.06</v>
      </c>
      <c r="X202" s="927">
        <v>19250</v>
      </c>
      <c r="Y202" s="891">
        <v>1500</v>
      </c>
      <c r="Z202" s="891">
        <v>1100</v>
      </c>
      <c r="AA202" s="891">
        <v>2650</v>
      </c>
      <c r="AB202" s="891">
        <v>1900</v>
      </c>
      <c r="AC202" s="891">
        <v>120</v>
      </c>
      <c r="AD202" s="891">
        <v>0.08</v>
      </c>
      <c r="AE202" s="891">
        <v>40</v>
      </c>
      <c r="AF202" s="891">
        <v>40</v>
      </c>
      <c r="AG202" s="891">
        <v>13</v>
      </c>
      <c r="AH202" s="891">
        <v>12</v>
      </c>
      <c r="AI202" s="891">
        <v>50</v>
      </c>
      <c r="AJ202" s="891">
        <v>37.5</v>
      </c>
      <c r="AK202" s="891">
        <v>80</v>
      </c>
      <c r="AL202" s="891">
        <v>100</v>
      </c>
      <c r="AM202" s="891">
        <v>4465</v>
      </c>
      <c r="AN202" s="891">
        <v>2852.44</v>
      </c>
      <c r="AO202" s="891">
        <v>3480.5</v>
      </c>
      <c r="AP202" s="891">
        <v>4</v>
      </c>
      <c r="AQ202" s="891">
        <v>4.5</v>
      </c>
      <c r="AR202" s="891">
        <v>2.8</v>
      </c>
      <c r="AS202" s="891">
        <v>30.7</v>
      </c>
      <c r="AT202" s="891">
        <v>2.2000000000000002</v>
      </c>
      <c r="AU202" s="891">
        <v>2.1</v>
      </c>
      <c r="AV202" s="891">
        <v>1.52</v>
      </c>
      <c r="AW202" s="891">
        <v>1</v>
      </c>
      <c r="AX202" s="891">
        <v>4</v>
      </c>
      <c r="AY202" s="891">
        <v>2.2000000000000002</v>
      </c>
      <c r="AZ202" s="891">
        <v>2.25</v>
      </c>
      <c r="BA202" s="891">
        <f t="shared" si="9"/>
        <v>160.07999999999998</v>
      </c>
      <c r="BB202" s="926">
        <f t="shared" si="10"/>
        <v>19365.560000000001</v>
      </c>
      <c r="BC202" s="926">
        <f t="shared" si="11"/>
        <v>114.50000000000131</v>
      </c>
      <c r="BD202" s="891"/>
      <c r="BE202" s="891"/>
      <c r="BF202" s="891"/>
      <c r="BG202" s="928"/>
      <c r="BH202" s="928"/>
      <c r="BI202" s="928"/>
    </row>
    <row r="203" spans="1:61">
      <c r="A203" s="891" t="s">
        <v>975</v>
      </c>
      <c r="B203" s="891" t="s">
        <v>629</v>
      </c>
      <c r="C203" s="891" t="s">
        <v>329</v>
      </c>
      <c r="D203" s="891">
        <v>4.8499999999999996</v>
      </c>
      <c r="E203" s="891">
        <v>29.69</v>
      </c>
      <c r="F203" s="891">
        <v>5.17</v>
      </c>
      <c r="G203" s="891">
        <v>1.62</v>
      </c>
      <c r="H203" s="891">
        <v>2.2599999999999998</v>
      </c>
      <c r="I203" s="891">
        <v>1.29</v>
      </c>
      <c r="J203" s="891">
        <v>1.29</v>
      </c>
      <c r="K203" s="891">
        <v>0.73</v>
      </c>
      <c r="L203" s="891">
        <v>0.65</v>
      </c>
      <c r="M203" s="891">
        <v>1.92</v>
      </c>
      <c r="N203" s="891">
        <v>7.6</v>
      </c>
      <c r="O203" s="891">
        <v>0.48</v>
      </c>
      <c r="P203" s="891">
        <v>7.43</v>
      </c>
      <c r="Q203" s="891">
        <v>0.81</v>
      </c>
      <c r="R203" s="891">
        <v>1.29</v>
      </c>
      <c r="S203" s="891">
        <v>3.88</v>
      </c>
      <c r="T203" s="891">
        <v>0.91</v>
      </c>
      <c r="U203" s="891">
        <v>5.17</v>
      </c>
      <c r="V203" s="891">
        <v>27.15</v>
      </c>
      <c r="W203" s="891">
        <v>1.86</v>
      </c>
      <c r="X203" s="927">
        <v>25859</v>
      </c>
      <c r="Y203" s="891">
        <v>404.05</v>
      </c>
      <c r="Z203" s="891">
        <v>258.58999999999997</v>
      </c>
      <c r="AA203" s="891">
        <v>549.5</v>
      </c>
      <c r="AB203" s="891">
        <v>452.53</v>
      </c>
      <c r="AC203" s="891">
        <v>133.34</v>
      </c>
      <c r="AD203" s="891">
        <v>0.09</v>
      </c>
      <c r="AE203" s="891">
        <v>16.16</v>
      </c>
      <c r="AF203" s="891">
        <v>30.71</v>
      </c>
      <c r="AG203" s="891">
        <v>4.8499999999999996</v>
      </c>
      <c r="AH203" s="891">
        <v>6.46</v>
      </c>
      <c r="AI203" s="891">
        <v>105.05</v>
      </c>
      <c r="AJ203" s="891">
        <v>35.39</v>
      </c>
      <c r="AK203" s="891">
        <v>74.34</v>
      </c>
      <c r="AL203" s="891">
        <v>75.959999999999994</v>
      </c>
      <c r="AM203" s="891">
        <v>1616.19</v>
      </c>
      <c r="AN203" s="891">
        <v>1325.27</v>
      </c>
      <c r="AO203" s="891">
        <v>614.15</v>
      </c>
      <c r="AP203" s="891">
        <v>5</v>
      </c>
      <c r="AQ203" s="891">
        <v>1.62</v>
      </c>
      <c r="AR203" s="891">
        <v>0.65</v>
      </c>
      <c r="AS203" s="891">
        <v>11.31</v>
      </c>
      <c r="AT203" s="891">
        <v>0.97</v>
      </c>
      <c r="AU203" s="891">
        <v>1.62</v>
      </c>
      <c r="AV203" s="891">
        <v>0.28999999999999998</v>
      </c>
      <c r="AW203" s="891">
        <v>0.97</v>
      </c>
      <c r="AX203" s="891">
        <v>2.1</v>
      </c>
      <c r="AY203" s="891">
        <v>0.81</v>
      </c>
      <c r="AZ203" s="891">
        <v>1.45</v>
      </c>
      <c r="BA203" s="891">
        <f t="shared" si="9"/>
        <v>149.59</v>
      </c>
      <c r="BB203" s="926">
        <f t="shared" si="10"/>
        <v>25902.5</v>
      </c>
      <c r="BC203" s="926">
        <f t="shared" si="11"/>
        <v>41.64</v>
      </c>
      <c r="BD203" s="891"/>
      <c r="BE203" s="891"/>
      <c r="BF203" s="891"/>
      <c r="BG203" s="928"/>
      <c r="BH203" s="928"/>
      <c r="BI203" s="928"/>
    </row>
    <row r="204" spans="1:61">
      <c r="A204" s="891" t="s">
        <v>976</v>
      </c>
      <c r="B204" s="891" t="s">
        <v>578</v>
      </c>
      <c r="C204" s="891" t="s">
        <v>12</v>
      </c>
      <c r="D204" s="891">
        <v>21.93</v>
      </c>
      <c r="E204" s="891">
        <v>82.22</v>
      </c>
      <c r="F204" s="891">
        <v>14.25</v>
      </c>
      <c r="G204" s="891">
        <v>6.58</v>
      </c>
      <c r="H204" s="891">
        <v>4.3899999999999997</v>
      </c>
      <c r="I204" s="891">
        <v>3.84</v>
      </c>
      <c r="J204" s="891">
        <v>4.3899999999999997</v>
      </c>
      <c r="K204" s="891">
        <v>1.32</v>
      </c>
      <c r="L204" s="891">
        <v>2.4700000000000002</v>
      </c>
      <c r="M204" s="891">
        <v>6.58</v>
      </c>
      <c r="N204" s="891">
        <v>13.16</v>
      </c>
      <c r="O204" s="891">
        <v>1.1000000000000001</v>
      </c>
      <c r="P204" s="891">
        <v>8.77</v>
      </c>
      <c r="Q204" s="891">
        <v>1.64</v>
      </c>
      <c r="R204" s="891">
        <v>1.1000000000000001</v>
      </c>
      <c r="S204" s="891">
        <v>8.2200000000000006</v>
      </c>
      <c r="T204" s="891">
        <v>2.63</v>
      </c>
      <c r="U204" s="891">
        <v>20.83</v>
      </c>
      <c r="V204" s="891">
        <v>43.85</v>
      </c>
      <c r="W204" s="891">
        <v>1.97</v>
      </c>
      <c r="X204" s="927">
        <v>31791.27</v>
      </c>
      <c r="Y204" s="891">
        <v>1096.25</v>
      </c>
      <c r="Z204" s="891">
        <v>822.19</v>
      </c>
      <c r="AA204" s="891">
        <v>1973.25</v>
      </c>
      <c r="AB204" s="891">
        <v>1534.75</v>
      </c>
      <c r="AC204" s="891">
        <v>164.44</v>
      </c>
      <c r="AD204" s="891">
        <v>0.33</v>
      </c>
      <c r="AE204" s="891">
        <v>64.680000000000007</v>
      </c>
      <c r="AF204" s="891">
        <v>98.66</v>
      </c>
      <c r="AG204" s="891">
        <v>32.89</v>
      </c>
      <c r="AH204" s="891">
        <v>18.64</v>
      </c>
      <c r="AI204" s="891">
        <v>87.7</v>
      </c>
      <c r="AJ204" s="891">
        <v>43.85</v>
      </c>
      <c r="AK204" s="891">
        <v>76.739999999999995</v>
      </c>
      <c r="AL204" s="891">
        <v>76.739999999999995</v>
      </c>
      <c r="AM204" s="891">
        <v>5481.25</v>
      </c>
      <c r="AN204" s="891">
        <v>4110.9399999999996</v>
      </c>
      <c r="AO204" s="891">
        <v>4713.88</v>
      </c>
      <c r="AP204" s="891">
        <v>1.5</v>
      </c>
      <c r="AQ204" s="891">
        <v>6.58</v>
      </c>
      <c r="AR204" s="891">
        <v>5.81</v>
      </c>
      <c r="AS204" s="891">
        <v>57.55</v>
      </c>
      <c r="AT204" s="891">
        <v>3.29</v>
      </c>
      <c r="AU204" s="891">
        <v>2.19</v>
      </c>
      <c r="AV204" s="891">
        <v>2.19</v>
      </c>
      <c r="AW204" s="891">
        <v>1.64</v>
      </c>
      <c r="AX204" s="891">
        <v>3.29</v>
      </c>
      <c r="AY204" s="891">
        <v>2.19</v>
      </c>
      <c r="AZ204" s="891">
        <v>4.3899999999999997</v>
      </c>
      <c r="BA204" s="891">
        <f t="shared" si="9"/>
        <v>229.45000000000002</v>
      </c>
      <c r="BB204" s="926">
        <f t="shared" si="10"/>
        <v>31909.660000000003</v>
      </c>
      <c r="BC204" s="926">
        <f t="shared" si="11"/>
        <v>116.42000000000306</v>
      </c>
      <c r="BD204" s="891"/>
      <c r="BE204" s="891"/>
      <c r="BF204" s="891"/>
      <c r="BG204" s="928"/>
      <c r="BH204" s="928"/>
      <c r="BI204" s="928"/>
    </row>
    <row r="205" spans="1:61">
      <c r="A205" s="891" t="s">
        <v>580</v>
      </c>
      <c r="B205" s="891" t="s">
        <v>580</v>
      </c>
      <c r="C205" s="891" t="s">
        <v>25</v>
      </c>
      <c r="D205" s="891">
        <v>22.35</v>
      </c>
      <c r="E205" s="891">
        <v>98.21</v>
      </c>
      <c r="F205" s="891">
        <v>10.16</v>
      </c>
      <c r="G205" s="891">
        <v>4.0599999999999996</v>
      </c>
      <c r="H205" s="891">
        <v>4.0599999999999996</v>
      </c>
      <c r="I205" s="891">
        <v>2.91</v>
      </c>
      <c r="J205" s="891">
        <v>2.91</v>
      </c>
      <c r="K205" s="891">
        <v>1.63</v>
      </c>
      <c r="L205" s="891">
        <v>2.2999999999999998</v>
      </c>
      <c r="M205" s="891">
        <v>4.04</v>
      </c>
      <c r="N205" s="891">
        <v>14.9</v>
      </c>
      <c r="O205" s="891">
        <v>1.08</v>
      </c>
      <c r="P205" s="891">
        <v>7.45</v>
      </c>
      <c r="Q205" s="891">
        <v>1.86</v>
      </c>
      <c r="R205" s="891">
        <v>2.37</v>
      </c>
      <c r="S205" s="891">
        <v>6.77</v>
      </c>
      <c r="T205" s="891">
        <v>2.71</v>
      </c>
      <c r="U205" s="891">
        <v>13.55</v>
      </c>
      <c r="V205" s="891">
        <v>54.19</v>
      </c>
      <c r="W205" s="891">
        <v>1.83</v>
      </c>
      <c r="X205" s="927">
        <v>29802.22</v>
      </c>
      <c r="Y205" s="891">
        <v>1625.58</v>
      </c>
      <c r="Z205" s="891">
        <v>1219.18</v>
      </c>
      <c r="AA205" s="891">
        <v>2709.29</v>
      </c>
      <c r="AB205" s="891">
        <v>2302.9</v>
      </c>
      <c r="AC205" s="891">
        <v>242.41</v>
      </c>
      <c r="AD205" s="891">
        <v>0.16</v>
      </c>
      <c r="AE205" s="891">
        <v>60.96</v>
      </c>
      <c r="AF205" s="891">
        <v>94.83</v>
      </c>
      <c r="AG205" s="891">
        <v>21.67</v>
      </c>
      <c r="AH205" s="891">
        <v>11.51</v>
      </c>
      <c r="AI205" s="891">
        <v>134.11000000000001</v>
      </c>
      <c r="AJ205" s="891">
        <v>60.96</v>
      </c>
      <c r="AK205" s="891">
        <v>128.69</v>
      </c>
      <c r="AL205" s="891">
        <v>135.46</v>
      </c>
      <c r="AM205" s="891">
        <v>6773.23</v>
      </c>
      <c r="AN205" s="891">
        <v>5757.25</v>
      </c>
      <c r="AO205" s="891">
        <v>4267.1400000000003</v>
      </c>
      <c r="AP205" s="891">
        <v>2.25</v>
      </c>
      <c r="AQ205" s="891">
        <v>3.52</v>
      </c>
      <c r="AR205" s="891">
        <v>3.93</v>
      </c>
      <c r="AS205" s="891">
        <v>44.7</v>
      </c>
      <c r="AT205" s="891">
        <v>3.39</v>
      </c>
      <c r="AU205" s="891">
        <v>2.95</v>
      </c>
      <c r="AV205" s="891">
        <v>2.0299999999999998</v>
      </c>
      <c r="AW205" s="891">
        <v>1.63</v>
      </c>
      <c r="AX205" s="891">
        <v>3.39</v>
      </c>
      <c r="AY205" s="891">
        <v>2.37</v>
      </c>
      <c r="AZ205" s="891">
        <v>3.73</v>
      </c>
      <c r="BA205" s="891">
        <f t="shared" si="9"/>
        <v>303.52999999999997</v>
      </c>
      <c r="BB205" s="926">
        <f t="shared" si="10"/>
        <v>29913.100000000002</v>
      </c>
      <c r="BC205" s="926">
        <f t="shared" si="11"/>
        <v>109.05000000000102</v>
      </c>
      <c r="BD205" s="891"/>
      <c r="BE205" s="891"/>
      <c r="BF205" s="891"/>
      <c r="BG205" s="928"/>
      <c r="BH205" s="928"/>
      <c r="BI205" s="928"/>
    </row>
    <row r="206" spans="1:61">
      <c r="A206" s="891" t="s">
        <v>977</v>
      </c>
      <c r="B206" s="891" t="s">
        <v>645</v>
      </c>
      <c r="C206" s="891" t="s">
        <v>344</v>
      </c>
      <c r="D206" s="891">
        <v>4.9400000000000004</v>
      </c>
      <c r="E206" s="891">
        <v>24.42</v>
      </c>
      <c r="F206" s="891">
        <v>4.88</v>
      </c>
      <c r="G206" s="891">
        <v>0.81</v>
      </c>
      <c r="H206" s="891">
        <v>1.59</v>
      </c>
      <c r="I206" s="891">
        <v>0.85</v>
      </c>
      <c r="J206" s="891">
        <v>0.49</v>
      </c>
      <c r="K206" s="891">
        <v>1</v>
      </c>
      <c r="L206" s="891">
        <v>0.5</v>
      </c>
      <c r="M206" s="891">
        <v>1.47</v>
      </c>
      <c r="N206" s="891">
        <v>7.97</v>
      </c>
      <c r="O206" s="891">
        <v>0.68</v>
      </c>
      <c r="P206" s="891">
        <v>6.11</v>
      </c>
      <c r="Q206" s="891">
        <v>0.81</v>
      </c>
      <c r="R206" s="891">
        <v>1.22</v>
      </c>
      <c r="S206" s="891">
        <v>1.71</v>
      </c>
      <c r="T206" s="891">
        <v>0.24</v>
      </c>
      <c r="U206" s="891">
        <v>4.88</v>
      </c>
      <c r="V206" s="891">
        <v>12.21</v>
      </c>
      <c r="W206" s="891">
        <v>1.34</v>
      </c>
      <c r="X206" s="927">
        <v>25535.09</v>
      </c>
      <c r="Y206" s="891">
        <v>305.25</v>
      </c>
      <c r="Z206" s="891">
        <v>203.2</v>
      </c>
      <c r="AA206" s="891">
        <v>541.25</v>
      </c>
      <c r="AB206" s="891">
        <v>427.35</v>
      </c>
      <c r="AC206" s="891">
        <v>55.15</v>
      </c>
      <c r="AD206" s="891">
        <v>0.06</v>
      </c>
      <c r="AE206" s="891">
        <v>8.5500000000000007</v>
      </c>
      <c r="AF206" s="891">
        <v>53.87</v>
      </c>
      <c r="AG206" s="891">
        <v>31.19</v>
      </c>
      <c r="AH206" s="891">
        <v>8.5500000000000007</v>
      </c>
      <c r="AI206" s="891">
        <v>108.84</v>
      </c>
      <c r="AJ206" s="891">
        <v>54.9</v>
      </c>
      <c r="AK206" s="891">
        <v>124.95</v>
      </c>
      <c r="AL206" s="891">
        <v>118.62</v>
      </c>
      <c r="AM206" s="891">
        <v>1500</v>
      </c>
      <c r="AN206" s="891">
        <v>975.4</v>
      </c>
      <c r="AO206" s="891">
        <v>333.64</v>
      </c>
      <c r="AP206" s="891">
        <v>14</v>
      </c>
      <c r="AQ206" s="891">
        <v>2.0299999999999998</v>
      </c>
      <c r="AR206" s="891">
        <v>0.37</v>
      </c>
      <c r="AS206" s="891">
        <v>3</v>
      </c>
      <c r="AT206" s="891">
        <v>0.98</v>
      </c>
      <c r="AU206" s="891">
        <v>1.5</v>
      </c>
      <c r="AV206" s="891">
        <v>0.4</v>
      </c>
      <c r="AW206" s="891">
        <v>0.37</v>
      </c>
      <c r="AX206" s="891">
        <v>1.83</v>
      </c>
      <c r="AY206" s="891">
        <v>1.34</v>
      </c>
      <c r="AZ206" s="891">
        <v>1.1000000000000001</v>
      </c>
      <c r="BA206" s="891">
        <f t="shared" si="9"/>
        <v>63.760000000000005</v>
      </c>
      <c r="BB206" s="926">
        <f t="shared" si="10"/>
        <v>25554.28</v>
      </c>
      <c r="BC206" s="926">
        <f t="shared" si="11"/>
        <v>17.84999999999869</v>
      </c>
      <c r="BD206" s="891"/>
      <c r="BE206" s="891"/>
      <c r="BF206" s="891"/>
      <c r="BG206" s="928"/>
      <c r="BH206" s="928"/>
      <c r="BI206" s="928"/>
    </row>
    <row r="207" spans="1:61">
      <c r="A207" s="891" t="s">
        <v>978</v>
      </c>
      <c r="B207" s="891" t="s">
        <v>569</v>
      </c>
      <c r="C207" s="891" t="s">
        <v>65</v>
      </c>
      <c r="D207" s="891">
        <v>16.260000000000002</v>
      </c>
      <c r="E207" s="891">
        <v>47.41</v>
      </c>
      <c r="F207" s="891">
        <v>10.84</v>
      </c>
      <c r="G207" s="891">
        <v>6.1</v>
      </c>
      <c r="H207" s="891">
        <v>4.88</v>
      </c>
      <c r="I207" s="891">
        <v>2.71</v>
      </c>
      <c r="J207" s="891">
        <v>1.35</v>
      </c>
      <c r="K207" s="891">
        <v>1.1499999999999999</v>
      </c>
      <c r="L207" s="891">
        <v>1.73</v>
      </c>
      <c r="M207" s="891">
        <v>5.42</v>
      </c>
      <c r="N207" s="891">
        <v>16.260000000000002</v>
      </c>
      <c r="O207" s="891">
        <v>1.22</v>
      </c>
      <c r="P207" s="891">
        <v>6.77</v>
      </c>
      <c r="Q207" s="891">
        <v>5.42</v>
      </c>
      <c r="R207" s="891">
        <v>2.71</v>
      </c>
      <c r="S207" s="891">
        <v>8.4</v>
      </c>
      <c r="T207" s="891">
        <v>2.17</v>
      </c>
      <c r="U207" s="891">
        <v>14.9</v>
      </c>
      <c r="V207" s="891">
        <v>71.12</v>
      </c>
      <c r="W207" s="891">
        <v>1.9</v>
      </c>
      <c r="X207" s="927">
        <v>37218.910000000003</v>
      </c>
      <c r="Y207" s="891">
        <v>812.79</v>
      </c>
      <c r="Z207" s="891">
        <v>643.46</v>
      </c>
      <c r="AA207" s="891">
        <v>1490.11</v>
      </c>
      <c r="AB207" s="891">
        <v>948.25</v>
      </c>
      <c r="AC207" s="891">
        <v>143.93</v>
      </c>
      <c r="AD207" s="891">
        <v>0.41</v>
      </c>
      <c r="AE207" s="891">
        <v>40.64</v>
      </c>
      <c r="AF207" s="891">
        <v>64.349999999999994</v>
      </c>
      <c r="AG207" s="891">
        <v>20.32</v>
      </c>
      <c r="AH207" s="891">
        <v>12.19</v>
      </c>
      <c r="AI207" s="891">
        <v>108.37</v>
      </c>
      <c r="AJ207" s="891">
        <v>60.96</v>
      </c>
      <c r="AK207" s="891">
        <v>121.92</v>
      </c>
      <c r="AL207" s="891">
        <v>81.28</v>
      </c>
      <c r="AM207" s="891">
        <v>5283.12</v>
      </c>
      <c r="AN207" s="891">
        <v>3386.62</v>
      </c>
      <c r="AO207" s="891">
        <v>2641.56</v>
      </c>
      <c r="AP207" s="891">
        <v>3.75</v>
      </c>
      <c r="AQ207" s="891">
        <v>2.71</v>
      </c>
      <c r="AR207" s="891">
        <v>0.95</v>
      </c>
      <c r="AS207" s="891">
        <v>37.39</v>
      </c>
      <c r="AT207" s="891">
        <v>2.71</v>
      </c>
      <c r="AU207" s="891">
        <v>2.71</v>
      </c>
      <c r="AV207" s="891">
        <v>1.29</v>
      </c>
      <c r="AW207" s="891">
        <v>1.08</v>
      </c>
      <c r="AX207" s="891">
        <v>3.39</v>
      </c>
      <c r="AY207" s="891">
        <v>2.71</v>
      </c>
      <c r="AZ207" s="891">
        <v>2.88</v>
      </c>
      <c r="BA207" s="891">
        <f t="shared" si="9"/>
        <v>184.98000000000002</v>
      </c>
      <c r="BB207" s="926">
        <f t="shared" si="10"/>
        <v>37335.15</v>
      </c>
      <c r="BC207" s="926">
        <f t="shared" si="11"/>
        <v>114.33999999999796</v>
      </c>
      <c r="BD207" s="891"/>
      <c r="BE207" s="891"/>
      <c r="BF207" s="891"/>
      <c r="BG207" s="928"/>
      <c r="BH207" s="928"/>
      <c r="BI207" s="928"/>
    </row>
    <row r="208" spans="1:61">
      <c r="A208" s="891" t="s">
        <v>979</v>
      </c>
      <c r="B208" s="891" t="s">
        <v>1606</v>
      </c>
      <c r="C208" s="891" t="s">
        <v>152</v>
      </c>
      <c r="D208" s="891">
        <v>12</v>
      </c>
      <c r="E208" s="891">
        <v>48</v>
      </c>
      <c r="F208" s="891">
        <v>6</v>
      </c>
      <c r="G208" s="891">
        <v>3.25</v>
      </c>
      <c r="H208" s="891">
        <v>4.74</v>
      </c>
      <c r="I208" s="891">
        <v>1.47</v>
      </c>
      <c r="J208" s="891">
        <v>1.27</v>
      </c>
      <c r="K208" s="891">
        <v>0.95</v>
      </c>
      <c r="L208" s="891">
        <v>3.25</v>
      </c>
      <c r="M208" s="891">
        <v>1.8</v>
      </c>
      <c r="N208" s="891">
        <v>11.02</v>
      </c>
      <c r="O208" s="891">
        <v>1</v>
      </c>
      <c r="P208" s="891">
        <v>12</v>
      </c>
      <c r="Q208" s="891">
        <v>1.55</v>
      </c>
      <c r="R208" s="891">
        <v>2</v>
      </c>
      <c r="S208" s="891">
        <v>8</v>
      </c>
      <c r="T208" s="891">
        <v>2</v>
      </c>
      <c r="U208" s="891">
        <v>11.02</v>
      </c>
      <c r="V208" s="891">
        <v>46.5</v>
      </c>
      <c r="W208" s="891">
        <v>1</v>
      </c>
      <c r="X208" s="927">
        <v>21000</v>
      </c>
      <c r="Y208" s="891">
        <v>800</v>
      </c>
      <c r="Z208" s="891">
        <v>725</v>
      </c>
      <c r="AA208" s="891">
        <v>1300</v>
      </c>
      <c r="AB208" s="891">
        <v>1200</v>
      </c>
      <c r="AC208" s="891">
        <v>120</v>
      </c>
      <c r="AD208" s="891">
        <v>0.03</v>
      </c>
      <c r="AE208" s="891">
        <v>30</v>
      </c>
      <c r="AF208" s="891">
        <v>75</v>
      </c>
      <c r="AG208" s="891">
        <v>15</v>
      </c>
      <c r="AH208" s="891">
        <v>8</v>
      </c>
      <c r="AI208" s="891">
        <v>45</v>
      </c>
      <c r="AJ208" s="891">
        <v>39.979999999999997</v>
      </c>
      <c r="AK208" s="891">
        <v>99.99</v>
      </c>
      <c r="AL208" s="891">
        <v>100</v>
      </c>
      <c r="AM208" s="891">
        <v>3229.17</v>
      </c>
      <c r="AN208" s="891">
        <v>968.75</v>
      </c>
      <c r="AO208" s="891">
        <v>3237</v>
      </c>
      <c r="AP208" s="891">
        <v>4.3</v>
      </c>
      <c r="AQ208" s="891">
        <v>4</v>
      </c>
      <c r="AR208" s="891">
        <v>2.52</v>
      </c>
      <c r="AS208" s="891">
        <v>60</v>
      </c>
      <c r="AT208" s="891">
        <v>4.2</v>
      </c>
      <c r="AU208" s="891">
        <v>3.65</v>
      </c>
      <c r="AV208" s="891">
        <v>2.65</v>
      </c>
      <c r="AW208" s="891">
        <v>2</v>
      </c>
      <c r="AX208" s="891">
        <v>3.5</v>
      </c>
      <c r="AY208" s="891">
        <v>2.09</v>
      </c>
      <c r="AZ208" s="891">
        <v>4</v>
      </c>
      <c r="BA208" s="891">
        <f t="shared" si="9"/>
        <v>150.03</v>
      </c>
      <c r="BB208" s="926">
        <f t="shared" si="10"/>
        <v>21116.02</v>
      </c>
      <c r="BC208" s="926">
        <f t="shared" si="11"/>
        <v>115.02000000000044</v>
      </c>
      <c r="BD208" s="891"/>
      <c r="BE208" s="891"/>
      <c r="BF208" s="891"/>
      <c r="BG208" s="928"/>
      <c r="BH208" s="928"/>
      <c r="BI208" s="928"/>
    </row>
    <row r="209" spans="1:61">
      <c r="A209" s="891" t="s">
        <v>980</v>
      </c>
      <c r="B209" s="891" t="s">
        <v>596</v>
      </c>
      <c r="C209" s="891" t="s">
        <v>161</v>
      </c>
      <c r="D209" s="891">
        <v>13.55</v>
      </c>
      <c r="E209" s="891">
        <v>60.96</v>
      </c>
      <c r="F209" s="891">
        <v>9.48</v>
      </c>
      <c r="G209" s="891">
        <v>4.0599999999999996</v>
      </c>
      <c r="H209" s="891">
        <v>4.0599999999999996</v>
      </c>
      <c r="I209" s="891">
        <v>2.71</v>
      </c>
      <c r="J209" s="891">
        <v>2.0299999999999998</v>
      </c>
      <c r="K209" s="891">
        <v>1.08</v>
      </c>
      <c r="L209" s="891">
        <v>1.35</v>
      </c>
      <c r="M209" s="891">
        <v>2.37</v>
      </c>
      <c r="N209" s="891">
        <v>12.19</v>
      </c>
      <c r="O209" s="891">
        <v>0.81</v>
      </c>
      <c r="P209" s="891">
        <v>6.77</v>
      </c>
      <c r="Q209" s="891">
        <v>1.08</v>
      </c>
      <c r="R209" s="891">
        <v>1.76</v>
      </c>
      <c r="S209" s="891">
        <v>6.27</v>
      </c>
      <c r="T209" s="891">
        <v>2.0299999999999998</v>
      </c>
      <c r="U209" s="891">
        <v>8.1300000000000008</v>
      </c>
      <c r="V209" s="891">
        <v>72.47</v>
      </c>
      <c r="W209" s="891">
        <v>1.97</v>
      </c>
      <c r="X209" s="927">
        <v>26402.06</v>
      </c>
      <c r="Y209" s="891">
        <v>1083.72</v>
      </c>
      <c r="Z209" s="891">
        <v>812.79</v>
      </c>
      <c r="AA209" s="891">
        <v>1896.51</v>
      </c>
      <c r="AB209" s="891">
        <v>1354.65</v>
      </c>
      <c r="AC209" s="891">
        <v>143.59</v>
      </c>
      <c r="AD209" s="891">
        <v>0.2</v>
      </c>
      <c r="AE209" s="891">
        <v>47.41</v>
      </c>
      <c r="AF209" s="891">
        <v>67.73</v>
      </c>
      <c r="AG209" s="891">
        <v>16.260000000000002</v>
      </c>
      <c r="AH209" s="891">
        <v>11.51</v>
      </c>
      <c r="AI209" s="891">
        <v>121.92</v>
      </c>
      <c r="AJ209" s="891">
        <v>47.41</v>
      </c>
      <c r="AK209" s="891">
        <v>108.37</v>
      </c>
      <c r="AL209" s="891">
        <v>125.3</v>
      </c>
      <c r="AM209" s="891">
        <v>5418.59</v>
      </c>
      <c r="AN209" s="891">
        <v>3386.62</v>
      </c>
      <c r="AO209" s="891">
        <v>1761.04</v>
      </c>
      <c r="AP209" s="891">
        <v>3.9</v>
      </c>
      <c r="AQ209" s="891">
        <v>3.39</v>
      </c>
      <c r="AR209" s="891">
        <v>1.35</v>
      </c>
      <c r="AS209" s="891">
        <v>27.09</v>
      </c>
      <c r="AT209" s="891">
        <v>2.4300000000000002</v>
      </c>
      <c r="AU209" s="891">
        <v>1.81</v>
      </c>
      <c r="AV209" s="891">
        <v>1.21</v>
      </c>
      <c r="AW209" s="891">
        <v>1.22</v>
      </c>
      <c r="AX209" s="891">
        <v>2.44</v>
      </c>
      <c r="AY209" s="891">
        <v>1.56</v>
      </c>
      <c r="AZ209" s="891">
        <v>2.0299999999999998</v>
      </c>
      <c r="BA209" s="891">
        <f t="shared" si="9"/>
        <v>191.2</v>
      </c>
      <c r="BB209" s="926">
        <f t="shared" si="10"/>
        <v>26510.36</v>
      </c>
      <c r="BC209" s="926">
        <f t="shared" si="11"/>
        <v>106.32999999999927</v>
      </c>
      <c r="BD209" s="891"/>
      <c r="BE209" s="891"/>
      <c r="BF209" s="891"/>
      <c r="BG209" s="928"/>
      <c r="BH209" s="928"/>
      <c r="BI209" s="928"/>
    </row>
    <row r="210" spans="1:61">
      <c r="A210" s="891" t="s">
        <v>981</v>
      </c>
      <c r="B210" s="891" t="s">
        <v>646</v>
      </c>
      <c r="C210" s="891" t="s">
        <v>308</v>
      </c>
      <c r="D210" s="891">
        <v>3.48</v>
      </c>
      <c r="E210" s="891">
        <v>19.739999999999998</v>
      </c>
      <c r="F210" s="891">
        <v>3.14</v>
      </c>
      <c r="G210" s="891">
        <v>1.63</v>
      </c>
      <c r="H210" s="891">
        <v>2.79</v>
      </c>
      <c r="I210" s="891">
        <v>0.57999999999999996</v>
      </c>
      <c r="J210" s="891">
        <v>0.46</v>
      </c>
      <c r="K210" s="891">
        <v>1.63</v>
      </c>
      <c r="L210" s="891">
        <v>1.45</v>
      </c>
      <c r="M210" s="891">
        <v>1.63</v>
      </c>
      <c r="N210" s="891">
        <v>11.61</v>
      </c>
      <c r="O210" s="891">
        <v>1.05</v>
      </c>
      <c r="P210" s="891">
        <v>11.61</v>
      </c>
      <c r="Q210" s="891">
        <v>0.93</v>
      </c>
      <c r="R210" s="891">
        <v>2.56</v>
      </c>
      <c r="S210" s="891">
        <v>0.93</v>
      </c>
      <c r="T210" s="891">
        <v>0.46</v>
      </c>
      <c r="U210" s="891">
        <v>3.31</v>
      </c>
      <c r="V210" s="891">
        <v>6.97</v>
      </c>
      <c r="W210" s="891">
        <v>1.1599999999999999</v>
      </c>
      <c r="X210" s="927">
        <v>19744.53</v>
      </c>
      <c r="Y210" s="891">
        <v>580.72</v>
      </c>
      <c r="Z210" s="891">
        <v>348.43</v>
      </c>
      <c r="AA210" s="891">
        <v>1277.5899999999999</v>
      </c>
      <c r="AB210" s="891">
        <v>580.72</v>
      </c>
      <c r="AC210" s="891">
        <v>162.6</v>
      </c>
      <c r="AD210" s="891">
        <v>0.19</v>
      </c>
      <c r="AE210" s="891">
        <v>69.69</v>
      </c>
      <c r="AF210" s="891">
        <v>60.4</v>
      </c>
      <c r="AG210" s="891">
        <v>6.62</v>
      </c>
      <c r="AH210" s="891">
        <v>4.18</v>
      </c>
      <c r="AI210" s="891">
        <v>92.92</v>
      </c>
      <c r="AJ210" s="891">
        <v>69.69</v>
      </c>
      <c r="AK210" s="891">
        <v>104.53</v>
      </c>
      <c r="AL210" s="891">
        <v>92.92</v>
      </c>
      <c r="AM210" s="891">
        <v>2555.17</v>
      </c>
      <c r="AN210" s="891">
        <v>2090.6</v>
      </c>
      <c r="AO210" s="891">
        <v>394.89</v>
      </c>
      <c r="AP210" s="891">
        <v>11</v>
      </c>
      <c r="AQ210" s="891">
        <v>0.93</v>
      </c>
      <c r="AR210" s="891">
        <v>0.28000000000000003</v>
      </c>
      <c r="AS210" s="891">
        <v>11.61</v>
      </c>
      <c r="AT210" s="891">
        <v>1.86</v>
      </c>
      <c r="AU210" s="891">
        <v>2.3199999999999998</v>
      </c>
      <c r="AV210" s="891">
        <v>0.46</v>
      </c>
      <c r="AW210" s="891">
        <v>0.98</v>
      </c>
      <c r="AX210" s="891">
        <v>2.85</v>
      </c>
      <c r="AY210" s="891">
        <v>0.98</v>
      </c>
      <c r="AZ210" s="891">
        <v>0.78</v>
      </c>
      <c r="BA210" s="891">
        <f t="shared" si="9"/>
        <v>232.48</v>
      </c>
      <c r="BB210" s="926">
        <f t="shared" si="10"/>
        <v>19765.939999999999</v>
      </c>
      <c r="BC210" s="926">
        <f t="shared" si="11"/>
        <v>20.249999999999854</v>
      </c>
      <c r="BD210" s="891"/>
      <c r="BE210" s="891"/>
      <c r="BF210" s="891"/>
      <c r="BG210" s="928"/>
      <c r="BH210" s="928"/>
      <c r="BI210" s="928"/>
    </row>
    <row r="211" spans="1:61">
      <c r="A211" s="891" t="s">
        <v>982</v>
      </c>
      <c r="B211" s="891" t="s">
        <v>596</v>
      </c>
      <c r="C211" s="891" t="s">
        <v>236</v>
      </c>
      <c r="D211" s="891">
        <v>12.19</v>
      </c>
      <c r="E211" s="891">
        <v>52.83</v>
      </c>
      <c r="F211" s="891">
        <v>8.81</v>
      </c>
      <c r="G211" s="891">
        <v>2.71</v>
      </c>
      <c r="H211" s="891">
        <v>3.39</v>
      </c>
      <c r="I211" s="891">
        <v>1.35</v>
      </c>
      <c r="J211" s="891">
        <v>1.35</v>
      </c>
      <c r="K211" s="891">
        <v>0.95</v>
      </c>
      <c r="L211" s="891">
        <v>0.81</v>
      </c>
      <c r="M211" s="891">
        <v>1.52</v>
      </c>
      <c r="N211" s="891">
        <v>5.42</v>
      </c>
      <c r="O211" s="891">
        <v>0.47</v>
      </c>
      <c r="P211" s="891">
        <v>4.0599999999999996</v>
      </c>
      <c r="Q211" s="891">
        <v>1.02</v>
      </c>
      <c r="R211" s="891">
        <v>1.22</v>
      </c>
      <c r="S211" s="891">
        <v>5.42</v>
      </c>
      <c r="T211" s="891">
        <v>1.76</v>
      </c>
      <c r="U211" s="891">
        <v>8.1300000000000008</v>
      </c>
      <c r="V211" s="891">
        <v>52.93</v>
      </c>
      <c r="W211" s="891">
        <v>1.98</v>
      </c>
      <c r="X211" s="927">
        <v>25778.92</v>
      </c>
      <c r="Y211" s="891">
        <v>541.86</v>
      </c>
      <c r="Z211" s="891">
        <v>406.39</v>
      </c>
      <c r="AA211" s="891">
        <v>846.65</v>
      </c>
      <c r="AB211" s="891">
        <v>609.59</v>
      </c>
      <c r="AC211" s="891">
        <v>170.04</v>
      </c>
      <c r="AD211" s="891">
        <v>0.08</v>
      </c>
      <c r="AE211" s="891">
        <v>47.41</v>
      </c>
      <c r="AF211" s="891">
        <v>47.41</v>
      </c>
      <c r="AG211" s="891">
        <v>6.77</v>
      </c>
      <c r="AH211" s="891">
        <v>9.48</v>
      </c>
      <c r="AI211" s="891">
        <v>54.19</v>
      </c>
      <c r="AJ211" s="891">
        <v>21.67</v>
      </c>
      <c r="AK211" s="891">
        <v>90.76</v>
      </c>
      <c r="AL211" s="891">
        <v>54.19</v>
      </c>
      <c r="AM211" s="891">
        <v>1896.51</v>
      </c>
      <c r="AN211" s="891">
        <v>2031.97</v>
      </c>
      <c r="AO211" s="891">
        <v>1354.65</v>
      </c>
      <c r="AP211" s="891">
        <v>3.5</v>
      </c>
      <c r="AQ211" s="891">
        <v>4.88</v>
      </c>
      <c r="AR211" s="891">
        <v>1.1599999999999999</v>
      </c>
      <c r="AS211" s="891">
        <v>25.77</v>
      </c>
      <c r="AT211" s="891">
        <v>1.63</v>
      </c>
      <c r="AU211" s="891">
        <v>1.1499999999999999</v>
      </c>
      <c r="AV211" s="891">
        <v>1.05</v>
      </c>
      <c r="AW211" s="891">
        <v>0.75</v>
      </c>
      <c r="AX211" s="891">
        <v>2.0299999999999998</v>
      </c>
      <c r="AY211" s="891">
        <v>1.1499999999999999</v>
      </c>
      <c r="AZ211" s="891">
        <v>1.31</v>
      </c>
      <c r="BA211" s="891">
        <f t="shared" si="9"/>
        <v>217.53</v>
      </c>
      <c r="BB211" s="926">
        <f t="shared" si="10"/>
        <v>25867.399999999998</v>
      </c>
      <c r="BC211" s="926">
        <f t="shared" si="11"/>
        <v>86.499999999999559</v>
      </c>
      <c r="BD211" s="891"/>
      <c r="BE211" s="891"/>
      <c r="BF211" s="891"/>
      <c r="BG211" s="928"/>
      <c r="BH211" s="928"/>
      <c r="BI211" s="928"/>
    </row>
    <row r="212" spans="1:61">
      <c r="A212" s="891" t="s">
        <v>983</v>
      </c>
      <c r="B212" s="891" t="s">
        <v>582</v>
      </c>
      <c r="C212" s="891" t="s">
        <v>60</v>
      </c>
      <c r="D212" s="891">
        <v>15.44</v>
      </c>
      <c r="E212" s="891">
        <v>77.19</v>
      </c>
      <c r="F212" s="891">
        <v>10.029999999999999</v>
      </c>
      <c r="G212" s="891">
        <v>7.72</v>
      </c>
      <c r="H212" s="891">
        <v>7.72</v>
      </c>
      <c r="I212" s="891">
        <v>2.08</v>
      </c>
      <c r="J212" s="891">
        <v>2.3199999999999998</v>
      </c>
      <c r="K212" s="891">
        <v>1.39</v>
      </c>
      <c r="L212" s="891">
        <v>3.09</v>
      </c>
      <c r="M212" s="891">
        <v>3.86</v>
      </c>
      <c r="N212" s="891">
        <v>12.35</v>
      </c>
      <c r="O212" s="891">
        <v>2.16</v>
      </c>
      <c r="P212" s="891">
        <v>12.74</v>
      </c>
      <c r="Q212" s="891">
        <v>1.93</v>
      </c>
      <c r="R212" s="891">
        <v>2.3199999999999998</v>
      </c>
      <c r="S212" s="891">
        <v>7.72</v>
      </c>
      <c r="T212" s="891">
        <v>3.09</v>
      </c>
      <c r="U212" s="891">
        <v>12.74</v>
      </c>
      <c r="V212" s="891">
        <v>72.17</v>
      </c>
      <c r="W212" s="891">
        <v>2.16</v>
      </c>
      <c r="X212" s="927">
        <v>27786.78</v>
      </c>
      <c r="Y212" s="891">
        <v>1042</v>
      </c>
      <c r="Z212" s="891">
        <v>810.45</v>
      </c>
      <c r="AA212" s="891">
        <v>1698.08</v>
      </c>
      <c r="AB212" s="891">
        <v>1389.34</v>
      </c>
      <c r="AC212" s="891">
        <v>117.5</v>
      </c>
      <c r="AD212" s="891">
        <v>0.31</v>
      </c>
      <c r="AE212" s="891">
        <v>38.590000000000003</v>
      </c>
      <c r="AF212" s="891">
        <v>46.31</v>
      </c>
      <c r="AG212" s="891">
        <v>24.7</v>
      </c>
      <c r="AH212" s="891">
        <v>17.75</v>
      </c>
      <c r="AI212" s="891">
        <v>123.5</v>
      </c>
      <c r="AJ212" s="891">
        <v>54.03</v>
      </c>
      <c r="AK212" s="891">
        <v>123.5</v>
      </c>
      <c r="AL212" s="891">
        <v>131.22</v>
      </c>
      <c r="AM212" s="891">
        <v>3782.09</v>
      </c>
      <c r="AN212" s="891">
        <v>2624.31</v>
      </c>
      <c r="AO212" s="891">
        <v>2701.49</v>
      </c>
      <c r="AP212" s="891">
        <v>3.5</v>
      </c>
      <c r="AQ212" s="891">
        <v>6.02</v>
      </c>
      <c r="AR212" s="891">
        <v>1.48</v>
      </c>
      <c r="AS212" s="891">
        <v>33.880000000000003</v>
      </c>
      <c r="AT212" s="891">
        <v>3.09</v>
      </c>
      <c r="AU212" s="891">
        <v>2.3199999999999998</v>
      </c>
      <c r="AV212" s="891">
        <v>1.08</v>
      </c>
      <c r="AW212" s="891">
        <v>2.2400000000000002</v>
      </c>
      <c r="AX212" s="891">
        <v>4.63</v>
      </c>
      <c r="AY212" s="891">
        <v>2.62</v>
      </c>
      <c r="AZ212" s="891">
        <v>3.4</v>
      </c>
      <c r="BA212" s="891">
        <f t="shared" si="9"/>
        <v>156.4</v>
      </c>
      <c r="BB212" s="926">
        <f t="shared" si="10"/>
        <v>27905.579999999998</v>
      </c>
      <c r="BC212" s="926">
        <f t="shared" si="11"/>
        <v>116.63999999999928</v>
      </c>
      <c r="BD212" s="891"/>
      <c r="BE212" s="891"/>
      <c r="BF212" s="891"/>
      <c r="BG212" s="928"/>
      <c r="BH212" s="928"/>
      <c r="BI212" s="928"/>
    </row>
    <row r="213" spans="1:61">
      <c r="A213" s="891" t="s">
        <v>984</v>
      </c>
      <c r="B213" s="891" t="s">
        <v>584</v>
      </c>
      <c r="C213" s="891" t="s">
        <v>262</v>
      </c>
      <c r="D213" s="891">
        <v>5.42</v>
      </c>
      <c r="E213" s="891">
        <v>53.05</v>
      </c>
      <c r="F213" s="891">
        <v>5.63</v>
      </c>
      <c r="G213" s="891">
        <v>6.63</v>
      </c>
      <c r="H213" s="891">
        <v>7.96</v>
      </c>
      <c r="I213" s="891">
        <v>1.3</v>
      </c>
      <c r="J213" s="891">
        <v>0.53</v>
      </c>
      <c r="K213" s="891">
        <v>1.33</v>
      </c>
      <c r="L213" s="891">
        <v>0.87</v>
      </c>
      <c r="M213" s="891">
        <v>1.99</v>
      </c>
      <c r="N213" s="891">
        <v>4.75</v>
      </c>
      <c r="O213" s="891">
        <v>0.9</v>
      </c>
      <c r="P213" s="891">
        <v>22</v>
      </c>
      <c r="Q213" s="891">
        <v>1.33</v>
      </c>
      <c r="R213" s="891">
        <v>3.98</v>
      </c>
      <c r="S213" s="891">
        <v>2.2400000000000002</v>
      </c>
      <c r="T213" s="891">
        <v>0.53</v>
      </c>
      <c r="U213" s="891">
        <v>6.37</v>
      </c>
      <c r="V213" s="891">
        <v>1</v>
      </c>
      <c r="W213" s="891">
        <v>0.26</v>
      </c>
      <c r="X213" s="927">
        <v>24641.91</v>
      </c>
      <c r="Y213" s="891">
        <v>729.44</v>
      </c>
      <c r="Z213" s="891">
        <v>663.13</v>
      </c>
      <c r="AA213" s="891">
        <v>1591.51</v>
      </c>
      <c r="AB213" s="891">
        <v>1396.82</v>
      </c>
      <c r="AC213" s="891">
        <v>39.79</v>
      </c>
      <c r="AD213" s="891">
        <v>0.09</v>
      </c>
      <c r="AE213" s="891">
        <v>47.75</v>
      </c>
      <c r="AF213" s="891">
        <v>66.31</v>
      </c>
      <c r="AG213" s="891">
        <v>28</v>
      </c>
      <c r="AH213" s="891">
        <v>7.96</v>
      </c>
      <c r="AI213" s="891">
        <v>110</v>
      </c>
      <c r="AJ213" s="891">
        <v>59</v>
      </c>
      <c r="AK213" s="891">
        <v>98.05</v>
      </c>
      <c r="AL213" s="891">
        <v>106.1</v>
      </c>
      <c r="AM213" s="891">
        <v>1814.32</v>
      </c>
      <c r="AN213" s="891">
        <v>1856.76</v>
      </c>
      <c r="AO213" s="891">
        <v>1130.5</v>
      </c>
      <c r="AP213" s="891">
        <v>9</v>
      </c>
      <c r="AQ213" s="891">
        <v>3</v>
      </c>
      <c r="AR213" s="891">
        <v>0.6</v>
      </c>
      <c r="AS213" s="891">
        <v>5.98</v>
      </c>
      <c r="AT213" s="891">
        <v>2.12</v>
      </c>
      <c r="AU213" s="891">
        <v>1.83</v>
      </c>
      <c r="AV213" s="891">
        <v>1.03</v>
      </c>
      <c r="AW213" s="891">
        <v>1.03</v>
      </c>
      <c r="AX213" s="891">
        <v>3.98</v>
      </c>
      <c r="AY213" s="891">
        <v>1.86</v>
      </c>
      <c r="AZ213" s="891">
        <v>2.65</v>
      </c>
      <c r="BA213" s="891">
        <f t="shared" si="9"/>
        <v>87.63</v>
      </c>
      <c r="BB213" s="926">
        <f t="shared" si="10"/>
        <v>24653.279999999999</v>
      </c>
      <c r="BC213" s="926">
        <f t="shared" si="11"/>
        <v>11.109999999998982</v>
      </c>
      <c r="BD213" s="891"/>
      <c r="BE213" s="891"/>
      <c r="BF213" s="891"/>
      <c r="BG213" s="928"/>
      <c r="BH213" s="928"/>
      <c r="BI213" s="928"/>
    </row>
    <row r="214" spans="1:61">
      <c r="A214" s="891" t="s">
        <v>985</v>
      </c>
      <c r="B214" s="891" t="s">
        <v>646</v>
      </c>
      <c r="C214" s="891" t="s">
        <v>354</v>
      </c>
      <c r="D214" s="891">
        <v>3.48</v>
      </c>
      <c r="E214" s="891">
        <v>16.260000000000002</v>
      </c>
      <c r="F214" s="891">
        <v>2.9</v>
      </c>
      <c r="G214" s="891">
        <v>0.7</v>
      </c>
      <c r="H214" s="891">
        <v>1.39</v>
      </c>
      <c r="I214" s="891">
        <v>0.57999999999999996</v>
      </c>
      <c r="J214" s="891">
        <v>0.35</v>
      </c>
      <c r="K214" s="891">
        <v>1.63</v>
      </c>
      <c r="L214" s="891">
        <v>1.3</v>
      </c>
      <c r="M214" s="891">
        <v>1.63</v>
      </c>
      <c r="N214" s="891">
        <v>6.5</v>
      </c>
      <c r="O214" s="891">
        <v>0.81</v>
      </c>
      <c r="P214" s="891">
        <v>6.39</v>
      </c>
      <c r="Q214" s="891">
        <v>0.81</v>
      </c>
      <c r="R214" s="891">
        <v>1.74</v>
      </c>
      <c r="S214" s="891">
        <v>1.1599999999999999</v>
      </c>
      <c r="T214" s="891">
        <v>0.34</v>
      </c>
      <c r="U214" s="891">
        <v>3.48</v>
      </c>
      <c r="V214" s="891">
        <v>18.579999999999998</v>
      </c>
      <c r="W214" s="891">
        <v>1.21</v>
      </c>
      <c r="X214" s="927">
        <v>18676</v>
      </c>
      <c r="Y214" s="891">
        <v>418.12</v>
      </c>
      <c r="Z214" s="891">
        <v>209.06</v>
      </c>
      <c r="AA214" s="891">
        <v>1393.73</v>
      </c>
      <c r="AB214" s="891">
        <v>580.72</v>
      </c>
      <c r="AC214" s="891">
        <v>87.75</v>
      </c>
      <c r="AD214" s="891">
        <v>0.16</v>
      </c>
      <c r="AE214" s="891">
        <v>45</v>
      </c>
      <c r="AF214" s="891">
        <v>40.65</v>
      </c>
      <c r="AG214" s="891">
        <v>9.2899999999999991</v>
      </c>
      <c r="AH214" s="891">
        <v>4.07</v>
      </c>
      <c r="AI214" s="891">
        <v>58.07</v>
      </c>
      <c r="AJ214" s="891">
        <v>46.46</v>
      </c>
      <c r="AK214" s="891">
        <v>90.59</v>
      </c>
      <c r="AL214" s="891">
        <v>58.07</v>
      </c>
      <c r="AM214" s="891">
        <v>1626.02</v>
      </c>
      <c r="AN214" s="891">
        <v>700.85</v>
      </c>
      <c r="AO214" s="891">
        <v>348.43</v>
      </c>
      <c r="AP214" s="891">
        <v>9</v>
      </c>
      <c r="AQ214" s="891">
        <v>0.93</v>
      </c>
      <c r="AR214" s="891">
        <v>0.32</v>
      </c>
      <c r="AS214" s="891">
        <v>2.44</v>
      </c>
      <c r="AT214" s="891">
        <v>2.3199999999999998</v>
      </c>
      <c r="AU214" s="891">
        <v>2.56</v>
      </c>
      <c r="AV214" s="891">
        <v>1.39</v>
      </c>
      <c r="AW214" s="891">
        <v>0.93</v>
      </c>
      <c r="AX214" s="891">
        <v>2.3199999999999998</v>
      </c>
      <c r="AY214" s="891">
        <v>0.89</v>
      </c>
      <c r="AZ214" s="891">
        <v>1.39</v>
      </c>
      <c r="BA214" s="891">
        <f t="shared" si="9"/>
        <v>132.91</v>
      </c>
      <c r="BB214" s="926">
        <f t="shared" si="10"/>
        <v>18699.82</v>
      </c>
      <c r="BC214" s="926">
        <f t="shared" si="11"/>
        <v>22.609999999999708</v>
      </c>
      <c r="BD214" s="891"/>
      <c r="BE214" s="891"/>
      <c r="BF214" s="891"/>
      <c r="BG214" s="928"/>
      <c r="BH214" s="928"/>
      <c r="BI214" s="928"/>
    </row>
    <row r="215" spans="1:61">
      <c r="A215" s="891" t="s">
        <v>986</v>
      </c>
      <c r="B215" s="891" t="s">
        <v>599</v>
      </c>
      <c r="C215" s="891" t="s">
        <v>209</v>
      </c>
      <c r="D215" s="891">
        <v>7.45</v>
      </c>
      <c r="E215" s="891">
        <v>35.22</v>
      </c>
      <c r="F215" s="891">
        <v>6.77</v>
      </c>
      <c r="G215" s="891">
        <v>3.12</v>
      </c>
      <c r="H215" s="891">
        <v>3.18</v>
      </c>
      <c r="I215" s="891">
        <v>2.57</v>
      </c>
      <c r="J215" s="891">
        <v>2.0299999999999998</v>
      </c>
      <c r="K215" s="891">
        <v>1.22</v>
      </c>
      <c r="L215" s="891">
        <v>1.76</v>
      </c>
      <c r="M215" s="891">
        <v>2.44</v>
      </c>
      <c r="N215" s="891">
        <v>8.1300000000000008</v>
      </c>
      <c r="O215" s="891">
        <v>0.68</v>
      </c>
      <c r="P215" s="891">
        <v>5.42</v>
      </c>
      <c r="Q215" s="891">
        <v>1.35</v>
      </c>
      <c r="R215" s="891">
        <v>2.0299999999999998</v>
      </c>
      <c r="S215" s="891">
        <v>4.47</v>
      </c>
      <c r="T215" s="891">
        <v>1.49</v>
      </c>
      <c r="U215" s="891">
        <v>9.48</v>
      </c>
      <c r="V215" s="891">
        <v>44.03</v>
      </c>
      <c r="W215" s="891">
        <v>2.0299999999999998</v>
      </c>
      <c r="X215" s="927">
        <v>23028.99</v>
      </c>
      <c r="Y215" s="891">
        <v>406.39</v>
      </c>
      <c r="Z215" s="891">
        <v>338.66</v>
      </c>
      <c r="AA215" s="891">
        <v>812.79</v>
      </c>
      <c r="AB215" s="891">
        <v>677.32</v>
      </c>
      <c r="AC215" s="891">
        <v>230.29</v>
      </c>
      <c r="AD215" s="891">
        <v>0.14000000000000001</v>
      </c>
      <c r="AE215" s="891">
        <v>27.09</v>
      </c>
      <c r="AF215" s="891">
        <v>64.349999999999994</v>
      </c>
      <c r="AG215" s="891">
        <v>20.32</v>
      </c>
      <c r="AH215" s="891">
        <v>6.77</v>
      </c>
      <c r="AI215" s="891">
        <v>132.08000000000001</v>
      </c>
      <c r="AJ215" s="891">
        <v>33.869999999999997</v>
      </c>
      <c r="AK215" s="891">
        <v>108.37</v>
      </c>
      <c r="AL215" s="891">
        <v>81.28</v>
      </c>
      <c r="AM215" s="891">
        <v>2099.6999999999998</v>
      </c>
      <c r="AN215" s="891">
        <v>1490.11</v>
      </c>
      <c r="AO215" s="891">
        <v>1151.45</v>
      </c>
      <c r="AP215" s="891">
        <v>6</v>
      </c>
      <c r="AQ215" s="891">
        <v>1.35</v>
      </c>
      <c r="AR215" s="891">
        <v>1.42</v>
      </c>
      <c r="AS215" s="891">
        <v>32.51</v>
      </c>
      <c r="AT215" s="891">
        <v>1.63</v>
      </c>
      <c r="AU215" s="891">
        <v>1.63</v>
      </c>
      <c r="AV215" s="891">
        <v>1.1000000000000001</v>
      </c>
      <c r="AW215" s="891">
        <v>1.35</v>
      </c>
      <c r="AX215" s="891">
        <v>1.69</v>
      </c>
      <c r="AY215" s="891">
        <v>3.05</v>
      </c>
      <c r="AZ215" s="891">
        <v>2.44</v>
      </c>
      <c r="BA215" s="891">
        <f t="shared" si="9"/>
        <v>257.52</v>
      </c>
      <c r="BB215" s="926">
        <f t="shared" si="10"/>
        <v>23111.819999999996</v>
      </c>
      <c r="BC215" s="926">
        <f t="shared" si="11"/>
        <v>80.799999999994469</v>
      </c>
      <c r="BD215" s="891"/>
      <c r="BE215" s="891"/>
      <c r="BF215" s="891"/>
      <c r="BG215" s="928"/>
      <c r="BH215" s="928"/>
      <c r="BI215" s="928"/>
    </row>
    <row r="216" spans="1:61">
      <c r="A216" s="891" t="s">
        <v>987</v>
      </c>
      <c r="B216" s="891" t="s">
        <v>569</v>
      </c>
      <c r="C216" s="891" t="s">
        <v>94</v>
      </c>
      <c r="D216" s="891">
        <v>16.260000000000002</v>
      </c>
      <c r="E216" s="891">
        <v>67.73</v>
      </c>
      <c r="F216" s="891">
        <v>10.16</v>
      </c>
      <c r="G216" s="891">
        <v>5.42</v>
      </c>
      <c r="H216" s="891">
        <v>3.73</v>
      </c>
      <c r="I216" s="891">
        <v>3.12</v>
      </c>
      <c r="J216" s="891">
        <v>2.71</v>
      </c>
      <c r="K216" s="891">
        <v>1.08</v>
      </c>
      <c r="L216" s="891">
        <v>1.49</v>
      </c>
      <c r="M216" s="891">
        <v>5.42</v>
      </c>
      <c r="N216" s="891">
        <v>13.55</v>
      </c>
      <c r="O216" s="891">
        <v>0.75</v>
      </c>
      <c r="P216" s="891">
        <v>7.45</v>
      </c>
      <c r="Q216" s="891">
        <v>2.0299999999999998</v>
      </c>
      <c r="R216" s="891">
        <v>1.08</v>
      </c>
      <c r="S216" s="891">
        <v>8.94</v>
      </c>
      <c r="T216" s="891">
        <v>2.0299999999999998</v>
      </c>
      <c r="U216" s="891">
        <v>16.260000000000002</v>
      </c>
      <c r="V216" s="891">
        <v>49.44</v>
      </c>
      <c r="W216" s="891">
        <v>2.0299999999999998</v>
      </c>
      <c r="X216" s="927">
        <v>19609.18</v>
      </c>
      <c r="Y216" s="891">
        <v>745.06</v>
      </c>
      <c r="Z216" s="891">
        <v>609.59</v>
      </c>
      <c r="AA216" s="891">
        <v>1490.11</v>
      </c>
      <c r="AB216" s="891">
        <v>1354.65</v>
      </c>
      <c r="AC216" s="891">
        <v>115.14</v>
      </c>
      <c r="AD216" s="891">
        <v>0.41</v>
      </c>
      <c r="AE216" s="891">
        <v>33.869999999999997</v>
      </c>
      <c r="AF216" s="891">
        <v>47.41</v>
      </c>
      <c r="AG216" s="891">
        <v>20.32</v>
      </c>
      <c r="AH216" s="891">
        <v>13.48</v>
      </c>
      <c r="AI216" s="891">
        <v>115.14</v>
      </c>
      <c r="AJ216" s="891">
        <v>54.19</v>
      </c>
      <c r="AK216" s="891">
        <v>98.21</v>
      </c>
      <c r="AL216" s="891">
        <v>108.37</v>
      </c>
      <c r="AM216" s="891">
        <v>4063.94</v>
      </c>
      <c r="AN216" s="891">
        <v>2709.29</v>
      </c>
      <c r="AO216" s="891">
        <v>2167.4299999999998</v>
      </c>
      <c r="AP216" s="891">
        <v>4.5</v>
      </c>
      <c r="AQ216" s="891">
        <v>2.57</v>
      </c>
      <c r="AR216" s="891">
        <v>1.72</v>
      </c>
      <c r="AS216" s="891">
        <v>30.07</v>
      </c>
      <c r="AT216" s="891">
        <v>2.71</v>
      </c>
      <c r="AU216" s="891">
        <v>2.0299999999999998</v>
      </c>
      <c r="AV216" s="891">
        <v>1.49</v>
      </c>
      <c r="AW216" s="891">
        <v>1.35</v>
      </c>
      <c r="AX216" s="891">
        <v>2.71</v>
      </c>
      <c r="AY216" s="891">
        <v>2.71</v>
      </c>
      <c r="AZ216" s="891">
        <v>1.83</v>
      </c>
      <c r="BA216" s="891">
        <f t="shared" si="9"/>
        <v>149.41999999999999</v>
      </c>
      <c r="BB216" s="926">
        <f t="shared" si="10"/>
        <v>19697.04</v>
      </c>
      <c r="BC216" s="926">
        <f t="shared" si="11"/>
        <v>85.830000000000581</v>
      </c>
      <c r="BD216" s="891"/>
      <c r="BE216" s="891"/>
      <c r="BF216" s="891"/>
      <c r="BG216" s="928"/>
      <c r="BH216" s="928"/>
      <c r="BI216" s="928"/>
    </row>
    <row r="217" spans="1:61">
      <c r="A217" s="891" t="s">
        <v>988</v>
      </c>
      <c r="B217" s="891" t="s">
        <v>625</v>
      </c>
      <c r="C217" s="891" t="s">
        <v>314</v>
      </c>
      <c r="D217" s="891">
        <v>4.6500000000000004</v>
      </c>
      <c r="E217" s="891">
        <v>23.03</v>
      </c>
      <c r="F217" s="891">
        <v>7</v>
      </c>
      <c r="G217" s="891">
        <v>1.03</v>
      </c>
      <c r="H217" s="891">
        <v>3</v>
      </c>
      <c r="I217" s="891">
        <v>1.03</v>
      </c>
      <c r="J217" s="891">
        <v>0.93</v>
      </c>
      <c r="K217" s="891">
        <v>1.01</v>
      </c>
      <c r="L217" s="891">
        <v>1.33</v>
      </c>
      <c r="M217" s="891">
        <v>2.39</v>
      </c>
      <c r="N217" s="891">
        <v>3.86</v>
      </c>
      <c r="O217" s="891">
        <v>1.18</v>
      </c>
      <c r="P217" s="891">
        <v>10.6</v>
      </c>
      <c r="Q217" s="891">
        <v>0.9</v>
      </c>
      <c r="R217" s="891">
        <v>2.65</v>
      </c>
      <c r="S217" s="891">
        <v>1.86</v>
      </c>
      <c r="T217" s="891">
        <v>0.95</v>
      </c>
      <c r="U217" s="891">
        <v>5</v>
      </c>
      <c r="V217" s="891">
        <v>32.869999999999997</v>
      </c>
      <c r="W217" s="891">
        <v>1.2</v>
      </c>
      <c r="X217" s="927">
        <v>19648.38</v>
      </c>
      <c r="Y217" s="891">
        <v>223.81</v>
      </c>
      <c r="Z217" s="891">
        <v>279</v>
      </c>
      <c r="AA217" s="891">
        <v>400</v>
      </c>
      <c r="AB217" s="891">
        <v>636.1</v>
      </c>
      <c r="AC217" s="891">
        <v>89.47</v>
      </c>
      <c r="AD217" s="891">
        <v>0.12</v>
      </c>
      <c r="AE217" s="891">
        <v>25</v>
      </c>
      <c r="AF217" s="891">
        <v>47.53</v>
      </c>
      <c r="AG217" s="891">
        <v>27.03</v>
      </c>
      <c r="AH217" s="891">
        <v>5.3</v>
      </c>
      <c r="AI217" s="891">
        <v>64.45</v>
      </c>
      <c r="AJ217" s="891">
        <v>58.9</v>
      </c>
      <c r="AK217" s="891">
        <v>79.510000000000005</v>
      </c>
      <c r="AL217" s="891">
        <v>90</v>
      </c>
      <c r="AM217" s="891">
        <v>825</v>
      </c>
      <c r="AN217" s="891">
        <v>1484.23</v>
      </c>
      <c r="AO217" s="891">
        <v>530.08000000000004</v>
      </c>
      <c r="AP217" s="891">
        <v>12</v>
      </c>
      <c r="AQ217" s="891">
        <v>2.11</v>
      </c>
      <c r="AR217" s="891">
        <v>0.87</v>
      </c>
      <c r="AS217" s="891">
        <v>13.86</v>
      </c>
      <c r="AT217" s="891">
        <v>2.12</v>
      </c>
      <c r="AU217" s="891">
        <v>1.66</v>
      </c>
      <c r="AV217" s="891">
        <v>0.9</v>
      </c>
      <c r="AW217" s="891">
        <v>0.92</v>
      </c>
      <c r="AX217" s="891">
        <v>2</v>
      </c>
      <c r="AY217" s="891">
        <v>1.1100000000000001</v>
      </c>
      <c r="AZ217" s="891">
        <v>1.19</v>
      </c>
      <c r="BA217" s="891">
        <f t="shared" si="9"/>
        <v>114.59</v>
      </c>
      <c r="BB217" s="926">
        <f t="shared" si="10"/>
        <v>19700.240000000002</v>
      </c>
      <c r="BC217" s="926">
        <f t="shared" si="11"/>
        <v>50.660000000000579</v>
      </c>
      <c r="BD217" s="891"/>
      <c r="BE217" s="891"/>
      <c r="BF217" s="891"/>
      <c r="BG217" s="928"/>
      <c r="BH217" s="928"/>
      <c r="BI217" s="928"/>
    </row>
    <row r="218" spans="1:61">
      <c r="A218" s="891" t="s">
        <v>989</v>
      </c>
      <c r="B218" s="891" t="s">
        <v>579</v>
      </c>
      <c r="C218" s="891" t="s">
        <v>17</v>
      </c>
      <c r="D218" s="891">
        <v>14.2</v>
      </c>
      <c r="E218" s="891">
        <v>75.72</v>
      </c>
      <c r="F218" s="891">
        <v>7.57</v>
      </c>
      <c r="G218" s="891">
        <v>5.68</v>
      </c>
      <c r="H218" s="891">
        <v>6.63</v>
      </c>
      <c r="I218" s="891">
        <v>2.84</v>
      </c>
      <c r="J218" s="891">
        <v>2.37</v>
      </c>
      <c r="K218" s="891">
        <v>1.35</v>
      </c>
      <c r="L218" s="891">
        <v>2.84</v>
      </c>
      <c r="M218" s="891">
        <v>3.79</v>
      </c>
      <c r="N218" s="891">
        <v>10.41</v>
      </c>
      <c r="O218" s="891">
        <v>2.37</v>
      </c>
      <c r="P218" s="891">
        <v>14.2</v>
      </c>
      <c r="Q218" s="891">
        <v>4.0199999999999996</v>
      </c>
      <c r="R218" s="891">
        <v>3.79</v>
      </c>
      <c r="S218" s="891">
        <v>17.04</v>
      </c>
      <c r="T218" s="891">
        <v>3.62</v>
      </c>
      <c r="U218" s="891">
        <v>11.36</v>
      </c>
      <c r="V218" s="891">
        <v>122.57</v>
      </c>
      <c r="W218" s="891">
        <v>1.37</v>
      </c>
      <c r="X218" s="927">
        <v>28395.65</v>
      </c>
      <c r="Y218" s="891">
        <v>1561.76</v>
      </c>
      <c r="Z218" s="891">
        <v>1372.46</v>
      </c>
      <c r="AA218" s="891">
        <v>2839.56</v>
      </c>
      <c r="AB218" s="891">
        <v>1893.04</v>
      </c>
      <c r="AC218" s="891">
        <v>185.42</v>
      </c>
      <c r="AD218" s="891">
        <v>0.89</v>
      </c>
      <c r="AE218" s="891">
        <v>56.79</v>
      </c>
      <c r="AF218" s="891">
        <v>68.62</v>
      </c>
      <c r="AG218" s="891">
        <v>18.93</v>
      </c>
      <c r="AH218" s="891">
        <v>17.04</v>
      </c>
      <c r="AI218" s="891">
        <v>94.65</v>
      </c>
      <c r="AJ218" s="891">
        <v>75.72</v>
      </c>
      <c r="AK218" s="891">
        <v>141.97999999999999</v>
      </c>
      <c r="AL218" s="891">
        <v>141.97999999999999</v>
      </c>
      <c r="AM218" s="891">
        <v>7572.17</v>
      </c>
      <c r="AN218" s="891">
        <v>6625.65</v>
      </c>
      <c r="AO218" s="891">
        <v>3786.09</v>
      </c>
      <c r="AP218" s="891">
        <v>6</v>
      </c>
      <c r="AQ218" s="891">
        <v>3.31</v>
      </c>
      <c r="AR218" s="891">
        <v>1.7</v>
      </c>
      <c r="AS218" s="891">
        <v>47.33</v>
      </c>
      <c r="AT218" s="891">
        <v>3.79</v>
      </c>
      <c r="AU218" s="891">
        <v>3.31</v>
      </c>
      <c r="AV218" s="891">
        <v>2.84</v>
      </c>
      <c r="AW218" s="891">
        <v>2.1800000000000002</v>
      </c>
      <c r="AX218" s="891">
        <v>3.31</v>
      </c>
      <c r="AY218" s="891">
        <v>2.37</v>
      </c>
      <c r="AZ218" s="891">
        <v>4.7300000000000004</v>
      </c>
      <c r="BA218" s="891">
        <f t="shared" si="9"/>
        <v>243.09999999999997</v>
      </c>
      <c r="BB218" s="926">
        <f t="shared" si="10"/>
        <v>28575.550000000007</v>
      </c>
      <c r="BC218" s="926">
        <f t="shared" si="11"/>
        <v>178.53000000000509</v>
      </c>
      <c r="BD218" s="891"/>
      <c r="BE218" s="891"/>
      <c r="BF218" s="891"/>
      <c r="BG218" s="928"/>
      <c r="BH218" s="928"/>
      <c r="BI218" s="928"/>
    </row>
    <row r="219" spans="1:61">
      <c r="A219" s="891" t="s">
        <v>990</v>
      </c>
      <c r="B219" s="891" t="s">
        <v>558</v>
      </c>
      <c r="C219" s="891" t="s">
        <v>306</v>
      </c>
      <c r="D219" s="891">
        <v>4.2300000000000004</v>
      </c>
      <c r="E219" s="891">
        <v>30.79</v>
      </c>
      <c r="F219" s="891">
        <v>5</v>
      </c>
      <c r="G219" s="891">
        <v>1.23</v>
      </c>
      <c r="H219" s="891">
        <v>2.31</v>
      </c>
      <c r="I219" s="891">
        <v>0.65</v>
      </c>
      <c r="J219" s="891">
        <v>0.46</v>
      </c>
      <c r="K219" s="891">
        <v>1.08</v>
      </c>
      <c r="L219" s="891">
        <v>1.54</v>
      </c>
      <c r="M219" s="891">
        <v>1.65</v>
      </c>
      <c r="N219" s="891">
        <v>7.7</v>
      </c>
      <c r="O219" s="891">
        <v>0.92</v>
      </c>
      <c r="P219" s="891">
        <v>8.4700000000000006</v>
      </c>
      <c r="Q219" s="891">
        <v>0.92</v>
      </c>
      <c r="R219" s="891">
        <v>0.92</v>
      </c>
      <c r="S219" s="891">
        <v>3.16</v>
      </c>
      <c r="T219" s="891">
        <v>0.46</v>
      </c>
      <c r="U219" s="891">
        <v>4.43</v>
      </c>
      <c r="V219" s="891">
        <v>15.39</v>
      </c>
      <c r="W219" s="891">
        <v>0.85</v>
      </c>
      <c r="X219" s="927">
        <v>14624.5</v>
      </c>
      <c r="Y219" s="891">
        <v>230.91</v>
      </c>
      <c r="Z219" s="891">
        <v>153.94</v>
      </c>
      <c r="AA219" s="891">
        <v>769.71</v>
      </c>
      <c r="AB219" s="891">
        <v>519.54999999999995</v>
      </c>
      <c r="AC219" s="891">
        <v>146.24</v>
      </c>
      <c r="AD219" s="891">
        <v>0.27</v>
      </c>
      <c r="AE219" s="891">
        <v>26.32</v>
      </c>
      <c r="AF219" s="891">
        <v>42.33</v>
      </c>
      <c r="AG219" s="891">
        <v>11.55</v>
      </c>
      <c r="AH219" s="891">
        <v>3.73</v>
      </c>
      <c r="AI219" s="891">
        <v>46.18</v>
      </c>
      <c r="AJ219" s="891">
        <v>61.58</v>
      </c>
      <c r="AK219" s="891">
        <v>92.37</v>
      </c>
      <c r="AL219" s="891">
        <v>53.88</v>
      </c>
      <c r="AM219" s="891">
        <v>750.47</v>
      </c>
      <c r="AN219" s="891">
        <v>615.77</v>
      </c>
      <c r="AO219" s="891">
        <v>561.89</v>
      </c>
      <c r="AP219" s="891">
        <v>11</v>
      </c>
      <c r="AQ219" s="891">
        <v>1.54</v>
      </c>
      <c r="AR219" s="891">
        <v>1.23</v>
      </c>
      <c r="AS219" s="891">
        <v>17.32</v>
      </c>
      <c r="AT219" s="891">
        <v>3.27</v>
      </c>
      <c r="AU219" s="891">
        <v>2.69</v>
      </c>
      <c r="AV219" s="891">
        <v>1.1499999999999999</v>
      </c>
      <c r="AW219" s="891">
        <v>0.62</v>
      </c>
      <c r="AX219" s="891">
        <v>2.31</v>
      </c>
      <c r="AY219" s="891">
        <v>1</v>
      </c>
      <c r="AZ219" s="891">
        <v>1.65</v>
      </c>
      <c r="BA219" s="891">
        <f t="shared" si="9"/>
        <v>172.83</v>
      </c>
      <c r="BB219" s="926">
        <f t="shared" si="10"/>
        <v>14661.29</v>
      </c>
      <c r="BC219" s="926">
        <f t="shared" si="11"/>
        <v>35.940000000000872</v>
      </c>
      <c r="BD219" s="891"/>
      <c r="BE219" s="891"/>
      <c r="BF219" s="891"/>
      <c r="BG219" s="928"/>
      <c r="BH219" s="928"/>
      <c r="BI219" s="928"/>
    </row>
    <row r="220" spans="1:61">
      <c r="A220" s="891" t="s">
        <v>1615</v>
      </c>
      <c r="B220" s="891" t="s">
        <v>558</v>
      </c>
      <c r="C220" s="891" t="s">
        <v>303</v>
      </c>
      <c r="D220" s="891">
        <v>5</v>
      </c>
      <c r="E220" s="891">
        <v>30.79</v>
      </c>
      <c r="F220" s="891">
        <v>5</v>
      </c>
      <c r="G220" s="891">
        <v>1.92</v>
      </c>
      <c r="H220" s="891">
        <v>3.46</v>
      </c>
      <c r="I220" s="891">
        <v>0.77</v>
      </c>
      <c r="J220" s="891">
        <v>0.73</v>
      </c>
      <c r="K220" s="891">
        <v>1.08</v>
      </c>
      <c r="L220" s="891">
        <v>1.62</v>
      </c>
      <c r="M220" s="891">
        <v>1.92</v>
      </c>
      <c r="N220" s="891">
        <v>7.7</v>
      </c>
      <c r="O220" s="891">
        <v>0.92</v>
      </c>
      <c r="P220" s="891">
        <v>9.24</v>
      </c>
      <c r="Q220" s="891">
        <v>1.1499999999999999</v>
      </c>
      <c r="R220" s="891">
        <v>1.92</v>
      </c>
      <c r="S220" s="891">
        <v>3.23</v>
      </c>
      <c r="T220" s="891">
        <v>0.31</v>
      </c>
      <c r="U220" s="891">
        <v>5.43</v>
      </c>
      <c r="V220" s="891">
        <v>14.62</v>
      </c>
      <c r="W220" s="891">
        <v>0.85</v>
      </c>
      <c r="X220" s="927">
        <v>16933.63</v>
      </c>
      <c r="Y220" s="891">
        <v>481.07</v>
      </c>
      <c r="Z220" s="891">
        <v>365.61</v>
      </c>
      <c r="AA220" s="891">
        <v>1116.08</v>
      </c>
      <c r="AB220" s="891">
        <v>923.65</v>
      </c>
      <c r="AC220" s="891">
        <v>61.58</v>
      </c>
      <c r="AD220" s="891">
        <v>0.31</v>
      </c>
      <c r="AE220" s="891">
        <v>30.79</v>
      </c>
      <c r="AF220" s="891">
        <v>73.12</v>
      </c>
      <c r="AG220" s="891">
        <v>23.09</v>
      </c>
      <c r="AH220" s="891">
        <v>5</v>
      </c>
      <c r="AI220" s="891">
        <v>50</v>
      </c>
      <c r="AJ220" s="891">
        <v>46.18</v>
      </c>
      <c r="AK220" s="891">
        <v>92.37</v>
      </c>
      <c r="AL220" s="891">
        <v>73.12</v>
      </c>
      <c r="AM220" s="891">
        <v>1924.28</v>
      </c>
      <c r="AN220" s="891">
        <v>1308.51</v>
      </c>
      <c r="AO220" s="891">
        <v>846.68</v>
      </c>
      <c r="AP220" s="891">
        <v>10.5</v>
      </c>
      <c r="AQ220" s="891">
        <v>0.69</v>
      </c>
      <c r="AR220" s="891">
        <v>0.32</v>
      </c>
      <c r="AS220" s="891">
        <v>11.55</v>
      </c>
      <c r="AT220" s="891">
        <v>2.31</v>
      </c>
      <c r="AU220" s="891">
        <v>0.92</v>
      </c>
      <c r="AV220" s="891">
        <v>1.1499999999999999</v>
      </c>
      <c r="AW220" s="891">
        <v>1</v>
      </c>
      <c r="AX220" s="891">
        <v>2.31</v>
      </c>
      <c r="AY220" s="891">
        <v>1.54</v>
      </c>
      <c r="AZ220" s="891">
        <v>1.73</v>
      </c>
      <c r="BA220" s="891">
        <f t="shared" si="9"/>
        <v>92.68</v>
      </c>
      <c r="BB220" s="926">
        <f t="shared" si="10"/>
        <v>16961.969999999998</v>
      </c>
      <c r="BC220" s="926">
        <f t="shared" si="11"/>
        <v>27.489999999996506</v>
      </c>
      <c r="BD220" s="891"/>
      <c r="BE220" s="891"/>
      <c r="BF220" s="891"/>
      <c r="BG220" s="928"/>
      <c r="BH220" s="928"/>
      <c r="BI220" s="928"/>
    </row>
    <row r="221" spans="1:61">
      <c r="A221" s="891" t="s">
        <v>992</v>
      </c>
      <c r="B221" s="891" t="s">
        <v>1606</v>
      </c>
      <c r="C221" s="891" t="s">
        <v>145</v>
      </c>
      <c r="D221" s="891">
        <v>15</v>
      </c>
      <c r="E221" s="891">
        <v>55</v>
      </c>
      <c r="F221" s="891">
        <v>7</v>
      </c>
      <c r="G221" s="891">
        <v>3</v>
      </c>
      <c r="H221" s="891">
        <v>4.5</v>
      </c>
      <c r="I221" s="891">
        <v>1.5</v>
      </c>
      <c r="J221" s="891">
        <v>1.5</v>
      </c>
      <c r="K221" s="891">
        <v>1</v>
      </c>
      <c r="L221" s="891">
        <v>3.08</v>
      </c>
      <c r="M221" s="891">
        <v>2.92</v>
      </c>
      <c r="N221" s="891">
        <v>13.22</v>
      </c>
      <c r="O221" s="891">
        <v>1.65</v>
      </c>
      <c r="P221" s="891">
        <v>14</v>
      </c>
      <c r="Q221" s="891">
        <v>2</v>
      </c>
      <c r="R221" s="891">
        <v>3</v>
      </c>
      <c r="S221" s="891">
        <v>6.25</v>
      </c>
      <c r="T221" s="891">
        <v>2</v>
      </c>
      <c r="U221" s="891">
        <v>7.8</v>
      </c>
      <c r="V221" s="891">
        <v>100</v>
      </c>
      <c r="W221" s="891">
        <v>1</v>
      </c>
      <c r="X221" s="927">
        <v>19500</v>
      </c>
      <c r="Y221" s="891">
        <v>1575</v>
      </c>
      <c r="Z221" s="891">
        <v>950</v>
      </c>
      <c r="AA221" s="891">
        <v>3000</v>
      </c>
      <c r="AB221" s="891">
        <v>1700</v>
      </c>
      <c r="AC221" s="891">
        <v>170</v>
      </c>
      <c r="AD221" s="891">
        <v>0.1</v>
      </c>
      <c r="AE221" s="891">
        <v>59</v>
      </c>
      <c r="AF221" s="891">
        <v>36</v>
      </c>
      <c r="AG221" s="891">
        <v>17.5</v>
      </c>
      <c r="AH221" s="891">
        <v>10</v>
      </c>
      <c r="AI221" s="891">
        <v>47.78</v>
      </c>
      <c r="AJ221" s="891">
        <v>52.5</v>
      </c>
      <c r="AK221" s="891">
        <v>80</v>
      </c>
      <c r="AL221" s="891">
        <v>88.52</v>
      </c>
      <c r="AM221" s="891">
        <v>3000</v>
      </c>
      <c r="AN221" s="891">
        <v>1500</v>
      </c>
      <c r="AO221" s="891">
        <v>3140</v>
      </c>
      <c r="AP221" s="891">
        <v>5</v>
      </c>
      <c r="AQ221" s="891">
        <v>2.5</v>
      </c>
      <c r="AR221" s="891">
        <v>1.06</v>
      </c>
      <c r="AS221" s="891">
        <v>25</v>
      </c>
      <c r="AT221" s="891">
        <v>3.31</v>
      </c>
      <c r="AU221" s="891">
        <v>3.31</v>
      </c>
      <c r="AV221" s="891">
        <v>3.58</v>
      </c>
      <c r="AW221" s="891">
        <v>1.5</v>
      </c>
      <c r="AX221" s="891">
        <v>3.85</v>
      </c>
      <c r="AY221" s="891">
        <v>2.5</v>
      </c>
      <c r="AZ221" s="891">
        <v>2.2000000000000002</v>
      </c>
      <c r="BA221" s="891">
        <f t="shared" si="9"/>
        <v>229.1</v>
      </c>
      <c r="BB221" s="926">
        <f t="shared" si="10"/>
        <v>19631.560000000001</v>
      </c>
      <c r="BC221" s="926">
        <f t="shared" si="11"/>
        <v>130.56000000000131</v>
      </c>
      <c r="BD221" s="891"/>
      <c r="BE221" s="891"/>
      <c r="BF221" s="891"/>
      <c r="BG221" s="928"/>
      <c r="BH221" s="928"/>
      <c r="BI221" s="928"/>
    </row>
    <row r="222" spans="1:61">
      <c r="A222" s="891" t="s">
        <v>993</v>
      </c>
      <c r="B222" s="891" t="s">
        <v>563</v>
      </c>
      <c r="C222" s="891" t="s">
        <v>73</v>
      </c>
      <c r="D222" s="891">
        <v>21</v>
      </c>
      <c r="E222" s="891">
        <v>88.05</v>
      </c>
      <c r="F222" s="891">
        <v>10.84</v>
      </c>
      <c r="G222" s="891">
        <v>6.1</v>
      </c>
      <c r="H222" s="891">
        <v>5.76</v>
      </c>
      <c r="I222" s="891">
        <v>3.39</v>
      </c>
      <c r="J222" s="891">
        <v>1.83</v>
      </c>
      <c r="K222" s="891">
        <v>1.83</v>
      </c>
      <c r="L222" s="891">
        <v>2.37</v>
      </c>
      <c r="M222" s="891">
        <v>3.39</v>
      </c>
      <c r="N222" s="891">
        <v>14.9</v>
      </c>
      <c r="O222" s="891">
        <v>0.54</v>
      </c>
      <c r="P222" s="891">
        <v>6.77</v>
      </c>
      <c r="Q222" s="891">
        <v>1.35</v>
      </c>
      <c r="R222" s="891">
        <v>2.0299999999999998</v>
      </c>
      <c r="S222" s="891">
        <v>6.77</v>
      </c>
      <c r="T222" s="891">
        <v>2.0299999999999998</v>
      </c>
      <c r="U222" s="891">
        <v>10.16</v>
      </c>
      <c r="V222" s="891">
        <v>40.64</v>
      </c>
      <c r="W222" s="891">
        <v>2.44</v>
      </c>
      <c r="X222" s="927">
        <v>29124.9</v>
      </c>
      <c r="Y222" s="891">
        <v>1286.9100000000001</v>
      </c>
      <c r="Z222" s="891">
        <v>948.25</v>
      </c>
      <c r="AA222" s="891">
        <v>2709.29</v>
      </c>
      <c r="AB222" s="891">
        <v>1625.58</v>
      </c>
      <c r="AC222" s="891">
        <v>188.3</v>
      </c>
      <c r="AD222" s="891">
        <v>0.2</v>
      </c>
      <c r="AE222" s="891">
        <v>33.869999999999997</v>
      </c>
      <c r="AF222" s="891">
        <v>81.28</v>
      </c>
      <c r="AG222" s="891">
        <v>27.09</v>
      </c>
      <c r="AH222" s="891">
        <v>10.84</v>
      </c>
      <c r="AI222" s="891">
        <v>121.92</v>
      </c>
      <c r="AJ222" s="891">
        <v>40.64</v>
      </c>
      <c r="AK222" s="891">
        <v>108.37</v>
      </c>
      <c r="AL222" s="891">
        <v>149.01</v>
      </c>
      <c r="AM222" s="891">
        <v>12530.48</v>
      </c>
      <c r="AN222" s="891">
        <v>4605.8</v>
      </c>
      <c r="AO222" s="891">
        <v>2167.4299999999998</v>
      </c>
      <c r="AP222" s="891">
        <v>5.25</v>
      </c>
      <c r="AQ222" s="891">
        <v>6.1</v>
      </c>
      <c r="AR222" s="891">
        <v>1.4</v>
      </c>
      <c r="AS222" s="891">
        <v>36.39</v>
      </c>
      <c r="AT222" s="891">
        <v>2.71</v>
      </c>
      <c r="AU222" s="891">
        <v>2.42</v>
      </c>
      <c r="AV222" s="891">
        <v>1.35</v>
      </c>
      <c r="AW222" s="891">
        <v>1.69</v>
      </c>
      <c r="AX222" s="891">
        <v>1.9</v>
      </c>
      <c r="AY222" s="891">
        <v>2.71</v>
      </c>
      <c r="AZ222" s="891">
        <v>2.61</v>
      </c>
      <c r="BA222" s="891">
        <f t="shared" si="9"/>
        <v>222.37</v>
      </c>
      <c r="BB222" s="926">
        <f t="shared" si="10"/>
        <v>29213.9</v>
      </c>
      <c r="BC222" s="926">
        <f t="shared" si="11"/>
        <v>86.56</v>
      </c>
      <c r="BD222" s="891"/>
      <c r="BE222" s="891"/>
      <c r="BF222" s="891"/>
      <c r="BG222" s="928"/>
      <c r="BH222" s="928"/>
      <c r="BI222" s="928"/>
    </row>
    <row r="223" spans="1:61">
      <c r="A223" s="891" t="s">
        <v>994</v>
      </c>
      <c r="B223" s="891" t="s">
        <v>1606</v>
      </c>
      <c r="C223" s="891" t="s">
        <v>242</v>
      </c>
      <c r="D223" s="891">
        <v>10.5</v>
      </c>
      <c r="E223" s="891">
        <v>35</v>
      </c>
      <c r="F223" s="891">
        <v>6.75</v>
      </c>
      <c r="G223" s="891">
        <v>3</v>
      </c>
      <c r="H223" s="891">
        <v>5</v>
      </c>
      <c r="I223" s="891">
        <v>1.25</v>
      </c>
      <c r="J223" s="891">
        <v>1</v>
      </c>
      <c r="K223" s="891">
        <v>0.92</v>
      </c>
      <c r="L223" s="891">
        <v>1.94</v>
      </c>
      <c r="M223" s="891">
        <v>2</v>
      </c>
      <c r="N223" s="891">
        <v>8.91</v>
      </c>
      <c r="O223" s="891">
        <v>1.5</v>
      </c>
      <c r="P223" s="891">
        <v>10</v>
      </c>
      <c r="Q223" s="891">
        <v>2</v>
      </c>
      <c r="R223" s="891">
        <v>6.25</v>
      </c>
      <c r="S223" s="891">
        <v>7.6</v>
      </c>
      <c r="T223" s="891">
        <v>2.25</v>
      </c>
      <c r="U223" s="891">
        <v>4.41</v>
      </c>
      <c r="V223" s="891">
        <v>57</v>
      </c>
      <c r="W223" s="891">
        <v>1</v>
      </c>
      <c r="X223" s="927">
        <v>13299.5</v>
      </c>
      <c r="Y223" s="891">
        <v>900</v>
      </c>
      <c r="Z223" s="891">
        <v>600</v>
      </c>
      <c r="AA223" s="891">
        <v>1050</v>
      </c>
      <c r="AB223" s="891">
        <v>900</v>
      </c>
      <c r="AC223" s="891">
        <v>125</v>
      </c>
      <c r="AD223" s="891">
        <v>0.1</v>
      </c>
      <c r="AE223" s="891">
        <v>40</v>
      </c>
      <c r="AF223" s="891">
        <v>30</v>
      </c>
      <c r="AG223" s="891">
        <v>16</v>
      </c>
      <c r="AH223" s="891">
        <v>9.5</v>
      </c>
      <c r="AI223" s="891">
        <v>34.5</v>
      </c>
      <c r="AJ223" s="891">
        <v>35</v>
      </c>
      <c r="AK223" s="891">
        <v>77.5</v>
      </c>
      <c r="AL223" s="891">
        <v>99</v>
      </c>
      <c r="AM223" s="891">
        <v>1399.31</v>
      </c>
      <c r="AN223" s="891">
        <v>699.65</v>
      </c>
      <c r="AO223" s="891">
        <v>2900</v>
      </c>
      <c r="AP223" s="891">
        <v>5.75</v>
      </c>
      <c r="AQ223" s="891">
        <v>1.5</v>
      </c>
      <c r="AR223" s="891">
        <v>0.62</v>
      </c>
      <c r="AS223" s="891">
        <v>30</v>
      </c>
      <c r="AT223" s="891">
        <v>1.88</v>
      </c>
      <c r="AU223" s="891">
        <v>2.08</v>
      </c>
      <c r="AV223" s="891">
        <v>2.2000000000000002</v>
      </c>
      <c r="AW223" s="891">
        <v>1</v>
      </c>
      <c r="AX223" s="891">
        <v>3.5</v>
      </c>
      <c r="AY223" s="891">
        <v>2.09</v>
      </c>
      <c r="AZ223" s="891">
        <v>2.6</v>
      </c>
      <c r="BA223" s="891">
        <f t="shared" si="9"/>
        <v>165.1</v>
      </c>
      <c r="BB223" s="926">
        <f t="shared" si="10"/>
        <v>13391.87</v>
      </c>
      <c r="BC223" s="926">
        <f t="shared" si="11"/>
        <v>91.3700000000008</v>
      </c>
      <c r="BD223" s="891"/>
      <c r="BE223" s="891"/>
      <c r="BF223" s="891"/>
      <c r="BG223" s="928"/>
      <c r="BH223" s="928"/>
      <c r="BI223" s="928"/>
    </row>
    <row r="224" spans="1:61">
      <c r="A224" s="891" t="s">
        <v>995</v>
      </c>
      <c r="B224" s="891" t="s">
        <v>1606</v>
      </c>
      <c r="C224" s="891" t="s">
        <v>116</v>
      </c>
      <c r="D224" s="891">
        <v>11</v>
      </c>
      <c r="E224" s="891">
        <v>50</v>
      </c>
      <c r="F224" s="891">
        <v>6</v>
      </c>
      <c r="G224" s="891">
        <v>4</v>
      </c>
      <c r="H224" s="891">
        <v>6</v>
      </c>
      <c r="I224" s="891">
        <v>1.78</v>
      </c>
      <c r="J224" s="891">
        <v>1.5</v>
      </c>
      <c r="K224" s="891">
        <v>0.97</v>
      </c>
      <c r="L224" s="891">
        <v>2.5</v>
      </c>
      <c r="M224" s="891">
        <v>2</v>
      </c>
      <c r="N224" s="891">
        <v>13.23</v>
      </c>
      <c r="O224" s="891">
        <v>2</v>
      </c>
      <c r="P224" s="891">
        <v>12</v>
      </c>
      <c r="Q224" s="891">
        <v>2.5</v>
      </c>
      <c r="R224" s="891">
        <v>3</v>
      </c>
      <c r="S224" s="891">
        <v>7</v>
      </c>
      <c r="T224" s="891">
        <v>2.25</v>
      </c>
      <c r="U224" s="891">
        <v>13.23</v>
      </c>
      <c r="V224" s="891">
        <v>67.5</v>
      </c>
      <c r="W224" s="891">
        <v>0.96</v>
      </c>
      <c r="X224" s="927">
        <v>22397.5</v>
      </c>
      <c r="Y224" s="891">
        <v>1200</v>
      </c>
      <c r="Z224" s="891">
        <v>750</v>
      </c>
      <c r="AA224" s="891">
        <v>2000</v>
      </c>
      <c r="AB224" s="891">
        <v>1400</v>
      </c>
      <c r="AC224" s="891">
        <v>190</v>
      </c>
      <c r="AD224" s="891">
        <v>0.3</v>
      </c>
      <c r="AE224" s="891">
        <v>47.5</v>
      </c>
      <c r="AF224" s="891">
        <v>40</v>
      </c>
      <c r="AG224" s="891">
        <v>20</v>
      </c>
      <c r="AH224" s="891">
        <v>10</v>
      </c>
      <c r="AI224" s="891">
        <v>40</v>
      </c>
      <c r="AJ224" s="891">
        <v>40</v>
      </c>
      <c r="AK224" s="891">
        <v>75</v>
      </c>
      <c r="AL224" s="891">
        <v>90</v>
      </c>
      <c r="AM224" s="891">
        <v>2690.98</v>
      </c>
      <c r="AN224" s="891">
        <v>1453.13</v>
      </c>
      <c r="AO224" s="891">
        <v>3511</v>
      </c>
      <c r="AP224" s="891">
        <v>4.87</v>
      </c>
      <c r="AQ224" s="891">
        <v>5</v>
      </c>
      <c r="AR224" s="891">
        <v>1.71</v>
      </c>
      <c r="AS224" s="891">
        <v>32</v>
      </c>
      <c r="AT224" s="891">
        <v>4.41</v>
      </c>
      <c r="AU224" s="891">
        <v>4.08</v>
      </c>
      <c r="AV224" s="891">
        <v>2</v>
      </c>
      <c r="AW224" s="891">
        <v>1.74</v>
      </c>
      <c r="AX224" s="891">
        <v>3.75</v>
      </c>
      <c r="AY224" s="891">
        <v>2</v>
      </c>
      <c r="AZ224" s="891">
        <v>3.86</v>
      </c>
      <c r="BA224" s="891">
        <f t="shared" si="9"/>
        <v>237.8</v>
      </c>
      <c r="BB224" s="926">
        <f t="shared" si="10"/>
        <v>22506.92</v>
      </c>
      <c r="BC224" s="926">
        <f t="shared" si="11"/>
        <v>108.45999999999826</v>
      </c>
      <c r="BD224" s="891"/>
      <c r="BE224" s="891"/>
      <c r="BF224" s="891"/>
      <c r="BG224" s="928"/>
      <c r="BH224" s="928"/>
      <c r="BI224" s="928"/>
    </row>
    <row r="225" spans="1:61">
      <c r="A225" s="891" t="s">
        <v>996</v>
      </c>
      <c r="B225" s="891" t="s">
        <v>640</v>
      </c>
      <c r="C225" s="891" t="s">
        <v>323</v>
      </c>
      <c r="D225" s="891">
        <v>10</v>
      </c>
      <c r="E225" s="891">
        <v>35</v>
      </c>
      <c r="F225" s="891">
        <v>6</v>
      </c>
      <c r="G225" s="891">
        <v>1.3</v>
      </c>
      <c r="H225" s="891">
        <v>2.95</v>
      </c>
      <c r="I225" s="891">
        <v>1</v>
      </c>
      <c r="J225" s="891">
        <v>0.7</v>
      </c>
      <c r="K225" s="891">
        <v>0.92</v>
      </c>
      <c r="L225" s="891">
        <v>0.5</v>
      </c>
      <c r="M225" s="891">
        <v>1.44</v>
      </c>
      <c r="N225" s="891">
        <v>7</v>
      </c>
      <c r="O225" s="891">
        <v>0.7</v>
      </c>
      <c r="P225" s="891">
        <v>7</v>
      </c>
      <c r="Q225" s="891">
        <v>1</v>
      </c>
      <c r="R225" s="891">
        <v>2</v>
      </c>
      <c r="S225" s="891">
        <v>1.5</v>
      </c>
      <c r="T225" s="891">
        <v>0.2</v>
      </c>
      <c r="U225" s="891">
        <v>5.68</v>
      </c>
      <c r="V225" s="891">
        <v>11.38</v>
      </c>
      <c r="W225" s="891">
        <v>0.89</v>
      </c>
      <c r="X225" s="927">
        <v>23000</v>
      </c>
      <c r="Y225" s="891">
        <v>450.78</v>
      </c>
      <c r="Z225" s="891">
        <v>300</v>
      </c>
      <c r="AA225" s="891">
        <v>800</v>
      </c>
      <c r="AB225" s="891">
        <v>587.52</v>
      </c>
      <c r="AC225" s="891">
        <v>40.58</v>
      </c>
      <c r="AD225" s="891">
        <v>0.03</v>
      </c>
      <c r="AE225" s="891">
        <v>20</v>
      </c>
      <c r="AF225" s="891">
        <v>48.19</v>
      </c>
      <c r="AG225" s="891">
        <v>18.850000000000001</v>
      </c>
      <c r="AH225" s="891">
        <v>3.5</v>
      </c>
      <c r="AI225" s="891">
        <v>100</v>
      </c>
      <c r="AJ225" s="891">
        <v>52.5</v>
      </c>
      <c r="AK225" s="891">
        <v>120</v>
      </c>
      <c r="AL225" s="891">
        <v>107.6</v>
      </c>
      <c r="AM225" s="891">
        <v>2000</v>
      </c>
      <c r="AN225" s="891">
        <v>1350</v>
      </c>
      <c r="AO225" s="891">
        <v>500</v>
      </c>
      <c r="AP225" s="891">
        <v>35</v>
      </c>
      <c r="AQ225" s="891">
        <v>2</v>
      </c>
      <c r="AR225" s="891">
        <v>0.5</v>
      </c>
      <c r="AS225" s="891">
        <v>4.6100000000000003</v>
      </c>
      <c r="AT225" s="891">
        <v>1.6</v>
      </c>
      <c r="AU225" s="891">
        <v>2</v>
      </c>
      <c r="AV225" s="891">
        <v>0.5</v>
      </c>
      <c r="AW225" s="891">
        <v>1.25</v>
      </c>
      <c r="AX225" s="891">
        <v>2</v>
      </c>
      <c r="AY225" s="891">
        <v>1.25</v>
      </c>
      <c r="AZ225" s="891">
        <v>2.2999999999999998</v>
      </c>
      <c r="BA225" s="891">
        <f t="shared" si="9"/>
        <v>60.61</v>
      </c>
      <c r="BB225" s="926">
        <f t="shared" si="10"/>
        <v>23019.58</v>
      </c>
      <c r="BC225" s="926">
        <f t="shared" si="11"/>
        <v>18.690000000001746</v>
      </c>
      <c r="BD225" s="891"/>
      <c r="BE225" s="891"/>
      <c r="BF225" s="891"/>
      <c r="BG225" s="928"/>
      <c r="BH225" s="928"/>
      <c r="BI225" s="928"/>
    </row>
    <row r="226" spans="1:61">
      <c r="A226" s="891" t="s">
        <v>997</v>
      </c>
      <c r="B226" s="891" t="s">
        <v>559</v>
      </c>
      <c r="C226" s="891" t="s">
        <v>80</v>
      </c>
      <c r="D226" s="891">
        <v>14.49</v>
      </c>
      <c r="E226" s="891">
        <v>48.29</v>
      </c>
      <c r="F226" s="891">
        <v>7.73</v>
      </c>
      <c r="G226" s="891">
        <v>4.83</v>
      </c>
      <c r="H226" s="891">
        <v>6.76</v>
      </c>
      <c r="I226" s="891">
        <v>1.84</v>
      </c>
      <c r="J226" s="891">
        <v>1.33</v>
      </c>
      <c r="K226" s="891">
        <v>1.45</v>
      </c>
      <c r="L226" s="891">
        <v>2.5</v>
      </c>
      <c r="M226" s="891">
        <v>3.14</v>
      </c>
      <c r="N226" s="891">
        <v>18.25</v>
      </c>
      <c r="O226" s="891">
        <v>1.92</v>
      </c>
      <c r="P226" s="891">
        <v>15.69</v>
      </c>
      <c r="Q226" s="891">
        <v>2.17</v>
      </c>
      <c r="R226" s="891">
        <v>2.66</v>
      </c>
      <c r="S226" s="891">
        <v>9.66</v>
      </c>
      <c r="T226" s="891">
        <v>3.14</v>
      </c>
      <c r="U226" s="891">
        <v>12.67</v>
      </c>
      <c r="V226" s="891">
        <v>122.66</v>
      </c>
      <c r="W226" s="891">
        <v>1.26</v>
      </c>
      <c r="X226" s="927">
        <v>16418.78</v>
      </c>
      <c r="Y226" s="891">
        <v>1255.55</v>
      </c>
      <c r="Z226" s="891">
        <v>1110.68</v>
      </c>
      <c r="AA226" s="891">
        <v>1762.6</v>
      </c>
      <c r="AB226" s="891">
        <v>1545.3</v>
      </c>
      <c r="AC226" s="891">
        <v>193.16</v>
      </c>
      <c r="AD226" s="891">
        <v>0.34</v>
      </c>
      <c r="AE226" s="891">
        <v>41.05</v>
      </c>
      <c r="AF226" s="891">
        <v>33.799999999999997</v>
      </c>
      <c r="AG226" s="891">
        <v>48.29</v>
      </c>
      <c r="AH226" s="891">
        <v>11.83</v>
      </c>
      <c r="AI226" s="891">
        <v>28.97</v>
      </c>
      <c r="AJ226" s="891">
        <v>38.630000000000003</v>
      </c>
      <c r="AK226" s="891">
        <v>77.260000000000005</v>
      </c>
      <c r="AL226" s="891">
        <v>67.61</v>
      </c>
      <c r="AM226" s="891">
        <v>2988.82</v>
      </c>
      <c r="AN226" s="891">
        <v>2287.1</v>
      </c>
      <c r="AO226" s="891">
        <v>3380.34</v>
      </c>
      <c r="AP226" s="891">
        <v>3.42</v>
      </c>
      <c r="AQ226" s="891">
        <v>3.74</v>
      </c>
      <c r="AR226" s="891">
        <v>1.93</v>
      </c>
      <c r="AS226" s="891">
        <v>28.97</v>
      </c>
      <c r="AT226" s="891">
        <v>2.77</v>
      </c>
      <c r="AU226" s="891">
        <v>2.56</v>
      </c>
      <c r="AV226" s="891">
        <v>1.86</v>
      </c>
      <c r="AW226" s="891">
        <v>1.92</v>
      </c>
      <c r="AX226" s="891">
        <v>3.19</v>
      </c>
      <c r="AY226" s="891">
        <v>1.93</v>
      </c>
      <c r="AZ226" s="891">
        <v>2.27</v>
      </c>
      <c r="BA226" s="891">
        <f t="shared" si="9"/>
        <v>234.55</v>
      </c>
      <c r="BB226" s="926">
        <f t="shared" si="10"/>
        <v>16580.480000000003</v>
      </c>
      <c r="BC226" s="926">
        <f t="shared" si="11"/>
        <v>160.44000000000437</v>
      </c>
      <c r="BD226" s="891"/>
      <c r="BE226" s="891"/>
      <c r="BF226" s="891"/>
      <c r="BG226" s="928"/>
      <c r="BH226" s="928"/>
      <c r="BI226" s="928"/>
    </row>
    <row r="227" spans="1:61">
      <c r="A227" s="891" t="s">
        <v>998</v>
      </c>
      <c r="B227" s="891" t="s">
        <v>558</v>
      </c>
      <c r="C227" s="891" t="s">
        <v>282</v>
      </c>
      <c r="D227" s="891">
        <v>6.16</v>
      </c>
      <c r="E227" s="891">
        <v>28.67</v>
      </c>
      <c r="F227" s="891">
        <v>5.39</v>
      </c>
      <c r="G227" s="891">
        <v>1.92</v>
      </c>
      <c r="H227" s="891">
        <v>3.08</v>
      </c>
      <c r="I227" s="891">
        <v>0.77</v>
      </c>
      <c r="J227" s="891">
        <v>0.69</v>
      </c>
      <c r="K227" s="891">
        <v>1.1200000000000001</v>
      </c>
      <c r="L227" s="891">
        <v>1.89</v>
      </c>
      <c r="M227" s="891">
        <v>1.92</v>
      </c>
      <c r="N227" s="891">
        <v>6.93</v>
      </c>
      <c r="O227" s="891">
        <v>0.96</v>
      </c>
      <c r="P227" s="891">
        <v>7.7</v>
      </c>
      <c r="Q227" s="891">
        <v>1.1499999999999999</v>
      </c>
      <c r="R227" s="891">
        <v>2.12</v>
      </c>
      <c r="S227" s="891">
        <v>3.08</v>
      </c>
      <c r="T227" s="891">
        <v>0.77</v>
      </c>
      <c r="U227" s="891">
        <v>6.93</v>
      </c>
      <c r="V227" s="891">
        <v>30.79</v>
      </c>
      <c r="W227" s="891">
        <v>0.85</v>
      </c>
      <c r="X227" s="927">
        <v>17895.77</v>
      </c>
      <c r="Y227" s="891">
        <v>230.91</v>
      </c>
      <c r="Z227" s="891">
        <v>269.39999999999998</v>
      </c>
      <c r="AA227" s="891">
        <v>500.31</v>
      </c>
      <c r="AB227" s="891">
        <v>538.79999999999995</v>
      </c>
      <c r="AC227" s="891">
        <v>94.56</v>
      </c>
      <c r="AD227" s="891">
        <v>0.28999999999999998</v>
      </c>
      <c r="AE227" s="891">
        <v>38.49</v>
      </c>
      <c r="AF227" s="891">
        <v>69.27</v>
      </c>
      <c r="AG227" s="891">
        <v>13.7</v>
      </c>
      <c r="AH227" s="891">
        <v>4.2300000000000004</v>
      </c>
      <c r="AI227" s="891">
        <v>51.96</v>
      </c>
      <c r="AJ227" s="891">
        <v>53.88</v>
      </c>
      <c r="AK227" s="891">
        <v>92.37</v>
      </c>
      <c r="AL227" s="891">
        <v>67.73</v>
      </c>
      <c r="AM227" s="891">
        <v>1539.42</v>
      </c>
      <c r="AN227" s="891">
        <v>711.98</v>
      </c>
      <c r="AO227" s="891">
        <v>1154.57</v>
      </c>
      <c r="AP227" s="891">
        <v>10.25</v>
      </c>
      <c r="AQ227" s="891">
        <v>1.1200000000000001</v>
      </c>
      <c r="AR227" s="891">
        <v>0.38</v>
      </c>
      <c r="AS227" s="891">
        <v>9.24</v>
      </c>
      <c r="AT227" s="891">
        <v>2.92</v>
      </c>
      <c r="AU227" s="891">
        <v>1.31</v>
      </c>
      <c r="AV227" s="891">
        <v>1.1499999999999999</v>
      </c>
      <c r="AW227" s="891">
        <v>1.08</v>
      </c>
      <c r="AX227" s="891">
        <v>2.69</v>
      </c>
      <c r="AY227" s="891">
        <v>1.1499999999999999</v>
      </c>
      <c r="AZ227" s="891">
        <v>1.1499999999999999</v>
      </c>
      <c r="BA227" s="891">
        <f t="shared" si="9"/>
        <v>133.34</v>
      </c>
      <c r="BB227" s="926">
        <f t="shared" si="10"/>
        <v>17938.920000000002</v>
      </c>
      <c r="BC227" s="926">
        <f t="shared" si="11"/>
        <v>42.300000000001454</v>
      </c>
      <c r="BD227" s="891"/>
      <c r="BE227" s="891"/>
      <c r="BF227" s="891"/>
      <c r="BG227" s="928"/>
      <c r="BH227" s="928"/>
      <c r="BI227" s="928"/>
    </row>
    <row r="228" spans="1:61">
      <c r="A228" s="891" t="s">
        <v>999</v>
      </c>
      <c r="B228" s="891" t="s">
        <v>600</v>
      </c>
      <c r="C228" s="891" t="s">
        <v>201</v>
      </c>
      <c r="D228" s="891">
        <v>9.32</v>
      </c>
      <c r="E228" s="891">
        <v>37.93</v>
      </c>
      <c r="F228" s="891">
        <v>8.86</v>
      </c>
      <c r="G228" s="891">
        <v>2</v>
      </c>
      <c r="H228" s="891">
        <v>3</v>
      </c>
      <c r="I228" s="891">
        <v>1.4</v>
      </c>
      <c r="J228" s="891">
        <v>1</v>
      </c>
      <c r="K228" s="891">
        <v>0.9</v>
      </c>
      <c r="L228" s="891">
        <v>2.17</v>
      </c>
      <c r="M228" s="891">
        <v>2.8</v>
      </c>
      <c r="N228" s="891">
        <v>11.66</v>
      </c>
      <c r="O228" s="891">
        <v>1.35</v>
      </c>
      <c r="P228" s="891">
        <v>7.46</v>
      </c>
      <c r="Q228" s="891">
        <v>2</v>
      </c>
      <c r="R228" s="891">
        <v>2.33</v>
      </c>
      <c r="S228" s="891">
        <v>3.73</v>
      </c>
      <c r="T228" s="891">
        <v>0.93</v>
      </c>
      <c r="U228" s="891">
        <v>7.73</v>
      </c>
      <c r="V228" s="891">
        <v>39.159999999999997</v>
      </c>
      <c r="W228" s="891">
        <v>1.77</v>
      </c>
      <c r="X228" s="927">
        <v>19000</v>
      </c>
      <c r="Y228" s="891">
        <v>512.82000000000005</v>
      </c>
      <c r="Z228" s="891">
        <v>550.65</v>
      </c>
      <c r="AA228" s="891">
        <v>1025.6400000000001</v>
      </c>
      <c r="AB228" s="891">
        <v>1124.6099999999999</v>
      </c>
      <c r="AC228" s="891">
        <v>158.63999999999999</v>
      </c>
      <c r="AD228" s="891">
        <v>0.23</v>
      </c>
      <c r="AE228" s="891">
        <v>40</v>
      </c>
      <c r="AF228" s="891">
        <v>50</v>
      </c>
      <c r="AG228" s="891">
        <v>23.31</v>
      </c>
      <c r="AH228" s="891">
        <v>9.32</v>
      </c>
      <c r="AI228" s="891">
        <v>107.8</v>
      </c>
      <c r="AJ228" s="891">
        <v>50</v>
      </c>
      <c r="AK228" s="891">
        <v>132.87</v>
      </c>
      <c r="AL228" s="891">
        <v>121.21</v>
      </c>
      <c r="AM228" s="891">
        <v>2331</v>
      </c>
      <c r="AN228" s="891">
        <v>1864.8</v>
      </c>
      <c r="AO228" s="891">
        <v>891.2</v>
      </c>
      <c r="AP228" s="891">
        <v>7.5</v>
      </c>
      <c r="AQ228" s="891">
        <v>1.7</v>
      </c>
      <c r="AR228" s="891">
        <v>2</v>
      </c>
      <c r="AS228" s="891">
        <v>29.32</v>
      </c>
      <c r="AT228" s="891">
        <v>2.8</v>
      </c>
      <c r="AU228" s="891">
        <v>1.4</v>
      </c>
      <c r="AV228" s="891">
        <v>1.5</v>
      </c>
      <c r="AW228" s="891">
        <v>1</v>
      </c>
      <c r="AX228" s="891">
        <v>3.26</v>
      </c>
      <c r="AY228" s="891">
        <v>1.4</v>
      </c>
      <c r="AZ228" s="891">
        <v>2.8</v>
      </c>
      <c r="BA228" s="891">
        <f t="shared" si="9"/>
        <v>198.86999999999998</v>
      </c>
      <c r="BB228" s="926">
        <f t="shared" si="10"/>
        <v>19074.88</v>
      </c>
      <c r="BC228" s="926">
        <f t="shared" si="11"/>
        <v>73.110000000001023</v>
      </c>
      <c r="BD228" s="891"/>
      <c r="BE228" s="891"/>
      <c r="BF228" s="891"/>
      <c r="BG228" s="928"/>
      <c r="BH228" s="928"/>
      <c r="BI228" s="928"/>
    </row>
    <row r="229" spans="1:61">
      <c r="A229" s="891" t="s">
        <v>1000</v>
      </c>
      <c r="B229" s="891" t="s">
        <v>559</v>
      </c>
      <c r="C229" s="891" t="s">
        <v>143</v>
      </c>
      <c r="D229" s="891">
        <v>11.59</v>
      </c>
      <c r="E229" s="891">
        <v>60.36</v>
      </c>
      <c r="F229" s="891">
        <v>7.73</v>
      </c>
      <c r="G229" s="891">
        <v>4.83</v>
      </c>
      <c r="H229" s="891">
        <v>5.55</v>
      </c>
      <c r="I229" s="891">
        <v>1.93</v>
      </c>
      <c r="J229" s="891">
        <v>1.45</v>
      </c>
      <c r="K229" s="891">
        <v>1.78</v>
      </c>
      <c r="L229" s="891">
        <v>2.9</v>
      </c>
      <c r="M229" s="891">
        <v>2.95</v>
      </c>
      <c r="N229" s="891">
        <v>9.66</v>
      </c>
      <c r="O229" s="891">
        <v>1.45</v>
      </c>
      <c r="P229" s="891">
        <v>14.49</v>
      </c>
      <c r="Q229" s="891">
        <v>2.9</v>
      </c>
      <c r="R229" s="891">
        <v>2.5099999999999998</v>
      </c>
      <c r="S229" s="891">
        <v>8.69</v>
      </c>
      <c r="T229" s="891">
        <v>2.9</v>
      </c>
      <c r="U229" s="891">
        <v>9.66</v>
      </c>
      <c r="V229" s="891">
        <v>72.92</v>
      </c>
      <c r="W229" s="891">
        <v>1.35</v>
      </c>
      <c r="X229" s="927">
        <v>19316.21</v>
      </c>
      <c r="Y229" s="891">
        <v>869.23</v>
      </c>
      <c r="Z229" s="891">
        <v>579.49</v>
      </c>
      <c r="AA229" s="891">
        <v>1448.72</v>
      </c>
      <c r="AB229" s="891">
        <v>965.81</v>
      </c>
      <c r="AC229" s="891">
        <v>87.64</v>
      </c>
      <c r="AD229" s="891">
        <v>0.34</v>
      </c>
      <c r="AE229" s="891">
        <v>43.46</v>
      </c>
      <c r="AF229" s="891">
        <v>43.22</v>
      </c>
      <c r="AG229" s="891">
        <v>9.18</v>
      </c>
      <c r="AH229" s="891">
        <v>11.59</v>
      </c>
      <c r="AI229" s="891">
        <v>58.26</v>
      </c>
      <c r="AJ229" s="891">
        <v>38.630000000000003</v>
      </c>
      <c r="AK229" s="891">
        <v>96.58</v>
      </c>
      <c r="AL229" s="891">
        <v>106.24</v>
      </c>
      <c r="AM229" s="891">
        <v>3380.34</v>
      </c>
      <c r="AN229" s="891">
        <v>1559.38</v>
      </c>
      <c r="AO229" s="891">
        <v>2704.27</v>
      </c>
      <c r="AP229" s="891">
        <v>3.25</v>
      </c>
      <c r="AQ229" s="891">
        <v>3.38</v>
      </c>
      <c r="AR229" s="891">
        <v>1.64</v>
      </c>
      <c r="AS229" s="891">
        <v>36.51</v>
      </c>
      <c r="AT229" s="891">
        <v>2.62</v>
      </c>
      <c r="AU229" s="891">
        <v>3.19</v>
      </c>
      <c r="AV229" s="891">
        <v>1.93</v>
      </c>
      <c r="AW229" s="891">
        <v>1.45</v>
      </c>
      <c r="AX229" s="891">
        <v>2.9</v>
      </c>
      <c r="AY229" s="891">
        <v>3.86</v>
      </c>
      <c r="AZ229" s="891">
        <v>3.37</v>
      </c>
      <c r="BA229" s="891">
        <f t="shared" si="9"/>
        <v>131.44</v>
      </c>
      <c r="BB229" s="926">
        <f t="shared" si="10"/>
        <v>19434.909999999996</v>
      </c>
      <c r="BC229" s="926">
        <f t="shared" si="11"/>
        <v>117.3499999999971</v>
      </c>
      <c r="BD229" s="891"/>
      <c r="BE229" s="891"/>
      <c r="BF229" s="891"/>
      <c r="BG229" s="928"/>
      <c r="BH229" s="928"/>
      <c r="BI229" s="928"/>
    </row>
    <row r="230" spans="1:61">
      <c r="A230" s="891" t="s">
        <v>1001</v>
      </c>
      <c r="B230" s="891" t="s">
        <v>556</v>
      </c>
      <c r="C230" s="891" t="s">
        <v>183</v>
      </c>
      <c r="D230" s="891">
        <v>15.46</v>
      </c>
      <c r="E230" s="891">
        <v>71.12</v>
      </c>
      <c r="F230" s="891">
        <v>7.73</v>
      </c>
      <c r="G230" s="891">
        <v>1.55</v>
      </c>
      <c r="H230" s="891">
        <v>3.25</v>
      </c>
      <c r="I230" s="891">
        <v>1.24</v>
      </c>
      <c r="J230" s="891">
        <v>0.93</v>
      </c>
      <c r="K230" s="891">
        <v>1.39</v>
      </c>
      <c r="L230" s="891">
        <v>0.77</v>
      </c>
      <c r="M230" s="891">
        <v>1.76</v>
      </c>
      <c r="N230" s="891">
        <v>9.2799999999999994</v>
      </c>
      <c r="O230" s="891">
        <v>1.08</v>
      </c>
      <c r="P230" s="891">
        <v>10.82</v>
      </c>
      <c r="Q230" s="891">
        <v>1.24</v>
      </c>
      <c r="R230" s="891">
        <v>2.86</v>
      </c>
      <c r="S230" s="891">
        <v>1.86</v>
      </c>
      <c r="T230" s="891">
        <v>0.87</v>
      </c>
      <c r="U230" s="891">
        <v>6.18</v>
      </c>
      <c r="V230" s="891">
        <v>40.200000000000003</v>
      </c>
      <c r="W230" s="891">
        <v>0.96</v>
      </c>
      <c r="X230" s="927">
        <v>21645.69</v>
      </c>
      <c r="Y230" s="891">
        <v>1546.12</v>
      </c>
      <c r="Z230" s="891">
        <v>927.67</v>
      </c>
      <c r="AA230" s="891">
        <v>3092.24</v>
      </c>
      <c r="AB230" s="891">
        <v>1855.34</v>
      </c>
      <c r="AC230" s="891">
        <v>157.69999999999999</v>
      </c>
      <c r="AD230" s="891">
        <v>0.08</v>
      </c>
      <c r="AE230" s="891">
        <v>12.37</v>
      </c>
      <c r="AF230" s="891">
        <v>91.48</v>
      </c>
      <c r="AG230" s="891">
        <v>30.92</v>
      </c>
      <c r="AH230" s="891">
        <v>10.82</v>
      </c>
      <c r="AI230" s="891">
        <v>108.23</v>
      </c>
      <c r="AJ230" s="891">
        <v>77.31</v>
      </c>
      <c r="AK230" s="891">
        <v>108.23</v>
      </c>
      <c r="AL230" s="891">
        <v>154.61000000000001</v>
      </c>
      <c r="AM230" s="891">
        <v>7112.16</v>
      </c>
      <c r="AN230" s="891">
        <v>4638.3599999999997</v>
      </c>
      <c r="AO230" s="891">
        <v>1391.51</v>
      </c>
      <c r="AP230" s="891">
        <v>13</v>
      </c>
      <c r="AQ230" s="891">
        <v>10.82</v>
      </c>
      <c r="AR230" s="891">
        <v>0.62</v>
      </c>
      <c r="AS230" s="891">
        <v>18.55</v>
      </c>
      <c r="AT230" s="891">
        <v>1.86</v>
      </c>
      <c r="AU230" s="891">
        <v>2.0099999999999998</v>
      </c>
      <c r="AV230" s="891">
        <v>0.93</v>
      </c>
      <c r="AW230" s="891">
        <v>1.55</v>
      </c>
      <c r="AX230" s="891">
        <v>4.6399999999999997</v>
      </c>
      <c r="AY230" s="891">
        <v>1.39</v>
      </c>
      <c r="AZ230" s="891">
        <v>2.6</v>
      </c>
      <c r="BA230" s="891">
        <f t="shared" si="9"/>
        <v>170.15</v>
      </c>
      <c r="BB230" s="926">
        <f t="shared" si="10"/>
        <v>21717.709999999995</v>
      </c>
      <c r="BC230" s="926">
        <f t="shared" si="11"/>
        <v>71.059999999996805</v>
      </c>
      <c r="BD230" s="891"/>
      <c r="BE230" s="891"/>
      <c r="BF230" s="891"/>
      <c r="BG230" s="928"/>
      <c r="BH230" s="928"/>
      <c r="BI230" s="928"/>
    </row>
    <row r="231" spans="1:61">
      <c r="A231" s="891" t="s">
        <v>1002</v>
      </c>
      <c r="B231" s="891" t="s">
        <v>560</v>
      </c>
      <c r="C231" s="891" t="s">
        <v>375</v>
      </c>
      <c r="D231" s="891">
        <v>3.28</v>
      </c>
      <c r="E231" s="891">
        <v>14.76</v>
      </c>
      <c r="F231" s="891">
        <v>2.62</v>
      </c>
      <c r="G231" s="891">
        <v>1.64</v>
      </c>
      <c r="H231" s="891">
        <v>2.46</v>
      </c>
      <c r="I231" s="891">
        <v>0.33</v>
      </c>
      <c r="J231" s="891">
        <v>0.25</v>
      </c>
      <c r="K231" s="891">
        <v>0.66</v>
      </c>
      <c r="L231" s="891">
        <v>0.36</v>
      </c>
      <c r="M231" s="891">
        <v>0.79</v>
      </c>
      <c r="N231" s="891">
        <v>4.92</v>
      </c>
      <c r="O231" s="891">
        <v>0.41</v>
      </c>
      <c r="P231" s="891">
        <v>8.1999999999999993</v>
      </c>
      <c r="Q231" s="891">
        <v>1.64</v>
      </c>
      <c r="R231" s="891">
        <v>2.46</v>
      </c>
      <c r="S231" s="891">
        <v>1.97</v>
      </c>
      <c r="T231" s="891">
        <v>0.2</v>
      </c>
      <c r="U231" s="891">
        <v>2.87</v>
      </c>
      <c r="V231" s="891">
        <v>8.1999999999999993</v>
      </c>
      <c r="W231" s="891">
        <v>1.23</v>
      </c>
      <c r="X231" s="927">
        <v>13117.98</v>
      </c>
      <c r="Y231" s="891">
        <v>491.92</v>
      </c>
      <c r="Z231" s="891">
        <v>245.96</v>
      </c>
      <c r="AA231" s="891">
        <v>1065.8399999999999</v>
      </c>
      <c r="AB231" s="891">
        <v>586.96</v>
      </c>
      <c r="AC231" s="891">
        <v>32.79</v>
      </c>
      <c r="AD231" s="891">
        <v>0.02</v>
      </c>
      <c r="AE231" s="891">
        <v>22.13</v>
      </c>
      <c r="AF231" s="891">
        <v>22.55</v>
      </c>
      <c r="AG231" s="891">
        <v>8.1999999999999993</v>
      </c>
      <c r="AH231" s="891">
        <v>4.0999999999999996</v>
      </c>
      <c r="AI231" s="891">
        <v>40.99</v>
      </c>
      <c r="AJ231" s="891">
        <v>40.99</v>
      </c>
      <c r="AK231" s="891">
        <v>57.39</v>
      </c>
      <c r="AL231" s="891">
        <v>40.99</v>
      </c>
      <c r="AM231" s="891">
        <v>3530.02</v>
      </c>
      <c r="AN231" s="891">
        <v>1639.75</v>
      </c>
      <c r="AO231" s="891">
        <v>475.53</v>
      </c>
      <c r="AP231" s="891">
        <v>11</v>
      </c>
      <c r="AQ231" s="891">
        <v>0.31</v>
      </c>
      <c r="AR231" s="891">
        <v>0.28000000000000003</v>
      </c>
      <c r="AS231" s="891">
        <v>1.64</v>
      </c>
      <c r="AT231" s="891">
        <v>2.46</v>
      </c>
      <c r="AU231" s="891">
        <v>1.64</v>
      </c>
      <c r="AV231" s="891">
        <v>0.36</v>
      </c>
      <c r="AW231" s="891">
        <v>0.41</v>
      </c>
      <c r="AX231" s="891">
        <v>1.23</v>
      </c>
      <c r="AY231" s="891">
        <v>0.79</v>
      </c>
      <c r="AZ231" s="891">
        <v>0.56999999999999995</v>
      </c>
      <c r="BA231" s="891">
        <f t="shared" si="9"/>
        <v>54.94</v>
      </c>
      <c r="BB231" s="926">
        <f t="shared" si="10"/>
        <v>13129.839999999998</v>
      </c>
      <c r="BC231" s="926">
        <f t="shared" si="11"/>
        <v>10.629999999998763</v>
      </c>
      <c r="BD231" s="891"/>
      <c r="BE231" s="891"/>
      <c r="BF231" s="891"/>
      <c r="BG231" s="928"/>
      <c r="BH231" s="928"/>
      <c r="BI231" s="928"/>
    </row>
    <row r="232" spans="1:61">
      <c r="A232" s="891" t="s">
        <v>1003</v>
      </c>
      <c r="B232" s="891" t="s">
        <v>566</v>
      </c>
      <c r="C232" s="891" t="s">
        <v>87</v>
      </c>
      <c r="D232" s="891">
        <v>12.19</v>
      </c>
      <c r="E232" s="891">
        <v>67.73</v>
      </c>
      <c r="F232" s="891">
        <v>9.27</v>
      </c>
      <c r="G232" s="891">
        <v>4.6100000000000003</v>
      </c>
      <c r="H232" s="891">
        <v>4.6100000000000003</v>
      </c>
      <c r="I232" s="891">
        <v>3.39</v>
      </c>
      <c r="J232" s="891">
        <v>2.71</v>
      </c>
      <c r="K232" s="891">
        <v>1.21</v>
      </c>
      <c r="L232" s="891">
        <v>2.02</v>
      </c>
      <c r="M232" s="891">
        <v>3.24</v>
      </c>
      <c r="N232" s="891">
        <v>19.64</v>
      </c>
      <c r="O232" s="891">
        <v>0.95</v>
      </c>
      <c r="P232" s="891">
        <v>8.1300000000000008</v>
      </c>
      <c r="Q232" s="891">
        <v>1.08</v>
      </c>
      <c r="R232" s="891">
        <v>1.35</v>
      </c>
      <c r="S232" s="891">
        <v>6.77</v>
      </c>
      <c r="T232" s="891">
        <v>3.39</v>
      </c>
      <c r="U232" s="891">
        <v>10.16</v>
      </c>
      <c r="V232" s="891">
        <v>81.28</v>
      </c>
      <c r="W232" s="891">
        <v>2.17</v>
      </c>
      <c r="X232" s="927">
        <v>27092.93</v>
      </c>
      <c r="Y232" s="891">
        <v>1083.72</v>
      </c>
      <c r="Z232" s="891">
        <v>907.61</v>
      </c>
      <c r="AA232" s="891">
        <v>2302.9</v>
      </c>
      <c r="AB232" s="891">
        <v>1625.58</v>
      </c>
      <c r="AC232" s="891">
        <v>256.37</v>
      </c>
      <c r="AD232" s="891">
        <v>0.12</v>
      </c>
      <c r="AE232" s="891">
        <v>33.869999999999997</v>
      </c>
      <c r="AF232" s="891">
        <v>71.12</v>
      </c>
      <c r="AG232" s="891">
        <v>21</v>
      </c>
      <c r="AH232" s="891">
        <v>13.55</v>
      </c>
      <c r="AI232" s="891">
        <v>108.37</v>
      </c>
      <c r="AJ232" s="891">
        <v>81.28</v>
      </c>
      <c r="AK232" s="891">
        <v>108.37</v>
      </c>
      <c r="AL232" s="891">
        <v>162.56</v>
      </c>
      <c r="AM232" s="891">
        <v>8127.88</v>
      </c>
      <c r="AN232" s="891">
        <v>5418.59</v>
      </c>
      <c r="AO232" s="891">
        <v>3129.23</v>
      </c>
      <c r="AP232" s="891">
        <v>3.6</v>
      </c>
      <c r="AQ232" s="891">
        <v>4.2</v>
      </c>
      <c r="AR232" s="891">
        <v>2.0299999999999998</v>
      </c>
      <c r="AS232" s="891">
        <v>35.22</v>
      </c>
      <c r="AT232" s="891">
        <v>2.71</v>
      </c>
      <c r="AU232" s="891">
        <v>2.71</v>
      </c>
      <c r="AV232" s="891">
        <v>1.35</v>
      </c>
      <c r="AW232" s="891">
        <v>1.35</v>
      </c>
      <c r="AX232" s="891">
        <v>3.79</v>
      </c>
      <c r="AY232" s="891">
        <v>2.2999999999999998</v>
      </c>
      <c r="AZ232" s="891">
        <v>3.39</v>
      </c>
      <c r="BA232" s="891">
        <f t="shared" si="9"/>
        <v>290.36</v>
      </c>
      <c r="BB232" s="926">
        <f t="shared" si="10"/>
        <v>27221.22</v>
      </c>
      <c r="BC232" s="926">
        <f t="shared" si="11"/>
        <v>126.12000000000087</v>
      </c>
      <c r="BD232" s="891"/>
      <c r="BE232" s="891"/>
      <c r="BF232" s="891"/>
      <c r="BG232" s="928"/>
      <c r="BH232" s="928"/>
      <c r="BI232" s="928"/>
    </row>
    <row r="233" spans="1:61">
      <c r="A233" s="891" t="s">
        <v>1004</v>
      </c>
      <c r="B233" s="891" t="s">
        <v>631</v>
      </c>
      <c r="C233" s="891" t="s">
        <v>268</v>
      </c>
      <c r="D233" s="891">
        <v>4.29</v>
      </c>
      <c r="E233" s="891">
        <v>22.89</v>
      </c>
      <c r="F233" s="891">
        <v>5.2</v>
      </c>
      <c r="G233" s="891">
        <v>7.79</v>
      </c>
      <c r="H233" s="891">
        <v>7.6</v>
      </c>
      <c r="I233" s="891">
        <v>0.39</v>
      </c>
      <c r="J233" s="891">
        <v>0.26</v>
      </c>
      <c r="K233" s="891">
        <v>1.82</v>
      </c>
      <c r="L233" s="891">
        <v>0.78</v>
      </c>
      <c r="M233" s="891">
        <v>2.6</v>
      </c>
      <c r="N233" s="891">
        <v>15</v>
      </c>
      <c r="O233" s="891">
        <v>0.42</v>
      </c>
      <c r="P233" s="891">
        <v>6.84</v>
      </c>
      <c r="Q233" s="891">
        <v>1.1499999999999999</v>
      </c>
      <c r="R233" s="891">
        <v>2.61</v>
      </c>
      <c r="S233" s="891">
        <v>2.4</v>
      </c>
      <c r="T233" s="891">
        <v>0.65</v>
      </c>
      <c r="U233" s="891">
        <v>6.17</v>
      </c>
      <c r="V233" s="891">
        <v>129.9</v>
      </c>
      <c r="W233" s="891">
        <v>0.31</v>
      </c>
      <c r="X233" s="927">
        <v>15588.46</v>
      </c>
      <c r="Y233" s="891">
        <v>844.66</v>
      </c>
      <c r="Z233" s="891">
        <v>519.62</v>
      </c>
      <c r="AA233" s="891">
        <v>1753.7</v>
      </c>
      <c r="AB233" s="891">
        <v>1299.04</v>
      </c>
      <c r="AC233" s="891">
        <v>48.06</v>
      </c>
      <c r="AD233" s="891">
        <v>0.13</v>
      </c>
      <c r="AE233" s="891">
        <v>64.95</v>
      </c>
      <c r="AF233" s="891">
        <v>44.49</v>
      </c>
      <c r="AG233" s="891">
        <v>25.98</v>
      </c>
      <c r="AH233" s="891">
        <v>7.8</v>
      </c>
      <c r="AI233" s="891">
        <v>51.96</v>
      </c>
      <c r="AJ233" s="891">
        <v>70</v>
      </c>
      <c r="AK233" s="891">
        <v>86.11</v>
      </c>
      <c r="AL233" s="891">
        <v>64.95</v>
      </c>
      <c r="AM233" s="891">
        <v>1428.94</v>
      </c>
      <c r="AN233" s="891">
        <v>974.28</v>
      </c>
      <c r="AO233" s="891">
        <v>2273.3200000000002</v>
      </c>
      <c r="AP233" s="891">
        <v>6</v>
      </c>
      <c r="AQ233" s="891">
        <v>0.78</v>
      </c>
      <c r="AR233" s="891">
        <v>1.04</v>
      </c>
      <c r="AS233" s="891">
        <v>500</v>
      </c>
      <c r="AT233" s="891">
        <v>2.21</v>
      </c>
      <c r="AU233" s="891">
        <v>1.43</v>
      </c>
      <c r="AV233" s="891">
        <v>1.03</v>
      </c>
      <c r="AW233" s="891">
        <v>0.9</v>
      </c>
      <c r="AX233" s="891">
        <v>3.12</v>
      </c>
      <c r="AY233" s="891">
        <v>1.41</v>
      </c>
      <c r="AZ233" s="891">
        <v>0.91</v>
      </c>
      <c r="BA233" s="891">
        <f t="shared" si="9"/>
        <v>113.14000000000001</v>
      </c>
      <c r="BB233" s="926">
        <f t="shared" si="10"/>
        <v>16221.140000000001</v>
      </c>
      <c r="BC233" s="926">
        <f t="shared" si="11"/>
        <v>632.37000000000216</v>
      </c>
      <c r="BD233" s="891"/>
      <c r="BE233" s="891"/>
      <c r="BF233" s="891"/>
      <c r="BG233" s="928"/>
      <c r="BH233" s="928"/>
      <c r="BI233" s="928"/>
    </row>
    <row r="234" spans="1:61">
      <c r="A234" s="891" t="s">
        <v>1005</v>
      </c>
      <c r="B234" s="891" t="s">
        <v>560</v>
      </c>
      <c r="C234" s="891" t="s">
        <v>393</v>
      </c>
      <c r="D234" s="891">
        <v>1.8</v>
      </c>
      <c r="E234" s="891">
        <v>8.1999999999999993</v>
      </c>
      <c r="F234" s="891">
        <v>4.0999999999999996</v>
      </c>
      <c r="G234" s="891">
        <v>1.64</v>
      </c>
      <c r="H234" s="891">
        <v>2.0499999999999998</v>
      </c>
      <c r="I234" s="891">
        <v>0.33</v>
      </c>
      <c r="J234" s="891">
        <v>0.25</v>
      </c>
      <c r="K234" s="891">
        <v>0.49</v>
      </c>
      <c r="L234" s="891">
        <v>0.33</v>
      </c>
      <c r="M234" s="891">
        <v>0.54</v>
      </c>
      <c r="N234" s="891">
        <v>4.0999999999999996</v>
      </c>
      <c r="O234" s="891">
        <v>0.33</v>
      </c>
      <c r="P234" s="891">
        <v>6.56</v>
      </c>
      <c r="Q234" s="891">
        <v>1.48</v>
      </c>
      <c r="R234" s="891">
        <v>1.97</v>
      </c>
      <c r="S234" s="891">
        <v>1.64</v>
      </c>
      <c r="T234" s="891">
        <v>0.13</v>
      </c>
      <c r="U234" s="891">
        <v>2.46</v>
      </c>
      <c r="V234" s="891">
        <v>6.56</v>
      </c>
      <c r="W234" s="891">
        <v>1.28</v>
      </c>
      <c r="X234" s="927">
        <v>11478.23</v>
      </c>
      <c r="Y234" s="891">
        <v>81.99</v>
      </c>
      <c r="Z234" s="891">
        <v>49.19</v>
      </c>
      <c r="AA234" s="891">
        <v>221.37</v>
      </c>
      <c r="AB234" s="891">
        <v>147.58000000000001</v>
      </c>
      <c r="AC234" s="891">
        <v>40.99</v>
      </c>
      <c r="AD234" s="891">
        <v>0.01</v>
      </c>
      <c r="AE234" s="891">
        <v>12.3</v>
      </c>
      <c r="AF234" s="891">
        <v>20.5</v>
      </c>
      <c r="AG234" s="891">
        <v>9.84</v>
      </c>
      <c r="AH234" s="891">
        <v>3.28</v>
      </c>
      <c r="AI234" s="891">
        <v>31.16</v>
      </c>
      <c r="AJ234" s="891">
        <v>24.6</v>
      </c>
      <c r="AK234" s="891">
        <v>32.79</v>
      </c>
      <c r="AL234" s="891">
        <v>40.99</v>
      </c>
      <c r="AM234" s="891">
        <v>1059.01</v>
      </c>
      <c r="AN234" s="891">
        <v>529.5</v>
      </c>
      <c r="AO234" s="891">
        <v>483.73</v>
      </c>
      <c r="AP234" s="891">
        <v>11</v>
      </c>
      <c r="AQ234" s="891">
        <v>1.64</v>
      </c>
      <c r="AR234" s="891">
        <v>0.41</v>
      </c>
      <c r="AS234" s="891">
        <v>0.98</v>
      </c>
      <c r="AT234" s="891">
        <v>1.64</v>
      </c>
      <c r="AU234" s="891">
        <v>0.82</v>
      </c>
      <c r="AV234" s="891">
        <v>0.33</v>
      </c>
      <c r="AW234" s="891">
        <v>0.33</v>
      </c>
      <c r="AX234" s="891">
        <v>1.02</v>
      </c>
      <c r="AY234" s="891">
        <v>0.79</v>
      </c>
      <c r="AZ234" s="891">
        <v>0.49</v>
      </c>
      <c r="BA234" s="891">
        <f t="shared" si="9"/>
        <v>53.3</v>
      </c>
      <c r="BB234" s="926">
        <f t="shared" si="10"/>
        <v>11489.229999999998</v>
      </c>
      <c r="BC234" s="926">
        <f t="shared" si="11"/>
        <v>9.7199999999981817</v>
      </c>
      <c r="BD234" s="891"/>
      <c r="BE234" s="891"/>
      <c r="BF234" s="891"/>
      <c r="BG234" s="928"/>
      <c r="BH234" s="928"/>
      <c r="BI234" s="928"/>
    </row>
    <row r="235" spans="1:61">
      <c r="A235" s="891" t="s">
        <v>1006</v>
      </c>
      <c r="B235" s="891" t="s">
        <v>627</v>
      </c>
      <c r="C235" s="891" t="s">
        <v>276</v>
      </c>
      <c r="D235" s="891">
        <v>3.83</v>
      </c>
      <c r="E235" s="891">
        <v>28.29</v>
      </c>
      <c r="F235" s="891">
        <v>6.48</v>
      </c>
      <c r="G235" s="891">
        <v>1.96</v>
      </c>
      <c r="H235" s="891">
        <v>2.36</v>
      </c>
      <c r="I235" s="891">
        <v>0.59</v>
      </c>
      <c r="J235" s="891">
        <v>0.59</v>
      </c>
      <c r="K235" s="891">
        <v>1.03</v>
      </c>
      <c r="L235" s="891">
        <v>0.57999999999999996</v>
      </c>
      <c r="M235" s="891">
        <v>1.7</v>
      </c>
      <c r="N235" s="891">
        <v>14</v>
      </c>
      <c r="O235" s="891">
        <v>1.06</v>
      </c>
      <c r="P235" s="891">
        <v>10</v>
      </c>
      <c r="Q235" s="891">
        <v>1.41</v>
      </c>
      <c r="R235" s="891">
        <v>2.35</v>
      </c>
      <c r="S235" s="891">
        <v>2.1800000000000002</v>
      </c>
      <c r="T235" s="891">
        <v>0.59</v>
      </c>
      <c r="U235" s="891">
        <v>5.89</v>
      </c>
      <c r="V235" s="891">
        <v>47.14</v>
      </c>
      <c r="W235" s="891">
        <v>1.36</v>
      </c>
      <c r="X235" s="927">
        <v>20194.52</v>
      </c>
      <c r="Y235" s="891">
        <v>508.21</v>
      </c>
      <c r="Z235" s="891">
        <v>400</v>
      </c>
      <c r="AA235" s="891">
        <v>1000</v>
      </c>
      <c r="AB235" s="891">
        <v>812.49</v>
      </c>
      <c r="AC235" s="891">
        <v>40</v>
      </c>
      <c r="AD235" s="891">
        <v>0.04</v>
      </c>
      <c r="AE235" s="891">
        <v>46.07</v>
      </c>
      <c r="AF235" s="891">
        <v>82.5</v>
      </c>
      <c r="AG235" s="891">
        <v>11.79</v>
      </c>
      <c r="AH235" s="891">
        <v>5.95</v>
      </c>
      <c r="AI235" s="891">
        <v>35.36</v>
      </c>
      <c r="AJ235" s="891">
        <v>26.52</v>
      </c>
      <c r="AK235" s="891">
        <v>58.93</v>
      </c>
      <c r="AL235" s="891">
        <v>47.14</v>
      </c>
      <c r="AM235" s="891">
        <v>1200</v>
      </c>
      <c r="AN235" s="891">
        <v>1139.28</v>
      </c>
      <c r="AO235" s="891">
        <v>412.49</v>
      </c>
      <c r="AP235" s="891">
        <v>16</v>
      </c>
      <c r="AQ235" s="891">
        <v>3.24</v>
      </c>
      <c r="AR235" s="891">
        <v>3.31</v>
      </c>
      <c r="AS235" s="891">
        <v>10.61</v>
      </c>
      <c r="AT235" s="891">
        <v>3.27</v>
      </c>
      <c r="AU235" s="891">
        <v>2.95</v>
      </c>
      <c r="AV235" s="891">
        <v>1.07</v>
      </c>
      <c r="AW235" s="891">
        <v>0.7</v>
      </c>
      <c r="AX235" s="891">
        <v>2.09</v>
      </c>
      <c r="AY235" s="891">
        <v>2</v>
      </c>
      <c r="AZ235" s="891">
        <v>1.24</v>
      </c>
      <c r="BA235" s="891">
        <f t="shared" si="9"/>
        <v>86.11</v>
      </c>
      <c r="BB235" s="926">
        <f t="shared" si="10"/>
        <v>20260.770000000004</v>
      </c>
      <c r="BC235" s="926">
        <f t="shared" si="11"/>
        <v>64.890000000003639</v>
      </c>
      <c r="BD235" s="891"/>
      <c r="BE235" s="891"/>
      <c r="BF235" s="891"/>
      <c r="BG235" s="928"/>
      <c r="BH235" s="928"/>
      <c r="BI235" s="928"/>
    </row>
    <row r="236" spans="1:61">
      <c r="A236" s="891" t="s">
        <v>1007</v>
      </c>
      <c r="B236" s="891" t="s">
        <v>569</v>
      </c>
      <c r="C236" s="891" t="s">
        <v>103</v>
      </c>
      <c r="D236" s="891">
        <v>16.260000000000002</v>
      </c>
      <c r="E236" s="891">
        <v>64.349999999999994</v>
      </c>
      <c r="F236" s="891">
        <v>9.82</v>
      </c>
      <c r="G236" s="891">
        <v>6.1</v>
      </c>
      <c r="H236" s="891">
        <v>4.74</v>
      </c>
      <c r="I236" s="891">
        <v>3.93</v>
      </c>
      <c r="J236" s="891">
        <v>1.35</v>
      </c>
      <c r="K236" s="891">
        <v>0.95</v>
      </c>
      <c r="L236" s="891">
        <v>1.54</v>
      </c>
      <c r="M236" s="891">
        <v>2.2999999999999998</v>
      </c>
      <c r="N236" s="891">
        <v>10.57</v>
      </c>
      <c r="O236" s="891">
        <v>0.91</v>
      </c>
      <c r="P236" s="891">
        <v>6.1</v>
      </c>
      <c r="Q236" s="891">
        <v>1.35</v>
      </c>
      <c r="R236" s="891">
        <v>1.69</v>
      </c>
      <c r="S236" s="891">
        <v>8.6</v>
      </c>
      <c r="T236" s="891">
        <v>2.0299999999999998</v>
      </c>
      <c r="U236" s="891">
        <v>12.19</v>
      </c>
      <c r="V236" s="891">
        <v>72.13</v>
      </c>
      <c r="W236" s="891">
        <v>1.94</v>
      </c>
      <c r="X236" s="927">
        <v>27932.81</v>
      </c>
      <c r="Y236" s="891">
        <v>677.32</v>
      </c>
      <c r="Z236" s="891">
        <v>626.52</v>
      </c>
      <c r="AA236" s="891">
        <v>1151.45</v>
      </c>
      <c r="AB236" s="891">
        <v>812.79</v>
      </c>
      <c r="AC236" s="891">
        <v>268.67</v>
      </c>
      <c r="AD236" s="891">
        <v>0.41</v>
      </c>
      <c r="AE236" s="891">
        <v>43.35</v>
      </c>
      <c r="AF236" s="891">
        <v>52.83</v>
      </c>
      <c r="AG236" s="891">
        <v>8.1300000000000008</v>
      </c>
      <c r="AH236" s="891">
        <v>13.55</v>
      </c>
      <c r="AI236" s="891">
        <v>121.92</v>
      </c>
      <c r="AJ236" s="891">
        <v>37.25</v>
      </c>
      <c r="AK236" s="891">
        <v>88.05</v>
      </c>
      <c r="AL236" s="891">
        <v>94.83</v>
      </c>
      <c r="AM236" s="891">
        <v>4063.94</v>
      </c>
      <c r="AN236" s="891">
        <v>2980.22</v>
      </c>
      <c r="AO236" s="891">
        <v>2585.34</v>
      </c>
      <c r="AP236" s="891">
        <v>4.05</v>
      </c>
      <c r="AQ236" s="891">
        <v>2.84</v>
      </c>
      <c r="AR236" s="891">
        <v>1.04</v>
      </c>
      <c r="AS236" s="891">
        <v>32.54</v>
      </c>
      <c r="AT236" s="891">
        <v>2.0299999999999998</v>
      </c>
      <c r="AU236" s="891">
        <v>2.0299999999999998</v>
      </c>
      <c r="AV236" s="891">
        <v>1.35</v>
      </c>
      <c r="AW236" s="891">
        <v>1.46</v>
      </c>
      <c r="AX236" s="891">
        <v>2.71</v>
      </c>
      <c r="AY236" s="891">
        <v>2.4900000000000002</v>
      </c>
      <c r="AZ236" s="891">
        <v>3.66</v>
      </c>
      <c r="BA236" s="891">
        <f t="shared" si="9"/>
        <v>312.43000000000006</v>
      </c>
      <c r="BB236" s="926">
        <f t="shared" si="10"/>
        <v>28045.33</v>
      </c>
      <c r="BC236" s="926">
        <f t="shared" si="11"/>
        <v>110.58000000000044</v>
      </c>
      <c r="BD236" s="891"/>
      <c r="BE236" s="891"/>
      <c r="BF236" s="891"/>
      <c r="BG236" s="928"/>
      <c r="BH236" s="928"/>
      <c r="BI236" s="928"/>
    </row>
    <row r="237" spans="1:61">
      <c r="A237" s="891" t="s">
        <v>1008</v>
      </c>
      <c r="B237" s="891" t="s">
        <v>563</v>
      </c>
      <c r="C237" s="891" t="s">
        <v>134</v>
      </c>
      <c r="D237" s="891">
        <v>20.32</v>
      </c>
      <c r="E237" s="891">
        <v>60.96</v>
      </c>
      <c r="F237" s="891">
        <v>9.48</v>
      </c>
      <c r="G237" s="891">
        <v>2.71</v>
      </c>
      <c r="H237" s="891">
        <v>4.74</v>
      </c>
      <c r="I237" s="891">
        <v>1.52</v>
      </c>
      <c r="J237" s="891">
        <v>1.22</v>
      </c>
      <c r="K237" s="891">
        <v>1.88</v>
      </c>
      <c r="L237" s="891">
        <v>1.96</v>
      </c>
      <c r="M237" s="891">
        <v>2.71</v>
      </c>
      <c r="N237" s="891">
        <v>13.55</v>
      </c>
      <c r="O237" s="891">
        <v>0.45</v>
      </c>
      <c r="P237" s="891">
        <v>6.77</v>
      </c>
      <c r="Q237" s="891">
        <v>1.35</v>
      </c>
      <c r="R237" s="891">
        <v>1.63</v>
      </c>
      <c r="S237" s="891">
        <v>6.77</v>
      </c>
      <c r="T237" s="891">
        <v>1.69</v>
      </c>
      <c r="U237" s="891">
        <v>10.16</v>
      </c>
      <c r="V237" s="891">
        <v>60.96</v>
      </c>
      <c r="W237" s="891">
        <v>2.4700000000000002</v>
      </c>
      <c r="X237" s="927">
        <v>19642.37</v>
      </c>
      <c r="Y237" s="891">
        <v>677.32</v>
      </c>
      <c r="Z237" s="891">
        <v>541.86</v>
      </c>
      <c r="AA237" s="891">
        <v>1659.44</v>
      </c>
      <c r="AB237" s="891">
        <v>812.79</v>
      </c>
      <c r="AC237" s="891">
        <v>203.2</v>
      </c>
      <c r="AD237" s="891">
        <v>0.14000000000000001</v>
      </c>
      <c r="AE237" s="891">
        <v>40.64</v>
      </c>
      <c r="AF237" s="891">
        <v>60.96</v>
      </c>
      <c r="AG237" s="891">
        <v>22.35</v>
      </c>
      <c r="AH237" s="891">
        <v>10.16</v>
      </c>
      <c r="AI237" s="891">
        <v>121.92</v>
      </c>
      <c r="AJ237" s="891">
        <v>44.03</v>
      </c>
      <c r="AK237" s="891">
        <v>121.92</v>
      </c>
      <c r="AL237" s="891">
        <v>108.37</v>
      </c>
      <c r="AM237" s="891">
        <v>6095.91</v>
      </c>
      <c r="AN237" s="891">
        <v>3047.95</v>
      </c>
      <c r="AO237" s="891">
        <v>1815.92</v>
      </c>
      <c r="AP237" s="891">
        <v>5.5</v>
      </c>
      <c r="AQ237" s="891">
        <v>6.43</v>
      </c>
      <c r="AR237" s="891">
        <v>1.03</v>
      </c>
      <c r="AS237" s="891">
        <v>24.38</v>
      </c>
      <c r="AT237" s="891">
        <v>2.2999999999999998</v>
      </c>
      <c r="AU237" s="891">
        <v>2.0299999999999998</v>
      </c>
      <c r="AV237" s="891">
        <v>1.35</v>
      </c>
      <c r="AW237" s="891">
        <v>1.08</v>
      </c>
      <c r="AX237" s="891">
        <v>1.35</v>
      </c>
      <c r="AY237" s="891">
        <v>2.0299999999999998</v>
      </c>
      <c r="AZ237" s="891">
        <v>2.17</v>
      </c>
      <c r="BA237" s="891">
        <f t="shared" si="9"/>
        <v>243.97999999999996</v>
      </c>
      <c r="BB237" s="926">
        <f t="shared" si="10"/>
        <v>19739.329999999998</v>
      </c>
      <c r="BC237" s="926">
        <f t="shared" si="11"/>
        <v>94.489999999999128</v>
      </c>
      <c r="BD237" s="891"/>
      <c r="BE237" s="891"/>
      <c r="BF237" s="891"/>
      <c r="BG237" s="928"/>
      <c r="BH237" s="928"/>
      <c r="BI237" s="928"/>
    </row>
    <row r="238" spans="1:61">
      <c r="A238" s="891" t="s">
        <v>1009</v>
      </c>
      <c r="B238" s="891" t="s">
        <v>1606</v>
      </c>
      <c r="C238" s="891" t="s">
        <v>195</v>
      </c>
      <c r="D238" s="891">
        <v>10</v>
      </c>
      <c r="E238" s="891">
        <v>32.5</v>
      </c>
      <c r="F238" s="891">
        <v>6</v>
      </c>
      <c r="G238" s="891">
        <v>3.25</v>
      </c>
      <c r="H238" s="891">
        <v>5</v>
      </c>
      <c r="I238" s="891">
        <v>1.5</v>
      </c>
      <c r="J238" s="891">
        <v>1.38</v>
      </c>
      <c r="K238" s="891">
        <v>0.87</v>
      </c>
      <c r="L238" s="891">
        <v>1.65</v>
      </c>
      <c r="M238" s="891">
        <v>1.94</v>
      </c>
      <c r="N238" s="891">
        <v>8.91</v>
      </c>
      <c r="O238" s="891">
        <v>1.5</v>
      </c>
      <c r="P238" s="891">
        <v>13.5</v>
      </c>
      <c r="Q238" s="891">
        <v>1.5</v>
      </c>
      <c r="R238" s="891">
        <v>3</v>
      </c>
      <c r="S238" s="891">
        <v>5.25</v>
      </c>
      <c r="T238" s="891">
        <v>1.7</v>
      </c>
      <c r="U238" s="891">
        <v>6.81</v>
      </c>
      <c r="V238" s="891">
        <v>62.5</v>
      </c>
      <c r="W238" s="891">
        <v>0.92</v>
      </c>
      <c r="X238" s="927">
        <v>23500</v>
      </c>
      <c r="Y238" s="891">
        <v>1150</v>
      </c>
      <c r="Z238" s="891">
        <v>700</v>
      </c>
      <c r="AA238" s="891">
        <v>1850</v>
      </c>
      <c r="AB238" s="891">
        <v>1400</v>
      </c>
      <c r="AC238" s="891">
        <v>125</v>
      </c>
      <c r="AD238" s="891">
        <v>0.2</v>
      </c>
      <c r="AE238" s="891">
        <v>45</v>
      </c>
      <c r="AF238" s="891">
        <v>55</v>
      </c>
      <c r="AG238" s="891">
        <v>12.25</v>
      </c>
      <c r="AH238" s="891">
        <v>11.38</v>
      </c>
      <c r="AI238" s="891">
        <v>50</v>
      </c>
      <c r="AJ238" s="891">
        <v>40</v>
      </c>
      <c r="AK238" s="891">
        <v>80</v>
      </c>
      <c r="AL238" s="891">
        <v>75</v>
      </c>
      <c r="AM238" s="891">
        <v>1184.03</v>
      </c>
      <c r="AN238" s="891">
        <v>1282</v>
      </c>
      <c r="AO238" s="891">
        <v>3550</v>
      </c>
      <c r="AP238" s="891">
        <v>4.25</v>
      </c>
      <c r="AQ238" s="891">
        <v>4</v>
      </c>
      <c r="AR238" s="891">
        <v>1.67</v>
      </c>
      <c r="AS238" s="891">
        <v>12</v>
      </c>
      <c r="AT238" s="891">
        <v>2.62</v>
      </c>
      <c r="AU238" s="891">
        <v>3</v>
      </c>
      <c r="AV238" s="891">
        <v>2.48</v>
      </c>
      <c r="AW238" s="891">
        <v>1.4</v>
      </c>
      <c r="AX238" s="891">
        <v>4</v>
      </c>
      <c r="AY238" s="891">
        <v>3</v>
      </c>
      <c r="AZ238" s="891">
        <v>4</v>
      </c>
      <c r="BA238" s="891">
        <f t="shared" si="9"/>
        <v>170.2</v>
      </c>
      <c r="BB238" s="926">
        <f t="shared" si="10"/>
        <v>23582.789999999997</v>
      </c>
      <c r="BC238" s="926">
        <f t="shared" si="11"/>
        <v>81.869999999997233</v>
      </c>
      <c r="BD238" s="891"/>
      <c r="BE238" s="891"/>
      <c r="BF238" s="891"/>
      <c r="BG238" s="928"/>
      <c r="BH238" s="928"/>
      <c r="BI238" s="928"/>
    </row>
    <row r="239" spans="1:61">
      <c r="A239" s="891" t="s">
        <v>1010</v>
      </c>
      <c r="B239" s="891" t="s">
        <v>560</v>
      </c>
      <c r="C239" s="891" t="s">
        <v>391</v>
      </c>
      <c r="D239" s="891">
        <v>1.64</v>
      </c>
      <c r="E239" s="891">
        <v>6.56</v>
      </c>
      <c r="F239" s="891">
        <v>2.21</v>
      </c>
      <c r="G239" s="891">
        <v>1.64</v>
      </c>
      <c r="H239" s="891">
        <v>2.46</v>
      </c>
      <c r="I239" s="891">
        <v>0.33</v>
      </c>
      <c r="J239" s="891">
        <v>0.25</v>
      </c>
      <c r="K239" s="891">
        <v>0.66</v>
      </c>
      <c r="L239" s="891">
        <v>0.41</v>
      </c>
      <c r="M239" s="891">
        <v>0.84</v>
      </c>
      <c r="N239" s="891">
        <v>5.08</v>
      </c>
      <c r="O239" s="891">
        <v>0.37</v>
      </c>
      <c r="P239" s="891">
        <v>4.92</v>
      </c>
      <c r="Q239" s="891">
        <v>1.43</v>
      </c>
      <c r="R239" s="891">
        <v>2.3199999999999998</v>
      </c>
      <c r="S239" s="891">
        <v>1.48</v>
      </c>
      <c r="T239" s="891">
        <v>0.33</v>
      </c>
      <c r="U239" s="891">
        <v>3.28</v>
      </c>
      <c r="V239" s="891">
        <v>6.56</v>
      </c>
      <c r="W239" s="891">
        <v>1.23</v>
      </c>
      <c r="X239" s="927">
        <v>9018.61</v>
      </c>
      <c r="Y239" s="891">
        <v>98.38</v>
      </c>
      <c r="Z239" s="891">
        <v>73.790000000000006</v>
      </c>
      <c r="AA239" s="891">
        <v>204.97</v>
      </c>
      <c r="AB239" s="891">
        <v>139.38</v>
      </c>
      <c r="AC239" s="891">
        <v>24.6</v>
      </c>
      <c r="AD239" s="891">
        <v>0.02</v>
      </c>
      <c r="AE239" s="891">
        <v>14.76</v>
      </c>
      <c r="AF239" s="891">
        <v>16.399999999999999</v>
      </c>
      <c r="AG239" s="891">
        <v>6.56</v>
      </c>
      <c r="AH239" s="891">
        <v>2.0499999999999998</v>
      </c>
      <c r="AI239" s="891">
        <v>28.7</v>
      </c>
      <c r="AJ239" s="891">
        <v>20.5</v>
      </c>
      <c r="AK239" s="891">
        <v>32.79</v>
      </c>
      <c r="AL239" s="891">
        <v>32.79</v>
      </c>
      <c r="AM239" s="891">
        <v>882.5</v>
      </c>
      <c r="AN239" s="891">
        <v>528.36</v>
      </c>
      <c r="AO239" s="891">
        <v>286.95999999999998</v>
      </c>
      <c r="AP239" s="891">
        <v>11</v>
      </c>
      <c r="AQ239" s="891">
        <v>0.49</v>
      </c>
      <c r="AR239" s="891">
        <v>0.53</v>
      </c>
      <c r="AS239" s="891">
        <v>1.48</v>
      </c>
      <c r="AT239" s="891">
        <v>2.21</v>
      </c>
      <c r="AU239" s="891">
        <v>1.31</v>
      </c>
      <c r="AV239" s="891">
        <v>0.33</v>
      </c>
      <c r="AW239" s="891">
        <v>0.33</v>
      </c>
      <c r="AX239" s="891">
        <v>1.07</v>
      </c>
      <c r="AY239" s="891">
        <v>0.61</v>
      </c>
      <c r="AZ239" s="891">
        <v>0.41</v>
      </c>
      <c r="BA239" s="891">
        <f t="shared" si="9"/>
        <v>39.380000000000003</v>
      </c>
      <c r="BB239" s="926">
        <f t="shared" si="10"/>
        <v>9029.2300000000014</v>
      </c>
      <c r="BC239" s="926">
        <f t="shared" si="11"/>
        <v>9.3900000000007999</v>
      </c>
      <c r="BD239" s="891"/>
      <c r="BE239" s="891"/>
      <c r="BF239" s="891"/>
      <c r="BG239" s="928"/>
      <c r="BH239" s="928"/>
      <c r="BI239" s="928"/>
    </row>
    <row r="240" spans="1:61">
      <c r="A240" s="891" t="s">
        <v>1616</v>
      </c>
      <c r="B240" s="891" t="s">
        <v>560</v>
      </c>
      <c r="C240" s="891" t="s">
        <v>381</v>
      </c>
      <c r="D240" s="891">
        <v>2.2999999999999998</v>
      </c>
      <c r="E240" s="891">
        <v>8.1999999999999993</v>
      </c>
      <c r="F240" s="891">
        <v>3.28</v>
      </c>
      <c r="G240" s="891">
        <v>1.64</v>
      </c>
      <c r="H240" s="891">
        <v>2.46</v>
      </c>
      <c r="I240" s="891">
        <v>0.33</v>
      </c>
      <c r="J240" s="891">
        <v>0.25</v>
      </c>
      <c r="K240" s="891">
        <v>0.66</v>
      </c>
      <c r="L240" s="891">
        <v>0.39</v>
      </c>
      <c r="M240" s="891">
        <v>0.79</v>
      </c>
      <c r="N240" s="891">
        <v>3.85</v>
      </c>
      <c r="O240" s="891">
        <v>0.41</v>
      </c>
      <c r="P240" s="891">
        <v>6.15</v>
      </c>
      <c r="Q240" s="891">
        <v>1.48</v>
      </c>
      <c r="R240" s="891">
        <v>2.38</v>
      </c>
      <c r="S240" s="891">
        <v>2.0499999999999998</v>
      </c>
      <c r="T240" s="891">
        <v>0.25</v>
      </c>
      <c r="U240" s="891">
        <v>3.28</v>
      </c>
      <c r="V240" s="891">
        <v>6.15</v>
      </c>
      <c r="W240" s="891">
        <v>1.22</v>
      </c>
      <c r="X240" s="927">
        <v>11478.23</v>
      </c>
      <c r="Y240" s="891">
        <v>254.16</v>
      </c>
      <c r="Z240" s="891">
        <v>155.78</v>
      </c>
      <c r="AA240" s="891">
        <v>614.91</v>
      </c>
      <c r="AB240" s="891">
        <v>327.95</v>
      </c>
      <c r="AC240" s="891">
        <v>49.19</v>
      </c>
      <c r="AD240" s="891">
        <v>0.02</v>
      </c>
      <c r="AE240" s="891">
        <v>16.399999999999999</v>
      </c>
      <c r="AF240" s="891">
        <v>16.399999999999999</v>
      </c>
      <c r="AG240" s="891">
        <v>8.1999999999999993</v>
      </c>
      <c r="AH240" s="891">
        <v>3.61</v>
      </c>
      <c r="AI240" s="891">
        <v>45.09</v>
      </c>
      <c r="AJ240" s="891">
        <v>24.6</v>
      </c>
      <c r="AK240" s="891">
        <v>49.19</v>
      </c>
      <c r="AL240" s="891">
        <v>32.79</v>
      </c>
      <c r="AM240" s="891">
        <v>2046.95</v>
      </c>
      <c r="AN240" s="891">
        <v>1103.1300000000001</v>
      </c>
      <c r="AO240" s="891">
        <v>655.9</v>
      </c>
      <c r="AP240" s="891">
        <v>11</v>
      </c>
      <c r="AQ240" s="891">
        <v>0.31</v>
      </c>
      <c r="AR240" s="891">
        <v>0.28000000000000003</v>
      </c>
      <c r="AS240" s="891">
        <v>0.82</v>
      </c>
      <c r="AT240" s="891">
        <v>2.21</v>
      </c>
      <c r="AU240" s="891">
        <v>1.23</v>
      </c>
      <c r="AV240" s="891">
        <v>0.33</v>
      </c>
      <c r="AW240" s="891">
        <v>0.47</v>
      </c>
      <c r="AX240" s="891">
        <v>1.1499999999999999</v>
      </c>
      <c r="AY240" s="891">
        <v>0.66</v>
      </c>
      <c r="AZ240" s="891">
        <v>0.33</v>
      </c>
      <c r="BA240" s="891">
        <f t="shared" si="9"/>
        <v>65.61</v>
      </c>
      <c r="BB240" s="926">
        <f t="shared" si="10"/>
        <v>11487.26</v>
      </c>
      <c r="BC240" s="926">
        <f t="shared" si="11"/>
        <v>7.8100000000006551</v>
      </c>
      <c r="BD240" s="891"/>
      <c r="BE240" s="891"/>
      <c r="BF240" s="891"/>
      <c r="BG240" s="928"/>
      <c r="BH240" s="928"/>
      <c r="BI240" s="928"/>
    </row>
    <row r="241" spans="1:61">
      <c r="A241" s="891" t="s">
        <v>1617</v>
      </c>
      <c r="B241" s="891" t="s">
        <v>1606</v>
      </c>
      <c r="C241" s="891" t="s">
        <v>168</v>
      </c>
      <c r="D241" s="891">
        <v>10</v>
      </c>
      <c r="E241" s="891">
        <v>40</v>
      </c>
      <c r="F241" s="891">
        <v>7.5</v>
      </c>
      <c r="G241" s="891">
        <v>3.5</v>
      </c>
      <c r="H241" s="891">
        <v>4.25</v>
      </c>
      <c r="I241" s="891">
        <v>1.29</v>
      </c>
      <c r="J241" s="891">
        <v>1.0900000000000001</v>
      </c>
      <c r="K241" s="891">
        <v>1.1299999999999999</v>
      </c>
      <c r="L241" s="891">
        <v>2.2400000000000002</v>
      </c>
      <c r="M241" s="891">
        <v>2.5</v>
      </c>
      <c r="N241" s="891">
        <v>8.82</v>
      </c>
      <c r="O241" s="891">
        <v>2</v>
      </c>
      <c r="P241" s="891">
        <v>14.58</v>
      </c>
      <c r="Q241" s="891">
        <v>3.25</v>
      </c>
      <c r="R241" s="891">
        <v>5.5</v>
      </c>
      <c r="S241" s="891">
        <v>5</v>
      </c>
      <c r="T241" s="891">
        <v>1.25</v>
      </c>
      <c r="U241" s="891">
        <v>8.4</v>
      </c>
      <c r="V241" s="891">
        <v>55</v>
      </c>
      <c r="W241" s="891">
        <v>0.92</v>
      </c>
      <c r="X241" s="927">
        <v>24000</v>
      </c>
      <c r="Y241" s="891">
        <v>1000</v>
      </c>
      <c r="Z241" s="891">
        <v>800</v>
      </c>
      <c r="AA241" s="891">
        <v>1900</v>
      </c>
      <c r="AB241" s="891">
        <v>1500</v>
      </c>
      <c r="AC241" s="891">
        <v>250</v>
      </c>
      <c r="AD241" s="891">
        <v>0.1</v>
      </c>
      <c r="AE241" s="891">
        <v>45</v>
      </c>
      <c r="AF241" s="891">
        <v>30</v>
      </c>
      <c r="AG241" s="891">
        <v>15</v>
      </c>
      <c r="AH241" s="891">
        <v>11.5</v>
      </c>
      <c r="AI241" s="891">
        <v>40</v>
      </c>
      <c r="AJ241" s="891">
        <v>30</v>
      </c>
      <c r="AK241" s="891">
        <v>80</v>
      </c>
      <c r="AL241" s="891">
        <v>95</v>
      </c>
      <c r="AM241" s="891">
        <v>2650</v>
      </c>
      <c r="AN241" s="891">
        <v>1076.3900000000001</v>
      </c>
      <c r="AO241" s="891">
        <v>2938</v>
      </c>
      <c r="AP241" s="891">
        <v>4</v>
      </c>
      <c r="AQ241" s="891">
        <v>2.5</v>
      </c>
      <c r="AR241" s="891">
        <v>1.1200000000000001</v>
      </c>
      <c r="AS241" s="891">
        <v>38</v>
      </c>
      <c r="AT241" s="891">
        <v>4.1900000000000004</v>
      </c>
      <c r="AU241" s="891">
        <v>4.2</v>
      </c>
      <c r="AV241" s="891">
        <v>2.2000000000000002</v>
      </c>
      <c r="AW241" s="891">
        <v>1.54</v>
      </c>
      <c r="AX241" s="891">
        <v>3.5</v>
      </c>
      <c r="AY241" s="891">
        <v>2.09</v>
      </c>
      <c r="AZ241" s="891">
        <v>2.8</v>
      </c>
      <c r="BA241" s="891">
        <f t="shared" si="9"/>
        <v>295.10000000000002</v>
      </c>
      <c r="BB241" s="926">
        <f t="shared" si="10"/>
        <v>24098.789999999997</v>
      </c>
      <c r="BC241" s="926">
        <f t="shared" si="11"/>
        <v>97.869999999997233</v>
      </c>
      <c r="BD241" s="891"/>
      <c r="BE241" s="891"/>
      <c r="BF241" s="891"/>
      <c r="BG241" s="928"/>
      <c r="BH241" s="928"/>
      <c r="BI241" s="928"/>
    </row>
    <row r="242" spans="1:61">
      <c r="A242" s="891" t="s">
        <v>1618</v>
      </c>
      <c r="B242" s="891" t="s">
        <v>1606</v>
      </c>
      <c r="C242" s="891" t="s">
        <v>79</v>
      </c>
      <c r="D242" s="891">
        <v>15</v>
      </c>
      <c r="E242" s="891">
        <v>80</v>
      </c>
      <c r="F242" s="891">
        <v>7.5</v>
      </c>
      <c r="G242" s="891">
        <v>6</v>
      </c>
      <c r="H242" s="891">
        <v>7</v>
      </c>
      <c r="I242" s="891">
        <v>1.5</v>
      </c>
      <c r="J242" s="891">
        <v>1.5</v>
      </c>
      <c r="K242" s="891">
        <v>1.32</v>
      </c>
      <c r="L242" s="891">
        <v>3</v>
      </c>
      <c r="M242" s="891">
        <v>3</v>
      </c>
      <c r="N242" s="891">
        <v>11.02</v>
      </c>
      <c r="O242" s="891">
        <v>2</v>
      </c>
      <c r="P242" s="891">
        <v>15</v>
      </c>
      <c r="Q242" s="891">
        <v>2</v>
      </c>
      <c r="R242" s="891">
        <v>3</v>
      </c>
      <c r="S242" s="891">
        <v>13</v>
      </c>
      <c r="T242" s="891">
        <v>2.5</v>
      </c>
      <c r="U242" s="891">
        <v>7.75</v>
      </c>
      <c r="V242" s="891">
        <v>112</v>
      </c>
      <c r="W242" s="891">
        <v>1.06</v>
      </c>
      <c r="X242" s="927">
        <v>20000</v>
      </c>
      <c r="Y242" s="891">
        <v>2850</v>
      </c>
      <c r="Z242" s="891">
        <v>1600</v>
      </c>
      <c r="AA242" s="891">
        <v>5000</v>
      </c>
      <c r="AB242" s="891">
        <v>3000</v>
      </c>
      <c r="AC242" s="891">
        <v>150</v>
      </c>
      <c r="AD242" s="891">
        <v>0.18</v>
      </c>
      <c r="AE242" s="891">
        <v>50</v>
      </c>
      <c r="AF242" s="891">
        <v>90</v>
      </c>
      <c r="AG242" s="891">
        <v>25</v>
      </c>
      <c r="AH242" s="891">
        <v>13.5</v>
      </c>
      <c r="AI242" s="891">
        <v>55</v>
      </c>
      <c r="AJ242" s="891">
        <v>40</v>
      </c>
      <c r="AK242" s="891">
        <v>80</v>
      </c>
      <c r="AL242" s="891">
        <v>110</v>
      </c>
      <c r="AM242" s="891">
        <v>9014.77</v>
      </c>
      <c r="AN242" s="891">
        <v>4921.88</v>
      </c>
      <c r="AO242" s="891">
        <v>4000</v>
      </c>
      <c r="AP242" s="891">
        <v>4</v>
      </c>
      <c r="AQ242" s="891">
        <v>2.5</v>
      </c>
      <c r="AR242" s="891">
        <v>1.24</v>
      </c>
      <c r="AS242" s="891">
        <v>30</v>
      </c>
      <c r="AT242" s="891">
        <v>4.41</v>
      </c>
      <c r="AU242" s="891">
        <v>3</v>
      </c>
      <c r="AV242" s="891">
        <v>2</v>
      </c>
      <c r="AW242" s="891">
        <v>2</v>
      </c>
      <c r="AX242" s="891">
        <v>4</v>
      </c>
      <c r="AY242" s="891">
        <v>3</v>
      </c>
      <c r="AZ242" s="891">
        <v>4.3899999999999997</v>
      </c>
      <c r="BA242" s="891">
        <f t="shared" si="9"/>
        <v>200.18</v>
      </c>
      <c r="BB242" s="926">
        <f t="shared" si="10"/>
        <v>20149.300000000003</v>
      </c>
      <c r="BC242" s="926">
        <f t="shared" si="11"/>
        <v>148.24000000000291</v>
      </c>
      <c r="BD242" s="891"/>
      <c r="BE242" s="891"/>
      <c r="BF242" s="891"/>
      <c r="BG242" s="928"/>
      <c r="BH242" s="928"/>
      <c r="BI242" s="928"/>
    </row>
    <row r="243" spans="1:61">
      <c r="A243" s="891" t="s">
        <v>1014</v>
      </c>
      <c r="B243" s="891" t="s">
        <v>1606</v>
      </c>
      <c r="C243" s="891" t="s">
        <v>176</v>
      </c>
      <c r="D243" s="891">
        <v>18</v>
      </c>
      <c r="E243" s="891">
        <v>40</v>
      </c>
      <c r="F243" s="891">
        <v>7</v>
      </c>
      <c r="G243" s="891">
        <v>4</v>
      </c>
      <c r="H243" s="891">
        <v>5.5</v>
      </c>
      <c r="I243" s="891">
        <v>1.99</v>
      </c>
      <c r="J243" s="891">
        <v>1.5</v>
      </c>
      <c r="K243" s="891">
        <v>1.19</v>
      </c>
      <c r="L243" s="891">
        <v>2.19</v>
      </c>
      <c r="M243" s="891">
        <v>2</v>
      </c>
      <c r="N243" s="891">
        <v>12</v>
      </c>
      <c r="O243" s="891">
        <v>1.75</v>
      </c>
      <c r="P243" s="891">
        <v>20</v>
      </c>
      <c r="Q243" s="891">
        <v>2</v>
      </c>
      <c r="R243" s="891">
        <v>5</v>
      </c>
      <c r="S243" s="891">
        <v>8.5</v>
      </c>
      <c r="T243" s="891">
        <v>3</v>
      </c>
      <c r="U243" s="891">
        <v>2.99</v>
      </c>
      <c r="V243" s="891">
        <v>92</v>
      </c>
      <c r="W243" s="891">
        <v>0.99</v>
      </c>
      <c r="X243" s="927">
        <v>15000</v>
      </c>
      <c r="Y243" s="891">
        <v>925</v>
      </c>
      <c r="Z243" s="891">
        <v>950</v>
      </c>
      <c r="AA243" s="891">
        <v>1500</v>
      </c>
      <c r="AB243" s="891">
        <v>2200</v>
      </c>
      <c r="AC243" s="891">
        <v>100</v>
      </c>
      <c r="AD243" s="891">
        <v>0.22</v>
      </c>
      <c r="AE243" s="891">
        <v>40</v>
      </c>
      <c r="AF243" s="891">
        <v>30</v>
      </c>
      <c r="AG243" s="891">
        <v>20</v>
      </c>
      <c r="AH243" s="891">
        <v>13</v>
      </c>
      <c r="AI243" s="891">
        <v>40</v>
      </c>
      <c r="AJ243" s="891">
        <v>40</v>
      </c>
      <c r="AK243" s="891">
        <v>125</v>
      </c>
      <c r="AL243" s="891">
        <v>100</v>
      </c>
      <c r="AM243" s="891">
        <v>4305.5600000000004</v>
      </c>
      <c r="AN243" s="891">
        <v>3363.72</v>
      </c>
      <c r="AO243" s="891">
        <v>3675</v>
      </c>
      <c r="AP243" s="891">
        <v>4.5999999999999996</v>
      </c>
      <c r="AQ243" s="891">
        <v>4.3</v>
      </c>
      <c r="AR243" s="891">
        <v>2.5</v>
      </c>
      <c r="AS243" s="891">
        <v>10</v>
      </c>
      <c r="AT243" s="891">
        <v>2</v>
      </c>
      <c r="AU243" s="891">
        <v>2.5</v>
      </c>
      <c r="AV243" s="891">
        <v>1.75</v>
      </c>
      <c r="AW243" s="891">
        <v>1.5</v>
      </c>
      <c r="AX243" s="891">
        <v>4</v>
      </c>
      <c r="AY243" s="891">
        <v>2.0499999999999998</v>
      </c>
      <c r="AZ243" s="891">
        <v>2.25</v>
      </c>
      <c r="BA243" s="891">
        <f t="shared" si="9"/>
        <v>140.22</v>
      </c>
      <c r="BB243" s="926">
        <f t="shared" si="10"/>
        <v>15112.789999999999</v>
      </c>
      <c r="BC243" s="926">
        <f t="shared" si="11"/>
        <v>111.79999999999906</v>
      </c>
      <c r="BD243" s="891"/>
      <c r="BE243" s="891"/>
      <c r="BF243" s="891"/>
      <c r="BG243" s="928"/>
      <c r="BH243" s="928"/>
      <c r="BI243" s="928"/>
    </row>
    <row r="244" spans="1:61">
      <c r="A244" s="891" t="s">
        <v>1015</v>
      </c>
      <c r="B244" s="891" t="s">
        <v>1569</v>
      </c>
      <c r="C244" s="891" t="s">
        <v>748</v>
      </c>
      <c r="D244" s="891">
        <v>12.68</v>
      </c>
      <c r="E244" s="891">
        <v>55.84</v>
      </c>
      <c r="F244" s="891">
        <v>7.98</v>
      </c>
      <c r="G244" s="891">
        <v>4.1100000000000003</v>
      </c>
      <c r="H244" s="891">
        <v>4.79</v>
      </c>
      <c r="I244" s="891">
        <v>1.6</v>
      </c>
      <c r="J244" s="891">
        <v>1.6</v>
      </c>
      <c r="K244" s="891">
        <v>1.55</v>
      </c>
      <c r="L244" s="891">
        <v>1.6</v>
      </c>
      <c r="M244" s="891">
        <v>3.51</v>
      </c>
      <c r="N244" s="891">
        <v>7.98</v>
      </c>
      <c r="O244" s="891">
        <v>1.6</v>
      </c>
      <c r="P244" s="891">
        <v>9.56</v>
      </c>
      <c r="Q244" s="891">
        <v>3.11</v>
      </c>
      <c r="R244" s="891">
        <v>3.19</v>
      </c>
      <c r="S244" s="891">
        <v>11.17</v>
      </c>
      <c r="T244" s="891">
        <v>3.35</v>
      </c>
      <c r="U244" s="891">
        <v>7.98</v>
      </c>
      <c r="V244" s="891">
        <v>79.77</v>
      </c>
      <c r="W244" s="891">
        <v>2.2200000000000002</v>
      </c>
      <c r="X244" s="927">
        <v>26324.19</v>
      </c>
      <c r="Y244" s="891">
        <v>797.7</v>
      </c>
      <c r="Z244" s="891">
        <v>638.16</v>
      </c>
      <c r="AA244" s="891">
        <v>1515.63</v>
      </c>
      <c r="AB244" s="891">
        <v>917.36</v>
      </c>
      <c r="AC244" s="891">
        <v>239.31</v>
      </c>
      <c r="AD244" s="891">
        <v>0.39</v>
      </c>
      <c r="AE244" s="891">
        <v>38.29</v>
      </c>
      <c r="AF244" s="891">
        <v>55.84</v>
      </c>
      <c r="AG244" s="891">
        <v>12.76</v>
      </c>
      <c r="AH244" s="891">
        <v>12.36</v>
      </c>
      <c r="AI244" s="891">
        <v>63.82</v>
      </c>
      <c r="AJ244" s="891">
        <v>41.47</v>
      </c>
      <c r="AK244" s="891">
        <v>79.77</v>
      </c>
      <c r="AL244" s="891">
        <v>93.33</v>
      </c>
      <c r="AM244" s="891">
        <v>1941.61</v>
      </c>
      <c r="AN244" s="891">
        <v>1563.5</v>
      </c>
      <c r="AO244" s="891">
        <v>2791.96</v>
      </c>
      <c r="AP244" s="891">
        <v>2.9</v>
      </c>
      <c r="AQ244" s="891">
        <v>3.91</v>
      </c>
      <c r="AR244" s="891">
        <v>1.66</v>
      </c>
      <c r="AS244" s="891">
        <v>39.090000000000003</v>
      </c>
      <c r="AT244" s="891">
        <v>2.95</v>
      </c>
      <c r="AU244" s="891">
        <v>3.19</v>
      </c>
      <c r="AV244" s="891">
        <v>1.72</v>
      </c>
      <c r="AW244" s="891">
        <v>1.6</v>
      </c>
      <c r="AX244" s="891">
        <v>3.19</v>
      </c>
      <c r="AY244" s="891">
        <v>1.6</v>
      </c>
      <c r="AZ244" s="891">
        <v>3.19</v>
      </c>
      <c r="BA244" s="891">
        <f t="shared" si="9"/>
        <v>277.99</v>
      </c>
      <c r="BB244" s="926">
        <f t="shared" si="10"/>
        <v>26454.19</v>
      </c>
      <c r="BC244" s="926">
        <f t="shared" si="11"/>
        <v>127.78</v>
      </c>
      <c r="BD244" s="891"/>
      <c r="BE244" s="891"/>
      <c r="BF244" s="891"/>
      <c r="BG244" s="928"/>
      <c r="BH244" s="928"/>
      <c r="BI244" s="928"/>
    </row>
    <row r="245" spans="1:61">
      <c r="A245" s="891" t="s">
        <v>1016</v>
      </c>
      <c r="B245" s="891" t="s">
        <v>569</v>
      </c>
      <c r="C245" s="891" t="s">
        <v>44</v>
      </c>
      <c r="D245" s="891">
        <v>13.55</v>
      </c>
      <c r="E245" s="891">
        <v>54.86</v>
      </c>
      <c r="F245" s="891">
        <v>9.48</v>
      </c>
      <c r="G245" s="891">
        <v>4.0599999999999996</v>
      </c>
      <c r="H245" s="891">
        <v>4.0599999999999996</v>
      </c>
      <c r="I245" s="891">
        <v>4.0599999999999996</v>
      </c>
      <c r="J245" s="891">
        <v>2.71</v>
      </c>
      <c r="K245" s="891">
        <v>1.22</v>
      </c>
      <c r="L245" s="891">
        <v>1.35</v>
      </c>
      <c r="M245" s="891">
        <v>4.74</v>
      </c>
      <c r="N245" s="891">
        <v>27.09</v>
      </c>
      <c r="O245" s="891">
        <v>0.57999999999999996</v>
      </c>
      <c r="P245" s="891">
        <v>8.1300000000000008</v>
      </c>
      <c r="Q245" s="891">
        <v>1.35</v>
      </c>
      <c r="R245" s="891">
        <v>1.02</v>
      </c>
      <c r="S245" s="891">
        <v>9.48</v>
      </c>
      <c r="T245" s="891">
        <v>1.69</v>
      </c>
      <c r="U245" s="891">
        <v>20.32</v>
      </c>
      <c r="V245" s="891">
        <v>39.28</v>
      </c>
      <c r="W245" s="891">
        <v>2.06</v>
      </c>
      <c r="X245" s="927">
        <v>30195.07</v>
      </c>
      <c r="Y245" s="891">
        <v>900.84</v>
      </c>
      <c r="Z245" s="891">
        <v>852</v>
      </c>
      <c r="AA245" s="891">
        <v>1625.58</v>
      </c>
      <c r="AB245" s="891">
        <v>1625.58</v>
      </c>
      <c r="AC245" s="891">
        <v>135.46</v>
      </c>
      <c r="AD245" s="891">
        <v>0.27</v>
      </c>
      <c r="AE245" s="891">
        <v>40.64</v>
      </c>
      <c r="AF245" s="891">
        <v>54.19</v>
      </c>
      <c r="AG245" s="891">
        <v>27.09</v>
      </c>
      <c r="AH245" s="891">
        <v>12.87</v>
      </c>
      <c r="AI245" s="891">
        <v>101.6</v>
      </c>
      <c r="AJ245" s="891">
        <v>54.19</v>
      </c>
      <c r="AK245" s="891">
        <v>125.3</v>
      </c>
      <c r="AL245" s="891">
        <v>128.69</v>
      </c>
      <c r="AM245" s="891">
        <v>6095.91</v>
      </c>
      <c r="AN245" s="891">
        <v>4741.26</v>
      </c>
      <c r="AO245" s="891">
        <v>2980.22</v>
      </c>
      <c r="AP245" s="891">
        <v>3.5</v>
      </c>
      <c r="AQ245" s="891">
        <v>4</v>
      </c>
      <c r="AR245" s="891">
        <v>1.1599999999999999</v>
      </c>
      <c r="AS245" s="891">
        <v>38.74</v>
      </c>
      <c r="AT245" s="891">
        <v>3.12</v>
      </c>
      <c r="AU245" s="891">
        <v>3.39</v>
      </c>
      <c r="AV245" s="891">
        <v>1.34</v>
      </c>
      <c r="AW245" s="891">
        <v>1.59</v>
      </c>
      <c r="AX245" s="891">
        <v>4.0599999999999996</v>
      </c>
      <c r="AY245" s="891">
        <v>2.71</v>
      </c>
      <c r="AZ245" s="891">
        <v>2.88</v>
      </c>
      <c r="BA245" s="891">
        <f t="shared" si="9"/>
        <v>176.37</v>
      </c>
      <c r="BB245" s="926">
        <f t="shared" si="10"/>
        <v>30282</v>
      </c>
      <c r="BC245" s="926">
        <f t="shared" si="11"/>
        <v>84.870000000000289</v>
      </c>
      <c r="BD245" s="891"/>
      <c r="BE245" s="891"/>
      <c r="BF245" s="891"/>
      <c r="BG245" s="928"/>
      <c r="BH245" s="928"/>
      <c r="BI245" s="928"/>
    </row>
    <row r="246" spans="1:61">
      <c r="A246" s="891" t="s">
        <v>1017</v>
      </c>
      <c r="B246" s="891" t="s">
        <v>592</v>
      </c>
      <c r="C246" s="891" t="s">
        <v>86</v>
      </c>
      <c r="D246" s="891">
        <v>16.260000000000002</v>
      </c>
      <c r="E246" s="891">
        <v>67.73</v>
      </c>
      <c r="F246" s="891">
        <v>8.1300000000000008</v>
      </c>
      <c r="G246" s="891">
        <v>4.4000000000000004</v>
      </c>
      <c r="H246" s="891">
        <v>6.1</v>
      </c>
      <c r="I246" s="891">
        <v>1.35</v>
      </c>
      <c r="J246" s="891">
        <v>0.68</v>
      </c>
      <c r="K246" s="891">
        <v>2.0299999999999998</v>
      </c>
      <c r="L246" s="891">
        <v>2.71</v>
      </c>
      <c r="M246" s="891">
        <v>4.4000000000000004</v>
      </c>
      <c r="N246" s="891">
        <v>14.22</v>
      </c>
      <c r="O246" s="891">
        <v>1.35</v>
      </c>
      <c r="P246" s="891">
        <v>7.45</v>
      </c>
      <c r="Q246" s="891">
        <v>2.2400000000000002</v>
      </c>
      <c r="R246" s="891">
        <v>2.0299999999999998</v>
      </c>
      <c r="S246" s="891">
        <v>6.43</v>
      </c>
      <c r="T246" s="891">
        <v>1.83</v>
      </c>
      <c r="U246" s="891">
        <v>10.16</v>
      </c>
      <c r="V246" s="891">
        <v>54.19</v>
      </c>
      <c r="W246" s="891">
        <v>1.9</v>
      </c>
      <c r="X246" s="927">
        <v>27092.93</v>
      </c>
      <c r="Y246" s="891">
        <v>609.59</v>
      </c>
      <c r="Z246" s="891">
        <v>541.86</v>
      </c>
      <c r="AA246" s="891">
        <v>948.25</v>
      </c>
      <c r="AB246" s="891">
        <v>880.52</v>
      </c>
      <c r="AC246" s="891">
        <v>284.48</v>
      </c>
      <c r="AD246" s="891">
        <v>0.1</v>
      </c>
      <c r="AE246" s="891">
        <v>54.19</v>
      </c>
      <c r="AF246" s="891">
        <v>81.28</v>
      </c>
      <c r="AG246" s="891">
        <v>12.19</v>
      </c>
      <c r="AH246" s="891">
        <v>10.84</v>
      </c>
      <c r="AI246" s="891">
        <v>121.92</v>
      </c>
      <c r="AJ246" s="891">
        <v>67.73</v>
      </c>
      <c r="AK246" s="891">
        <v>121.92</v>
      </c>
      <c r="AL246" s="891">
        <v>162.56</v>
      </c>
      <c r="AM246" s="891">
        <v>2709.29</v>
      </c>
      <c r="AN246" s="891">
        <v>2438.36</v>
      </c>
      <c r="AO246" s="891">
        <v>1625.58</v>
      </c>
      <c r="AP246" s="891">
        <v>7</v>
      </c>
      <c r="AQ246" s="891">
        <v>4.63</v>
      </c>
      <c r="AR246" s="891">
        <v>0.99</v>
      </c>
      <c r="AS246" s="891">
        <v>18.5</v>
      </c>
      <c r="AT246" s="891">
        <v>2.71</v>
      </c>
      <c r="AU246" s="891">
        <v>2.0699999999999998</v>
      </c>
      <c r="AV246" s="891">
        <v>1.08</v>
      </c>
      <c r="AW246" s="891">
        <v>0.68</v>
      </c>
      <c r="AX246" s="891">
        <v>5.42</v>
      </c>
      <c r="AY246" s="891">
        <v>3.66</v>
      </c>
      <c r="AZ246" s="891">
        <v>1.9</v>
      </c>
      <c r="BA246" s="891">
        <f t="shared" si="9"/>
        <v>338.77000000000004</v>
      </c>
      <c r="BB246" s="926">
        <f t="shared" si="10"/>
        <v>27174.97</v>
      </c>
      <c r="BC246" s="926">
        <f t="shared" si="11"/>
        <v>80.140000000000867</v>
      </c>
      <c r="BD246" s="891"/>
      <c r="BE246" s="891"/>
      <c r="BF246" s="891"/>
      <c r="BG246" s="928"/>
      <c r="BH246" s="928"/>
      <c r="BI246" s="928"/>
    </row>
    <row r="247" spans="1:61">
      <c r="A247" s="891" t="s">
        <v>1018</v>
      </c>
      <c r="B247" s="891" t="s">
        <v>634</v>
      </c>
      <c r="C247" s="891" t="s">
        <v>352</v>
      </c>
      <c r="D247" s="891">
        <v>6.04</v>
      </c>
      <c r="E247" s="891">
        <v>16.59</v>
      </c>
      <c r="F247" s="891">
        <v>4.3499999999999996</v>
      </c>
      <c r="G247" s="891">
        <v>1.35</v>
      </c>
      <c r="H247" s="891">
        <v>1.49</v>
      </c>
      <c r="I247" s="891">
        <v>1.35</v>
      </c>
      <c r="J247" s="891">
        <v>0.54</v>
      </c>
      <c r="K247" s="891">
        <v>0.88</v>
      </c>
      <c r="L247" s="891">
        <v>0.51</v>
      </c>
      <c r="M247" s="891">
        <v>1.63</v>
      </c>
      <c r="N247" s="891">
        <v>3.86</v>
      </c>
      <c r="O247" s="891">
        <v>0.6</v>
      </c>
      <c r="P247" s="891">
        <v>4.0599999999999996</v>
      </c>
      <c r="Q247" s="891">
        <v>0.87</v>
      </c>
      <c r="R247" s="891">
        <v>1.08</v>
      </c>
      <c r="S247" s="891">
        <v>2.63</v>
      </c>
      <c r="T247" s="891">
        <v>0.61</v>
      </c>
      <c r="U247" s="891">
        <v>6.7</v>
      </c>
      <c r="V247" s="891">
        <v>21.67</v>
      </c>
      <c r="W247" s="891">
        <v>1.82</v>
      </c>
      <c r="X247" s="927">
        <v>21200.22</v>
      </c>
      <c r="Y247" s="891">
        <v>192.92</v>
      </c>
      <c r="Z247" s="891">
        <v>108.37</v>
      </c>
      <c r="AA247" s="891">
        <v>312.02</v>
      </c>
      <c r="AB247" s="891">
        <v>203.2</v>
      </c>
      <c r="AC247" s="891">
        <v>135.46</v>
      </c>
      <c r="AD247" s="891">
        <v>0.14000000000000001</v>
      </c>
      <c r="AE247" s="891">
        <v>18.97</v>
      </c>
      <c r="AF247" s="891">
        <v>16.260000000000002</v>
      </c>
      <c r="AG247" s="891">
        <v>5.42</v>
      </c>
      <c r="AH247" s="891">
        <v>3.25</v>
      </c>
      <c r="AI247" s="891">
        <v>126.66</v>
      </c>
      <c r="AJ247" s="891">
        <v>47.73</v>
      </c>
      <c r="AK247" s="891">
        <v>121.92</v>
      </c>
      <c r="AL247" s="891">
        <v>88.05</v>
      </c>
      <c r="AM247" s="891">
        <v>1422.38</v>
      </c>
      <c r="AN247" s="891">
        <v>982.12</v>
      </c>
      <c r="AO247" s="891">
        <v>338.66</v>
      </c>
      <c r="AP247" s="891">
        <v>9</v>
      </c>
      <c r="AQ247" s="891">
        <v>1.03</v>
      </c>
      <c r="AR247" s="891">
        <v>0.68</v>
      </c>
      <c r="AS247" s="891">
        <v>4.74</v>
      </c>
      <c r="AT247" s="891">
        <v>1.29</v>
      </c>
      <c r="AU247" s="891">
        <v>1.21</v>
      </c>
      <c r="AV247" s="891">
        <v>0.82</v>
      </c>
      <c r="AW247" s="891">
        <v>0.41</v>
      </c>
      <c r="AX247" s="891">
        <v>1.35</v>
      </c>
      <c r="AY247" s="891">
        <v>1.66</v>
      </c>
      <c r="AZ247" s="891">
        <v>0.68</v>
      </c>
      <c r="BA247" s="891">
        <f t="shared" si="9"/>
        <v>154.57</v>
      </c>
      <c r="BB247" s="926">
        <f t="shared" si="10"/>
        <v>21230.77</v>
      </c>
      <c r="BC247" s="926">
        <f t="shared" si="11"/>
        <v>28.729999999999272</v>
      </c>
      <c r="BD247" s="891"/>
      <c r="BE247" s="891"/>
      <c r="BF247" s="891"/>
      <c r="BG247" s="928"/>
      <c r="BH247" s="928"/>
      <c r="BI247" s="928"/>
    </row>
    <row r="248" spans="1:61">
      <c r="A248" s="891" t="s">
        <v>1619</v>
      </c>
      <c r="B248" s="891" t="s">
        <v>556</v>
      </c>
      <c r="C248" s="891" t="s">
        <v>273</v>
      </c>
      <c r="D248" s="891">
        <v>7.42</v>
      </c>
      <c r="E248" s="891">
        <v>23.19</v>
      </c>
      <c r="F248" s="891">
        <v>6.96</v>
      </c>
      <c r="G248" s="891">
        <v>1.7</v>
      </c>
      <c r="H248" s="891">
        <v>2.4700000000000002</v>
      </c>
      <c r="I248" s="891">
        <v>1</v>
      </c>
      <c r="J248" s="891">
        <v>0.62</v>
      </c>
      <c r="K248" s="891">
        <v>1.08</v>
      </c>
      <c r="L248" s="891">
        <v>0.62</v>
      </c>
      <c r="M248" s="891">
        <v>1.48</v>
      </c>
      <c r="N248" s="891">
        <v>8.9700000000000006</v>
      </c>
      <c r="O248" s="891">
        <v>0.85</v>
      </c>
      <c r="P248" s="891">
        <v>7.73</v>
      </c>
      <c r="Q248" s="891">
        <v>1.08</v>
      </c>
      <c r="R248" s="891">
        <v>2.4700000000000002</v>
      </c>
      <c r="S248" s="891">
        <v>1.86</v>
      </c>
      <c r="T248" s="891">
        <v>0.62</v>
      </c>
      <c r="U248" s="891">
        <v>6.18</v>
      </c>
      <c r="V248" s="891">
        <v>24.74</v>
      </c>
      <c r="W248" s="891">
        <v>0.93</v>
      </c>
      <c r="X248" s="927">
        <v>19689.22</v>
      </c>
      <c r="Y248" s="891">
        <v>587.53</v>
      </c>
      <c r="Z248" s="891">
        <v>371.07</v>
      </c>
      <c r="AA248" s="891">
        <v>958.59</v>
      </c>
      <c r="AB248" s="891">
        <v>618.45000000000005</v>
      </c>
      <c r="AC248" s="891">
        <v>212.24</v>
      </c>
      <c r="AD248" s="891">
        <v>0.03</v>
      </c>
      <c r="AE248" s="891">
        <v>12.37</v>
      </c>
      <c r="AF248" s="891">
        <v>61.84</v>
      </c>
      <c r="AG248" s="891">
        <v>22.42</v>
      </c>
      <c r="AH248" s="891">
        <v>8.66</v>
      </c>
      <c r="AI248" s="891">
        <v>77.31</v>
      </c>
      <c r="AJ248" s="891">
        <v>77.31</v>
      </c>
      <c r="AK248" s="891">
        <v>92.77</v>
      </c>
      <c r="AL248" s="891">
        <v>85.04</v>
      </c>
      <c r="AM248" s="891">
        <v>2009.96</v>
      </c>
      <c r="AN248" s="891">
        <v>1391.51</v>
      </c>
      <c r="AO248" s="891">
        <v>479.3</v>
      </c>
      <c r="AP248" s="891">
        <v>14</v>
      </c>
      <c r="AQ248" s="891">
        <v>2.4700000000000002</v>
      </c>
      <c r="AR248" s="891">
        <v>0.93</v>
      </c>
      <c r="AS248" s="891">
        <v>9.2799999999999994</v>
      </c>
      <c r="AT248" s="891">
        <v>1.78</v>
      </c>
      <c r="AU248" s="891">
        <v>1.55</v>
      </c>
      <c r="AV248" s="891">
        <v>0.93</v>
      </c>
      <c r="AW248" s="891">
        <v>1.08</v>
      </c>
      <c r="AX248" s="891">
        <v>3.09</v>
      </c>
      <c r="AY248" s="891">
        <v>1.28</v>
      </c>
      <c r="AZ248" s="891">
        <v>2.72</v>
      </c>
      <c r="BA248" s="891">
        <f t="shared" si="9"/>
        <v>224.64000000000001</v>
      </c>
      <c r="BB248" s="926">
        <f t="shared" si="10"/>
        <v>19728.190000000002</v>
      </c>
      <c r="BC248" s="926">
        <f t="shared" si="11"/>
        <v>38.040000000001164</v>
      </c>
      <c r="BD248" s="891"/>
      <c r="BE248" s="891"/>
      <c r="BF248" s="891"/>
      <c r="BG248" s="928"/>
      <c r="BH248" s="928"/>
      <c r="BI248" s="928"/>
    </row>
    <row r="249" spans="1:61">
      <c r="A249" s="891" t="s">
        <v>1020</v>
      </c>
      <c r="B249" s="891" t="s">
        <v>560</v>
      </c>
      <c r="C249" s="891" t="s">
        <v>379</v>
      </c>
      <c r="D249" s="891">
        <v>3.28</v>
      </c>
      <c r="E249" s="891">
        <v>16.399999999999999</v>
      </c>
      <c r="F249" s="891">
        <v>3.28</v>
      </c>
      <c r="G249" s="891">
        <v>1.64</v>
      </c>
      <c r="H249" s="891">
        <v>2.46</v>
      </c>
      <c r="I249" s="891">
        <v>0.41</v>
      </c>
      <c r="J249" s="891">
        <v>0.25</v>
      </c>
      <c r="K249" s="891">
        <v>0.57999999999999996</v>
      </c>
      <c r="L249" s="891">
        <v>0.33</v>
      </c>
      <c r="M249" s="891">
        <v>0.82</v>
      </c>
      <c r="N249" s="891">
        <v>3.28</v>
      </c>
      <c r="O249" s="891">
        <v>0.33</v>
      </c>
      <c r="P249" s="891">
        <v>11.48</v>
      </c>
      <c r="Q249" s="891">
        <v>1.64</v>
      </c>
      <c r="R249" s="891">
        <v>2.13</v>
      </c>
      <c r="S249" s="891">
        <v>1.64</v>
      </c>
      <c r="T249" s="891">
        <v>0.33</v>
      </c>
      <c r="U249" s="891">
        <v>3.28</v>
      </c>
      <c r="V249" s="891">
        <v>8.1999999999999993</v>
      </c>
      <c r="W249" s="891">
        <v>1.1399999999999999</v>
      </c>
      <c r="X249" s="927">
        <v>10986.31</v>
      </c>
      <c r="Y249" s="891">
        <v>172.17</v>
      </c>
      <c r="Z249" s="891">
        <v>114.78</v>
      </c>
      <c r="AA249" s="891">
        <v>409.94</v>
      </c>
      <c r="AB249" s="891">
        <v>327.95</v>
      </c>
      <c r="AC249" s="891">
        <v>27.88</v>
      </c>
      <c r="AD249" s="891">
        <v>0.02</v>
      </c>
      <c r="AE249" s="891">
        <v>23.78</v>
      </c>
      <c r="AF249" s="891">
        <v>22.14</v>
      </c>
      <c r="AG249" s="891">
        <v>4.92</v>
      </c>
      <c r="AH249" s="891">
        <v>4.0999999999999996</v>
      </c>
      <c r="AI249" s="891">
        <v>40.99</v>
      </c>
      <c r="AJ249" s="891">
        <v>32.79</v>
      </c>
      <c r="AK249" s="891">
        <v>61.49</v>
      </c>
      <c r="AL249" s="891">
        <v>40.99</v>
      </c>
      <c r="AM249" s="891">
        <v>1235.51</v>
      </c>
      <c r="AN249" s="891">
        <v>714.83</v>
      </c>
      <c r="AO249" s="891">
        <v>491.92</v>
      </c>
      <c r="AP249" s="891">
        <v>10.75</v>
      </c>
      <c r="AQ249" s="891">
        <v>0.33</v>
      </c>
      <c r="AR249" s="891">
        <v>0.33</v>
      </c>
      <c r="AS249" s="891">
        <v>0.82</v>
      </c>
      <c r="AT249" s="891">
        <v>2.21</v>
      </c>
      <c r="AU249" s="891">
        <v>0.74</v>
      </c>
      <c r="AV249" s="891">
        <v>0.33</v>
      </c>
      <c r="AW249" s="891">
        <v>0.25</v>
      </c>
      <c r="AX249" s="891">
        <v>1.31</v>
      </c>
      <c r="AY249" s="891">
        <v>0.86</v>
      </c>
      <c r="AZ249" s="891">
        <v>0.33</v>
      </c>
      <c r="BA249" s="891">
        <f t="shared" si="9"/>
        <v>51.68</v>
      </c>
      <c r="BB249" s="926">
        <f t="shared" si="10"/>
        <v>10997.46</v>
      </c>
      <c r="BC249" s="926">
        <f t="shared" si="11"/>
        <v>10.009999999999636</v>
      </c>
      <c r="BD249" s="891"/>
      <c r="BE249" s="891"/>
      <c r="BF249" s="891"/>
      <c r="BG249" s="928"/>
      <c r="BH249" s="928"/>
      <c r="BI249" s="928"/>
    </row>
    <row r="250" spans="1:61">
      <c r="A250" s="891" t="s">
        <v>1021</v>
      </c>
      <c r="B250" s="891" t="s">
        <v>1569</v>
      </c>
      <c r="C250" s="891" t="s">
        <v>113</v>
      </c>
      <c r="D250" s="891">
        <v>15.95</v>
      </c>
      <c r="E250" s="891">
        <v>55.84</v>
      </c>
      <c r="F250" s="891">
        <v>7.72</v>
      </c>
      <c r="G250" s="891">
        <v>4.46</v>
      </c>
      <c r="H250" s="891">
        <v>5.1100000000000003</v>
      </c>
      <c r="I250" s="891">
        <v>1.6</v>
      </c>
      <c r="J250" s="891">
        <v>1.28</v>
      </c>
      <c r="K250" s="891">
        <v>1.28</v>
      </c>
      <c r="L250" s="891">
        <v>1.75</v>
      </c>
      <c r="M250" s="891">
        <v>3.19</v>
      </c>
      <c r="N250" s="891">
        <v>3.99</v>
      </c>
      <c r="O250" s="891">
        <v>1.6</v>
      </c>
      <c r="P250" s="891">
        <v>7.98</v>
      </c>
      <c r="Q250" s="891">
        <v>2.39</v>
      </c>
      <c r="R250" s="891">
        <v>2.39</v>
      </c>
      <c r="S250" s="891">
        <v>11.25</v>
      </c>
      <c r="T250" s="891">
        <v>2.71</v>
      </c>
      <c r="U250" s="891">
        <v>14.36</v>
      </c>
      <c r="V250" s="891">
        <v>65.41</v>
      </c>
      <c r="W250" s="891">
        <v>2.19</v>
      </c>
      <c r="X250" s="927">
        <v>26005.11</v>
      </c>
      <c r="Y250" s="891">
        <v>797.7</v>
      </c>
      <c r="Z250" s="891">
        <v>598.28</v>
      </c>
      <c r="AA250" s="891">
        <v>1236.44</v>
      </c>
      <c r="AB250" s="891">
        <v>957.24</v>
      </c>
      <c r="AC250" s="891">
        <v>210.95</v>
      </c>
      <c r="AD250" s="891">
        <v>0.18</v>
      </c>
      <c r="AE250" s="891">
        <v>27.92</v>
      </c>
      <c r="AF250" s="891">
        <v>47.86</v>
      </c>
      <c r="AG250" s="891">
        <v>12.76</v>
      </c>
      <c r="AH250" s="891">
        <v>12.76</v>
      </c>
      <c r="AI250" s="891">
        <v>95.72</v>
      </c>
      <c r="AJ250" s="891">
        <v>43.87</v>
      </c>
      <c r="AK250" s="891">
        <v>79.77</v>
      </c>
      <c r="AL250" s="891">
        <v>95.72</v>
      </c>
      <c r="AM250" s="891">
        <v>3988.51</v>
      </c>
      <c r="AN250" s="891">
        <v>3190.81</v>
      </c>
      <c r="AO250" s="891">
        <v>2871.73</v>
      </c>
      <c r="AP250" s="891">
        <v>5</v>
      </c>
      <c r="AQ250" s="891">
        <v>4.2300000000000004</v>
      </c>
      <c r="AR250" s="891">
        <v>1.73</v>
      </c>
      <c r="AS250" s="891">
        <v>87.75</v>
      </c>
      <c r="AT250" s="891">
        <v>2.39</v>
      </c>
      <c r="AU250" s="891">
        <v>2.39</v>
      </c>
      <c r="AV250" s="891">
        <v>1.1200000000000001</v>
      </c>
      <c r="AW250" s="891">
        <v>1.44</v>
      </c>
      <c r="AX250" s="891">
        <v>3.99</v>
      </c>
      <c r="AY250" s="891">
        <v>2.4500000000000002</v>
      </c>
      <c r="AZ250" s="891">
        <v>3.19</v>
      </c>
      <c r="BA250" s="891">
        <f t="shared" si="9"/>
        <v>239.05</v>
      </c>
      <c r="BB250" s="926">
        <f t="shared" si="10"/>
        <v>26169.13</v>
      </c>
      <c r="BC250" s="926">
        <f t="shared" si="11"/>
        <v>161.83000000000044</v>
      </c>
      <c r="BD250" s="891"/>
      <c r="BE250" s="891"/>
      <c r="BF250" s="891"/>
      <c r="BG250" s="928"/>
      <c r="BH250" s="928"/>
      <c r="BI250" s="928"/>
    </row>
    <row r="251" spans="1:61">
      <c r="A251" s="891" t="s">
        <v>1620</v>
      </c>
      <c r="B251" s="891" t="s">
        <v>634</v>
      </c>
      <c r="C251" s="891" t="s">
        <v>311</v>
      </c>
      <c r="D251" s="891">
        <v>5.42</v>
      </c>
      <c r="E251" s="891">
        <v>21</v>
      </c>
      <c r="F251" s="891">
        <v>5.42</v>
      </c>
      <c r="G251" s="891">
        <v>1.76</v>
      </c>
      <c r="H251" s="891">
        <v>2.48</v>
      </c>
      <c r="I251" s="891">
        <v>1.49</v>
      </c>
      <c r="J251" s="891">
        <v>1.1499999999999999</v>
      </c>
      <c r="K251" s="891">
        <v>1.05</v>
      </c>
      <c r="L251" s="891">
        <v>0.54</v>
      </c>
      <c r="M251" s="891">
        <v>1.91</v>
      </c>
      <c r="N251" s="891">
        <v>6.77</v>
      </c>
      <c r="O251" s="891">
        <v>0.54</v>
      </c>
      <c r="P251" s="891">
        <v>4.0599999999999996</v>
      </c>
      <c r="Q251" s="891">
        <v>0.71</v>
      </c>
      <c r="R251" s="891">
        <v>1.1399999999999999</v>
      </c>
      <c r="S251" s="891">
        <v>2.33</v>
      </c>
      <c r="T251" s="891">
        <v>0.59</v>
      </c>
      <c r="U251" s="891">
        <v>6.77</v>
      </c>
      <c r="V251" s="891">
        <v>27.09</v>
      </c>
      <c r="W251" s="891">
        <v>1.9</v>
      </c>
      <c r="X251" s="927">
        <v>21674.34</v>
      </c>
      <c r="Y251" s="891">
        <v>270.93</v>
      </c>
      <c r="Z251" s="891">
        <v>189.65</v>
      </c>
      <c r="AA251" s="891">
        <v>406.39</v>
      </c>
      <c r="AB251" s="891">
        <v>284.48</v>
      </c>
      <c r="AC251" s="891">
        <v>178.62</v>
      </c>
      <c r="AD251" s="891">
        <v>0.16</v>
      </c>
      <c r="AE251" s="891">
        <v>21.34</v>
      </c>
      <c r="AF251" s="891">
        <v>33.5</v>
      </c>
      <c r="AG251" s="891">
        <v>10.84</v>
      </c>
      <c r="AH251" s="891">
        <v>4.1399999999999997</v>
      </c>
      <c r="AI251" s="891">
        <v>108.37</v>
      </c>
      <c r="AJ251" s="891">
        <v>54.19</v>
      </c>
      <c r="AK251" s="891">
        <v>120.5</v>
      </c>
      <c r="AL251" s="891">
        <v>98.43</v>
      </c>
      <c r="AM251" s="891">
        <v>1625.58</v>
      </c>
      <c r="AN251" s="891">
        <v>1151.45</v>
      </c>
      <c r="AO251" s="891">
        <v>474.13</v>
      </c>
      <c r="AP251" s="891">
        <v>10.5</v>
      </c>
      <c r="AQ251" s="891">
        <v>0.95</v>
      </c>
      <c r="AR251" s="891">
        <v>0.53</v>
      </c>
      <c r="AS251" s="891">
        <v>5.42</v>
      </c>
      <c r="AT251" s="891">
        <v>1.08</v>
      </c>
      <c r="AU251" s="891">
        <v>1.35</v>
      </c>
      <c r="AV251" s="891">
        <v>0.68</v>
      </c>
      <c r="AW251" s="891">
        <v>0.47</v>
      </c>
      <c r="AX251" s="891">
        <v>1.45</v>
      </c>
      <c r="AY251" s="891">
        <v>1.65</v>
      </c>
      <c r="AZ251" s="891">
        <v>1.18</v>
      </c>
      <c r="BA251" s="891">
        <f t="shared" si="9"/>
        <v>200.12</v>
      </c>
      <c r="BB251" s="926">
        <f t="shared" si="10"/>
        <v>21710.82</v>
      </c>
      <c r="BC251" s="926">
        <f t="shared" si="11"/>
        <v>34.579999999999565</v>
      </c>
      <c r="BD251" s="891"/>
      <c r="BE251" s="891"/>
      <c r="BF251" s="891"/>
      <c r="BG251" s="928"/>
      <c r="BH251" s="928"/>
      <c r="BI251" s="928"/>
    </row>
    <row r="252" spans="1:61">
      <c r="A252" s="891" t="s">
        <v>1023</v>
      </c>
      <c r="B252" s="891" t="s">
        <v>556</v>
      </c>
      <c r="C252" s="891" t="s">
        <v>271</v>
      </c>
      <c r="D252" s="891">
        <v>9.2799999999999994</v>
      </c>
      <c r="E252" s="891">
        <v>37.11</v>
      </c>
      <c r="F252" s="891">
        <v>6.18</v>
      </c>
      <c r="G252" s="891">
        <v>4.6399999999999997</v>
      </c>
      <c r="H252" s="891">
        <v>3.71</v>
      </c>
      <c r="I252" s="891">
        <v>1</v>
      </c>
      <c r="J252" s="891">
        <v>0.85</v>
      </c>
      <c r="K252" s="891">
        <v>1.08</v>
      </c>
      <c r="L252" s="891">
        <v>0.77</v>
      </c>
      <c r="M252" s="891">
        <v>1.3</v>
      </c>
      <c r="N252" s="891">
        <v>8.66</v>
      </c>
      <c r="O252" s="891">
        <v>0.85</v>
      </c>
      <c r="P252" s="891">
        <v>10.82</v>
      </c>
      <c r="Q252" s="891">
        <v>1.1599999999999999</v>
      </c>
      <c r="R252" s="891">
        <v>2.5099999999999998</v>
      </c>
      <c r="S252" s="891">
        <v>1.86</v>
      </c>
      <c r="T252" s="891">
        <v>0.53</v>
      </c>
      <c r="U252" s="891">
        <v>5.41</v>
      </c>
      <c r="V252" s="891">
        <v>19.79</v>
      </c>
      <c r="W252" s="891">
        <v>0.87</v>
      </c>
      <c r="X252" s="927">
        <v>20176.88</v>
      </c>
      <c r="Y252" s="891">
        <v>618.45000000000005</v>
      </c>
      <c r="Z252" s="891">
        <v>463.84</v>
      </c>
      <c r="AA252" s="891">
        <v>1546.12</v>
      </c>
      <c r="AB252" s="891">
        <v>773.06</v>
      </c>
      <c r="AC252" s="891">
        <v>144.56</v>
      </c>
      <c r="AD252" s="891">
        <v>0.03</v>
      </c>
      <c r="AE252" s="891">
        <v>12.37</v>
      </c>
      <c r="AF252" s="891">
        <v>37.11</v>
      </c>
      <c r="AG252" s="891">
        <v>24.74</v>
      </c>
      <c r="AH252" s="891">
        <v>8.66</v>
      </c>
      <c r="AI252" s="891">
        <v>139.15</v>
      </c>
      <c r="AJ252" s="891">
        <v>49.48</v>
      </c>
      <c r="AK252" s="891">
        <v>108.23</v>
      </c>
      <c r="AL252" s="891">
        <v>92.77</v>
      </c>
      <c r="AM252" s="891">
        <v>2783.02</v>
      </c>
      <c r="AN252" s="891">
        <v>1700.73</v>
      </c>
      <c r="AO252" s="891">
        <v>649.37</v>
      </c>
      <c r="AP252" s="891">
        <v>11</v>
      </c>
      <c r="AQ252" s="891">
        <v>4.6399999999999997</v>
      </c>
      <c r="AR252" s="891">
        <v>0.62</v>
      </c>
      <c r="AS252" s="891">
        <v>10.51</v>
      </c>
      <c r="AT252" s="891">
        <v>2.0099999999999998</v>
      </c>
      <c r="AU252" s="891">
        <v>2.0099999999999998</v>
      </c>
      <c r="AV252" s="891">
        <v>0.93</v>
      </c>
      <c r="AW252" s="891">
        <v>0.93</v>
      </c>
      <c r="AX252" s="891">
        <v>4.04</v>
      </c>
      <c r="AY252" s="891">
        <v>1.52</v>
      </c>
      <c r="AZ252" s="891">
        <v>2.4700000000000002</v>
      </c>
      <c r="BA252" s="891">
        <f t="shared" si="9"/>
        <v>156.96</v>
      </c>
      <c r="BB252" s="926">
        <f t="shared" si="10"/>
        <v>20213.839999999997</v>
      </c>
      <c r="BC252" s="926">
        <f t="shared" si="11"/>
        <v>36.089999999995491</v>
      </c>
      <c r="BD252" s="891"/>
      <c r="BE252" s="891"/>
      <c r="BF252" s="891"/>
      <c r="BG252" s="928"/>
      <c r="BH252" s="928"/>
      <c r="BI252" s="928"/>
    </row>
    <row r="253" spans="1:61">
      <c r="A253" s="891" t="s">
        <v>1024</v>
      </c>
      <c r="B253" s="891" t="s">
        <v>566</v>
      </c>
      <c r="C253" s="891" t="s">
        <v>166</v>
      </c>
      <c r="D253" s="891">
        <v>10.84</v>
      </c>
      <c r="E253" s="891">
        <v>60.96</v>
      </c>
      <c r="F253" s="891">
        <v>8.1300000000000008</v>
      </c>
      <c r="G253" s="891">
        <v>4.0599999999999996</v>
      </c>
      <c r="H253" s="891">
        <v>3.73</v>
      </c>
      <c r="I253" s="891">
        <v>1.35</v>
      </c>
      <c r="J253" s="891">
        <v>1.49</v>
      </c>
      <c r="K253" s="891">
        <v>0.81</v>
      </c>
      <c r="L253" s="891">
        <v>1.42</v>
      </c>
      <c r="M253" s="891">
        <v>2.44</v>
      </c>
      <c r="N253" s="891">
        <v>14.9</v>
      </c>
      <c r="O253" s="891">
        <v>0.6</v>
      </c>
      <c r="P253" s="891">
        <v>5.41</v>
      </c>
      <c r="Q253" s="891">
        <v>0.81</v>
      </c>
      <c r="R253" s="891">
        <v>2.0299999999999998</v>
      </c>
      <c r="S253" s="891">
        <v>6.77</v>
      </c>
      <c r="T253" s="891">
        <v>3.18</v>
      </c>
      <c r="U253" s="891">
        <v>8.1300000000000008</v>
      </c>
      <c r="V253" s="891">
        <v>73.150000000000006</v>
      </c>
      <c r="W253" s="891">
        <v>2.1</v>
      </c>
      <c r="X253" s="927">
        <v>22351.67</v>
      </c>
      <c r="Y253" s="891">
        <v>650.23</v>
      </c>
      <c r="Z253" s="891">
        <v>518.15</v>
      </c>
      <c r="AA253" s="891">
        <v>1463.02</v>
      </c>
      <c r="AB253" s="891">
        <v>1083.72</v>
      </c>
      <c r="AC253" s="891">
        <v>187.96</v>
      </c>
      <c r="AD253" s="891">
        <v>0.12</v>
      </c>
      <c r="AE253" s="891">
        <v>27.08</v>
      </c>
      <c r="AF253" s="891">
        <v>27.08</v>
      </c>
      <c r="AG253" s="891">
        <v>20.32</v>
      </c>
      <c r="AH253" s="891">
        <v>12.12</v>
      </c>
      <c r="AI253" s="891">
        <v>121.92</v>
      </c>
      <c r="AJ253" s="891">
        <v>54.12</v>
      </c>
      <c r="AK253" s="891">
        <v>94.83</v>
      </c>
      <c r="AL253" s="891">
        <v>94.83</v>
      </c>
      <c r="AM253" s="891">
        <v>4063.94</v>
      </c>
      <c r="AN253" s="891">
        <v>2709.29</v>
      </c>
      <c r="AO253" s="891">
        <v>2912.49</v>
      </c>
      <c r="AP253" s="891">
        <v>2.38</v>
      </c>
      <c r="AQ253" s="891">
        <v>3.93</v>
      </c>
      <c r="AR253" s="891">
        <v>1.86</v>
      </c>
      <c r="AS253" s="891">
        <v>30.48</v>
      </c>
      <c r="AT253" s="891">
        <v>2.71</v>
      </c>
      <c r="AU253" s="891">
        <v>2.71</v>
      </c>
      <c r="AV253" s="891">
        <v>1.35</v>
      </c>
      <c r="AW253" s="891">
        <v>1.08</v>
      </c>
      <c r="AX253" s="891">
        <v>3.39</v>
      </c>
      <c r="AY253" s="891">
        <v>1.96</v>
      </c>
      <c r="AZ253" s="891">
        <v>2.71</v>
      </c>
      <c r="BA253" s="891">
        <f t="shared" si="9"/>
        <v>215.16000000000003</v>
      </c>
      <c r="BB253" s="926">
        <f t="shared" si="10"/>
        <v>22466.37</v>
      </c>
      <c r="BC253" s="926">
        <f t="shared" si="11"/>
        <v>112.60000000000073</v>
      </c>
      <c r="BD253" s="891"/>
      <c r="BE253" s="891"/>
      <c r="BF253" s="891"/>
      <c r="BG253" s="928"/>
      <c r="BH253" s="928"/>
      <c r="BI253" s="928"/>
    </row>
    <row r="254" spans="1:61">
      <c r="A254" s="891" t="s">
        <v>1026</v>
      </c>
      <c r="B254" s="891" t="s">
        <v>645</v>
      </c>
      <c r="C254" s="891" t="s">
        <v>333</v>
      </c>
      <c r="D254" s="891">
        <v>7.85</v>
      </c>
      <c r="E254" s="891">
        <v>30.2</v>
      </c>
      <c r="F254" s="891">
        <v>5.86</v>
      </c>
      <c r="G254" s="891">
        <v>1.22</v>
      </c>
      <c r="H254" s="891">
        <v>1.83</v>
      </c>
      <c r="I254" s="891">
        <v>0.73</v>
      </c>
      <c r="J254" s="891">
        <v>0.49</v>
      </c>
      <c r="K254" s="891">
        <v>1</v>
      </c>
      <c r="L254" s="891">
        <v>0.49</v>
      </c>
      <c r="M254" s="891">
        <v>1.56</v>
      </c>
      <c r="N254" s="891">
        <v>7.94</v>
      </c>
      <c r="O254" s="891">
        <v>0.73</v>
      </c>
      <c r="P254" s="891">
        <v>3.83</v>
      </c>
      <c r="Q254" s="891">
        <v>0.56999999999999995</v>
      </c>
      <c r="R254" s="891">
        <v>1.83</v>
      </c>
      <c r="S254" s="891">
        <v>1.59</v>
      </c>
      <c r="T254" s="891">
        <v>0.31</v>
      </c>
      <c r="U254" s="891">
        <v>5.49</v>
      </c>
      <c r="V254" s="891">
        <v>18.27</v>
      </c>
      <c r="W254" s="891">
        <v>1.34</v>
      </c>
      <c r="X254" s="927">
        <v>23809.52</v>
      </c>
      <c r="Y254" s="891">
        <v>390.72</v>
      </c>
      <c r="Z254" s="891">
        <v>305.25</v>
      </c>
      <c r="AA254" s="891">
        <v>921.86</v>
      </c>
      <c r="AB254" s="891">
        <v>488.4</v>
      </c>
      <c r="AC254" s="891">
        <v>79.84</v>
      </c>
      <c r="AD254" s="891">
        <v>0.06</v>
      </c>
      <c r="AE254" s="891">
        <v>7.02</v>
      </c>
      <c r="AF254" s="891">
        <v>44.26</v>
      </c>
      <c r="AG254" s="891">
        <v>18.32</v>
      </c>
      <c r="AH254" s="891">
        <v>6.11</v>
      </c>
      <c r="AI254" s="891">
        <v>109.89</v>
      </c>
      <c r="AJ254" s="891">
        <v>73.260000000000005</v>
      </c>
      <c r="AK254" s="891">
        <v>97.68</v>
      </c>
      <c r="AL254" s="891">
        <v>97.68</v>
      </c>
      <c r="AM254" s="891">
        <v>1314.41</v>
      </c>
      <c r="AN254" s="891">
        <v>800</v>
      </c>
      <c r="AO254" s="891">
        <v>450</v>
      </c>
      <c r="AP254" s="891">
        <v>20</v>
      </c>
      <c r="AQ254" s="891">
        <v>1.83</v>
      </c>
      <c r="AR254" s="891">
        <v>0.37</v>
      </c>
      <c r="AS254" s="891">
        <v>6.11</v>
      </c>
      <c r="AT254" s="891">
        <v>1</v>
      </c>
      <c r="AU254" s="891">
        <v>1.83</v>
      </c>
      <c r="AV254" s="891">
        <v>0.49</v>
      </c>
      <c r="AW254" s="891">
        <v>1.23</v>
      </c>
      <c r="AX254" s="891">
        <v>2.2000000000000002</v>
      </c>
      <c r="AY254" s="891">
        <v>1.34</v>
      </c>
      <c r="AZ254" s="891">
        <v>1.22</v>
      </c>
      <c r="BA254" s="891">
        <f t="shared" ref="BA254:BA314" si="12">AC254+AD254+AE254</f>
        <v>86.92</v>
      </c>
      <c r="BB254" s="926">
        <f t="shared" ref="BB254:BB314" si="13">T254+V254+W254+X254+AQ254+AR254+AS254</f>
        <v>23837.75</v>
      </c>
      <c r="BC254" s="926">
        <f t="shared" ref="BC254:BC314" si="14">BB254-X254-W254</f>
        <v>26.889999999999564</v>
      </c>
      <c r="BD254" s="891"/>
      <c r="BE254" s="891"/>
      <c r="BF254" s="891"/>
      <c r="BG254" s="928"/>
      <c r="BH254" s="928"/>
      <c r="BI254" s="928"/>
    </row>
    <row r="255" spans="1:61">
      <c r="A255" s="891" t="s">
        <v>1621</v>
      </c>
      <c r="B255" s="891" t="s">
        <v>1606</v>
      </c>
      <c r="C255" s="891" t="s">
        <v>215</v>
      </c>
      <c r="D255" s="891">
        <v>8.98</v>
      </c>
      <c r="E255" s="891">
        <v>34.5</v>
      </c>
      <c r="F255" s="891">
        <v>6</v>
      </c>
      <c r="G255" s="891">
        <v>2.5</v>
      </c>
      <c r="H255" s="891">
        <v>3.72</v>
      </c>
      <c r="I255" s="891">
        <v>1.25</v>
      </c>
      <c r="J255" s="891">
        <v>1</v>
      </c>
      <c r="K255" s="891">
        <v>1.03</v>
      </c>
      <c r="L255" s="891">
        <v>2</v>
      </c>
      <c r="M255" s="891">
        <v>1.5</v>
      </c>
      <c r="N255" s="891">
        <v>8.82</v>
      </c>
      <c r="O255" s="891">
        <v>1.5</v>
      </c>
      <c r="P255" s="891">
        <v>15</v>
      </c>
      <c r="Q255" s="891">
        <v>2.25</v>
      </c>
      <c r="R255" s="891">
        <v>3.75</v>
      </c>
      <c r="S255" s="891">
        <v>5.5</v>
      </c>
      <c r="T255" s="891">
        <v>0.75</v>
      </c>
      <c r="U255" s="891">
        <v>6.61</v>
      </c>
      <c r="V255" s="891">
        <v>40</v>
      </c>
      <c r="W255" s="891">
        <v>0.9</v>
      </c>
      <c r="X255" s="927">
        <v>19000</v>
      </c>
      <c r="Y255" s="891">
        <v>750</v>
      </c>
      <c r="Z255" s="891">
        <v>550</v>
      </c>
      <c r="AA255" s="891">
        <v>1200</v>
      </c>
      <c r="AB255" s="891">
        <v>950</v>
      </c>
      <c r="AC255" s="891">
        <v>141.66999999999999</v>
      </c>
      <c r="AD255" s="891">
        <v>0.2</v>
      </c>
      <c r="AE255" s="891">
        <v>45</v>
      </c>
      <c r="AF255" s="891">
        <v>40</v>
      </c>
      <c r="AG255" s="891">
        <v>8</v>
      </c>
      <c r="AH255" s="891">
        <v>9.5</v>
      </c>
      <c r="AI255" s="891">
        <v>30</v>
      </c>
      <c r="AJ255" s="891">
        <v>37.5</v>
      </c>
      <c r="AK255" s="891">
        <v>75</v>
      </c>
      <c r="AL255" s="891">
        <v>85</v>
      </c>
      <c r="AM255" s="891">
        <v>1280.9100000000001</v>
      </c>
      <c r="AN255" s="891">
        <v>1895.83</v>
      </c>
      <c r="AO255" s="891">
        <v>2600</v>
      </c>
      <c r="AP255" s="891">
        <v>4.75</v>
      </c>
      <c r="AQ255" s="891">
        <v>2.25</v>
      </c>
      <c r="AR255" s="891">
        <v>2</v>
      </c>
      <c r="AS255" s="891">
        <v>22</v>
      </c>
      <c r="AT255" s="891">
        <v>3.25</v>
      </c>
      <c r="AU255" s="891">
        <v>4.41</v>
      </c>
      <c r="AV255" s="891">
        <v>2.54</v>
      </c>
      <c r="AW255" s="891">
        <v>1.22</v>
      </c>
      <c r="AX255" s="891">
        <v>3.5</v>
      </c>
      <c r="AY255" s="891">
        <v>2.2000000000000002</v>
      </c>
      <c r="AZ255" s="891">
        <v>3.17</v>
      </c>
      <c r="BA255" s="891">
        <f t="shared" si="12"/>
        <v>186.86999999999998</v>
      </c>
      <c r="BB255" s="926">
        <f t="shared" si="13"/>
        <v>19067.900000000001</v>
      </c>
      <c r="BC255" s="926">
        <f t="shared" si="14"/>
        <v>67.00000000000145</v>
      </c>
      <c r="BD255" s="891"/>
      <c r="BE255" s="891"/>
      <c r="BF255" s="891"/>
      <c r="BG255" s="928"/>
      <c r="BH255" s="928"/>
      <c r="BI255" s="928"/>
    </row>
    <row r="256" spans="1:61">
      <c r="A256" s="891" t="s">
        <v>1028</v>
      </c>
      <c r="B256" s="891" t="s">
        <v>638</v>
      </c>
      <c r="C256" s="891" t="s">
        <v>342</v>
      </c>
      <c r="D256" s="891">
        <v>4.41</v>
      </c>
      <c r="E256" s="891">
        <v>22.82</v>
      </c>
      <c r="F256" s="891">
        <v>5.48</v>
      </c>
      <c r="G256" s="891">
        <v>0.91</v>
      </c>
      <c r="H256" s="891">
        <v>1.4</v>
      </c>
      <c r="I256" s="891">
        <v>0.61</v>
      </c>
      <c r="J256" s="891">
        <v>0.84</v>
      </c>
      <c r="K256" s="891">
        <v>0.91</v>
      </c>
      <c r="L256" s="891">
        <v>0.61</v>
      </c>
      <c r="M256" s="891">
        <v>2.92</v>
      </c>
      <c r="N256" s="891">
        <v>7.3</v>
      </c>
      <c r="O256" s="891">
        <v>0.84</v>
      </c>
      <c r="P256" s="891">
        <v>7.61</v>
      </c>
      <c r="Q256" s="891">
        <v>0.61</v>
      </c>
      <c r="R256" s="891">
        <v>0.91</v>
      </c>
      <c r="S256" s="891">
        <v>3.9</v>
      </c>
      <c r="T256" s="891">
        <v>0.76</v>
      </c>
      <c r="U256" s="891">
        <v>6.09</v>
      </c>
      <c r="V256" s="891">
        <v>18.260000000000002</v>
      </c>
      <c r="W256" s="891">
        <v>1.8</v>
      </c>
      <c r="X256" s="927">
        <v>13694.04</v>
      </c>
      <c r="Y256" s="891">
        <v>273.88</v>
      </c>
      <c r="Z256" s="891">
        <v>121.72</v>
      </c>
      <c r="AA256" s="891">
        <v>426.04</v>
      </c>
      <c r="AB256" s="891">
        <v>270.93</v>
      </c>
      <c r="AC256" s="891">
        <v>130.53</v>
      </c>
      <c r="AD256" s="891">
        <v>0.15</v>
      </c>
      <c r="AE256" s="891">
        <v>12.17</v>
      </c>
      <c r="AF256" s="891">
        <v>30.43</v>
      </c>
      <c r="AG256" s="891">
        <v>19.78</v>
      </c>
      <c r="AH256" s="891">
        <v>4.87</v>
      </c>
      <c r="AI256" s="891">
        <v>63.91</v>
      </c>
      <c r="AJ256" s="891">
        <v>30.43</v>
      </c>
      <c r="AK256" s="891">
        <v>76.08</v>
      </c>
      <c r="AL256" s="891">
        <v>53.25</v>
      </c>
      <c r="AM256" s="891">
        <v>1354.19</v>
      </c>
      <c r="AN256" s="891">
        <v>608.62</v>
      </c>
      <c r="AO256" s="891">
        <v>456.47</v>
      </c>
      <c r="AP256" s="891">
        <v>11</v>
      </c>
      <c r="AQ256" s="891">
        <v>0.51</v>
      </c>
      <c r="AR256" s="891">
        <v>0.48</v>
      </c>
      <c r="AS256" s="891">
        <v>4.5599999999999996</v>
      </c>
      <c r="AT256" s="891">
        <v>1.22</v>
      </c>
      <c r="AU256" s="891">
        <v>1.37</v>
      </c>
      <c r="AV256" s="891">
        <v>0.49</v>
      </c>
      <c r="AW256" s="891">
        <v>0.61</v>
      </c>
      <c r="AX256" s="891">
        <v>1.52</v>
      </c>
      <c r="AY256" s="891">
        <v>1.07</v>
      </c>
      <c r="AZ256" s="891">
        <v>1.22</v>
      </c>
      <c r="BA256" s="891">
        <f t="shared" si="12"/>
        <v>142.85</v>
      </c>
      <c r="BB256" s="926">
        <f t="shared" si="13"/>
        <v>13720.41</v>
      </c>
      <c r="BC256" s="926">
        <f t="shared" si="14"/>
        <v>24.569999999998981</v>
      </c>
      <c r="BD256" s="891"/>
      <c r="BE256" s="891"/>
      <c r="BF256" s="891"/>
      <c r="BG256" s="928"/>
      <c r="BH256" s="928"/>
      <c r="BI256" s="928"/>
    </row>
    <row r="257" spans="1:61">
      <c r="A257" s="891" t="s">
        <v>1029</v>
      </c>
      <c r="B257" s="891" t="s">
        <v>1606</v>
      </c>
      <c r="C257" s="891" t="s">
        <v>172</v>
      </c>
      <c r="D257" s="891">
        <v>10</v>
      </c>
      <c r="E257" s="891">
        <v>45</v>
      </c>
      <c r="F257" s="891">
        <v>6</v>
      </c>
      <c r="G257" s="891">
        <v>3</v>
      </c>
      <c r="H257" s="891">
        <v>4</v>
      </c>
      <c r="I257" s="891">
        <v>1.59</v>
      </c>
      <c r="J257" s="891">
        <v>1.28</v>
      </c>
      <c r="K257" s="891">
        <v>0.92</v>
      </c>
      <c r="L257" s="891">
        <v>2.2400000000000002</v>
      </c>
      <c r="M257" s="891">
        <v>1.8</v>
      </c>
      <c r="N257" s="891">
        <v>11.9</v>
      </c>
      <c r="O257" s="891">
        <v>2</v>
      </c>
      <c r="P257" s="891">
        <v>12</v>
      </c>
      <c r="Q257" s="891">
        <v>2.68</v>
      </c>
      <c r="R257" s="891">
        <v>4</v>
      </c>
      <c r="S257" s="891">
        <v>5.75</v>
      </c>
      <c r="T257" s="891">
        <v>2</v>
      </c>
      <c r="U257" s="891">
        <v>8.7200000000000006</v>
      </c>
      <c r="V257" s="891">
        <v>42.5</v>
      </c>
      <c r="W257" s="891">
        <v>1</v>
      </c>
      <c r="X257" s="927">
        <v>19000</v>
      </c>
      <c r="Y257" s="891">
        <v>1100</v>
      </c>
      <c r="Z257" s="891">
        <v>725</v>
      </c>
      <c r="AA257" s="891">
        <v>1900</v>
      </c>
      <c r="AB257" s="891">
        <v>1200</v>
      </c>
      <c r="AC257" s="891">
        <v>200</v>
      </c>
      <c r="AD257" s="891">
        <v>0.2</v>
      </c>
      <c r="AE257" s="891">
        <v>50</v>
      </c>
      <c r="AF257" s="891">
        <v>30</v>
      </c>
      <c r="AG257" s="891">
        <v>15</v>
      </c>
      <c r="AH257" s="891">
        <v>9.5</v>
      </c>
      <c r="AI257" s="891">
        <v>40</v>
      </c>
      <c r="AJ257" s="891">
        <v>35</v>
      </c>
      <c r="AK257" s="891">
        <v>63.12</v>
      </c>
      <c r="AL257" s="891">
        <v>75</v>
      </c>
      <c r="AM257" s="891">
        <v>1399.31</v>
      </c>
      <c r="AN257" s="891">
        <v>995.66</v>
      </c>
      <c r="AO257" s="891">
        <v>2708.33</v>
      </c>
      <c r="AP257" s="891">
        <v>4</v>
      </c>
      <c r="AQ257" s="891">
        <v>2.3199999999999998</v>
      </c>
      <c r="AR257" s="891">
        <v>1.49</v>
      </c>
      <c r="AS257" s="891">
        <v>28.8</v>
      </c>
      <c r="AT257" s="891">
        <v>2.84</v>
      </c>
      <c r="AU257" s="891">
        <v>2.88</v>
      </c>
      <c r="AV257" s="891">
        <v>2.48</v>
      </c>
      <c r="AW257" s="891">
        <v>1.5</v>
      </c>
      <c r="AX257" s="891">
        <v>3</v>
      </c>
      <c r="AY257" s="891">
        <v>2.2000000000000002</v>
      </c>
      <c r="AZ257" s="891">
        <v>4.41</v>
      </c>
      <c r="BA257" s="891">
        <f t="shared" si="12"/>
        <v>250.2</v>
      </c>
      <c r="BB257" s="926">
        <f t="shared" si="13"/>
        <v>19078.11</v>
      </c>
      <c r="BC257" s="926">
        <f t="shared" si="14"/>
        <v>77.110000000000582</v>
      </c>
      <c r="BD257" s="891"/>
      <c r="BE257" s="891"/>
      <c r="BF257" s="891"/>
      <c r="BG257" s="928"/>
      <c r="BH257" s="928"/>
      <c r="BI257" s="928"/>
    </row>
    <row r="258" spans="1:61">
      <c r="A258" s="891" t="s">
        <v>1030</v>
      </c>
      <c r="B258" s="891" t="s">
        <v>557</v>
      </c>
      <c r="C258" s="891" t="s">
        <v>40</v>
      </c>
      <c r="D258" s="891">
        <v>8.11</v>
      </c>
      <c r="E258" s="891">
        <v>50.72</v>
      </c>
      <c r="F258" s="891">
        <v>6.09</v>
      </c>
      <c r="G258" s="891">
        <v>3.04</v>
      </c>
      <c r="H258" s="891">
        <v>5.07</v>
      </c>
      <c r="I258" s="891">
        <v>1.07</v>
      </c>
      <c r="J258" s="891">
        <v>0.81</v>
      </c>
      <c r="K258" s="891">
        <v>1.72</v>
      </c>
      <c r="L258" s="891">
        <v>1.93</v>
      </c>
      <c r="M258" s="891">
        <v>2.04</v>
      </c>
      <c r="N258" s="891">
        <v>9.94</v>
      </c>
      <c r="O258" s="891">
        <v>1.01</v>
      </c>
      <c r="P258" s="891">
        <v>12.68</v>
      </c>
      <c r="Q258" s="891">
        <v>2.33</v>
      </c>
      <c r="R258" s="891">
        <v>1.88</v>
      </c>
      <c r="S258" s="891">
        <v>4.46</v>
      </c>
      <c r="T258" s="891">
        <v>1.93</v>
      </c>
      <c r="U258" s="891">
        <v>9.1300000000000008</v>
      </c>
      <c r="V258" s="891">
        <v>80.94</v>
      </c>
      <c r="W258" s="891">
        <v>1.52</v>
      </c>
      <c r="X258" s="927">
        <v>20286.05</v>
      </c>
      <c r="Y258" s="891">
        <v>1115.73</v>
      </c>
      <c r="Z258" s="891">
        <v>405.72</v>
      </c>
      <c r="AA258" s="891">
        <v>2789.33</v>
      </c>
      <c r="AB258" s="891">
        <v>1014.3</v>
      </c>
      <c r="AC258" s="891">
        <v>313.51</v>
      </c>
      <c r="AD258" s="891">
        <v>0.51</v>
      </c>
      <c r="AE258" s="891">
        <v>40.57</v>
      </c>
      <c r="AF258" s="891">
        <v>111.57</v>
      </c>
      <c r="AG258" s="891">
        <v>50.72</v>
      </c>
      <c r="AH258" s="891">
        <v>16.739999999999998</v>
      </c>
      <c r="AI258" s="891">
        <v>111.57</v>
      </c>
      <c r="AJ258" s="891">
        <v>71</v>
      </c>
      <c r="AK258" s="891">
        <v>65.83</v>
      </c>
      <c r="AL258" s="891">
        <v>91.29</v>
      </c>
      <c r="AM258" s="891">
        <v>6000</v>
      </c>
      <c r="AN258" s="891">
        <v>3000</v>
      </c>
      <c r="AO258" s="891">
        <v>3357.34</v>
      </c>
      <c r="AP258" s="891">
        <v>1.71</v>
      </c>
      <c r="AQ258" s="891">
        <v>6.09</v>
      </c>
      <c r="AR258" s="891">
        <v>3.85</v>
      </c>
      <c r="AS258" s="891">
        <v>27.39</v>
      </c>
      <c r="AT258" s="891">
        <v>6.14</v>
      </c>
      <c r="AU258" s="891">
        <v>5.58</v>
      </c>
      <c r="AV258" s="891">
        <v>1.83</v>
      </c>
      <c r="AW258" s="891">
        <v>1.83</v>
      </c>
      <c r="AX258" s="891">
        <v>3.04</v>
      </c>
      <c r="AY258" s="891">
        <v>3.96</v>
      </c>
      <c r="AZ258" s="891">
        <v>6.09</v>
      </c>
      <c r="BA258" s="891">
        <f t="shared" si="12"/>
        <v>354.59</v>
      </c>
      <c r="BB258" s="926">
        <f t="shared" si="13"/>
        <v>20407.769999999997</v>
      </c>
      <c r="BC258" s="926">
        <f t="shared" si="14"/>
        <v>120.19999999999753</v>
      </c>
      <c r="BD258" s="891"/>
      <c r="BE258" s="891"/>
      <c r="BF258" s="891"/>
      <c r="BG258" s="928"/>
      <c r="BH258" s="928"/>
      <c r="BI258" s="928"/>
    </row>
    <row r="259" spans="1:61">
      <c r="A259" s="891" t="s">
        <v>1031</v>
      </c>
      <c r="B259" s="891" t="s">
        <v>607</v>
      </c>
      <c r="C259" s="891" t="s">
        <v>234</v>
      </c>
      <c r="D259" s="891">
        <v>6.95</v>
      </c>
      <c r="E259" s="891">
        <v>21.39</v>
      </c>
      <c r="F259" s="891">
        <v>6.95</v>
      </c>
      <c r="G259" s="891">
        <v>2.09</v>
      </c>
      <c r="H259" s="891">
        <v>2.67</v>
      </c>
      <c r="I259" s="891">
        <v>2.14</v>
      </c>
      <c r="J259" s="891">
        <v>1.6</v>
      </c>
      <c r="K259" s="891">
        <v>1.1200000000000001</v>
      </c>
      <c r="L259" s="891">
        <v>0.96</v>
      </c>
      <c r="M259" s="891">
        <v>2.64</v>
      </c>
      <c r="N259" s="891">
        <v>8.73</v>
      </c>
      <c r="O259" s="891">
        <v>1.01</v>
      </c>
      <c r="P259" s="891">
        <v>5.38</v>
      </c>
      <c r="Q259" s="891">
        <v>1.25</v>
      </c>
      <c r="R259" s="891">
        <v>1.78</v>
      </c>
      <c r="S259" s="891">
        <v>4.46</v>
      </c>
      <c r="T259" s="891">
        <v>1.78</v>
      </c>
      <c r="U259" s="891">
        <v>8.1999999999999993</v>
      </c>
      <c r="V259" s="891">
        <v>44.56</v>
      </c>
      <c r="W259" s="891">
        <v>1.91</v>
      </c>
      <c r="X259" s="927">
        <v>22726.06</v>
      </c>
      <c r="Y259" s="891">
        <v>249.54</v>
      </c>
      <c r="Z259" s="891">
        <v>204.98</v>
      </c>
      <c r="AA259" s="891">
        <v>445.61</v>
      </c>
      <c r="AB259" s="891">
        <v>356.49</v>
      </c>
      <c r="AC259" s="891">
        <v>311.93</v>
      </c>
      <c r="AD259" s="891">
        <v>0.23</v>
      </c>
      <c r="AE259" s="891">
        <v>23.17</v>
      </c>
      <c r="AF259" s="891">
        <v>26.74</v>
      </c>
      <c r="AG259" s="891">
        <v>12.48</v>
      </c>
      <c r="AH259" s="891">
        <v>5.35</v>
      </c>
      <c r="AI259" s="891">
        <v>84.67</v>
      </c>
      <c r="AJ259" s="891">
        <v>26.74</v>
      </c>
      <c r="AK259" s="891">
        <v>89.12</v>
      </c>
      <c r="AL259" s="891">
        <v>98.03</v>
      </c>
      <c r="AM259" s="891">
        <v>1568.54</v>
      </c>
      <c r="AN259" s="891">
        <v>1363.56</v>
      </c>
      <c r="AO259" s="891">
        <v>847.73</v>
      </c>
      <c r="AP259" s="891">
        <v>6</v>
      </c>
      <c r="AQ259" s="891">
        <v>3.56</v>
      </c>
      <c r="AR259" s="891">
        <v>0.89</v>
      </c>
      <c r="AS259" s="891">
        <v>15.69</v>
      </c>
      <c r="AT259" s="891">
        <v>1.52</v>
      </c>
      <c r="AU259" s="891">
        <v>1.78</v>
      </c>
      <c r="AV259" s="891">
        <v>1.1599999999999999</v>
      </c>
      <c r="AW259" s="891">
        <v>0.89</v>
      </c>
      <c r="AX259" s="891">
        <v>1.78</v>
      </c>
      <c r="AY259" s="891">
        <v>1.43</v>
      </c>
      <c r="AZ259" s="891">
        <v>2.14</v>
      </c>
      <c r="BA259" s="891">
        <f t="shared" si="12"/>
        <v>335.33000000000004</v>
      </c>
      <c r="BB259" s="926">
        <f t="shared" si="13"/>
        <v>22794.45</v>
      </c>
      <c r="BC259" s="926">
        <f t="shared" si="14"/>
        <v>66.479999999999421</v>
      </c>
      <c r="BD259" s="891"/>
      <c r="BE259" s="891"/>
      <c r="BF259" s="891"/>
      <c r="BG259" s="928"/>
      <c r="BH259" s="928"/>
      <c r="BI259" s="928"/>
    </row>
    <row r="260" spans="1:61">
      <c r="A260" s="891" t="s">
        <v>1032</v>
      </c>
      <c r="B260" s="891" t="s">
        <v>577</v>
      </c>
      <c r="C260" s="891" t="s">
        <v>7</v>
      </c>
      <c r="D260" s="891">
        <v>23.33</v>
      </c>
      <c r="E260" s="891">
        <v>133.34</v>
      </c>
      <c r="F260" s="891">
        <v>15</v>
      </c>
      <c r="G260" s="891">
        <v>11.67</v>
      </c>
      <c r="H260" s="891">
        <v>11.67</v>
      </c>
      <c r="I260" s="891">
        <v>4.17</v>
      </c>
      <c r="J260" s="891">
        <v>4.17</v>
      </c>
      <c r="K260" s="891">
        <v>2.4900000000000002</v>
      </c>
      <c r="L260" s="891">
        <v>4.17</v>
      </c>
      <c r="M260" s="891">
        <v>5</v>
      </c>
      <c r="N260" s="891">
        <v>13.95</v>
      </c>
      <c r="O260" s="891">
        <v>3.33</v>
      </c>
      <c r="P260" s="891">
        <v>18.329999999999998</v>
      </c>
      <c r="Q260" s="891">
        <v>4.17</v>
      </c>
      <c r="R260" s="891">
        <v>5</v>
      </c>
      <c r="S260" s="891">
        <v>15</v>
      </c>
      <c r="T260" s="891">
        <v>5</v>
      </c>
      <c r="U260" s="891">
        <v>16.670000000000002</v>
      </c>
      <c r="V260" s="891">
        <v>103.34</v>
      </c>
      <c r="W260" s="891">
        <v>2.44</v>
      </c>
      <c r="X260" s="927">
        <v>47400.79</v>
      </c>
      <c r="Y260" s="891">
        <v>1666.69</v>
      </c>
      <c r="Z260" s="891">
        <v>1333.36</v>
      </c>
      <c r="AA260" s="891">
        <v>3000.05</v>
      </c>
      <c r="AB260" s="891">
        <v>2333.37</v>
      </c>
      <c r="AC260" s="891">
        <v>234.73</v>
      </c>
      <c r="AD260" s="891">
        <v>0.17</v>
      </c>
      <c r="AE260" s="891">
        <v>51.67</v>
      </c>
      <c r="AF260" s="891">
        <v>79.08</v>
      </c>
      <c r="AG260" s="891">
        <v>33.25</v>
      </c>
      <c r="AH260" s="891">
        <v>17.079999999999998</v>
      </c>
      <c r="AI260" s="891">
        <v>150</v>
      </c>
      <c r="AJ260" s="891">
        <v>50</v>
      </c>
      <c r="AK260" s="891">
        <v>166.67</v>
      </c>
      <c r="AL260" s="891">
        <v>208.34</v>
      </c>
      <c r="AM260" s="891">
        <v>8333.4699999999993</v>
      </c>
      <c r="AN260" s="891">
        <v>5833.43</v>
      </c>
      <c r="AO260" s="891">
        <v>4166.74</v>
      </c>
      <c r="AP260" s="891">
        <v>3.6</v>
      </c>
      <c r="AQ260" s="891">
        <v>10</v>
      </c>
      <c r="AR260" s="891">
        <v>2.17</v>
      </c>
      <c r="AS260" s="891">
        <v>60</v>
      </c>
      <c r="AT260" s="891">
        <v>3.33</v>
      </c>
      <c r="AU260" s="891">
        <v>3.28</v>
      </c>
      <c r="AV260" s="891">
        <v>2</v>
      </c>
      <c r="AW260" s="891">
        <v>2.5</v>
      </c>
      <c r="AX260" s="891">
        <v>5.33</v>
      </c>
      <c r="AY260" s="891">
        <v>3.33</v>
      </c>
      <c r="AZ260" s="891">
        <v>4.33</v>
      </c>
      <c r="BA260" s="891">
        <f t="shared" si="12"/>
        <v>286.57</v>
      </c>
      <c r="BB260" s="926">
        <f t="shared" si="13"/>
        <v>47583.74</v>
      </c>
      <c r="BC260" s="926">
        <f t="shared" si="14"/>
        <v>180.50999999999709</v>
      </c>
      <c r="BD260" s="891"/>
      <c r="BE260" s="891"/>
      <c r="BF260" s="891"/>
      <c r="BG260" s="928"/>
      <c r="BH260" s="928"/>
      <c r="BI260" s="928"/>
    </row>
    <row r="261" spans="1:61">
      <c r="A261" s="891" t="s">
        <v>1033</v>
      </c>
      <c r="B261" s="891" t="s">
        <v>1586</v>
      </c>
      <c r="C261" s="891" t="s">
        <v>283</v>
      </c>
      <c r="D261" s="891">
        <v>5.31</v>
      </c>
      <c r="E261" s="891">
        <v>26.54</v>
      </c>
      <c r="F261" s="891">
        <v>6.1</v>
      </c>
      <c r="G261" s="891">
        <v>1.33</v>
      </c>
      <c r="H261" s="891">
        <v>2.12</v>
      </c>
      <c r="I261" s="891">
        <v>1.33</v>
      </c>
      <c r="J261" s="891">
        <v>1.06</v>
      </c>
      <c r="K261" s="891">
        <v>0.8</v>
      </c>
      <c r="L261" s="891">
        <v>1.06</v>
      </c>
      <c r="M261" s="891">
        <v>1.86</v>
      </c>
      <c r="N261" s="891">
        <v>6.37</v>
      </c>
      <c r="O261" s="891">
        <v>0.8</v>
      </c>
      <c r="P261" s="891">
        <v>5.31</v>
      </c>
      <c r="Q261" s="891">
        <v>0.72</v>
      </c>
      <c r="R261" s="891">
        <v>1.06</v>
      </c>
      <c r="S261" s="891">
        <v>4.3499999999999996</v>
      </c>
      <c r="T261" s="891">
        <v>1.06</v>
      </c>
      <c r="U261" s="891">
        <v>6.87</v>
      </c>
      <c r="V261" s="891">
        <v>23.89</v>
      </c>
      <c r="W261" s="891">
        <v>1.91</v>
      </c>
      <c r="X261" s="927">
        <v>20331.79</v>
      </c>
      <c r="Y261" s="891">
        <v>345.06</v>
      </c>
      <c r="Z261" s="891">
        <v>265.43</v>
      </c>
      <c r="AA261" s="891">
        <v>530.86</v>
      </c>
      <c r="AB261" s="891">
        <v>424.68</v>
      </c>
      <c r="AC261" s="891">
        <v>180.49</v>
      </c>
      <c r="AD261" s="891">
        <v>0.28999999999999998</v>
      </c>
      <c r="AE261" s="891">
        <v>21.23</v>
      </c>
      <c r="AF261" s="891">
        <v>42.47</v>
      </c>
      <c r="AG261" s="891">
        <v>9.02</v>
      </c>
      <c r="AH261" s="891">
        <v>7.96</v>
      </c>
      <c r="AI261" s="891">
        <v>74.319999999999993</v>
      </c>
      <c r="AJ261" s="891">
        <v>31.85</v>
      </c>
      <c r="AK261" s="891">
        <v>79.63</v>
      </c>
      <c r="AL261" s="891">
        <v>73.790000000000006</v>
      </c>
      <c r="AM261" s="891">
        <v>1858</v>
      </c>
      <c r="AN261" s="891">
        <v>1061.71</v>
      </c>
      <c r="AO261" s="891">
        <v>955.54</v>
      </c>
      <c r="AP261" s="891">
        <v>3.95</v>
      </c>
      <c r="AQ261" s="891">
        <v>1.59</v>
      </c>
      <c r="AR261" s="891">
        <v>1.06</v>
      </c>
      <c r="AS261" s="891">
        <v>17.52</v>
      </c>
      <c r="AT261" s="891">
        <v>1.59</v>
      </c>
      <c r="AU261" s="891">
        <v>1.59</v>
      </c>
      <c r="AV261" s="891">
        <v>0.57999999999999996</v>
      </c>
      <c r="AW261" s="891">
        <v>1.01</v>
      </c>
      <c r="AX261" s="891">
        <v>1.78</v>
      </c>
      <c r="AY261" s="891">
        <v>1.41</v>
      </c>
      <c r="AZ261" s="891">
        <v>1.8</v>
      </c>
      <c r="BA261" s="891">
        <f t="shared" si="12"/>
        <v>202.01</v>
      </c>
      <c r="BB261" s="926">
        <f t="shared" si="13"/>
        <v>20378.820000000003</v>
      </c>
      <c r="BC261" s="926">
        <f t="shared" si="14"/>
        <v>45.120000000002477</v>
      </c>
      <c r="BD261" s="891"/>
      <c r="BE261" s="891"/>
      <c r="BF261" s="891"/>
      <c r="BG261" s="928"/>
      <c r="BH261" s="928"/>
      <c r="BI261" s="928"/>
    </row>
    <row r="262" spans="1:61">
      <c r="A262" s="891" t="s">
        <v>1034</v>
      </c>
      <c r="B262" s="891" t="s">
        <v>559</v>
      </c>
      <c r="C262" s="891" t="s">
        <v>104</v>
      </c>
      <c r="D262" s="891">
        <v>14.49</v>
      </c>
      <c r="E262" s="891">
        <v>49.26</v>
      </c>
      <c r="F262" s="891">
        <v>7.73</v>
      </c>
      <c r="G262" s="891">
        <v>5.07</v>
      </c>
      <c r="H262" s="891">
        <v>5.79</v>
      </c>
      <c r="I262" s="891">
        <v>1.69</v>
      </c>
      <c r="J262" s="891">
        <v>1.35</v>
      </c>
      <c r="K262" s="891">
        <v>1.23</v>
      </c>
      <c r="L262" s="891">
        <v>2.41</v>
      </c>
      <c r="M262" s="891">
        <v>2.9</v>
      </c>
      <c r="N262" s="891">
        <v>13.04</v>
      </c>
      <c r="O262" s="891">
        <v>1.93</v>
      </c>
      <c r="P262" s="891">
        <v>14.49</v>
      </c>
      <c r="Q262" s="891">
        <v>2.17</v>
      </c>
      <c r="R262" s="891">
        <v>1.93</v>
      </c>
      <c r="S262" s="891">
        <v>10.14</v>
      </c>
      <c r="T262" s="891">
        <v>3.19</v>
      </c>
      <c r="U262" s="891">
        <v>12.78</v>
      </c>
      <c r="V262" s="891">
        <v>93.2</v>
      </c>
      <c r="W262" s="891">
        <v>1.21</v>
      </c>
      <c r="X262" s="927">
        <v>21247.83</v>
      </c>
      <c r="Y262" s="891">
        <v>1158.97</v>
      </c>
      <c r="Z262" s="891">
        <v>772.65</v>
      </c>
      <c r="AA262" s="891">
        <v>1690.17</v>
      </c>
      <c r="AB262" s="891">
        <v>1158.97</v>
      </c>
      <c r="AC262" s="891">
        <v>98.81</v>
      </c>
      <c r="AD262" s="891">
        <v>0.27</v>
      </c>
      <c r="AE262" s="891">
        <v>45.88</v>
      </c>
      <c r="AF262" s="891">
        <v>57.95</v>
      </c>
      <c r="AG262" s="891">
        <v>11.59</v>
      </c>
      <c r="AH262" s="891">
        <v>11.59</v>
      </c>
      <c r="AI262" s="891">
        <v>57.95</v>
      </c>
      <c r="AJ262" s="891">
        <v>38.630000000000003</v>
      </c>
      <c r="AK262" s="891">
        <v>96.58</v>
      </c>
      <c r="AL262" s="891">
        <v>96.58</v>
      </c>
      <c r="AM262" s="891">
        <v>4129.8500000000004</v>
      </c>
      <c r="AN262" s="891">
        <v>3075.17</v>
      </c>
      <c r="AO262" s="891">
        <v>4346.1499999999996</v>
      </c>
      <c r="AP262" s="891">
        <v>3.98</v>
      </c>
      <c r="AQ262" s="891">
        <v>3.33</v>
      </c>
      <c r="AR262" s="891">
        <v>1.8</v>
      </c>
      <c r="AS262" s="891">
        <v>17.38</v>
      </c>
      <c r="AT262" s="891">
        <v>3.17</v>
      </c>
      <c r="AU262" s="891">
        <v>2.9</v>
      </c>
      <c r="AV262" s="891">
        <v>2.41</v>
      </c>
      <c r="AW262" s="891">
        <v>1.93</v>
      </c>
      <c r="AX262" s="891">
        <v>3.85</v>
      </c>
      <c r="AY262" s="891">
        <v>2.58</v>
      </c>
      <c r="AZ262" s="891">
        <v>4.05</v>
      </c>
      <c r="BA262" s="891">
        <f t="shared" si="12"/>
        <v>144.96</v>
      </c>
      <c r="BB262" s="926">
        <f t="shared" si="13"/>
        <v>21367.940000000002</v>
      </c>
      <c r="BC262" s="926">
        <f t="shared" si="14"/>
        <v>118.90000000000059</v>
      </c>
      <c r="BD262" s="891"/>
      <c r="BE262" s="891"/>
      <c r="BF262" s="891"/>
      <c r="BG262" s="928"/>
      <c r="BH262" s="928"/>
      <c r="BI262" s="928"/>
    </row>
    <row r="263" spans="1:61">
      <c r="A263" s="891" t="s">
        <v>1035</v>
      </c>
      <c r="B263" s="891" t="s">
        <v>1569</v>
      </c>
      <c r="C263" s="891" t="s">
        <v>48</v>
      </c>
      <c r="D263" s="891">
        <v>15.95</v>
      </c>
      <c r="E263" s="891">
        <v>79.77</v>
      </c>
      <c r="F263" s="891">
        <v>7.98</v>
      </c>
      <c r="G263" s="891">
        <v>4.79</v>
      </c>
      <c r="H263" s="891">
        <v>4.79</v>
      </c>
      <c r="I263" s="891">
        <v>1.75</v>
      </c>
      <c r="J263" s="891">
        <v>1.6</v>
      </c>
      <c r="K263" s="891">
        <v>1.6</v>
      </c>
      <c r="L263" s="891">
        <v>2.31</v>
      </c>
      <c r="M263" s="891">
        <v>3.67</v>
      </c>
      <c r="N263" s="891">
        <v>11.97</v>
      </c>
      <c r="O263" s="891">
        <v>1.6</v>
      </c>
      <c r="P263" s="891">
        <v>12.76</v>
      </c>
      <c r="Q263" s="891">
        <v>4.47</v>
      </c>
      <c r="R263" s="891">
        <v>3.91</v>
      </c>
      <c r="S263" s="891">
        <v>12.95</v>
      </c>
      <c r="T263" s="891">
        <v>3.19</v>
      </c>
      <c r="U263" s="891">
        <v>13.42</v>
      </c>
      <c r="V263" s="891">
        <v>71.790000000000006</v>
      </c>
      <c r="W263" s="891">
        <v>2.2000000000000002</v>
      </c>
      <c r="X263" s="927">
        <v>24728.78</v>
      </c>
      <c r="Y263" s="891">
        <v>1515.63</v>
      </c>
      <c r="Z263" s="891">
        <v>1236.44</v>
      </c>
      <c r="AA263" s="891">
        <v>2393.11</v>
      </c>
      <c r="AB263" s="891">
        <v>1914.49</v>
      </c>
      <c r="AC263" s="891">
        <v>167.52</v>
      </c>
      <c r="AD263" s="891">
        <v>0.16</v>
      </c>
      <c r="AE263" s="891">
        <v>38.090000000000003</v>
      </c>
      <c r="AF263" s="891">
        <v>63.82</v>
      </c>
      <c r="AG263" s="891">
        <v>6.78</v>
      </c>
      <c r="AH263" s="891">
        <v>12.76</v>
      </c>
      <c r="AI263" s="891">
        <v>95.72</v>
      </c>
      <c r="AJ263" s="891">
        <v>44.67</v>
      </c>
      <c r="AK263" s="891">
        <v>95.72</v>
      </c>
      <c r="AL263" s="891">
        <v>95.72</v>
      </c>
      <c r="AM263" s="891">
        <v>4786.22</v>
      </c>
      <c r="AN263" s="891">
        <v>3988.51</v>
      </c>
      <c r="AO263" s="891">
        <v>3270.58</v>
      </c>
      <c r="AP263" s="891">
        <v>4.12</v>
      </c>
      <c r="AQ263" s="891">
        <v>6.38</v>
      </c>
      <c r="AR263" s="891">
        <v>1.6</v>
      </c>
      <c r="AS263" s="891">
        <v>43.08</v>
      </c>
      <c r="AT263" s="891">
        <v>3.59</v>
      </c>
      <c r="AU263" s="891">
        <v>3.35</v>
      </c>
      <c r="AV263" s="891">
        <v>2.63</v>
      </c>
      <c r="AW263" s="891">
        <v>1.6</v>
      </c>
      <c r="AX263" s="891">
        <v>3.99</v>
      </c>
      <c r="AY263" s="891">
        <v>3.19</v>
      </c>
      <c r="AZ263" s="891">
        <v>4.3899999999999997</v>
      </c>
      <c r="BA263" s="891">
        <f t="shared" si="12"/>
        <v>205.77</v>
      </c>
      <c r="BB263" s="926">
        <f t="shared" si="13"/>
        <v>24857.02</v>
      </c>
      <c r="BC263" s="926">
        <f t="shared" si="14"/>
        <v>126.0400000000016</v>
      </c>
      <c r="BD263" s="891"/>
      <c r="BE263" s="891"/>
      <c r="BF263" s="891"/>
      <c r="BG263" s="928"/>
      <c r="BH263" s="928"/>
      <c r="BI263" s="928"/>
    </row>
    <row r="264" spans="1:61">
      <c r="A264" s="891" t="s">
        <v>1036</v>
      </c>
      <c r="B264" s="891" t="s">
        <v>563</v>
      </c>
      <c r="C264" s="891" t="s">
        <v>76</v>
      </c>
      <c r="D264" s="891">
        <v>18.29</v>
      </c>
      <c r="E264" s="891">
        <v>71.12</v>
      </c>
      <c r="F264" s="891">
        <v>10.16</v>
      </c>
      <c r="G264" s="891">
        <v>6.1</v>
      </c>
      <c r="H264" s="891">
        <v>4.74</v>
      </c>
      <c r="I264" s="891">
        <v>3.39</v>
      </c>
      <c r="J264" s="891">
        <v>2.0299999999999998</v>
      </c>
      <c r="K264" s="891">
        <v>1.9</v>
      </c>
      <c r="L264" s="891">
        <v>2.37</v>
      </c>
      <c r="M264" s="891">
        <v>4.3099999999999996</v>
      </c>
      <c r="N264" s="891">
        <v>15.58</v>
      </c>
      <c r="O264" s="891">
        <v>0.46</v>
      </c>
      <c r="P264" s="891">
        <v>6.1</v>
      </c>
      <c r="Q264" s="891">
        <v>1.42</v>
      </c>
      <c r="R264" s="891">
        <v>1.63</v>
      </c>
      <c r="S264" s="891">
        <v>6.77</v>
      </c>
      <c r="T264" s="891">
        <v>1.63</v>
      </c>
      <c r="U264" s="891">
        <v>8.81</v>
      </c>
      <c r="V264" s="891">
        <v>50.12</v>
      </c>
      <c r="W264" s="891">
        <v>2.34</v>
      </c>
      <c r="X264" s="927">
        <v>25738.28</v>
      </c>
      <c r="Y264" s="891">
        <v>677.32</v>
      </c>
      <c r="Z264" s="891">
        <v>541.86</v>
      </c>
      <c r="AA264" s="891">
        <v>1625.58</v>
      </c>
      <c r="AB264" s="891">
        <v>948.25</v>
      </c>
      <c r="AC264" s="891">
        <v>244.68</v>
      </c>
      <c r="AD264" s="891">
        <v>0.2</v>
      </c>
      <c r="AE264" s="891">
        <v>40.64</v>
      </c>
      <c r="AF264" s="891">
        <v>74.510000000000005</v>
      </c>
      <c r="AG264" s="891">
        <v>40.64</v>
      </c>
      <c r="AH264" s="891">
        <v>10.84</v>
      </c>
      <c r="AI264" s="891">
        <v>101.6</v>
      </c>
      <c r="AJ264" s="891">
        <v>67.73</v>
      </c>
      <c r="AK264" s="891">
        <v>108.37</v>
      </c>
      <c r="AL264" s="891">
        <v>115.14</v>
      </c>
      <c r="AM264" s="891">
        <v>4402.6000000000004</v>
      </c>
      <c r="AN264" s="891">
        <v>2573.83</v>
      </c>
      <c r="AO264" s="891">
        <v>1761.04</v>
      </c>
      <c r="AP264" s="891">
        <v>6.5</v>
      </c>
      <c r="AQ264" s="891">
        <v>6.77</v>
      </c>
      <c r="AR264" s="891">
        <v>1.27</v>
      </c>
      <c r="AS264" s="891">
        <v>33.869999999999997</v>
      </c>
      <c r="AT264" s="891">
        <v>3.39</v>
      </c>
      <c r="AU264" s="891">
        <v>2.71</v>
      </c>
      <c r="AV264" s="891">
        <v>2.0299999999999998</v>
      </c>
      <c r="AW264" s="891">
        <v>2.37</v>
      </c>
      <c r="AX264" s="891">
        <v>1.76</v>
      </c>
      <c r="AY264" s="891">
        <v>2.37</v>
      </c>
      <c r="AZ264" s="891">
        <v>2.71</v>
      </c>
      <c r="BA264" s="891">
        <f t="shared" si="12"/>
        <v>285.52</v>
      </c>
      <c r="BB264" s="926">
        <f t="shared" si="13"/>
        <v>25834.28</v>
      </c>
      <c r="BC264" s="926">
        <f t="shared" si="14"/>
        <v>93.66</v>
      </c>
      <c r="BD264" s="891"/>
      <c r="BE264" s="891"/>
      <c r="BF264" s="891"/>
      <c r="BG264" s="928"/>
      <c r="BH264" s="928"/>
      <c r="BI264" s="928"/>
    </row>
    <row r="265" spans="1:61">
      <c r="A265" s="891" t="s">
        <v>1037</v>
      </c>
      <c r="B265" s="891" t="s">
        <v>596</v>
      </c>
      <c r="C265" s="891" t="s">
        <v>179</v>
      </c>
      <c r="D265" s="891">
        <v>13.55</v>
      </c>
      <c r="E265" s="891">
        <v>50.8</v>
      </c>
      <c r="F265" s="891">
        <v>8.1300000000000008</v>
      </c>
      <c r="G265" s="891">
        <v>2.71</v>
      </c>
      <c r="H265" s="891">
        <v>2.98</v>
      </c>
      <c r="I265" s="891">
        <v>2.0299999999999998</v>
      </c>
      <c r="J265" s="891">
        <v>1.35</v>
      </c>
      <c r="K265" s="891">
        <v>1.22</v>
      </c>
      <c r="L265" s="891">
        <v>1.42</v>
      </c>
      <c r="M265" s="891">
        <v>1.42</v>
      </c>
      <c r="N265" s="891">
        <v>8.1300000000000008</v>
      </c>
      <c r="O265" s="891">
        <v>0.81</v>
      </c>
      <c r="P265" s="891">
        <v>6.1</v>
      </c>
      <c r="Q265" s="891">
        <v>0.68</v>
      </c>
      <c r="R265" s="891">
        <v>1.35</v>
      </c>
      <c r="S265" s="891">
        <v>5.93</v>
      </c>
      <c r="T265" s="891">
        <v>1.63</v>
      </c>
      <c r="U265" s="891">
        <v>8.81</v>
      </c>
      <c r="V265" s="891">
        <v>40.64</v>
      </c>
      <c r="W265" s="891">
        <v>1.91</v>
      </c>
      <c r="X265" s="927">
        <v>26415.61</v>
      </c>
      <c r="Y265" s="891">
        <v>778.92</v>
      </c>
      <c r="Z265" s="891">
        <v>609.59</v>
      </c>
      <c r="AA265" s="891">
        <v>1015.98</v>
      </c>
      <c r="AB265" s="891">
        <v>1083.72</v>
      </c>
      <c r="AC265" s="891">
        <v>149.01</v>
      </c>
      <c r="AD265" s="891">
        <v>0.27</v>
      </c>
      <c r="AE265" s="891">
        <v>60.96</v>
      </c>
      <c r="AF265" s="891">
        <v>81.28</v>
      </c>
      <c r="AG265" s="891">
        <v>20.32</v>
      </c>
      <c r="AH265" s="891">
        <v>9.48</v>
      </c>
      <c r="AI265" s="891">
        <v>121.92</v>
      </c>
      <c r="AJ265" s="891">
        <v>45.72</v>
      </c>
      <c r="AK265" s="891">
        <v>104.99</v>
      </c>
      <c r="AL265" s="891">
        <v>115.14</v>
      </c>
      <c r="AM265" s="891">
        <v>4402.6000000000004</v>
      </c>
      <c r="AN265" s="891">
        <v>2709.29</v>
      </c>
      <c r="AO265" s="891">
        <v>2031.97</v>
      </c>
      <c r="AP265" s="891">
        <v>4</v>
      </c>
      <c r="AQ265" s="891">
        <v>2.63</v>
      </c>
      <c r="AR265" s="891">
        <v>1.02</v>
      </c>
      <c r="AS265" s="891">
        <v>22.89</v>
      </c>
      <c r="AT265" s="891">
        <v>2.0299999999999998</v>
      </c>
      <c r="AU265" s="891">
        <v>1.63</v>
      </c>
      <c r="AV265" s="891">
        <v>1.08</v>
      </c>
      <c r="AW265" s="891">
        <v>1.1499999999999999</v>
      </c>
      <c r="AX265" s="891">
        <v>2.64</v>
      </c>
      <c r="AY265" s="891">
        <v>0.95</v>
      </c>
      <c r="AZ265" s="891">
        <v>2.1</v>
      </c>
      <c r="BA265" s="891">
        <f t="shared" si="12"/>
        <v>210.24</v>
      </c>
      <c r="BB265" s="926">
        <f t="shared" si="13"/>
        <v>26486.33</v>
      </c>
      <c r="BC265" s="926">
        <f t="shared" si="14"/>
        <v>68.810000000001168</v>
      </c>
      <c r="BD265" s="891"/>
      <c r="BE265" s="891"/>
      <c r="BF265" s="891"/>
      <c r="BG265" s="928"/>
      <c r="BH265" s="928"/>
      <c r="BI265" s="928"/>
    </row>
    <row r="266" spans="1:61">
      <c r="A266" s="891" t="s">
        <v>1622</v>
      </c>
      <c r="B266" s="891" t="s">
        <v>636</v>
      </c>
      <c r="C266" s="891" t="s">
        <v>290</v>
      </c>
      <c r="D266" s="891">
        <v>5.95</v>
      </c>
      <c r="E266" s="891">
        <v>40</v>
      </c>
      <c r="F266" s="891">
        <v>5</v>
      </c>
      <c r="G266" s="891">
        <v>2</v>
      </c>
      <c r="H266" s="891">
        <v>3</v>
      </c>
      <c r="I266" s="891">
        <v>1.25</v>
      </c>
      <c r="J266" s="891">
        <v>1</v>
      </c>
      <c r="K266" s="891">
        <v>1.25</v>
      </c>
      <c r="L266" s="891">
        <v>1.35</v>
      </c>
      <c r="M266" s="891">
        <v>2.19</v>
      </c>
      <c r="N266" s="891">
        <v>6</v>
      </c>
      <c r="O266" s="891">
        <v>1.08</v>
      </c>
      <c r="P266" s="891">
        <v>6</v>
      </c>
      <c r="Q266" s="891">
        <v>0.7</v>
      </c>
      <c r="R266" s="891">
        <v>1.05</v>
      </c>
      <c r="S266" s="891">
        <v>4.5</v>
      </c>
      <c r="T266" s="891">
        <v>0.8</v>
      </c>
      <c r="U266" s="891">
        <v>7.25</v>
      </c>
      <c r="V266" s="891">
        <v>15</v>
      </c>
      <c r="W266" s="891">
        <v>1.1200000000000001</v>
      </c>
      <c r="X266" s="927">
        <v>16500</v>
      </c>
      <c r="Y266" s="891">
        <v>900</v>
      </c>
      <c r="Z266" s="891">
        <v>475</v>
      </c>
      <c r="AA266" s="891">
        <v>2500</v>
      </c>
      <c r="AB266" s="891">
        <v>550</v>
      </c>
      <c r="AC266" s="891">
        <v>163.62</v>
      </c>
      <c r="AD266" s="891">
        <v>0.09</v>
      </c>
      <c r="AE266" s="891">
        <v>30</v>
      </c>
      <c r="AF266" s="891">
        <v>40</v>
      </c>
      <c r="AG266" s="891">
        <v>5</v>
      </c>
      <c r="AH266" s="891">
        <v>4.5</v>
      </c>
      <c r="AI266" s="891">
        <v>60</v>
      </c>
      <c r="AJ266" s="891">
        <v>22</v>
      </c>
      <c r="AK266" s="891">
        <v>55</v>
      </c>
      <c r="AL266" s="891">
        <v>70</v>
      </c>
      <c r="AM266" s="891">
        <v>1900</v>
      </c>
      <c r="AN266" s="891">
        <v>1350</v>
      </c>
      <c r="AO266" s="891">
        <v>875</v>
      </c>
      <c r="AP266" s="891">
        <v>5.5</v>
      </c>
      <c r="AQ266" s="891">
        <v>1.7</v>
      </c>
      <c r="AR266" s="891">
        <v>0.85</v>
      </c>
      <c r="AS266" s="891">
        <v>20</v>
      </c>
      <c r="AT266" s="891">
        <v>2.5</v>
      </c>
      <c r="AU266" s="891">
        <v>1.1000000000000001</v>
      </c>
      <c r="AV266" s="891">
        <v>1.49</v>
      </c>
      <c r="AW266" s="891">
        <v>1</v>
      </c>
      <c r="AX266" s="891">
        <v>1.9</v>
      </c>
      <c r="AY266" s="891">
        <v>3</v>
      </c>
      <c r="AZ266" s="891">
        <v>3</v>
      </c>
      <c r="BA266" s="891">
        <f t="shared" si="12"/>
        <v>193.71</v>
      </c>
      <c r="BB266" s="926">
        <f t="shared" si="13"/>
        <v>16539.469999999998</v>
      </c>
      <c r="BC266" s="926">
        <f t="shared" si="14"/>
        <v>38.349999999997529</v>
      </c>
      <c r="BD266" s="891"/>
      <c r="BE266" s="891"/>
      <c r="BF266" s="891"/>
      <c r="BG266" s="928"/>
      <c r="BH266" s="928"/>
      <c r="BI266" s="928"/>
    </row>
    <row r="267" spans="1:61">
      <c r="A267" s="891" t="s">
        <v>1039</v>
      </c>
      <c r="B267" s="891" t="s">
        <v>569</v>
      </c>
      <c r="C267" s="891" t="s">
        <v>13</v>
      </c>
      <c r="D267" s="891">
        <v>16.260000000000002</v>
      </c>
      <c r="E267" s="891">
        <v>67.73</v>
      </c>
      <c r="F267" s="891">
        <v>9.48</v>
      </c>
      <c r="G267" s="891">
        <v>8.1300000000000008</v>
      </c>
      <c r="H267" s="891">
        <v>6.77</v>
      </c>
      <c r="I267" s="891">
        <v>4.0599999999999996</v>
      </c>
      <c r="J267" s="891">
        <v>2.71</v>
      </c>
      <c r="K267" s="891">
        <v>1.35</v>
      </c>
      <c r="L267" s="891">
        <v>2.0299999999999998</v>
      </c>
      <c r="M267" s="891">
        <v>4.0599999999999996</v>
      </c>
      <c r="N267" s="891">
        <v>20.32</v>
      </c>
      <c r="O267" s="891">
        <v>1.35</v>
      </c>
      <c r="P267" s="891">
        <v>8.1300000000000008</v>
      </c>
      <c r="Q267" s="891">
        <v>2.0299999999999998</v>
      </c>
      <c r="R267" s="891">
        <v>2.71</v>
      </c>
      <c r="S267" s="891">
        <v>8.81</v>
      </c>
      <c r="T267" s="891">
        <v>2.44</v>
      </c>
      <c r="U267" s="891">
        <v>16.260000000000002</v>
      </c>
      <c r="V267" s="891">
        <v>85.34</v>
      </c>
      <c r="W267" s="891">
        <v>2.17</v>
      </c>
      <c r="X267" s="927">
        <v>25060.959999999999</v>
      </c>
      <c r="Y267" s="891">
        <v>1490.11</v>
      </c>
      <c r="Z267" s="891">
        <v>1083.72</v>
      </c>
      <c r="AA267" s="891">
        <v>3386.62</v>
      </c>
      <c r="AB267" s="891">
        <v>2573.83</v>
      </c>
      <c r="AC267" s="891">
        <v>203.2</v>
      </c>
      <c r="AD267" s="891">
        <v>0.41</v>
      </c>
      <c r="AE267" s="891">
        <v>40.64</v>
      </c>
      <c r="AF267" s="891">
        <v>135.46</v>
      </c>
      <c r="AG267" s="891">
        <v>27.09</v>
      </c>
      <c r="AH267" s="891">
        <v>14.22</v>
      </c>
      <c r="AI267" s="891">
        <v>125.3</v>
      </c>
      <c r="AJ267" s="891">
        <v>40.64</v>
      </c>
      <c r="AK267" s="891">
        <v>108.37</v>
      </c>
      <c r="AL267" s="891">
        <v>162.56</v>
      </c>
      <c r="AM267" s="891">
        <v>13546.46</v>
      </c>
      <c r="AN267" s="891">
        <v>9482.5300000000007</v>
      </c>
      <c r="AO267" s="891">
        <v>3386.62</v>
      </c>
      <c r="AP267" s="891">
        <v>4</v>
      </c>
      <c r="AQ267" s="891">
        <v>3.39</v>
      </c>
      <c r="AR267" s="891">
        <v>1.56</v>
      </c>
      <c r="AS267" s="891">
        <v>43.35</v>
      </c>
      <c r="AT267" s="891">
        <v>4.0599999999999996</v>
      </c>
      <c r="AU267" s="891">
        <v>3.39</v>
      </c>
      <c r="AV267" s="891">
        <v>2.71</v>
      </c>
      <c r="AW267" s="891">
        <v>1.9</v>
      </c>
      <c r="AX267" s="891">
        <v>4.0599999999999996</v>
      </c>
      <c r="AY267" s="891">
        <v>2.71</v>
      </c>
      <c r="AZ267" s="891">
        <v>4.0599999999999996</v>
      </c>
      <c r="BA267" s="891">
        <f t="shared" si="12"/>
        <v>244.25</v>
      </c>
      <c r="BB267" s="926">
        <f t="shared" si="13"/>
        <v>25199.21</v>
      </c>
      <c r="BC267" s="926">
        <f t="shared" si="14"/>
        <v>136.08000000000001</v>
      </c>
      <c r="BD267" s="891"/>
      <c r="BE267" s="891"/>
      <c r="BF267" s="891"/>
      <c r="BG267" s="928"/>
      <c r="BH267" s="928"/>
      <c r="BI267" s="928"/>
    </row>
    <row r="268" spans="1:61">
      <c r="A268" s="891" t="s">
        <v>1040</v>
      </c>
      <c r="B268" s="891" t="s">
        <v>564</v>
      </c>
      <c r="C268" s="891" t="s">
        <v>151</v>
      </c>
      <c r="D268" s="891">
        <v>9.48</v>
      </c>
      <c r="E268" s="891">
        <v>40.64</v>
      </c>
      <c r="F268" s="891">
        <v>8.1300000000000008</v>
      </c>
      <c r="G268" s="891">
        <v>4.4000000000000004</v>
      </c>
      <c r="H268" s="891">
        <v>5.76</v>
      </c>
      <c r="I268" s="891">
        <v>2.0299999999999998</v>
      </c>
      <c r="J268" s="891">
        <v>0.68</v>
      </c>
      <c r="K268" s="891">
        <v>1.49</v>
      </c>
      <c r="L268" s="891">
        <v>1.08</v>
      </c>
      <c r="M268" s="891">
        <v>4.88</v>
      </c>
      <c r="N268" s="891">
        <v>10.84</v>
      </c>
      <c r="O268" s="891">
        <v>1.35</v>
      </c>
      <c r="P268" s="891">
        <v>8.1300000000000008</v>
      </c>
      <c r="Q268" s="891">
        <v>1.35</v>
      </c>
      <c r="R268" s="891">
        <v>2.71</v>
      </c>
      <c r="S268" s="891">
        <v>5.42</v>
      </c>
      <c r="T268" s="891">
        <v>1.49</v>
      </c>
      <c r="U268" s="891">
        <v>10.16</v>
      </c>
      <c r="V268" s="891">
        <v>31.16</v>
      </c>
      <c r="W268" s="891">
        <v>2.34</v>
      </c>
      <c r="X268" s="927">
        <v>20319.7</v>
      </c>
      <c r="Y268" s="891">
        <v>392.85</v>
      </c>
      <c r="Z268" s="891">
        <v>331.89</v>
      </c>
      <c r="AA268" s="891">
        <v>609.59</v>
      </c>
      <c r="AB268" s="891">
        <v>507.99</v>
      </c>
      <c r="AC268" s="891">
        <v>230.29</v>
      </c>
      <c r="AD268" s="891">
        <v>0.45</v>
      </c>
      <c r="AE268" s="891">
        <v>25.74</v>
      </c>
      <c r="AF268" s="891">
        <v>54.19</v>
      </c>
      <c r="AG268" s="891">
        <v>33.869999999999997</v>
      </c>
      <c r="AH268" s="891">
        <v>10.16</v>
      </c>
      <c r="AI268" s="891">
        <v>115.14</v>
      </c>
      <c r="AJ268" s="891">
        <v>54.19</v>
      </c>
      <c r="AK268" s="891">
        <v>135.46</v>
      </c>
      <c r="AL268" s="891">
        <v>108.37</v>
      </c>
      <c r="AM268" s="891">
        <v>2031.97</v>
      </c>
      <c r="AN268" s="891">
        <v>2031.97</v>
      </c>
      <c r="AO268" s="891">
        <v>880.52</v>
      </c>
      <c r="AP268" s="891">
        <v>4</v>
      </c>
      <c r="AQ268" s="891">
        <v>4.47</v>
      </c>
      <c r="AR268" s="891">
        <v>1.48</v>
      </c>
      <c r="AS268" s="891">
        <v>14.49</v>
      </c>
      <c r="AT268" s="891">
        <v>1.35</v>
      </c>
      <c r="AU268" s="891">
        <v>1.29</v>
      </c>
      <c r="AV268" s="891">
        <v>0.81</v>
      </c>
      <c r="AW268" s="891">
        <v>0.88</v>
      </c>
      <c r="AX268" s="891">
        <v>4.0599999999999996</v>
      </c>
      <c r="AY268" s="891">
        <v>1.63</v>
      </c>
      <c r="AZ268" s="891">
        <v>1.9</v>
      </c>
      <c r="BA268" s="891">
        <f t="shared" si="12"/>
        <v>256.47999999999996</v>
      </c>
      <c r="BB268" s="926">
        <f t="shared" si="13"/>
        <v>20375.130000000005</v>
      </c>
      <c r="BC268" s="926">
        <f t="shared" si="14"/>
        <v>53.090000000003926</v>
      </c>
      <c r="BD268" s="891"/>
      <c r="BE268" s="891"/>
      <c r="BF268" s="891"/>
      <c r="BG268" s="928"/>
      <c r="BH268" s="928"/>
      <c r="BI268" s="928"/>
    </row>
    <row r="269" spans="1:61">
      <c r="A269" s="891" t="s">
        <v>1041</v>
      </c>
      <c r="B269" s="891" t="s">
        <v>639</v>
      </c>
      <c r="C269" s="891" t="s">
        <v>358</v>
      </c>
      <c r="D269" s="891">
        <v>2.72</v>
      </c>
      <c r="E269" s="891">
        <v>15.98</v>
      </c>
      <c r="F269" s="891">
        <v>5</v>
      </c>
      <c r="G269" s="891">
        <v>1.92</v>
      </c>
      <c r="H269" s="891">
        <v>1.92</v>
      </c>
      <c r="I269" s="891">
        <v>0.8</v>
      </c>
      <c r="J269" s="891">
        <v>0.32</v>
      </c>
      <c r="K269" s="891">
        <v>1.42</v>
      </c>
      <c r="L269" s="891">
        <v>1.28</v>
      </c>
      <c r="M269" s="891">
        <v>1.6</v>
      </c>
      <c r="N269" s="891">
        <v>15.98</v>
      </c>
      <c r="O269" s="891">
        <v>0.48</v>
      </c>
      <c r="P269" s="891">
        <v>14.06</v>
      </c>
      <c r="Q269" s="891">
        <v>1.28</v>
      </c>
      <c r="R269" s="891">
        <v>1.28</v>
      </c>
      <c r="S269" s="891">
        <v>2.56</v>
      </c>
      <c r="T269" s="891">
        <v>0.32</v>
      </c>
      <c r="U269" s="891">
        <v>2.72</v>
      </c>
      <c r="V269" s="891">
        <v>17.7</v>
      </c>
      <c r="W269" s="891">
        <v>1.23</v>
      </c>
      <c r="X269" s="927">
        <v>23171.82</v>
      </c>
      <c r="Y269" s="891">
        <v>479.42</v>
      </c>
      <c r="Z269" s="891">
        <v>303.37</v>
      </c>
      <c r="AA269" s="891">
        <v>990.8</v>
      </c>
      <c r="AB269" s="891">
        <v>559.32000000000005</v>
      </c>
      <c r="AC269" s="891">
        <v>63.92</v>
      </c>
      <c r="AD269" s="891">
        <v>0.05</v>
      </c>
      <c r="AE269" s="891">
        <v>19.98</v>
      </c>
      <c r="AF269" s="891">
        <v>31.96</v>
      </c>
      <c r="AG269" s="891">
        <v>4.79</v>
      </c>
      <c r="AH269" s="891">
        <v>4.6500000000000004</v>
      </c>
      <c r="AI269" s="891">
        <v>25.57</v>
      </c>
      <c r="AJ269" s="891">
        <v>31.96</v>
      </c>
      <c r="AK269" s="891">
        <v>73.510000000000005</v>
      </c>
      <c r="AL269" s="891">
        <v>63.92</v>
      </c>
      <c r="AM269" s="891">
        <v>1958.83</v>
      </c>
      <c r="AN269" s="891">
        <v>1200</v>
      </c>
      <c r="AO269" s="891">
        <v>479.42</v>
      </c>
      <c r="AP269" s="891">
        <v>6</v>
      </c>
      <c r="AQ269" s="891">
        <v>1.1000000000000001</v>
      </c>
      <c r="AR269" s="891">
        <v>0.13</v>
      </c>
      <c r="AS269" s="891">
        <v>3.2</v>
      </c>
      <c r="AT269" s="891">
        <v>2</v>
      </c>
      <c r="AU269" s="891">
        <v>1.6</v>
      </c>
      <c r="AV269" s="891">
        <v>1.28</v>
      </c>
      <c r="AW269" s="891">
        <v>0.7</v>
      </c>
      <c r="AX269" s="891">
        <v>1.76</v>
      </c>
      <c r="AY269" s="891">
        <v>0.98</v>
      </c>
      <c r="AZ269" s="891">
        <v>0.96</v>
      </c>
      <c r="BA269" s="891">
        <f t="shared" si="12"/>
        <v>83.95</v>
      </c>
      <c r="BB269" s="926">
        <f t="shared" si="13"/>
        <v>23195.5</v>
      </c>
      <c r="BC269" s="926">
        <f t="shared" si="14"/>
        <v>22.450000000000291</v>
      </c>
      <c r="BD269" s="891"/>
      <c r="BE269" s="891"/>
      <c r="BF269" s="891"/>
      <c r="BG269" s="928"/>
      <c r="BH269" s="928"/>
      <c r="BI269" s="928"/>
    </row>
    <row r="270" spans="1:61">
      <c r="A270" s="891" t="s">
        <v>1042</v>
      </c>
      <c r="B270" s="891" t="s">
        <v>576</v>
      </c>
      <c r="C270" s="891" t="s">
        <v>338</v>
      </c>
      <c r="D270" s="891">
        <v>1.89</v>
      </c>
      <c r="E270" s="891">
        <v>18.87</v>
      </c>
      <c r="F270" s="891">
        <v>3.14</v>
      </c>
      <c r="G270" s="891">
        <v>3.14</v>
      </c>
      <c r="H270" s="891">
        <v>3.77</v>
      </c>
      <c r="I270" s="891">
        <v>0.63</v>
      </c>
      <c r="J270" s="891">
        <v>0.31</v>
      </c>
      <c r="K270" s="891">
        <v>1.73</v>
      </c>
      <c r="L270" s="891">
        <v>0.79</v>
      </c>
      <c r="M270" s="891">
        <v>1.47</v>
      </c>
      <c r="N270" s="891">
        <v>6.29</v>
      </c>
      <c r="O270" s="891">
        <v>0.63</v>
      </c>
      <c r="P270" s="891">
        <v>15.72</v>
      </c>
      <c r="Q270" s="891">
        <v>3.77</v>
      </c>
      <c r="R270" s="891">
        <v>3.77</v>
      </c>
      <c r="S270" s="891">
        <v>3.14</v>
      </c>
      <c r="T270" s="891">
        <v>0.63</v>
      </c>
      <c r="U270" s="891">
        <v>2.83</v>
      </c>
      <c r="V270" s="891">
        <v>26.73</v>
      </c>
      <c r="W270" s="891">
        <v>0.63</v>
      </c>
      <c r="X270" s="927">
        <v>46994.97</v>
      </c>
      <c r="Y270" s="891">
        <v>361.64</v>
      </c>
      <c r="Z270" s="891">
        <v>110.06</v>
      </c>
      <c r="AA270" s="891">
        <v>518.87</v>
      </c>
      <c r="AB270" s="891">
        <v>220.13</v>
      </c>
      <c r="AC270" s="891">
        <v>56.6</v>
      </c>
      <c r="AD270" s="891">
        <v>0.06</v>
      </c>
      <c r="AE270" s="891">
        <v>47.17</v>
      </c>
      <c r="AF270" s="891">
        <v>29.72</v>
      </c>
      <c r="AG270" s="891">
        <v>3.14</v>
      </c>
      <c r="AH270" s="891">
        <v>3.46</v>
      </c>
      <c r="AI270" s="891">
        <v>62.74</v>
      </c>
      <c r="AJ270" s="891">
        <v>35.380000000000003</v>
      </c>
      <c r="AK270" s="891">
        <v>94.34</v>
      </c>
      <c r="AL270" s="891">
        <v>62.89</v>
      </c>
      <c r="AM270" s="891">
        <v>1572.33</v>
      </c>
      <c r="AN270" s="891">
        <v>1309.95</v>
      </c>
      <c r="AO270" s="891">
        <v>990.57</v>
      </c>
      <c r="AP270" s="891">
        <v>4.1500000000000004</v>
      </c>
      <c r="AQ270" s="891">
        <v>2.52</v>
      </c>
      <c r="AR270" s="891">
        <v>0.79</v>
      </c>
      <c r="AS270" s="891">
        <v>6.29</v>
      </c>
      <c r="AT270" s="891">
        <v>2.54</v>
      </c>
      <c r="AU270" s="891">
        <v>1.89</v>
      </c>
      <c r="AV270" s="891">
        <v>0.94</v>
      </c>
      <c r="AW270" s="891">
        <v>0.85</v>
      </c>
      <c r="AX270" s="891">
        <v>2.67</v>
      </c>
      <c r="AY270" s="891">
        <v>1.1299999999999999</v>
      </c>
      <c r="AZ270" s="891">
        <v>1.45</v>
      </c>
      <c r="BA270" s="891">
        <f t="shared" si="12"/>
        <v>103.83000000000001</v>
      </c>
      <c r="BB270" s="926">
        <f t="shared" si="13"/>
        <v>47032.56</v>
      </c>
      <c r="BC270" s="926">
        <f t="shared" si="14"/>
        <v>36.959999999996505</v>
      </c>
      <c r="BD270" s="891"/>
      <c r="BE270" s="891"/>
      <c r="BF270" s="891"/>
      <c r="BG270" s="928"/>
      <c r="BH270" s="928"/>
      <c r="BI270" s="928"/>
    </row>
    <row r="271" spans="1:61">
      <c r="A271" s="891" t="s">
        <v>1043</v>
      </c>
      <c r="B271" s="891" t="s">
        <v>556</v>
      </c>
      <c r="C271" s="891" t="s">
        <v>258</v>
      </c>
      <c r="D271" s="891">
        <v>12.37</v>
      </c>
      <c r="E271" s="891">
        <v>37.11</v>
      </c>
      <c r="F271" s="891">
        <v>6.18</v>
      </c>
      <c r="G271" s="891">
        <v>1.24</v>
      </c>
      <c r="H271" s="891">
        <v>1.78</v>
      </c>
      <c r="I271" s="891">
        <v>1.24</v>
      </c>
      <c r="J271" s="891">
        <v>0.93</v>
      </c>
      <c r="K271" s="891">
        <v>1.27</v>
      </c>
      <c r="L271" s="891">
        <v>0.65</v>
      </c>
      <c r="M271" s="891">
        <v>1.48</v>
      </c>
      <c r="N271" s="891">
        <v>8.5</v>
      </c>
      <c r="O271" s="891">
        <v>1.08</v>
      </c>
      <c r="P271" s="891">
        <v>8.5</v>
      </c>
      <c r="Q271" s="891">
        <v>1.22</v>
      </c>
      <c r="R271" s="891">
        <v>1.72</v>
      </c>
      <c r="S271" s="891">
        <v>1.79</v>
      </c>
      <c r="T271" s="891">
        <v>0.4</v>
      </c>
      <c r="U271" s="891">
        <v>7.19</v>
      </c>
      <c r="V271" s="891">
        <v>21.65</v>
      </c>
      <c r="W271" s="891">
        <v>0.93</v>
      </c>
      <c r="X271" s="927">
        <v>17935</v>
      </c>
      <c r="Y271" s="891">
        <v>556.6</v>
      </c>
      <c r="Z271" s="891">
        <v>309.22000000000003</v>
      </c>
      <c r="AA271" s="891">
        <v>927.67</v>
      </c>
      <c r="AB271" s="891">
        <v>525.67999999999995</v>
      </c>
      <c r="AC271" s="891">
        <v>139.15</v>
      </c>
      <c r="AD271" s="891">
        <v>0.05</v>
      </c>
      <c r="AE271" s="891">
        <v>17.010000000000002</v>
      </c>
      <c r="AF271" s="891">
        <v>57.98</v>
      </c>
      <c r="AG271" s="891">
        <v>21.65</v>
      </c>
      <c r="AH271" s="891">
        <v>7.73</v>
      </c>
      <c r="AI271" s="891">
        <v>104.36</v>
      </c>
      <c r="AJ271" s="891">
        <v>123.69</v>
      </c>
      <c r="AK271" s="891">
        <v>123.69</v>
      </c>
      <c r="AL271" s="891">
        <v>104.83</v>
      </c>
      <c r="AM271" s="891">
        <v>1793.5</v>
      </c>
      <c r="AN271" s="891">
        <v>1314.2</v>
      </c>
      <c r="AO271" s="891">
        <v>463.84</v>
      </c>
      <c r="AP271" s="891">
        <v>12.5</v>
      </c>
      <c r="AQ271" s="891">
        <v>3.09</v>
      </c>
      <c r="AR271" s="891">
        <v>0.45</v>
      </c>
      <c r="AS271" s="891">
        <v>13.92</v>
      </c>
      <c r="AT271" s="891">
        <v>1.86</v>
      </c>
      <c r="AU271" s="891">
        <v>2.0099999999999998</v>
      </c>
      <c r="AV271" s="891">
        <v>0.85</v>
      </c>
      <c r="AW271" s="891">
        <v>1.06</v>
      </c>
      <c r="AX271" s="891">
        <v>2.4700000000000002</v>
      </c>
      <c r="AY271" s="891">
        <v>1.86</v>
      </c>
      <c r="AZ271" s="891">
        <v>2.3199999999999998</v>
      </c>
      <c r="BA271" s="891">
        <f t="shared" si="12"/>
        <v>156.21</v>
      </c>
      <c r="BB271" s="926">
        <f t="shared" si="13"/>
        <v>17975.439999999999</v>
      </c>
      <c r="BC271" s="926">
        <f t="shared" si="14"/>
        <v>39.509999999998691</v>
      </c>
      <c r="BD271" s="891"/>
      <c r="BE271" s="891"/>
      <c r="BF271" s="891"/>
      <c r="BG271" s="928"/>
      <c r="BH271" s="928"/>
      <c r="BI271" s="928"/>
    </row>
    <row r="272" spans="1:61">
      <c r="A272" s="891" t="s">
        <v>1044</v>
      </c>
      <c r="B272" s="891" t="s">
        <v>579</v>
      </c>
      <c r="C272" s="891" t="s">
        <v>10</v>
      </c>
      <c r="D272" s="891">
        <v>18.93</v>
      </c>
      <c r="E272" s="891">
        <v>94.65</v>
      </c>
      <c r="F272" s="891">
        <v>8.52</v>
      </c>
      <c r="G272" s="891">
        <v>8.52</v>
      </c>
      <c r="H272" s="891">
        <v>8.52</v>
      </c>
      <c r="I272" s="891">
        <v>2.84</v>
      </c>
      <c r="J272" s="891">
        <v>2.37</v>
      </c>
      <c r="K272" s="891">
        <v>1.54</v>
      </c>
      <c r="L272" s="891">
        <v>2.84</v>
      </c>
      <c r="M272" s="891">
        <v>4.7300000000000004</v>
      </c>
      <c r="N272" s="891">
        <v>10.41</v>
      </c>
      <c r="O272" s="891">
        <v>2.84</v>
      </c>
      <c r="P272" s="891">
        <v>15.14</v>
      </c>
      <c r="Q272" s="891">
        <v>4.54</v>
      </c>
      <c r="R272" s="891">
        <v>4.7300000000000004</v>
      </c>
      <c r="S272" s="891">
        <v>17.98</v>
      </c>
      <c r="T272" s="891">
        <v>3.79</v>
      </c>
      <c r="U272" s="891">
        <v>11.36</v>
      </c>
      <c r="V272" s="891">
        <v>132.51</v>
      </c>
      <c r="W272" s="891">
        <v>1.42</v>
      </c>
      <c r="X272" s="927">
        <v>26502.6</v>
      </c>
      <c r="Y272" s="891">
        <v>1870.8</v>
      </c>
      <c r="Z272" s="891">
        <v>1325.13</v>
      </c>
      <c r="AA272" s="891">
        <v>3170.85</v>
      </c>
      <c r="AB272" s="891">
        <v>2053.9499999999998</v>
      </c>
      <c r="AC272" s="891">
        <v>283.95999999999998</v>
      </c>
      <c r="AD272" s="891">
        <v>0.94</v>
      </c>
      <c r="AE272" s="891">
        <v>66.260000000000005</v>
      </c>
      <c r="AF272" s="891">
        <v>75.72</v>
      </c>
      <c r="AG272" s="891">
        <v>23.66</v>
      </c>
      <c r="AH272" s="891">
        <v>17.04</v>
      </c>
      <c r="AI272" s="891">
        <v>113.58</v>
      </c>
      <c r="AJ272" s="891">
        <v>68.62</v>
      </c>
      <c r="AK272" s="891">
        <v>141.97999999999999</v>
      </c>
      <c r="AL272" s="891">
        <v>165.64</v>
      </c>
      <c r="AM272" s="891">
        <v>7098.91</v>
      </c>
      <c r="AN272" s="891">
        <v>5442.5</v>
      </c>
      <c r="AO272" s="891">
        <v>4259.3500000000004</v>
      </c>
      <c r="AP272" s="891">
        <v>6.5</v>
      </c>
      <c r="AQ272" s="891">
        <v>4.3099999999999996</v>
      </c>
      <c r="AR272" s="891">
        <v>1.89</v>
      </c>
      <c r="AS272" s="891">
        <v>45.48</v>
      </c>
      <c r="AT272" s="891">
        <v>3.79</v>
      </c>
      <c r="AU272" s="891">
        <v>3.79</v>
      </c>
      <c r="AV272" s="891">
        <v>2.5099999999999998</v>
      </c>
      <c r="AW272" s="891">
        <v>1.89</v>
      </c>
      <c r="AX272" s="891">
        <v>4.26</v>
      </c>
      <c r="AY272" s="891">
        <v>2.84</v>
      </c>
      <c r="AZ272" s="891">
        <v>4.26</v>
      </c>
      <c r="BA272" s="891">
        <f t="shared" si="12"/>
        <v>351.15999999999997</v>
      </c>
      <c r="BB272" s="926">
        <f t="shared" si="13"/>
        <v>26692</v>
      </c>
      <c r="BC272" s="926">
        <f t="shared" si="14"/>
        <v>187.98000000000147</v>
      </c>
      <c r="BD272" s="891"/>
      <c r="BE272" s="891"/>
      <c r="BF272" s="891"/>
      <c r="BG272" s="928"/>
      <c r="BH272" s="928"/>
      <c r="BI272" s="928"/>
    </row>
    <row r="273" spans="1:61">
      <c r="A273" s="891" t="s">
        <v>1623</v>
      </c>
      <c r="B273" s="891" t="s">
        <v>576</v>
      </c>
      <c r="C273" s="891" t="s">
        <v>275</v>
      </c>
      <c r="D273" s="891">
        <v>2.83</v>
      </c>
      <c r="E273" s="891">
        <v>17.3</v>
      </c>
      <c r="F273" s="891">
        <v>3.77</v>
      </c>
      <c r="G273" s="891">
        <v>5.5</v>
      </c>
      <c r="H273" s="891">
        <v>4.09</v>
      </c>
      <c r="I273" s="891">
        <v>0.63</v>
      </c>
      <c r="J273" s="891">
        <v>0.35</v>
      </c>
      <c r="K273" s="891">
        <v>1.89</v>
      </c>
      <c r="L273" s="891">
        <v>0.94</v>
      </c>
      <c r="M273" s="891">
        <v>1.42</v>
      </c>
      <c r="N273" s="891">
        <v>7.7</v>
      </c>
      <c r="O273" s="891">
        <v>0.74</v>
      </c>
      <c r="P273" s="891">
        <v>15.57</v>
      </c>
      <c r="Q273" s="891">
        <v>2.83</v>
      </c>
      <c r="R273" s="891">
        <v>3.14</v>
      </c>
      <c r="S273" s="891">
        <v>3.21</v>
      </c>
      <c r="T273" s="891">
        <v>0.63</v>
      </c>
      <c r="U273" s="891">
        <v>4.25</v>
      </c>
      <c r="V273" s="891">
        <v>37.74</v>
      </c>
      <c r="W273" s="891">
        <v>0.6</v>
      </c>
      <c r="X273" s="927">
        <v>46855.35</v>
      </c>
      <c r="Y273" s="891">
        <v>377.36</v>
      </c>
      <c r="Z273" s="891">
        <v>377.36</v>
      </c>
      <c r="AA273" s="891">
        <v>880.5</v>
      </c>
      <c r="AB273" s="891">
        <v>566.04</v>
      </c>
      <c r="AC273" s="891">
        <v>64.86</v>
      </c>
      <c r="AD273" s="891">
        <v>0.09</v>
      </c>
      <c r="AE273" s="891">
        <v>46.86</v>
      </c>
      <c r="AF273" s="891">
        <v>47.17</v>
      </c>
      <c r="AG273" s="891">
        <v>14.15</v>
      </c>
      <c r="AH273" s="891">
        <v>4.09</v>
      </c>
      <c r="AI273" s="891">
        <v>99.06</v>
      </c>
      <c r="AJ273" s="891">
        <v>55.03</v>
      </c>
      <c r="AK273" s="891">
        <v>94.34</v>
      </c>
      <c r="AL273" s="891">
        <v>78.62</v>
      </c>
      <c r="AM273" s="891">
        <v>283.95999999999998</v>
      </c>
      <c r="AN273" s="891">
        <v>1184.71</v>
      </c>
      <c r="AO273" s="891">
        <v>1022.01</v>
      </c>
      <c r="AP273" s="891">
        <v>4.88</v>
      </c>
      <c r="AQ273" s="891">
        <v>0.94</v>
      </c>
      <c r="AR273" s="891">
        <v>0.3</v>
      </c>
      <c r="AS273" s="891">
        <v>8.41</v>
      </c>
      <c r="AT273" s="891">
        <v>3.93</v>
      </c>
      <c r="AU273" s="891">
        <v>3.14</v>
      </c>
      <c r="AV273" s="891">
        <v>0.51</v>
      </c>
      <c r="AW273" s="891">
        <v>1.1000000000000001</v>
      </c>
      <c r="AX273" s="891">
        <v>2.52</v>
      </c>
      <c r="AY273" s="891">
        <v>0.79</v>
      </c>
      <c r="AZ273" s="891">
        <v>2.52</v>
      </c>
      <c r="BA273" s="891">
        <f t="shared" si="12"/>
        <v>111.81</v>
      </c>
      <c r="BB273" s="926">
        <f t="shared" si="13"/>
        <v>46903.970000000008</v>
      </c>
      <c r="BC273" s="926">
        <f t="shared" si="14"/>
        <v>48.020000000009894</v>
      </c>
      <c r="BD273" s="891"/>
      <c r="BE273" s="891"/>
      <c r="BF273" s="891"/>
      <c r="BG273" s="928"/>
      <c r="BH273" s="928"/>
      <c r="BI273" s="928"/>
    </row>
    <row r="274" spans="1:61">
      <c r="A274" s="891" t="s">
        <v>1046</v>
      </c>
      <c r="B274" s="891" t="s">
        <v>1606</v>
      </c>
      <c r="C274" s="891" t="s">
        <v>141</v>
      </c>
      <c r="D274" s="891">
        <v>12</v>
      </c>
      <c r="E274" s="891">
        <v>50</v>
      </c>
      <c r="F274" s="891">
        <v>7</v>
      </c>
      <c r="G274" s="891">
        <v>4</v>
      </c>
      <c r="H274" s="891">
        <v>4.5</v>
      </c>
      <c r="I274" s="891">
        <v>2</v>
      </c>
      <c r="J274" s="891">
        <v>1.38</v>
      </c>
      <c r="K274" s="891">
        <v>1.07</v>
      </c>
      <c r="L274" s="891">
        <v>2.5</v>
      </c>
      <c r="M274" s="891">
        <v>2.2999999999999998</v>
      </c>
      <c r="N274" s="891">
        <v>11.02</v>
      </c>
      <c r="O274" s="891">
        <v>1.88</v>
      </c>
      <c r="P274" s="891">
        <v>10</v>
      </c>
      <c r="Q274" s="891">
        <v>3.25</v>
      </c>
      <c r="R274" s="891">
        <v>4.75</v>
      </c>
      <c r="S274" s="891">
        <v>6.5</v>
      </c>
      <c r="T274" s="891">
        <v>2.25</v>
      </c>
      <c r="U274" s="891">
        <v>8.77</v>
      </c>
      <c r="V274" s="891">
        <v>90</v>
      </c>
      <c r="W274" s="891">
        <v>0.99</v>
      </c>
      <c r="X274" s="927">
        <v>21000</v>
      </c>
      <c r="Y274" s="891">
        <v>1300</v>
      </c>
      <c r="Z274" s="891">
        <v>850</v>
      </c>
      <c r="AA274" s="891">
        <v>2500</v>
      </c>
      <c r="AB274" s="891">
        <v>1800</v>
      </c>
      <c r="AC274" s="891">
        <v>200</v>
      </c>
      <c r="AD274" s="891">
        <v>0.1</v>
      </c>
      <c r="AE274" s="891">
        <v>50</v>
      </c>
      <c r="AF274" s="891">
        <v>47.5</v>
      </c>
      <c r="AG274" s="891">
        <v>23.5</v>
      </c>
      <c r="AH274" s="891">
        <v>11</v>
      </c>
      <c r="AI274" s="891">
        <v>50</v>
      </c>
      <c r="AJ274" s="891">
        <v>30</v>
      </c>
      <c r="AK274" s="891">
        <v>72.5</v>
      </c>
      <c r="AL274" s="891">
        <v>65</v>
      </c>
      <c r="AM274" s="891">
        <v>2412.36</v>
      </c>
      <c r="AN274" s="891">
        <v>1527.81</v>
      </c>
      <c r="AO274" s="891">
        <v>3487</v>
      </c>
      <c r="AP274" s="891">
        <v>4</v>
      </c>
      <c r="AQ274" s="891">
        <v>2.95</v>
      </c>
      <c r="AR274" s="891">
        <v>1.55</v>
      </c>
      <c r="AS274" s="891">
        <v>10</v>
      </c>
      <c r="AT274" s="891">
        <v>3.45</v>
      </c>
      <c r="AU274" s="891">
        <v>3.74</v>
      </c>
      <c r="AV274" s="891">
        <v>3.2</v>
      </c>
      <c r="AW274" s="891">
        <v>1.52</v>
      </c>
      <c r="AX274" s="891">
        <v>3.38</v>
      </c>
      <c r="AY274" s="891">
        <v>2.4</v>
      </c>
      <c r="AZ274" s="891">
        <v>4.1900000000000004</v>
      </c>
      <c r="BA274" s="891">
        <f t="shared" si="12"/>
        <v>250.1</v>
      </c>
      <c r="BB274" s="926">
        <f t="shared" si="13"/>
        <v>21107.74</v>
      </c>
      <c r="BC274" s="926">
        <f t="shared" si="14"/>
        <v>106.75000000000161</v>
      </c>
      <c r="BD274" s="891"/>
      <c r="BE274" s="891"/>
      <c r="BF274" s="891"/>
      <c r="BG274" s="928"/>
      <c r="BH274" s="928"/>
      <c r="BI274" s="928"/>
    </row>
    <row r="275" spans="1:61">
      <c r="A275" s="891" t="s">
        <v>1624</v>
      </c>
      <c r="B275" s="891" t="s">
        <v>628</v>
      </c>
      <c r="C275" s="891" t="s">
        <v>281</v>
      </c>
      <c r="D275" s="891">
        <v>3.5</v>
      </c>
      <c r="E275" s="891">
        <v>15</v>
      </c>
      <c r="F275" s="891">
        <v>4</v>
      </c>
      <c r="G275" s="891">
        <v>1</v>
      </c>
      <c r="H275" s="891">
        <v>2</v>
      </c>
      <c r="I275" s="891">
        <v>0.52</v>
      </c>
      <c r="J275" s="891">
        <v>0.5</v>
      </c>
      <c r="K275" s="891">
        <v>1.5</v>
      </c>
      <c r="L275" s="891">
        <v>0.9</v>
      </c>
      <c r="M275" s="891">
        <v>1.25</v>
      </c>
      <c r="N275" s="891">
        <v>22.5</v>
      </c>
      <c r="O275" s="891">
        <v>0.7</v>
      </c>
      <c r="P275" s="891">
        <v>8</v>
      </c>
      <c r="Q275" s="891">
        <v>0.88</v>
      </c>
      <c r="R275" s="891">
        <v>1.5</v>
      </c>
      <c r="S275" s="891">
        <v>1.25</v>
      </c>
      <c r="T275" s="891">
        <v>1.5</v>
      </c>
      <c r="U275" s="891">
        <v>5.37</v>
      </c>
      <c r="V275" s="891">
        <v>50</v>
      </c>
      <c r="W275" s="891">
        <v>1.25</v>
      </c>
      <c r="X275" s="927">
        <v>26750</v>
      </c>
      <c r="Y275" s="891">
        <v>500</v>
      </c>
      <c r="Z275" s="891">
        <v>250</v>
      </c>
      <c r="AA275" s="891">
        <v>1500</v>
      </c>
      <c r="AB275" s="891">
        <v>425</v>
      </c>
      <c r="AC275" s="891">
        <v>70</v>
      </c>
      <c r="AD275" s="891">
        <v>0.08</v>
      </c>
      <c r="AE275" s="891">
        <v>72.5</v>
      </c>
      <c r="AF275" s="891">
        <v>50</v>
      </c>
      <c r="AG275" s="891">
        <v>8.5</v>
      </c>
      <c r="AH275" s="891">
        <v>5</v>
      </c>
      <c r="AI275" s="891">
        <v>16.5</v>
      </c>
      <c r="AJ275" s="891">
        <v>10</v>
      </c>
      <c r="AK275" s="891">
        <v>22.5</v>
      </c>
      <c r="AL275" s="891">
        <v>20</v>
      </c>
      <c r="AM275" s="891">
        <v>800</v>
      </c>
      <c r="AN275" s="891">
        <v>500</v>
      </c>
      <c r="AO275" s="891">
        <v>358.65</v>
      </c>
      <c r="AP275" s="891">
        <v>10.5</v>
      </c>
      <c r="AQ275" s="891">
        <v>2</v>
      </c>
      <c r="AR275" s="891">
        <v>1</v>
      </c>
      <c r="AS275" s="891">
        <v>2.5</v>
      </c>
      <c r="AT275" s="891">
        <v>3.2</v>
      </c>
      <c r="AU275" s="891">
        <v>3</v>
      </c>
      <c r="AV275" s="891">
        <v>1.5</v>
      </c>
      <c r="AW275" s="891">
        <v>0.8</v>
      </c>
      <c r="AX275" s="891">
        <v>2</v>
      </c>
      <c r="AY275" s="891">
        <v>1</v>
      </c>
      <c r="AZ275" s="891">
        <v>1.5</v>
      </c>
      <c r="BA275" s="891">
        <f t="shared" si="12"/>
        <v>142.57999999999998</v>
      </c>
      <c r="BB275" s="926">
        <f t="shared" si="13"/>
        <v>26808.25</v>
      </c>
      <c r="BC275" s="926">
        <f t="shared" si="14"/>
        <v>57</v>
      </c>
      <c r="BD275" s="891"/>
      <c r="BE275" s="891"/>
      <c r="BF275" s="891"/>
      <c r="BG275" s="928"/>
      <c r="BH275" s="928"/>
      <c r="BI275" s="928"/>
    </row>
    <row r="276" spans="1:61">
      <c r="A276" s="891" t="s">
        <v>1048</v>
      </c>
      <c r="B276" s="891" t="s">
        <v>1606</v>
      </c>
      <c r="C276" s="891" t="s">
        <v>206</v>
      </c>
      <c r="D276" s="891">
        <v>12</v>
      </c>
      <c r="E276" s="891">
        <v>45</v>
      </c>
      <c r="F276" s="891">
        <v>6.38</v>
      </c>
      <c r="G276" s="891">
        <v>3</v>
      </c>
      <c r="H276" s="891">
        <v>4</v>
      </c>
      <c r="I276" s="891">
        <v>1.4</v>
      </c>
      <c r="J276" s="891">
        <v>1.2</v>
      </c>
      <c r="K276" s="891">
        <v>0.72</v>
      </c>
      <c r="L276" s="891">
        <v>2</v>
      </c>
      <c r="M276" s="891">
        <v>2</v>
      </c>
      <c r="N276" s="891">
        <v>6.31</v>
      </c>
      <c r="O276" s="891">
        <v>1.5</v>
      </c>
      <c r="P276" s="891">
        <v>9.8800000000000008</v>
      </c>
      <c r="Q276" s="891">
        <v>2</v>
      </c>
      <c r="R276" s="891">
        <v>3</v>
      </c>
      <c r="S276" s="891">
        <v>7</v>
      </c>
      <c r="T276" s="891">
        <v>2</v>
      </c>
      <c r="U276" s="891">
        <v>6.28</v>
      </c>
      <c r="V276" s="891">
        <v>50</v>
      </c>
      <c r="W276" s="891">
        <v>0.95</v>
      </c>
      <c r="X276" s="927">
        <v>25500</v>
      </c>
      <c r="Y276" s="891">
        <v>700</v>
      </c>
      <c r="Z276" s="891">
        <v>650</v>
      </c>
      <c r="AA276" s="891">
        <v>1300</v>
      </c>
      <c r="AB276" s="891">
        <v>1000</v>
      </c>
      <c r="AC276" s="891">
        <v>171.55</v>
      </c>
      <c r="AD276" s="891">
        <v>0.12</v>
      </c>
      <c r="AE276" s="891">
        <v>40</v>
      </c>
      <c r="AF276" s="891">
        <v>30</v>
      </c>
      <c r="AG276" s="891">
        <v>10</v>
      </c>
      <c r="AH276" s="891">
        <v>10</v>
      </c>
      <c r="AI276" s="891">
        <v>35</v>
      </c>
      <c r="AJ276" s="891">
        <v>42.5</v>
      </c>
      <c r="AK276" s="891">
        <v>60</v>
      </c>
      <c r="AL276" s="891">
        <v>60</v>
      </c>
      <c r="AM276" s="891">
        <v>861.11</v>
      </c>
      <c r="AN276" s="891">
        <v>1044.0999999999999</v>
      </c>
      <c r="AO276" s="891">
        <v>3152</v>
      </c>
      <c r="AP276" s="891">
        <v>4</v>
      </c>
      <c r="AQ276" s="891">
        <v>3</v>
      </c>
      <c r="AR276" s="891">
        <v>1.27</v>
      </c>
      <c r="AS276" s="891">
        <v>42.5</v>
      </c>
      <c r="AT276" s="891">
        <v>3.15</v>
      </c>
      <c r="AU276" s="891">
        <v>2.76</v>
      </c>
      <c r="AV276" s="891">
        <v>2</v>
      </c>
      <c r="AW276" s="891">
        <v>1.29</v>
      </c>
      <c r="AX276" s="891">
        <v>4</v>
      </c>
      <c r="AY276" s="891">
        <v>3.5</v>
      </c>
      <c r="AZ276" s="891">
        <v>3.47</v>
      </c>
      <c r="BA276" s="891">
        <f t="shared" si="12"/>
        <v>211.67000000000002</v>
      </c>
      <c r="BB276" s="926">
        <f t="shared" si="13"/>
        <v>25599.72</v>
      </c>
      <c r="BC276" s="926">
        <f t="shared" si="14"/>
        <v>98.770000000001161</v>
      </c>
      <c r="BD276" s="891"/>
      <c r="BE276" s="891"/>
      <c r="BF276" s="891"/>
      <c r="BG276" s="928"/>
      <c r="BH276" s="928"/>
      <c r="BI276" s="928"/>
    </row>
    <row r="277" spans="1:61">
      <c r="A277" s="891" t="s">
        <v>1049</v>
      </c>
      <c r="B277" s="891" t="s">
        <v>1606</v>
      </c>
      <c r="C277" s="891" t="s">
        <v>175</v>
      </c>
      <c r="D277" s="891">
        <v>10</v>
      </c>
      <c r="E277" s="891">
        <v>45</v>
      </c>
      <c r="F277" s="891">
        <v>6.87</v>
      </c>
      <c r="G277" s="891">
        <v>3.25</v>
      </c>
      <c r="H277" s="891">
        <v>5</v>
      </c>
      <c r="I277" s="891">
        <v>1.5</v>
      </c>
      <c r="J277" s="891">
        <v>1.3</v>
      </c>
      <c r="K277" s="891">
        <v>0.99</v>
      </c>
      <c r="L277" s="891">
        <v>2.5</v>
      </c>
      <c r="M277" s="891">
        <v>1.65</v>
      </c>
      <c r="N277" s="891">
        <v>8.91</v>
      </c>
      <c r="O277" s="891">
        <v>1.5</v>
      </c>
      <c r="P277" s="891">
        <v>15</v>
      </c>
      <c r="Q277" s="891">
        <v>1.5</v>
      </c>
      <c r="R277" s="891">
        <v>3.5</v>
      </c>
      <c r="S277" s="891">
        <v>6.27</v>
      </c>
      <c r="T277" s="891">
        <v>2.5</v>
      </c>
      <c r="U277" s="891">
        <v>7.72</v>
      </c>
      <c r="V277" s="891">
        <v>97.5</v>
      </c>
      <c r="W277" s="891">
        <v>0.98</v>
      </c>
      <c r="X277" s="927">
        <v>21550</v>
      </c>
      <c r="Y277" s="891">
        <v>937.5</v>
      </c>
      <c r="Z277" s="891">
        <v>700</v>
      </c>
      <c r="AA277" s="891">
        <v>1800</v>
      </c>
      <c r="AB277" s="891">
        <v>1050</v>
      </c>
      <c r="AC277" s="891">
        <v>153</v>
      </c>
      <c r="AD277" s="891">
        <v>0.1</v>
      </c>
      <c r="AE277" s="891">
        <v>40</v>
      </c>
      <c r="AF277" s="891">
        <v>40</v>
      </c>
      <c r="AG277" s="891">
        <v>32.5</v>
      </c>
      <c r="AH277" s="891">
        <v>9.5</v>
      </c>
      <c r="AI277" s="891">
        <v>45</v>
      </c>
      <c r="AJ277" s="891">
        <v>40</v>
      </c>
      <c r="AK277" s="891">
        <v>90</v>
      </c>
      <c r="AL277" s="891">
        <v>80</v>
      </c>
      <c r="AM277" s="891">
        <v>1506.95</v>
      </c>
      <c r="AN277" s="891">
        <v>753.47</v>
      </c>
      <c r="AO277" s="891">
        <v>3119</v>
      </c>
      <c r="AP277" s="891">
        <v>4.62</v>
      </c>
      <c r="AQ277" s="891">
        <v>3.36</v>
      </c>
      <c r="AR277" s="891">
        <v>1.0900000000000001</v>
      </c>
      <c r="AS277" s="891">
        <v>21</v>
      </c>
      <c r="AT277" s="891">
        <v>3.75</v>
      </c>
      <c r="AU277" s="891">
        <v>1.76</v>
      </c>
      <c r="AV277" s="891">
        <v>2.1800000000000002</v>
      </c>
      <c r="AW277" s="891">
        <v>1.29</v>
      </c>
      <c r="AX277" s="891">
        <v>3.5</v>
      </c>
      <c r="AY277" s="891">
        <v>2.0499999999999998</v>
      </c>
      <c r="AZ277" s="891">
        <v>3</v>
      </c>
      <c r="BA277" s="891">
        <f t="shared" si="12"/>
        <v>193.1</v>
      </c>
      <c r="BB277" s="926">
        <f t="shared" si="13"/>
        <v>21676.43</v>
      </c>
      <c r="BC277" s="926">
        <f t="shared" si="14"/>
        <v>125.45000000000029</v>
      </c>
      <c r="BD277" s="891"/>
      <c r="BE277" s="891"/>
      <c r="BF277" s="891"/>
      <c r="BG277" s="928"/>
      <c r="BH277" s="928"/>
      <c r="BI277" s="928"/>
    </row>
    <row r="278" spans="1:61">
      <c r="A278" s="891" t="s">
        <v>1050</v>
      </c>
      <c r="B278" s="891" t="s">
        <v>637</v>
      </c>
      <c r="C278" s="891" t="s">
        <v>343</v>
      </c>
      <c r="D278" s="891">
        <v>6.91</v>
      </c>
      <c r="E278" s="891">
        <v>26.27</v>
      </c>
      <c r="F278" s="891">
        <v>5.53</v>
      </c>
      <c r="G278" s="891">
        <v>1.38</v>
      </c>
      <c r="H278" s="891">
        <v>2.0699999999999998</v>
      </c>
      <c r="I278" s="891">
        <v>1.21</v>
      </c>
      <c r="J278" s="891">
        <v>0.83</v>
      </c>
      <c r="K278" s="891">
        <v>1.04</v>
      </c>
      <c r="L278" s="891">
        <v>0.55000000000000004</v>
      </c>
      <c r="M278" s="891">
        <v>2.0699999999999998</v>
      </c>
      <c r="N278" s="891">
        <v>6.05</v>
      </c>
      <c r="O278" s="891">
        <v>0.65</v>
      </c>
      <c r="P278" s="891">
        <v>5.53</v>
      </c>
      <c r="Q278" s="891">
        <v>0.69</v>
      </c>
      <c r="R278" s="891">
        <v>1.38</v>
      </c>
      <c r="S278" s="891">
        <v>3.46</v>
      </c>
      <c r="T278" s="891">
        <v>0.69</v>
      </c>
      <c r="U278" s="891">
        <v>6.22</v>
      </c>
      <c r="V278" s="891">
        <v>17.97</v>
      </c>
      <c r="W278" s="891">
        <v>1.82</v>
      </c>
      <c r="X278" s="927">
        <v>15207.02</v>
      </c>
      <c r="Y278" s="891">
        <v>276.49</v>
      </c>
      <c r="Z278" s="891">
        <v>110.6</v>
      </c>
      <c r="AA278" s="891">
        <v>587.54</v>
      </c>
      <c r="AB278" s="891">
        <v>236.75</v>
      </c>
      <c r="AC278" s="891">
        <v>133.75</v>
      </c>
      <c r="AD278" s="891">
        <v>0.16</v>
      </c>
      <c r="AE278" s="891">
        <v>10.37</v>
      </c>
      <c r="AF278" s="891">
        <v>20.74</v>
      </c>
      <c r="AG278" s="891">
        <v>3.8</v>
      </c>
      <c r="AH278" s="891">
        <v>8.2899999999999991</v>
      </c>
      <c r="AI278" s="891">
        <v>67.73</v>
      </c>
      <c r="AJ278" s="891">
        <v>40.64</v>
      </c>
      <c r="AK278" s="891">
        <v>69.12</v>
      </c>
      <c r="AL278" s="891">
        <v>71.81</v>
      </c>
      <c r="AM278" s="891">
        <v>1354.65</v>
      </c>
      <c r="AN278" s="891">
        <v>552.98</v>
      </c>
      <c r="AO278" s="891">
        <v>414.74</v>
      </c>
      <c r="AP278" s="891">
        <v>11.5</v>
      </c>
      <c r="AQ278" s="891">
        <v>0.62</v>
      </c>
      <c r="AR278" s="891">
        <v>0.43</v>
      </c>
      <c r="AS278" s="891">
        <v>10.37</v>
      </c>
      <c r="AT278" s="891">
        <v>1.38</v>
      </c>
      <c r="AU278" s="891">
        <v>1.38</v>
      </c>
      <c r="AV278" s="891">
        <v>0.69</v>
      </c>
      <c r="AW278" s="891">
        <v>0.76</v>
      </c>
      <c r="AX278" s="891">
        <v>1.38</v>
      </c>
      <c r="AY278" s="891">
        <v>1.38</v>
      </c>
      <c r="AZ278" s="891">
        <v>1.24</v>
      </c>
      <c r="BA278" s="891">
        <f t="shared" si="12"/>
        <v>144.28</v>
      </c>
      <c r="BB278" s="926">
        <f t="shared" si="13"/>
        <v>15238.920000000002</v>
      </c>
      <c r="BC278" s="926">
        <f t="shared" si="14"/>
        <v>30.080000000001455</v>
      </c>
      <c r="BD278" s="891"/>
      <c r="BE278" s="891"/>
      <c r="BF278" s="891"/>
      <c r="BG278" s="928"/>
      <c r="BH278" s="928"/>
      <c r="BI278" s="928"/>
    </row>
    <row r="279" spans="1:61">
      <c r="A279" s="891" t="s">
        <v>1051</v>
      </c>
      <c r="B279" s="891" t="s">
        <v>621</v>
      </c>
      <c r="C279" s="891" t="s">
        <v>243</v>
      </c>
      <c r="D279" s="891">
        <v>7.45</v>
      </c>
      <c r="E279" s="891">
        <v>40.64</v>
      </c>
      <c r="F279" s="891">
        <v>4.0599999999999996</v>
      </c>
      <c r="G279" s="891">
        <v>2.71</v>
      </c>
      <c r="H279" s="891">
        <v>3.39</v>
      </c>
      <c r="I279" s="891">
        <v>2.71</v>
      </c>
      <c r="J279" s="891">
        <v>2.1</v>
      </c>
      <c r="K279" s="891">
        <v>1.22</v>
      </c>
      <c r="L279" s="891">
        <v>0.95</v>
      </c>
      <c r="M279" s="891">
        <v>1.9</v>
      </c>
      <c r="N279" s="891">
        <v>6.77</v>
      </c>
      <c r="O279" s="891">
        <v>0.68</v>
      </c>
      <c r="P279" s="891">
        <v>4.74</v>
      </c>
      <c r="Q279" s="891">
        <v>1.02</v>
      </c>
      <c r="R279" s="891">
        <v>1.42</v>
      </c>
      <c r="S279" s="891">
        <v>3.39</v>
      </c>
      <c r="T279" s="891">
        <v>0.61</v>
      </c>
      <c r="U279" s="891">
        <v>8.1199999999999992</v>
      </c>
      <c r="V279" s="891">
        <v>29.12</v>
      </c>
      <c r="W279" s="891">
        <v>1.9</v>
      </c>
      <c r="X279" s="927">
        <v>23028.99</v>
      </c>
      <c r="Y279" s="891">
        <v>372.53</v>
      </c>
      <c r="Z279" s="891">
        <v>270.93</v>
      </c>
      <c r="AA279" s="891">
        <v>711.19</v>
      </c>
      <c r="AB279" s="891">
        <v>541.86</v>
      </c>
      <c r="AC279" s="891">
        <v>203.2</v>
      </c>
      <c r="AD279" s="891">
        <v>0.12</v>
      </c>
      <c r="AE279" s="891">
        <v>33.869999999999997</v>
      </c>
      <c r="AF279" s="891">
        <v>54.19</v>
      </c>
      <c r="AG279" s="891">
        <v>20.32</v>
      </c>
      <c r="AH279" s="891">
        <v>5.08</v>
      </c>
      <c r="AI279" s="891">
        <v>115.14</v>
      </c>
      <c r="AJ279" s="891">
        <v>40.64</v>
      </c>
      <c r="AK279" s="891">
        <v>108.37</v>
      </c>
      <c r="AL279" s="891">
        <v>108.37</v>
      </c>
      <c r="AM279" s="891">
        <v>2709.29</v>
      </c>
      <c r="AN279" s="891">
        <v>1693.31</v>
      </c>
      <c r="AO279" s="891">
        <v>585.88</v>
      </c>
      <c r="AP279" s="891">
        <v>12</v>
      </c>
      <c r="AQ279" s="891">
        <v>1.63</v>
      </c>
      <c r="AR279" s="891">
        <v>0.61</v>
      </c>
      <c r="AS279" s="891">
        <v>9.82</v>
      </c>
      <c r="AT279" s="891">
        <v>1.35</v>
      </c>
      <c r="AU279" s="891">
        <v>1.63</v>
      </c>
      <c r="AV279" s="891">
        <v>0.88</v>
      </c>
      <c r="AW279" s="891">
        <v>0.57999999999999996</v>
      </c>
      <c r="AX279" s="891">
        <v>2.0299999999999998</v>
      </c>
      <c r="AY279" s="891">
        <v>1.9</v>
      </c>
      <c r="AZ279" s="891">
        <v>2.7</v>
      </c>
      <c r="BA279" s="891">
        <f t="shared" si="12"/>
        <v>237.19</v>
      </c>
      <c r="BB279" s="926">
        <f t="shared" si="13"/>
        <v>23072.680000000004</v>
      </c>
      <c r="BC279" s="926">
        <f t="shared" si="14"/>
        <v>41.79000000000233</v>
      </c>
      <c r="BD279" s="891"/>
      <c r="BE279" s="891"/>
      <c r="BF279" s="891"/>
      <c r="BG279" s="928"/>
      <c r="BH279" s="928"/>
      <c r="BI279" s="928"/>
    </row>
    <row r="280" spans="1:61">
      <c r="A280" s="891" t="s">
        <v>1052</v>
      </c>
      <c r="B280" s="891" t="s">
        <v>560</v>
      </c>
      <c r="C280" s="891" t="s">
        <v>371</v>
      </c>
      <c r="D280" s="891">
        <v>1</v>
      </c>
      <c r="E280" s="891">
        <v>11.48</v>
      </c>
      <c r="F280" s="891">
        <v>2.46</v>
      </c>
      <c r="G280" s="891">
        <v>0.98</v>
      </c>
      <c r="H280" s="891">
        <v>0.98</v>
      </c>
      <c r="I280" s="891">
        <v>0.43</v>
      </c>
      <c r="J280" s="891">
        <v>0.2</v>
      </c>
      <c r="K280" s="891">
        <v>0.49</v>
      </c>
      <c r="L280" s="891">
        <v>0.39</v>
      </c>
      <c r="M280" s="891">
        <v>0.66</v>
      </c>
      <c r="N280" s="891">
        <v>4.92</v>
      </c>
      <c r="O280" s="891">
        <v>0.37</v>
      </c>
      <c r="P280" s="891">
        <v>9.02</v>
      </c>
      <c r="Q280" s="891">
        <v>0.98</v>
      </c>
      <c r="R280" s="891">
        <v>0.98</v>
      </c>
      <c r="S280" s="891">
        <v>1.35</v>
      </c>
      <c r="T280" s="891">
        <v>0.16</v>
      </c>
      <c r="U280" s="891">
        <v>3.28</v>
      </c>
      <c r="V280" s="891">
        <v>4.92</v>
      </c>
      <c r="W280" s="891">
        <v>1.0900000000000001</v>
      </c>
      <c r="X280" s="927">
        <v>10248.42</v>
      </c>
      <c r="Y280" s="891">
        <v>114.78</v>
      </c>
      <c r="Z280" s="891">
        <v>57.39</v>
      </c>
      <c r="AA280" s="891">
        <v>270.56</v>
      </c>
      <c r="AB280" s="891">
        <v>159.88</v>
      </c>
      <c r="AC280" s="891">
        <v>14.76</v>
      </c>
      <c r="AD280" s="891">
        <v>0.83</v>
      </c>
      <c r="AE280" s="891">
        <v>23.78</v>
      </c>
      <c r="AF280" s="891">
        <v>49.19</v>
      </c>
      <c r="AG280" s="891">
        <v>8.1999999999999993</v>
      </c>
      <c r="AH280" s="891">
        <v>5.33</v>
      </c>
      <c r="AI280" s="891">
        <v>61.49</v>
      </c>
      <c r="AJ280" s="891">
        <v>49.19</v>
      </c>
      <c r="AK280" s="891">
        <v>65.59</v>
      </c>
      <c r="AL280" s="891">
        <v>77.89</v>
      </c>
      <c r="AM280" s="891">
        <v>282.39999999999998</v>
      </c>
      <c r="AN280" s="891">
        <v>260.33999999999997</v>
      </c>
      <c r="AO280" s="891">
        <v>262.36</v>
      </c>
      <c r="AP280" s="891">
        <v>11</v>
      </c>
      <c r="AQ280" s="891">
        <v>0.16</v>
      </c>
      <c r="AR280" s="891">
        <v>0.15</v>
      </c>
      <c r="AS280" s="891">
        <v>1.87</v>
      </c>
      <c r="AT280" s="891">
        <v>1.97</v>
      </c>
      <c r="AU280" s="891">
        <v>1.19</v>
      </c>
      <c r="AV280" s="891">
        <v>0.49</v>
      </c>
      <c r="AW280" s="891">
        <v>0.33</v>
      </c>
      <c r="AX280" s="891">
        <v>0.74</v>
      </c>
      <c r="AY280" s="891">
        <v>0.66</v>
      </c>
      <c r="AZ280" s="891">
        <v>0.41</v>
      </c>
      <c r="BA280" s="891">
        <f t="shared" si="12"/>
        <v>39.370000000000005</v>
      </c>
      <c r="BB280" s="926">
        <f t="shared" si="13"/>
        <v>10256.77</v>
      </c>
      <c r="BC280" s="926">
        <f t="shared" si="14"/>
        <v>7.2600000000003639</v>
      </c>
      <c r="BD280" s="891"/>
      <c r="BE280" s="891"/>
      <c r="BF280" s="891"/>
      <c r="BG280" s="928"/>
      <c r="BH280" s="928"/>
      <c r="BI280" s="928"/>
    </row>
    <row r="281" spans="1:61">
      <c r="A281" s="891" t="s">
        <v>1625</v>
      </c>
      <c r="B281" s="891" t="s">
        <v>1591</v>
      </c>
      <c r="C281" s="891" t="s">
        <v>414</v>
      </c>
      <c r="D281" s="891">
        <v>7.88</v>
      </c>
      <c r="E281" s="891">
        <v>30.33</v>
      </c>
      <c r="F281" s="891">
        <v>5.05</v>
      </c>
      <c r="G281" s="891">
        <v>1.82</v>
      </c>
      <c r="H281" s="891">
        <v>2.17</v>
      </c>
      <c r="I281" s="891">
        <v>0.96</v>
      </c>
      <c r="J281" s="891">
        <v>0.71</v>
      </c>
      <c r="K281" s="891">
        <v>0.96</v>
      </c>
      <c r="L281" s="891">
        <v>0.96</v>
      </c>
      <c r="M281" s="891">
        <v>1.67</v>
      </c>
      <c r="N281" s="891">
        <v>7.08</v>
      </c>
      <c r="O281" s="891">
        <v>1.21</v>
      </c>
      <c r="P281" s="891">
        <v>5.31</v>
      </c>
      <c r="Q281" s="891">
        <v>1.52</v>
      </c>
      <c r="R281" s="891">
        <v>1.92</v>
      </c>
      <c r="S281" s="891">
        <v>3.13</v>
      </c>
      <c r="T281" s="891">
        <v>1.01</v>
      </c>
      <c r="U281" s="891">
        <v>5.05</v>
      </c>
      <c r="V281" s="891">
        <v>20.22</v>
      </c>
      <c r="W281" s="891">
        <v>1.21</v>
      </c>
      <c r="X281" s="927">
        <v>20217.34</v>
      </c>
      <c r="Y281" s="891">
        <v>252.72</v>
      </c>
      <c r="Z281" s="891">
        <v>252.72</v>
      </c>
      <c r="AA281" s="891">
        <v>581.25</v>
      </c>
      <c r="AB281" s="891">
        <v>454.89</v>
      </c>
      <c r="AC281" s="891">
        <v>101.09</v>
      </c>
      <c r="AD281" s="891">
        <v>0.09</v>
      </c>
      <c r="AE281" s="891">
        <v>25.27</v>
      </c>
      <c r="AF281" s="891">
        <v>50.54</v>
      </c>
      <c r="AG281" s="891">
        <v>6.32</v>
      </c>
      <c r="AH281" s="891">
        <v>5.05</v>
      </c>
      <c r="AI281" s="891">
        <v>60.65</v>
      </c>
      <c r="AJ281" s="891">
        <v>30.33</v>
      </c>
      <c r="AK281" s="891">
        <v>80.87</v>
      </c>
      <c r="AL281" s="891">
        <v>101.09</v>
      </c>
      <c r="AM281" s="891">
        <v>505.43</v>
      </c>
      <c r="AN281" s="891">
        <v>758.15</v>
      </c>
      <c r="AO281" s="891">
        <v>1213.04</v>
      </c>
      <c r="AP281" s="891">
        <v>12</v>
      </c>
      <c r="AQ281" s="891">
        <v>2.02</v>
      </c>
      <c r="AR281" s="891">
        <v>1.01</v>
      </c>
      <c r="AS281" s="891">
        <v>10.11</v>
      </c>
      <c r="AT281" s="891">
        <v>1.82</v>
      </c>
      <c r="AU281" s="891">
        <v>2.02</v>
      </c>
      <c r="AV281" s="891">
        <v>1.01</v>
      </c>
      <c r="AW281" s="891">
        <v>1.1100000000000001</v>
      </c>
      <c r="AX281" s="891">
        <v>1.64</v>
      </c>
      <c r="AY281" s="891">
        <v>1.36</v>
      </c>
      <c r="AZ281" s="891">
        <v>1.77</v>
      </c>
      <c r="BA281" s="891">
        <f t="shared" si="12"/>
        <v>126.45</v>
      </c>
      <c r="BB281" s="926">
        <f t="shared" si="13"/>
        <v>20252.919999999998</v>
      </c>
      <c r="BC281" s="926">
        <f t="shared" si="14"/>
        <v>34.369999999998107</v>
      </c>
      <c r="BD281" s="891"/>
      <c r="BE281" s="891"/>
      <c r="BF281" s="891"/>
      <c r="BG281" s="928"/>
      <c r="BH281" s="928"/>
      <c r="BI281" s="928"/>
    </row>
    <row r="282" spans="1:61">
      <c r="A282" s="891" t="s">
        <v>1053</v>
      </c>
      <c r="B282" s="891" t="s">
        <v>1606</v>
      </c>
      <c r="C282" s="891" t="s">
        <v>194</v>
      </c>
      <c r="D282" s="891">
        <v>10</v>
      </c>
      <c r="E282" s="891">
        <v>45</v>
      </c>
      <c r="F282" s="891">
        <v>6</v>
      </c>
      <c r="G282" s="891">
        <v>3</v>
      </c>
      <c r="H282" s="891">
        <v>4</v>
      </c>
      <c r="I282" s="891">
        <v>1.69</v>
      </c>
      <c r="J282" s="891">
        <v>1.25</v>
      </c>
      <c r="K282" s="891">
        <v>0.79</v>
      </c>
      <c r="L282" s="891">
        <v>2.2000000000000002</v>
      </c>
      <c r="M282" s="891">
        <v>1.99</v>
      </c>
      <c r="N282" s="891">
        <v>8</v>
      </c>
      <c r="O282" s="891">
        <v>1.5</v>
      </c>
      <c r="P282" s="891">
        <v>12</v>
      </c>
      <c r="Q282" s="891">
        <v>1.99</v>
      </c>
      <c r="R282" s="891">
        <v>3.99</v>
      </c>
      <c r="S282" s="891">
        <v>5.95</v>
      </c>
      <c r="T282" s="891">
        <v>2.5</v>
      </c>
      <c r="U282" s="891">
        <v>7.72</v>
      </c>
      <c r="V282" s="891">
        <v>100</v>
      </c>
      <c r="W282" s="891">
        <v>1.05</v>
      </c>
      <c r="X282" s="927">
        <v>22000</v>
      </c>
      <c r="Y282" s="891">
        <v>937.5</v>
      </c>
      <c r="Z282" s="891">
        <v>720</v>
      </c>
      <c r="AA282" s="891">
        <v>1600</v>
      </c>
      <c r="AB282" s="891">
        <v>1250</v>
      </c>
      <c r="AC282" s="891">
        <v>165</v>
      </c>
      <c r="AD282" s="891">
        <v>0.1</v>
      </c>
      <c r="AE282" s="891">
        <v>49.5</v>
      </c>
      <c r="AF282" s="891">
        <v>40</v>
      </c>
      <c r="AG282" s="891">
        <v>16</v>
      </c>
      <c r="AH282" s="891">
        <v>10</v>
      </c>
      <c r="AI282" s="891">
        <v>38</v>
      </c>
      <c r="AJ282" s="891">
        <v>45</v>
      </c>
      <c r="AK282" s="891">
        <v>65</v>
      </c>
      <c r="AL282" s="891">
        <v>87.5</v>
      </c>
      <c r="AM282" s="891">
        <v>2427.2600000000002</v>
      </c>
      <c r="AN282" s="891">
        <v>1291.67</v>
      </c>
      <c r="AO282" s="891">
        <v>2250</v>
      </c>
      <c r="AP282" s="891">
        <v>3.72</v>
      </c>
      <c r="AQ282" s="891">
        <v>2.5</v>
      </c>
      <c r="AR282" s="891">
        <v>1</v>
      </c>
      <c r="AS282" s="891">
        <v>20</v>
      </c>
      <c r="AT282" s="891">
        <v>2.85</v>
      </c>
      <c r="AU282" s="891">
        <v>2.4</v>
      </c>
      <c r="AV282" s="891">
        <v>1.35</v>
      </c>
      <c r="AW282" s="891">
        <v>1.37</v>
      </c>
      <c r="AX282" s="891">
        <v>3.89</v>
      </c>
      <c r="AY282" s="891">
        <v>2.6</v>
      </c>
      <c r="AZ282" s="891">
        <v>2.2000000000000002</v>
      </c>
      <c r="BA282" s="891">
        <f t="shared" si="12"/>
        <v>214.6</v>
      </c>
      <c r="BB282" s="926">
        <f t="shared" si="13"/>
        <v>22127.05</v>
      </c>
      <c r="BC282" s="926">
        <f t="shared" si="14"/>
        <v>125.99999999999928</v>
      </c>
      <c r="BD282" s="891"/>
      <c r="BE282" s="891"/>
      <c r="BF282" s="891"/>
      <c r="BG282" s="928"/>
      <c r="BH282" s="928"/>
      <c r="BI282" s="928"/>
    </row>
    <row r="283" spans="1:61">
      <c r="A283" s="891" t="s">
        <v>1626</v>
      </c>
      <c r="B283" s="891" t="s">
        <v>611</v>
      </c>
      <c r="C283" s="891" t="s">
        <v>235</v>
      </c>
      <c r="D283" s="891">
        <v>6.88</v>
      </c>
      <c r="E283" s="891">
        <v>32.1</v>
      </c>
      <c r="F283" s="891">
        <v>8.25</v>
      </c>
      <c r="G283" s="891">
        <v>2.75</v>
      </c>
      <c r="H283" s="891">
        <v>3.21</v>
      </c>
      <c r="I283" s="891">
        <v>1.38</v>
      </c>
      <c r="J283" s="891">
        <v>0.92</v>
      </c>
      <c r="K283" s="891">
        <v>0.99</v>
      </c>
      <c r="L283" s="891">
        <v>1.6</v>
      </c>
      <c r="M283" s="891">
        <v>1.83</v>
      </c>
      <c r="N283" s="891">
        <v>9.17</v>
      </c>
      <c r="O283" s="891">
        <v>1.05</v>
      </c>
      <c r="P283" s="891">
        <v>6.88</v>
      </c>
      <c r="Q283" s="891">
        <v>1.49</v>
      </c>
      <c r="R283" s="891">
        <v>3.51</v>
      </c>
      <c r="S283" s="891">
        <v>2.1800000000000002</v>
      </c>
      <c r="T283" s="891">
        <v>1.31</v>
      </c>
      <c r="U283" s="891">
        <v>4.59</v>
      </c>
      <c r="V283" s="891">
        <v>64.650000000000006</v>
      </c>
      <c r="W283" s="891">
        <v>1.3</v>
      </c>
      <c r="X283" s="927">
        <v>26593.31</v>
      </c>
      <c r="Y283" s="891">
        <v>366.8</v>
      </c>
      <c r="Z283" s="891">
        <v>332.42</v>
      </c>
      <c r="AA283" s="891">
        <v>687.76</v>
      </c>
      <c r="AB283" s="891">
        <v>733.61</v>
      </c>
      <c r="AC283" s="891">
        <v>97.43</v>
      </c>
      <c r="AD283" s="891">
        <v>0.64</v>
      </c>
      <c r="AE283" s="891">
        <v>36.68</v>
      </c>
      <c r="AF283" s="891">
        <v>50.44</v>
      </c>
      <c r="AG283" s="891">
        <v>22.93</v>
      </c>
      <c r="AH283" s="891">
        <v>8.25</v>
      </c>
      <c r="AI283" s="891">
        <v>114.63</v>
      </c>
      <c r="AJ283" s="891">
        <v>88.72</v>
      </c>
      <c r="AK283" s="891">
        <v>160.47999999999999</v>
      </c>
      <c r="AL283" s="891">
        <v>74.739999999999995</v>
      </c>
      <c r="AM283" s="891">
        <v>2751.03</v>
      </c>
      <c r="AN283" s="891">
        <v>2751.03</v>
      </c>
      <c r="AO283" s="891">
        <v>618.98</v>
      </c>
      <c r="AP283" s="891">
        <v>10</v>
      </c>
      <c r="AQ283" s="891">
        <v>1.79</v>
      </c>
      <c r="AR283" s="891">
        <v>1.02</v>
      </c>
      <c r="AS283" s="891">
        <v>6.24</v>
      </c>
      <c r="AT283" s="891">
        <v>2.29</v>
      </c>
      <c r="AU283" s="891">
        <v>1.38</v>
      </c>
      <c r="AV283" s="891">
        <v>1.22</v>
      </c>
      <c r="AW283" s="891">
        <v>0.92</v>
      </c>
      <c r="AX283" s="891">
        <v>1.6</v>
      </c>
      <c r="AY283" s="891">
        <v>1.38</v>
      </c>
      <c r="AZ283" s="891">
        <v>2.06</v>
      </c>
      <c r="BA283" s="891">
        <f t="shared" si="12"/>
        <v>134.75</v>
      </c>
      <c r="BB283" s="926">
        <f t="shared" si="13"/>
        <v>26669.620000000003</v>
      </c>
      <c r="BC283" s="926">
        <f t="shared" si="14"/>
        <v>75.010000000001313</v>
      </c>
      <c r="BD283" s="891"/>
      <c r="BE283" s="891"/>
      <c r="BF283" s="891"/>
      <c r="BG283" s="928"/>
      <c r="BH283" s="928"/>
      <c r="BI283" s="928"/>
    </row>
    <row r="284" spans="1:61">
      <c r="A284" s="891" t="s">
        <v>1055</v>
      </c>
      <c r="B284" s="891" t="s">
        <v>606</v>
      </c>
      <c r="C284" s="891" t="s">
        <v>226</v>
      </c>
      <c r="D284" s="891">
        <v>8.1300000000000008</v>
      </c>
      <c r="E284" s="891">
        <v>39.28</v>
      </c>
      <c r="F284" s="891">
        <v>7.45</v>
      </c>
      <c r="G284" s="891">
        <v>1.63</v>
      </c>
      <c r="H284" s="891">
        <v>2.71</v>
      </c>
      <c r="I284" s="891">
        <v>1.35</v>
      </c>
      <c r="J284" s="891">
        <v>1.35</v>
      </c>
      <c r="K284" s="891">
        <v>0.81</v>
      </c>
      <c r="L284" s="891">
        <v>1.35</v>
      </c>
      <c r="M284" s="891">
        <v>2.17</v>
      </c>
      <c r="N284" s="891">
        <v>8.5299999999999994</v>
      </c>
      <c r="O284" s="891">
        <v>0.68</v>
      </c>
      <c r="P284" s="891">
        <v>5.41</v>
      </c>
      <c r="Q284" s="891">
        <v>1.32</v>
      </c>
      <c r="R284" s="891">
        <v>2.0299999999999998</v>
      </c>
      <c r="S284" s="891">
        <v>5.55</v>
      </c>
      <c r="T284" s="891">
        <v>1.63</v>
      </c>
      <c r="U284" s="891">
        <v>6.77</v>
      </c>
      <c r="V284" s="891">
        <v>42.06</v>
      </c>
      <c r="W284" s="891">
        <v>2.2200000000000002</v>
      </c>
      <c r="X284" s="927">
        <v>32511.51</v>
      </c>
      <c r="Y284" s="891">
        <v>541.86</v>
      </c>
      <c r="Z284" s="891">
        <v>423.33</v>
      </c>
      <c r="AA284" s="891">
        <v>982.12</v>
      </c>
      <c r="AB284" s="891">
        <v>778.92</v>
      </c>
      <c r="AC284" s="891">
        <v>115.14</v>
      </c>
      <c r="AD284" s="891">
        <v>0.34</v>
      </c>
      <c r="AE284" s="891">
        <v>27.09</v>
      </c>
      <c r="AF284" s="891">
        <v>64.349999999999994</v>
      </c>
      <c r="AG284" s="891">
        <v>13.55</v>
      </c>
      <c r="AH284" s="891">
        <v>7.52</v>
      </c>
      <c r="AI284" s="891">
        <v>121.92</v>
      </c>
      <c r="AJ284" s="891">
        <v>47.41</v>
      </c>
      <c r="AK284" s="891">
        <v>94.83</v>
      </c>
      <c r="AL284" s="891">
        <v>115.14</v>
      </c>
      <c r="AM284" s="891">
        <v>1991.33</v>
      </c>
      <c r="AN284" s="891">
        <v>1422.38</v>
      </c>
      <c r="AO284" s="891">
        <v>1083.72</v>
      </c>
      <c r="AP284" s="891">
        <v>4</v>
      </c>
      <c r="AQ284" s="891">
        <v>4.4000000000000004</v>
      </c>
      <c r="AR284" s="891">
        <v>0.68</v>
      </c>
      <c r="AS284" s="891">
        <v>24.17</v>
      </c>
      <c r="AT284" s="891">
        <v>1.76</v>
      </c>
      <c r="AU284" s="891">
        <v>1.35</v>
      </c>
      <c r="AV284" s="891">
        <v>0.68</v>
      </c>
      <c r="AW284" s="891">
        <v>0.81</v>
      </c>
      <c r="AX284" s="891">
        <v>1.35</v>
      </c>
      <c r="AY284" s="891">
        <v>1.22</v>
      </c>
      <c r="AZ284" s="891">
        <v>1.63</v>
      </c>
      <c r="BA284" s="891">
        <f t="shared" si="12"/>
        <v>142.57</v>
      </c>
      <c r="BB284" s="926">
        <f t="shared" si="13"/>
        <v>32586.67</v>
      </c>
      <c r="BC284" s="926">
        <f t="shared" si="14"/>
        <v>72.939999999999856</v>
      </c>
      <c r="BD284" s="891"/>
      <c r="BE284" s="891"/>
      <c r="BF284" s="891"/>
      <c r="BG284" s="928"/>
      <c r="BH284" s="928"/>
      <c r="BI284" s="928"/>
    </row>
    <row r="285" spans="1:61">
      <c r="A285" s="891" t="s">
        <v>1056</v>
      </c>
      <c r="B285" s="891" t="s">
        <v>629</v>
      </c>
      <c r="C285" s="891" t="s">
        <v>293</v>
      </c>
      <c r="D285" s="891">
        <v>5.82</v>
      </c>
      <c r="E285" s="891">
        <v>32.32</v>
      </c>
      <c r="F285" s="891">
        <v>5.17</v>
      </c>
      <c r="G285" s="891">
        <v>2.1</v>
      </c>
      <c r="H285" s="891">
        <v>2.2599999999999998</v>
      </c>
      <c r="I285" s="891">
        <v>1.62</v>
      </c>
      <c r="J285" s="891">
        <v>0.97</v>
      </c>
      <c r="K285" s="891">
        <v>0.81</v>
      </c>
      <c r="L285" s="891">
        <v>0.92</v>
      </c>
      <c r="M285" s="891">
        <v>1.94</v>
      </c>
      <c r="N285" s="891">
        <v>7</v>
      </c>
      <c r="O285" s="891">
        <v>0.65</v>
      </c>
      <c r="P285" s="891">
        <v>6.46</v>
      </c>
      <c r="Q285" s="891">
        <v>0.97</v>
      </c>
      <c r="R285" s="891">
        <v>1.54</v>
      </c>
      <c r="S285" s="891">
        <v>4.04</v>
      </c>
      <c r="T285" s="891">
        <v>0.97</v>
      </c>
      <c r="U285" s="891">
        <v>5.49</v>
      </c>
      <c r="V285" s="891">
        <v>32.32</v>
      </c>
      <c r="W285" s="891">
        <v>1.84</v>
      </c>
      <c r="X285" s="927">
        <v>22442.38</v>
      </c>
      <c r="Y285" s="891">
        <v>484.86</v>
      </c>
      <c r="Z285" s="891">
        <v>387.89</v>
      </c>
      <c r="AA285" s="891">
        <v>791.93</v>
      </c>
      <c r="AB285" s="891">
        <v>614.15</v>
      </c>
      <c r="AC285" s="891">
        <v>161.62</v>
      </c>
      <c r="AD285" s="891">
        <v>0.1</v>
      </c>
      <c r="AE285" s="891">
        <v>18.260000000000002</v>
      </c>
      <c r="AF285" s="891">
        <v>48.49</v>
      </c>
      <c r="AG285" s="891">
        <v>16.16</v>
      </c>
      <c r="AH285" s="891">
        <v>7.27</v>
      </c>
      <c r="AI285" s="891">
        <v>87.11</v>
      </c>
      <c r="AJ285" s="891">
        <v>48.49</v>
      </c>
      <c r="AK285" s="891">
        <v>85.89</v>
      </c>
      <c r="AL285" s="891">
        <v>96.97</v>
      </c>
      <c r="AM285" s="891">
        <v>2101.04</v>
      </c>
      <c r="AN285" s="891">
        <v>1616.19</v>
      </c>
      <c r="AO285" s="891">
        <v>808.09</v>
      </c>
      <c r="AP285" s="891">
        <v>6</v>
      </c>
      <c r="AQ285" s="891">
        <v>1.94</v>
      </c>
      <c r="AR285" s="891">
        <v>0.84</v>
      </c>
      <c r="AS285" s="891">
        <v>9.86</v>
      </c>
      <c r="AT285" s="891">
        <v>0.97</v>
      </c>
      <c r="AU285" s="891">
        <v>1.53</v>
      </c>
      <c r="AV285" s="891">
        <v>0.65</v>
      </c>
      <c r="AW285" s="891">
        <v>0.89</v>
      </c>
      <c r="AX285" s="891">
        <v>2.2599999999999998</v>
      </c>
      <c r="AY285" s="891">
        <v>0.97</v>
      </c>
      <c r="AZ285" s="891">
        <v>1.62</v>
      </c>
      <c r="BA285" s="891">
        <f t="shared" si="12"/>
        <v>179.98</v>
      </c>
      <c r="BB285" s="926">
        <f t="shared" si="13"/>
        <v>22490.15</v>
      </c>
      <c r="BC285" s="926">
        <f t="shared" si="14"/>
        <v>45.930000000000433</v>
      </c>
      <c r="BD285" s="891"/>
      <c r="BE285" s="891"/>
      <c r="BF285" s="891"/>
      <c r="BG285" s="928"/>
      <c r="BH285" s="928"/>
      <c r="BI285" s="928"/>
    </row>
    <row r="286" spans="1:61">
      <c r="A286" s="891" t="s">
        <v>1057</v>
      </c>
      <c r="B286" s="891" t="s">
        <v>1586</v>
      </c>
      <c r="C286" s="891" t="s">
        <v>248</v>
      </c>
      <c r="D286" s="891">
        <v>5.31</v>
      </c>
      <c r="E286" s="891">
        <v>31.85</v>
      </c>
      <c r="F286" s="891">
        <v>6.37</v>
      </c>
      <c r="G286" s="891">
        <v>1.59</v>
      </c>
      <c r="H286" s="891">
        <v>2.12</v>
      </c>
      <c r="I286" s="891">
        <v>1.49</v>
      </c>
      <c r="J286" s="891">
        <v>1.06</v>
      </c>
      <c r="K286" s="891">
        <v>0.96</v>
      </c>
      <c r="L286" s="891">
        <v>1.06</v>
      </c>
      <c r="M286" s="891">
        <v>2.12</v>
      </c>
      <c r="N286" s="891">
        <v>10.029999999999999</v>
      </c>
      <c r="O286" s="891">
        <v>0.8</v>
      </c>
      <c r="P286" s="891">
        <v>5.31</v>
      </c>
      <c r="Q286" s="891">
        <v>0.8</v>
      </c>
      <c r="R286" s="891">
        <v>1.33</v>
      </c>
      <c r="S286" s="891">
        <v>4.3499999999999996</v>
      </c>
      <c r="T286" s="891">
        <v>1.7</v>
      </c>
      <c r="U286" s="891">
        <v>7.96</v>
      </c>
      <c r="V286" s="891">
        <v>29.2</v>
      </c>
      <c r="W286" s="891">
        <v>1.91</v>
      </c>
      <c r="X286" s="927">
        <v>18579.96</v>
      </c>
      <c r="Y286" s="891">
        <v>637.03</v>
      </c>
      <c r="Z286" s="891">
        <v>424.68</v>
      </c>
      <c r="AA286" s="891">
        <v>1327.14</v>
      </c>
      <c r="AB286" s="891">
        <v>796.28</v>
      </c>
      <c r="AC286" s="891">
        <v>185.8</v>
      </c>
      <c r="AD286" s="891">
        <v>0.27</v>
      </c>
      <c r="AE286" s="891">
        <v>23.89</v>
      </c>
      <c r="AF286" s="891">
        <v>53.09</v>
      </c>
      <c r="AG286" s="891">
        <v>13.27</v>
      </c>
      <c r="AH286" s="891">
        <v>8.4700000000000006</v>
      </c>
      <c r="AI286" s="891">
        <v>100.86</v>
      </c>
      <c r="AJ286" s="891">
        <v>53.03</v>
      </c>
      <c r="AK286" s="891">
        <v>106.17</v>
      </c>
      <c r="AL286" s="891">
        <v>90.25</v>
      </c>
      <c r="AM286" s="891">
        <v>3715.99</v>
      </c>
      <c r="AN286" s="891">
        <v>2123.42</v>
      </c>
      <c r="AO286" s="891">
        <v>1167.8800000000001</v>
      </c>
      <c r="AP286" s="891">
        <v>4</v>
      </c>
      <c r="AQ286" s="891">
        <v>2.12</v>
      </c>
      <c r="AR286" s="891">
        <v>1.33</v>
      </c>
      <c r="AS286" s="891">
        <v>15.93</v>
      </c>
      <c r="AT286" s="891">
        <v>1.49</v>
      </c>
      <c r="AU286" s="891">
        <v>1.59</v>
      </c>
      <c r="AV286" s="891">
        <v>0.64</v>
      </c>
      <c r="AW286" s="891">
        <v>1.06</v>
      </c>
      <c r="AX286" s="891">
        <v>2.12</v>
      </c>
      <c r="AY286" s="891">
        <v>1.59</v>
      </c>
      <c r="AZ286" s="891">
        <v>1.86</v>
      </c>
      <c r="BA286" s="891">
        <f t="shared" si="12"/>
        <v>209.96000000000004</v>
      </c>
      <c r="BB286" s="926">
        <f t="shared" si="13"/>
        <v>18632.150000000001</v>
      </c>
      <c r="BC286" s="926">
        <f t="shared" si="14"/>
        <v>50.280000000002332</v>
      </c>
      <c r="BD286" s="891"/>
      <c r="BE286" s="891"/>
      <c r="BF286" s="891"/>
      <c r="BG286" s="928"/>
      <c r="BH286" s="928"/>
      <c r="BI286" s="928"/>
    </row>
    <row r="287" spans="1:61">
      <c r="A287" s="891" t="s">
        <v>1058</v>
      </c>
      <c r="B287" s="891" t="s">
        <v>1591</v>
      </c>
      <c r="C287" s="891" t="s">
        <v>299</v>
      </c>
      <c r="D287" s="891">
        <v>7.58</v>
      </c>
      <c r="E287" s="891">
        <v>32.85</v>
      </c>
      <c r="F287" s="891">
        <v>4.04</v>
      </c>
      <c r="G287" s="891">
        <v>2.02</v>
      </c>
      <c r="H287" s="891">
        <v>2.12</v>
      </c>
      <c r="I287" s="891">
        <v>0.91</v>
      </c>
      <c r="J287" s="891">
        <v>0.76</v>
      </c>
      <c r="K287" s="891">
        <v>1.01</v>
      </c>
      <c r="L287" s="891">
        <v>1.06</v>
      </c>
      <c r="M287" s="891">
        <v>1.82</v>
      </c>
      <c r="N287" s="891">
        <v>6.97</v>
      </c>
      <c r="O287" s="891">
        <v>1.26</v>
      </c>
      <c r="P287" s="891">
        <v>4.6500000000000004</v>
      </c>
      <c r="Q287" s="891">
        <v>1.31</v>
      </c>
      <c r="R287" s="891">
        <v>2.02</v>
      </c>
      <c r="S287" s="891">
        <v>3.54</v>
      </c>
      <c r="T287" s="891">
        <v>1.52</v>
      </c>
      <c r="U287" s="891">
        <v>5.05</v>
      </c>
      <c r="V287" s="891">
        <v>37.909999999999997</v>
      </c>
      <c r="W287" s="891">
        <v>1.21</v>
      </c>
      <c r="X287" s="927">
        <v>18195.599999999999</v>
      </c>
      <c r="Y287" s="891">
        <v>353.8</v>
      </c>
      <c r="Z287" s="891">
        <v>303.26</v>
      </c>
      <c r="AA287" s="891">
        <v>758.15</v>
      </c>
      <c r="AB287" s="891">
        <v>657.06</v>
      </c>
      <c r="AC287" s="891">
        <v>121.3</v>
      </c>
      <c r="AD287" s="891">
        <v>0.15</v>
      </c>
      <c r="AE287" s="891">
        <v>60.65</v>
      </c>
      <c r="AF287" s="891">
        <v>50.54</v>
      </c>
      <c r="AG287" s="891">
        <v>3.54</v>
      </c>
      <c r="AH287" s="891">
        <v>5.05</v>
      </c>
      <c r="AI287" s="891">
        <v>60.65</v>
      </c>
      <c r="AJ287" s="891">
        <v>40.43</v>
      </c>
      <c r="AK287" s="891">
        <v>80.87</v>
      </c>
      <c r="AL287" s="891">
        <v>80.87</v>
      </c>
      <c r="AM287" s="891">
        <v>909.78</v>
      </c>
      <c r="AN287" s="891">
        <v>808.69</v>
      </c>
      <c r="AO287" s="891">
        <v>1617.39</v>
      </c>
      <c r="AP287" s="891">
        <v>8.5</v>
      </c>
      <c r="AQ287" s="891">
        <v>3.64</v>
      </c>
      <c r="AR287" s="891">
        <v>1.21</v>
      </c>
      <c r="AS287" s="891">
        <v>27.8</v>
      </c>
      <c r="AT287" s="891">
        <v>1.72</v>
      </c>
      <c r="AU287" s="891">
        <v>1.52</v>
      </c>
      <c r="AV287" s="891">
        <v>1.21</v>
      </c>
      <c r="AW287" s="891">
        <v>0.81</v>
      </c>
      <c r="AX287" s="891">
        <v>1.52</v>
      </c>
      <c r="AY287" s="891">
        <v>1.67</v>
      </c>
      <c r="AZ287" s="891">
        <v>1.26</v>
      </c>
      <c r="BA287" s="891">
        <f t="shared" si="12"/>
        <v>182.1</v>
      </c>
      <c r="BB287" s="926">
        <f t="shared" si="13"/>
        <v>18268.889999999996</v>
      </c>
      <c r="BC287" s="926">
        <f t="shared" si="14"/>
        <v>72.079999999997241</v>
      </c>
      <c r="BD287" s="891"/>
      <c r="BE287" s="891"/>
      <c r="BF287" s="891"/>
      <c r="BG287" s="928"/>
      <c r="BH287" s="928"/>
      <c r="BI287" s="928"/>
    </row>
    <row r="288" spans="1:61">
      <c r="A288" s="891" t="s">
        <v>1627</v>
      </c>
      <c r="B288" s="891" t="s">
        <v>558</v>
      </c>
      <c r="C288" s="891" t="s">
        <v>355</v>
      </c>
      <c r="D288" s="891">
        <v>3.46</v>
      </c>
      <c r="E288" s="891">
        <v>22.32</v>
      </c>
      <c r="F288" s="891">
        <v>5.77</v>
      </c>
      <c r="G288" s="891">
        <v>1.08</v>
      </c>
      <c r="H288" s="891">
        <v>1.92</v>
      </c>
      <c r="I288" s="891">
        <v>0.73</v>
      </c>
      <c r="J288" s="891">
        <v>0.77</v>
      </c>
      <c r="K288" s="891">
        <v>0.92</v>
      </c>
      <c r="L288" s="891">
        <v>1.85</v>
      </c>
      <c r="M288" s="891">
        <v>1.39</v>
      </c>
      <c r="N288" s="891">
        <v>9.24</v>
      </c>
      <c r="O288" s="891">
        <v>0.85</v>
      </c>
      <c r="P288" s="891">
        <v>5.77</v>
      </c>
      <c r="Q288" s="891">
        <v>0.77</v>
      </c>
      <c r="R288" s="891">
        <v>1.04</v>
      </c>
      <c r="S288" s="891">
        <v>3.08</v>
      </c>
      <c r="T288" s="891">
        <v>0.48</v>
      </c>
      <c r="U288" s="891">
        <v>5.2</v>
      </c>
      <c r="V288" s="891">
        <v>68</v>
      </c>
      <c r="W288" s="891">
        <v>0.78</v>
      </c>
      <c r="X288" s="927">
        <v>12315.37</v>
      </c>
      <c r="Y288" s="891">
        <v>423.34</v>
      </c>
      <c r="Z288" s="891">
        <v>269.39999999999998</v>
      </c>
      <c r="AA288" s="891">
        <v>800</v>
      </c>
      <c r="AB288" s="891">
        <v>769.71</v>
      </c>
      <c r="AC288" s="891">
        <v>73.12</v>
      </c>
      <c r="AD288" s="891">
        <v>0.31</v>
      </c>
      <c r="AE288" s="891">
        <v>42.26</v>
      </c>
      <c r="AF288" s="891">
        <v>31.85</v>
      </c>
      <c r="AG288" s="891">
        <v>1.1499999999999999</v>
      </c>
      <c r="AH288" s="891">
        <v>3.46</v>
      </c>
      <c r="AI288" s="891">
        <v>61.58</v>
      </c>
      <c r="AJ288" s="891">
        <v>38.56</v>
      </c>
      <c r="AK288" s="891">
        <v>65.430000000000007</v>
      </c>
      <c r="AL288" s="891">
        <v>69.27</v>
      </c>
      <c r="AM288" s="891">
        <v>2690.98</v>
      </c>
      <c r="AN288" s="891">
        <v>1614.59</v>
      </c>
      <c r="AO288" s="891">
        <v>1375</v>
      </c>
      <c r="AP288" s="891">
        <v>7.5</v>
      </c>
      <c r="AQ288" s="891">
        <v>1.2</v>
      </c>
      <c r="AR288" s="891">
        <v>0.45</v>
      </c>
      <c r="AS288" s="891">
        <v>9</v>
      </c>
      <c r="AT288" s="891">
        <v>1.3</v>
      </c>
      <c r="AU288" s="891">
        <v>0.62</v>
      </c>
      <c r="AV288" s="891">
        <v>1.08</v>
      </c>
      <c r="AW288" s="891">
        <v>0.5</v>
      </c>
      <c r="AX288" s="891">
        <v>1.92</v>
      </c>
      <c r="AY288" s="891">
        <v>1.1499999999999999</v>
      </c>
      <c r="AZ288" s="891">
        <v>1.08</v>
      </c>
      <c r="BA288" s="891">
        <f t="shared" si="12"/>
        <v>115.69</v>
      </c>
      <c r="BB288" s="926">
        <f t="shared" si="13"/>
        <v>12395.280000000002</v>
      </c>
      <c r="BC288" s="926">
        <f t="shared" si="14"/>
        <v>79.130000000001672</v>
      </c>
      <c r="BD288" s="891"/>
      <c r="BE288" s="891"/>
      <c r="BF288" s="891"/>
      <c r="BG288" s="928"/>
      <c r="BH288" s="928"/>
      <c r="BI288" s="928"/>
    </row>
    <row r="289" spans="1:61">
      <c r="A289" s="891" t="s">
        <v>1060</v>
      </c>
      <c r="B289" s="891" t="s">
        <v>560</v>
      </c>
      <c r="C289" s="891" t="s">
        <v>382</v>
      </c>
      <c r="D289" s="891">
        <v>1.64</v>
      </c>
      <c r="E289" s="891">
        <v>8.1999999999999993</v>
      </c>
      <c r="F289" s="891">
        <v>2.46</v>
      </c>
      <c r="G289" s="891">
        <v>1.64</v>
      </c>
      <c r="H289" s="891">
        <v>2.62</v>
      </c>
      <c r="I289" s="891">
        <v>0.41</v>
      </c>
      <c r="J289" s="891">
        <v>0.25</v>
      </c>
      <c r="K289" s="891">
        <v>0.66</v>
      </c>
      <c r="L289" s="891">
        <v>0.41</v>
      </c>
      <c r="M289" s="891">
        <v>0.79</v>
      </c>
      <c r="N289" s="891">
        <v>4.92</v>
      </c>
      <c r="O289" s="891">
        <v>0.33</v>
      </c>
      <c r="P289" s="891">
        <v>7.58</v>
      </c>
      <c r="Q289" s="891">
        <v>1.56</v>
      </c>
      <c r="R289" s="891">
        <v>2.46</v>
      </c>
      <c r="S289" s="891">
        <v>1.97</v>
      </c>
      <c r="T289" s="891">
        <v>0.25</v>
      </c>
      <c r="U289" s="891">
        <v>2.46</v>
      </c>
      <c r="V289" s="891">
        <v>13.12</v>
      </c>
      <c r="W289" s="891">
        <v>1.23</v>
      </c>
      <c r="X289" s="927">
        <v>13117.98</v>
      </c>
      <c r="Y289" s="891">
        <v>196.77</v>
      </c>
      <c r="Z289" s="891">
        <v>131.18</v>
      </c>
      <c r="AA289" s="891">
        <v>409.94</v>
      </c>
      <c r="AB289" s="891">
        <v>245.96</v>
      </c>
      <c r="AC289" s="891">
        <v>24.6</v>
      </c>
      <c r="AD289" s="891">
        <v>0.02</v>
      </c>
      <c r="AE289" s="891">
        <v>19.68</v>
      </c>
      <c r="AF289" s="891">
        <v>16.399999999999999</v>
      </c>
      <c r="AG289" s="891">
        <v>4.0999999999999996</v>
      </c>
      <c r="AH289" s="891">
        <v>3.28</v>
      </c>
      <c r="AI289" s="891">
        <v>32.79</v>
      </c>
      <c r="AJ289" s="891">
        <v>40.99</v>
      </c>
      <c r="AK289" s="891">
        <v>49.19</v>
      </c>
      <c r="AL289" s="891">
        <v>32.79</v>
      </c>
      <c r="AM289" s="891">
        <v>1676.76</v>
      </c>
      <c r="AN289" s="891">
        <v>750.13</v>
      </c>
      <c r="AO289" s="891">
        <v>655.9</v>
      </c>
      <c r="AP289" s="891">
        <v>11</v>
      </c>
      <c r="AQ289" s="891">
        <v>0.66</v>
      </c>
      <c r="AR289" s="891">
        <v>0.25</v>
      </c>
      <c r="AS289" s="891">
        <v>1.31</v>
      </c>
      <c r="AT289" s="891">
        <v>2.0499999999999998</v>
      </c>
      <c r="AU289" s="891">
        <v>1.31</v>
      </c>
      <c r="AV289" s="891">
        <v>0.33</v>
      </c>
      <c r="AW289" s="891">
        <v>0.41</v>
      </c>
      <c r="AX289" s="891">
        <v>1.1499999999999999</v>
      </c>
      <c r="AY289" s="891">
        <v>0.82</v>
      </c>
      <c r="AZ289" s="891">
        <v>0.49</v>
      </c>
      <c r="BA289" s="891">
        <f t="shared" si="12"/>
        <v>44.3</v>
      </c>
      <c r="BB289" s="926">
        <f t="shared" si="13"/>
        <v>13134.8</v>
      </c>
      <c r="BC289" s="926">
        <f t="shared" si="14"/>
        <v>15.589999999999709</v>
      </c>
      <c r="BD289" s="891"/>
      <c r="BE289" s="891"/>
      <c r="BF289" s="891"/>
      <c r="BG289" s="928"/>
      <c r="BH289" s="928"/>
      <c r="BI289" s="928"/>
    </row>
    <row r="290" spans="1:61">
      <c r="A290" s="891" t="s">
        <v>1628</v>
      </c>
      <c r="B290" s="891" t="s">
        <v>600</v>
      </c>
      <c r="C290" s="891" t="s">
        <v>62</v>
      </c>
      <c r="D290" s="891">
        <v>23</v>
      </c>
      <c r="E290" s="891">
        <v>111.89</v>
      </c>
      <c r="F290" s="891">
        <v>9.32</v>
      </c>
      <c r="G290" s="891">
        <v>3.38</v>
      </c>
      <c r="H290" s="891">
        <v>4.66</v>
      </c>
      <c r="I290" s="891">
        <v>3.1</v>
      </c>
      <c r="J290" s="891">
        <v>3.22</v>
      </c>
      <c r="K290" s="891">
        <v>0.93</v>
      </c>
      <c r="L290" s="891">
        <v>1.86</v>
      </c>
      <c r="M290" s="891">
        <v>2.94</v>
      </c>
      <c r="N290" s="891">
        <v>13.99</v>
      </c>
      <c r="O290" s="891">
        <v>1.34</v>
      </c>
      <c r="P290" s="891">
        <v>6.29</v>
      </c>
      <c r="Q290" s="891">
        <v>2.33</v>
      </c>
      <c r="R290" s="891">
        <v>2.8</v>
      </c>
      <c r="S290" s="891">
        <v>3.73</v>
      </c>
      <c r="T290" s="891">
        <v>0.93</v>
      </c>
      <c r="U290" s="891">
        <v>6.54</v>
      </c>
      <c r="V290" s="891">
        <v>42.85</v>
      </c>
      <c r="W290" s="891">
        <v>1.77</v>
      </c>
      <c r="X290" s="927">
        <v>18578.09</v>
      </c>
      <c r="Y290" s="891">
        <v>699.3</v>
      </c>
      <c r="Z290" s="891">
        <v>652.67999999999995</v>
      </c>
      <c r="AA290" s="891">
        <v>1212.1199999999999</v>
      </c>
      <c r="AB290" s="891">
        <v>1095.57</v>
      </c>
      <c r="AC290" s="891">
        <v>278.20999999999998</v>
      </c>
      <c r="AD290" s="891">
        <v>0.7</v>
      </c>
      <c r="AE290" s="891">
        <v>37.299999999999997</v>
      </c>
      <c r="AF290" s="891">
        <v>55.94</v>
      </c>
      <c r="AG290" s="891">
        <v>32.630000000000003</v>
      </c>
      <c r="AH290" s="891">
        <v>12.01</v>
      </c>
      <c r="AI290" s="891">
        <v>163.16999999999999</v>
      </c>
      <c r="AJ290" s="891">
        <v>116.55</v>
      </c>
      <c r="AK290" s="891">
        <v>163.16999999999999</v>
      </c>
      <c r="AL290" s="891">
        <v>163.16999999999999</v>
      </c>
      <c r="AM290" s="891">
        <v>2331</v>
      </c>
      <c r="AN290" s="891">
        <v>2029.02</v>
      </c>
      <c r="AO290" s="891">
        <v>769.23</v>
      </c>
      <c r="AP290" s="891">
        <v>8.5</v>
      </c>
      <c r="AQ290" s="891">
        <v>1.86</v>
      </c>
      <c r="AR290" s="891">
        <v>3.03</v>
      </c>
      <c r="AS290" s="891">
        <v>32.630000000000003</v>
      </c>
      <c r="AT290" s="891">
        <v>2.8</v>
      </c>
      <c r="AU290" s="891">
        <v>1.75</v>
      </c>
      <c r="AV290" s="891">
        <v>1.86</v>
      </c>
      <c r="AW290" s="891">
        <v>1.33</v>
      </c>
      <c r="AX290" s="891">
        <v>3.73</v>
      </c>
      <c r="AY290" s="891">
        <v>1.59</v>
      </c>
      <c r="AZ290" s="891">
        <v>2.4700000000000002</v>
      </c>
      <c r="BA290" s="891">
        <f t="shared" si="12"/>
        <v>316.20999999999998</v>
      </c>
      <c r="BB290" s="926">
        <f t="shared" si="13"/>
        <v>18661.16</v>
      </c>
      <c r="BC290" s="926">
        <f t="shared" si="14"/>
        <v>81.299999999999713</v>
      </c>
      <c r="BD290" s="891"/>
      <c r="BE290" s="891"/>
      <c r="BF290" s="891"/>
      <c r="BG290" s="928"/>
      <c r="BH290" s="928"/>
      <c r="BI290" s="928"/>
    </row>
    <row r="291" spans="1:61">
      <c r="A291" s="891" t="s">
        <v>1629</v>
      </c>
      <c r="B291" s="891" t="s">
        <v>559</v>
      </c>
      <c r="C291" s="891" t="s">
        <v>99</v>
      </c>
      <c r="D291" s="891">
        <v>14.49</v>
      </c>
      <c r="E291" s="891">
        <v>57.95</v>
      </c>
      <c r="F291" s="891">
        <v>7.73</v>
      </c>
      <c r="G291" s="891">
        <v>4.83</v>
      </c>
      <c r="H291" s="891">
        <v>5.79</v>
      </c>
      <c r="I291" s="891">
        <v>1.78</v>
      </c>
      <c r="J291" s="891">
        <v>1.27</v>
      </c>
      <c r="K291" s="891">
        <v>1.91</v>
      </c>
      <c r="L291" s="891">
        <v>2.3199999999999998</v>
      </c>
      <c r="M291" s="891">
        <v>3.09</v>
      </c>
      <c r="N291" s="891">
        <v>8.93</v>
      </c>
      <c r="O291" s="891">
        <v>1.93</v>
      </c>
      <c r="P291" s="891">
        <v>14.49</v>
      </c>
      <c r="Q291" s="891">
        <v>1.93</v>
      </c>
      <c r="R291" s="891">
        <v>2.9</v>
      </c>
      <c r="S291" s="891">
        <v>9.66</v>
      </c>
      <c r="T291" s="891">
        <v>2.9</v>
      </c>
      <c r="U291" s="891">
        <v>10.87</v>
      </c>
      <c r="V291" s="891">
        <v>74.13</v>
      </c>
      <c r="W291" s="891">
        <v>1.33</v>
      </c>
      <c r="X291" s="927">
        <v>23179.45</v>
      </c>
      <c r="Y291" s="891">
        <v>724.36</v>
      </c>
      <c r="Z291" s="891">
        <v>482.91</v>
      </c>
      <c r="AA291" s="891">
        <v>1158.97</v>
      </c>
      <c r="AB291" s="891">
        <v>786.32</v>
      </c>
      <c r="AC291" s="891">
        <v>173.85</v>
      </c>
      <c r="AD291" s="891">
        <v>0.34</v>
      </c>
      <c r="AE291" s="891">
        <v>45.88</v>
      </c>
      <c r="AF291" s="891">
        <v>35.409999999999997</v>
      </c>
      <c r="AG291" s="891">
        <v>19.32</v>
      </c>
      <c r="AH291" s="891">
        <v>11.71</v>
      </c>
      <c r="AI291" s="891">
        <v>42.01</v>
      </c>
      <c r="AJ291" s="891">
        <v>38.630000000000003</v>
      </c>
      <c r="AK291" s="891">
        <v>89.55</v>
      </c>
      <c r="AL291" s="891">
        <v>108.65</v>
      </c>
      <c r="AM291" s="891">
        <v>2273.71</v>
      </c>
      <c r="AN291" s="891">
        <v>1918.03</v>
      </c>
      <c r="AO291" s="891">
        <v>2708.16</v>
      </c>
      <c r="AP291" s="891">
        <v>4.32</v>
      </c>
      <c r="AQ291" s="891">
        <v>3.33</v>
      </c>
      <c r="AR291" s="891">
        <v>1.64</v>
      </c>
      <c r="AS291" s="891">
        <v>36.51</v>
      </c>
      <c r="AT291" s="891">
        <v>3.86</v>
      </c>
      <c r="AU291" s="891">
        <v>3.82</v>
      </c>
      <c r="AV291" s="891">
        <v>2.13</v>
      </c>
      <c r="AW291" s="891">
        <v>1.45</v>
      </c>
      <c r="AX291" s="891">
        <v>2.9</v>
      </c>
      <c r="AY291" s="891">
        <v>4.3499999999999996</v>
      </c>
      <c r="AZ291" s="891">
        <v>3.62</v>
      </c>
      <c r="BA291" s="891">
        <f t="shared" si="12"/>
        <v>220.07</v>
      </c>
      <c r="BB291" s="926">
        <f t="shared" si="13"/>
        <v>23299.29</v>
      </c>
      <c r="BC291" s="926">
        <f t="shared" si="14"/>
        <v>118.51000000000015</v>
      </c>
      <c r="BD291" s="891"/>
      <c r="BE291" s="891"/>
      <c r="BF291" s="891"/>
      <c r="BG291" s="928"/>
      <c r="BH291" s="928"/>
      <c r="BI291" s="928"/>
    </row>
    <row r="292" spans="1:61">
      <c r="A292" s="891" t="s">
        <v>1630</v>
      </c>
      <c r="B292" s="891" t="s">
        <v>646</v>
      </c>
      <c r="C292" s="891" t="s">
        <v>325</v>
      </c>
      <c r="D292" s="891">
        <v>3.48</v>
      </c>
      <c r="E292" s="891">
        <v>11.61</v>
      </c>
      <c r="F292" s="891">
        <v>3.14</v>
      </c>
      <c r="G292" s="891">
        <v>0.93</v>
      </c>
      <c r="H292" s="891">
        <v>2.3199999999999998</v>
      </c>
      <c r="I292" s="891">
        <v>0.35</v>
      </c>
      <c r="J292" s="891">
        <v>0.35</v>
      </c>
      <c r="K292" s="891">
        <v>1.63</v>
      </c>
      <c r="L292" s="891">
        <v>1.32</v>
      </c>
      <c r="M292" s="891">
        <v>1.57</v>
      </c>
      <c r="N292" s="891">
        <v>12.78</v>
      </c>
      <c r="O292" s="891">
        <v>0.75</v>
      </c>
      <c r="P292" s="891">
        <v>8.1300000000000008</v>
      </c>
      <c r="Q292" s="891">
        <v>1.1599999999999999</v>
      </c>
      <c r="R292" s="891">
        <v>1.1599999999999999</v>
      </c>
      <c r="S292" s="891">
        <v>1.1599999999999999</v>
      </c>
      <c r="T292" s="891">
        <v>0.23</v>
      </c>
      <c r="U292" s="891">
        <v>3.48</v>
      </c>
      <c r="V292" s="891">
        <v>13.24</v>
      </c>
      <c r="W292" s="891">
        <v>1.2</v>
      </c>
      <c r="X292" s="927">
        <v>19512.240000000002</v>
      </c>
      <c r="Y292" s="891">
        <v>209.06</v>
      </c>
      <c r="Z292" s="891">
        <v>150.99</v>
      </c>
      <c r="AA292" s="891">
        <v>406.51</v>
      </c>
      <c r="AB292" s="891">
        <v>267.13</v>
      </c>
      <c r="AC292" s="891">
        <v>92.92</v>
      </c>
      <c r="AD292" s="891">
        <v>0.16</v>
      </c>
      <c r="AE292" s="891">
        <v>58.07</v>
      </c>
      <c r="AF292" s="891">
        <v>60.4</v>
      </c>
      <c r="AG292" s="891">
        <v>5.81</v>
      </c>
      <c r="AH292" s="891">
        <v>4.6500000000000004</v>
      </c>
      <c r="AI292" s="891">
        <v>58.07</v>
      </c>
      <c r="AJ292" s="891">
        <v>69.69</v>
      </c>
      <c r="AK292" s="891">
        <v>104.53</v>
      </c>
      <c r="AL292" s="891">
        <v>69.69</v>
      </c>
      <c r="AM292" s="891">
        <v>2090.6</v>
      </c>
      <c r="AN292" s="891">
        <v>418.12</v>
      </c>
      <c r="AO292" s="891">
        <v>336.82</v>
      </c>
      <c r="AP292" s="891">
        <v>7</v>
      </c>
      <c r="AQ292" s="891">
        <v>0.93</v>
      </c>
      <c r="AR292" s="891">
        <v>0.74</v>
      </c>
      <c r="AS292" s="891">
        <v>6.97</v>
      </c>
      <c r="AT292" s="891">
        <v>2.79</v>
      </c>
      <c r="AU292" s="891">
        <v>2.79</v>
      </c>
      <c r="AV292" s="891">
        <v>1.1599999999999999</v>
      </c>
      <c r="AW292" s="891">
        <v>1.68</v>
      </c>
      <c r="AX292" s="891">
        <v>1.86</v>
      </c>
      <c r="AY292" s="891">
        <v>0.83</v>
      </c>
      <c r="AZ292" s="891">
        <v>1.0900000000000001</v>
      </c>
      <c r="BA292" s="891">
        <f t="shared" si="12"/>
        <v>151.15</v>
      </c>
      <c r="BB292" s="926">
        <f t="shared" si="13"/>
        <v>19535.550000000003</v>
      </c>
      <c r="BC292" s="926">
        <f t="shared" si="14"/>
        <v>22.11000000000131</v>
      </c>
      <c r="BD292" s="891"/>
      <c r="BE292" s="891"/>
      <c r="BF292" s="891"/>
      <c r="BG292" s="928"/>
      <c r="BH292" s="928"/>
      <c r="BI292" s="928"/>
    </row>
    <row r="293" spans="1:61">
      <c r="A293" s="891" t="s">
        <v>1064</v>
      </c>
      <c r="B293" s="891" t="s">
        <v>649</v>
      </c>
      <c r="C293" s="891" t="s">
        <v>345</v>
      </c>
      <c r="D293" s="891">
        <v>3.5</v>
      </c>
      <c r="E293" s="891">
        <v>18</v>
      </c>
      <c r="F293" s="891">
        <v>5</v>
      </c>
      <c r="G293" s="891">
        <v>1</v>
      </c>
      <c r="H293" s="891">
        <v>2.5</v>
      </c>
      <c r="I293" s="891">
        <v>0.8</v>
      </c>
      <c r="J293" s="891">
        <v>0.5</v>
      </c>
      <c r="K293" s="891">
        <v>0.8</v>
      </c>
      <c r="L293" s="891">
        <v>1.25</v>
      </c>
      <c r="M293" s="891">
        <v>1.78</v>
      </c>
      <c r="N293" s="891">
        <v>4.5</v>
      </c>
      <c r="O293" s="891">
        <v>1</v>
      </c>
      <c r="P293" s="891">
        <v>11</v>
      </c>
      <c r="Q293" s="891">
        <v>0.9</v>
      </c>
      <c r="R293" s="891">
        <v>2.2000000000000002</v>
      </c>
      <c r="S293" s="891">
        <v>2.5</v>
      </c>
      <c r="T293" s="891">
        <v>0.25</v>
      </c>
      <c r="U293" s="891">
        <v>6.24</v>
      </c>
      <c r="V293" s="891">
        <v>18.5</v>
      </c>
      <c r="W293" s="891">
        <v>0.44</v>
      </c>
      <c r="X293" s="927">
        <v>24000</v>
      </c>
      <c r="Y293" s="891">
        <v>400</v>
      </c>
      <c r="Z293" s="891">
        <v>275</v>
      </c>
      <c r="AA293" s="891">
        <v>500</v>
      </c>
      <c r="AB293" s="891">
        <v>375</v>
      </c>
      <c r="AC293" s="891">
        <v>35</v>
      </c>
      <c r="AD293" s="891">
        <v>0.15</v>
      </c>
      <c r="AE293" s="891">
        <v>50</v>
      </c>
      <c r="AF293" s="891">
        <v>37.5</v>
      </c>
      <c r="AG293" s="891">
        <v>20</v>
      </c>
      <c r="AH293" s="891">
        <v>4.75</v>
      </c>
      <c r="AI293" s="891">
        <v>77.5</v>
      </c>
      <c r="AJ293" s="891">
        <v>50</v>
      </c>
      <c r="AK293" s="891">
        <v>120</v>
      </c>
      <c r="AL293" s="891">
        <v>90</v>
      </c>
      <c r="AM293" s="891">
        <v>1000</v>
      </c>
      <c r="AN293" s="891">
        <v>770.54</v>
      </c>
      <c r="AO293" s="891">
        <v>318</v>
      </c>
      <c r="AP293" s="891">
        <v>10</v>
      </c>
      <c r="AQ293" s="891">
        <v>0.48</v>
      </c>
      <c r="AR293" s="891">
        <v>1</v>
      </c>
      <c r="AS293" s="891">
        <v>10</v>
      </c>
      <c r="AT293" s="891">
        <v>2</v>
      </c>
      <c r="AU293" s="891">
        <v>1</v>
      </c>
      <c r="AV293" s="891">
        <v>2</v>
      </c>
      <c r="AW293" s="891">
        <v>0.77</v>
      </c>
      <c r="AX293" s="891">
        <v>1.99</v>
      </c>
      <c r="AY293" s="891">
        <v>1.25</v>
      </c>
      <c r="AZ293" s="891">
        <v>1.45</v>
      </c>
      <c r="BA293" s="891">
        <f t="shared" si="12"/>
        <v>85.15</v>
      </c>
      <c r="BB293" s="926">
        <f t="shared" si="13"/>
        <v>24030.67</v>
      </c>
      <c r="BC293" s="926">
        <f t="shared" si="14"/>
        <v>30.229999999998252</v>
      </c>
      <c r="BD293" s="891"/>
      <c r="BE293" s="891"/>
      <c r="BF293" s="891"/>
      <c r="BG293" s="928"/>
      <c r="BH293" s="928"/>
      <c r="BI293" s="928"/>
    </row>
    <row r="294" spans="1:61">
      <c r="A294" s="891" t="s">
        <v>1065</v>
      </c>
      <c r="B294" s="891" t="s">
        <v>1606</v>
      </c>
      <c r="C294" s="891" t="s">
        <v>181</v>
      </c>
      <c r="D294" s="891">
        <v>11.15</v>
      </c>
      <c r="E294" s="891">
        <v>50</v>
      </c>
      <c r="F294" s="891">
        <v>6.5</v>
      </c>
      <c r="G294" s="891">
        <v>3.25</v>
      </c>
      <c r="H294" s="891">
        <v>4</v>
      </c>
      <c r="I294" s="891">
        <v>1.5</v>
      </c>
      <c r="J294" s="891">
        <v>1.5</v>
      </c>
      <c r="K294" s="891">
        <v>2.25</v>
      </c>
      <c r="L294" s="891">
        <v>2.59</v>
      </c>
      <c r="M294" s="891">
        <v>2.59</v>
      </c>
      <c r="N294" s="891">
        <v>11.5</v>
      </c>
      <c r="O294" s="891">
        <v>1.5</v>
      </c>
      <c r="P294" s="891">
        <v>12</v>
      </c>
      <c r="Q294" s="891">
        <v>2.25</v>
      </c>
      <c r="R294" s="891">
        <v>2.59</v>
      </c>
      <c r="S294" s="891">
        <v>5.5</v>
      </c>
      <c r="T294" s="891">
        <v>1.5</v>
      </c>
      <c r="U294" s="891">
        <v>8</v>
      </c>
      <c r="V294" s="891">
        <v>28</v>
      </c>
      <c r="W294" s="891">
        <v>0.92</v>
      </c>
      <c r="X294" s="927">
        <v>20000</v>
      </c>
      <c r="Y294" s="891">
        <v>946</v>
      </c>
      <c r="Z294" s="891">
        <v>675</v>
      </c>
      <c r="AA294" s="891">
        <v>1900</v>
      </c>
      <c r="AB294" s="891">
        <v>1200</v>
      </c>
      <c r="AC294" s="891">
        <v>167.06</v>
      </c>
      <c r="AD294" s="891">
        <v>0.1</v>
      </c>
      <c r="AE294" s="891">
        <v>40</v>
      </c>
      <c r="AF294" s="891">
        <v>30</v>
      </c>
      <c r="AG294" s="891">
        <v>35</v>
      </c>
      <c r="AH294" s="891">
        <v>10</v>
      </c>
      <c r="AI294" s="891">
        <v>35</v>
      </c>
      <c r="AJ294" s="891">
        <v>32.5</v>
      </c>
      <c r="AK294" s="891">
        <v>70</v>
      </c>
      <c r="AL294" s="891">
        <v>87.5</v>
      </c>
      <c r="AM294" s="891">
        <v>1506.95</v>
      </c>
      <c r="AN294" s="891">
        <v>904.17</v>
      </c>
      <c r="AO294" s="891">
        <v>3260</v>
      </c>
      <c r="AP294" s="891">
        <v>4</v>
      </c>
      <c r="AQ294" s="891">
        <v>2.72</v>
      </c>
      <c r="AR294" s="891">
        <v>2.17</v>
      </c>
      <c r="AS294" s="891">
        <v>20</v>
      </c>
      <c r="AT294" s="891">
        <v>2.5</v>
      </c>
      <c r="AU294" s="891">
        <v>2.99</v>
      </c>
      <c r="AV294" s="891">
        <v>2.5</v>
      </c>
      <c r="AW294" s="891">
        <v>1.99</v>
      </c>
      <c r="AX294" s="891">
        <v>3.5</v>
      </c>
      <c r="AY294" s="891">
        <v>2.0499999999999998</v>
      </c>
      <c r="AZ294" s="891">
        <v>2</v>
      </c>
      <c r="BA294" s="891">
        <f t="shared" si="12"/>
        <v>207.16</v>
      </c>
      <c r="BB294" s="926">
        <f t="shared" si="13"/>
        <v>20055.309999999998</v>
      </c>
      <c r="BC294" s="926">
        <f t="shared" si="14"/>
        <v>54.38999999999767</v>
      </c>
      <c r="BD294" s="891"/>
      <c r="BE294" s="891"/>
      <c r="BF294" s="891"/>
      <c r="BG294" s="928"/>
      <c r="BH294" s="928"/>
      <c r="BI294" s="928"/>
    </row>
    <row r="295" spans="1:61">
      <c r="A295" s="891" t="s">
        <v>1066</v>
      </c>
      <c r="B295" s="891" t="s">
        <v>611</v>
      </c>
      <c r="C295" s="891" t="s">
        <v>260</v>
      </c>
      <c r="D295" s="891">
        <v>6.65</v>
      </c>
      <c r="E295" s="891">
        <v>22.93</v>
      </c>
      <c r="F295" s="891">
        <v>8.25</v>
      </c>
      <c r="G295" s="891">
        <v>1.83</v>
      </c>
      <c r="H295" s="891">
        <v>2.29</v>
      </c>
      <c r="I295" s="891">
        <v>1.38</v>
      </c>
      <c r="J295" s="891">
        <v>0.92</v>
      </c>
      <c r="K295" s="891">
        <v>1.21</v>
      </c>
      <c r="L295" s="891">
        <v>1.72</v>
      </c>
      <c r="M295" s="891">
        <v>1.97</v>
      </c>
      <c r="N295" s="891">
        <v>8.94</v>
      </c>
      <c r="O295" s="891">
        <v>0.87</v>
      </c>
      <c r="P295" s="891">
        <v>9.17</v>
      </c>
      <c r="Q295" s="891">
        <v>1.38</v>
      </c>
      <c r="R295" s="891">
        <v>1.27</v>
      </c>
      <c r="S295" s="891">
        <v>2.38</v>
      </c>
      <c r="T295" s="891">
        <v>1.03</v>
      </c>
      <c r="U295" s="891">
        <v>3.44</v>
      </c>
      <c r="V295" s="891">
        <v>42.18</v>
      </c>
      <c r="W295" s="891">
        <v>1.27</v>
      </c>
      <c r="X295" s="927">
        <v>23842.27</v>
      </c>
      <c r="Y295" s="891">
        <v>550.21</v>
      </c>
      <c r="Z295" s="891">
        <v>275.10000000000002</v>
      </c>
      <c r="AA295" s="891">
        <v>1146.26</v>
      </c>
      <c r="AB295" s="891">
        <v>687.76</v>
      </c>
      <c r="AC295" s="891">
        <v>91.7</v>
      </c>
      <c r="AD295" s="891">
        <v>0.5</v>
      </c>
      <c r="AE295" s="891">
        <v>27.51</v>
      </c>
      <c r="AF295" s="891">
        <v>55.02</v>
      </c>
      <c r="AG295" s="891">
        <v>25.22</v>
      </c>
      <c r="AH295" s="891">
        <v>8.02</v>
      </c>
      <c r="AI295" s="891">
        <v>91.7</v>
      </c>
      <c r="AJ295" s="891">
        <v>36.659999999999997</v>
      </c>
      <c r="AK295" s="891">
        <v>91.7</v>
      </c>
      <c r="AL295" s="891">
        <v>103.16</v>
      </c>
      <c r="AM295" s="891">
        <v>1834.02</v>
      </c>
      <c r="AN295" s="891">
        <v>917.01</v>
      </c>
      <c r="AO295" s="891">
        <v>1123.3399999999999</v>
      </c>
      <c r="AP295" s="891">
        <v>9</v>
      </c>
      <c r="AQ295" s="891">
        <v>1.74</v>
      </c>
      <c r="AR295" s="891">
        <v>0.83</v>
      </c>
      <c r="AS295" s="891">
        <v>6.19</v>
      </c>
      <c r="AT295" s="891">
        <v>2.29</v>
      </c>
      <c r="AU295" s="891">
        <v>1.47</v>
      </c>
      <c r="AV295" s="891">
        <v>1.49</v>
      </c>
      <c r="AW295" s="891">
        <v>0.69</v>
      </c>
      <c r="AX295" s="891">
        <v>1.83</v>
      </c>
      <c r="AY295" s="891">
        <v>1.41</v>
      </c>
      <c r="AZ295" s="891">
        <v>3.67</v>
      </c>
      <c r="BA295" s="891">
        <f t="shared" si="12"/>
        <v>119.71000000000001</v>
      </c>
      <c r="BB295" s="926">
        <f t="shared" si="13"/>
        <v>23895.510000000002</v>
      </c>
      <c r="BC295" s="926">
        <f t="shared" si="14"/>
        <v>51.970000000001598</v>
      </c>
      <c r="BD295" s="891"/>
      <c r="BE295" s="891"/>
      <c r="BF295" s="891"/>
      <c r="BG295" s="928"/>
      <c r="BH295" s="928"/>
      <c r="BI295" s="928"/>
    </row>
    <row r="296" spans="1:61">
      <c r="A296" s="891" t="s">
        <v>1067</v>
      </c>
      <c r="B296" s="891" t="s">
        <v>559</v>
      </c>
      <c r="C296" s="891" t="s">
        <v>81</v>
      </c>
      <c r="D296" s="891">
        <v>13.04</v>
      </c>
      <c r="E296" s="891">
        <v>57.95</v>
      </c>
      <c r="F296" s="891">
        <v>7.73</v>
      </c>
      <c r="G296" s="891">
        <v>5.07</v>
      </c>
      <c r="H296" s="891">
        <v>6.28</v>
      </c>
      <c r="I296" s="891">
        <v>1.93</v>
      </c>
      <c r="J296" s="891">
        <v>1.77</v>
      </c>
      <c r="K296" s="891">
        <v>1.93</v>
      </c>
      <c r="L296" s="891">
        <v>2.6</v>
      </c>
      <c r="M296" s="891">
        <v>2.9</v>
      </c>
      <c r="N296" s="891">
        <v>7.24</v>
      </c>
      <c r="O296" s="891">
        <v>1.93</v>
      </c>
      <c r="P296" s="891">
        <v>14.49</v>
      </c>
      <c r="Q296" s="891">
        <v>2.78</v>
      </c>
      <c r="R296" s="891">
        <v>4.3499999999999996</v>
      </c>
      <c r="S296" s="891">
        <v>11.59</v>
      </c>
      <c r="T296" s="891">
        <v>2.29</v>
      </c>
      <c r="U296" s="891">
        <v>13.52</v>
      </c>
      <c r="V296" s="891">
        <v>58.91</v>
      </c>
      <c r="W296" s="891">
        <v>1.2</v>
      </c>
      <c r="X296" s="927">
        <v>24145.26</v>
      </c>
      <c r="Y296" s="891">
        <v>869.23</v>
      </c>
      <c r="Z296" s="891">
        <v>772.65</v>
      </c>
      <c r="AA296" s="891">
        <v>1448.72</v>
      </c>
      <c r="AB296" s="891">
        <v>1279.7</v>
      </c>
      <c r="AC296" s="891">
        <v>144.87</v>
      </c>
      <c r="AD296" s="891">
        <v>0.24</v>
      </c>
      <c r="AE296" s="891">
        <v>57.94</v>
      </c>
      <c r="AF296" s="891">
        <v>49.26</v>
      </c>
      <c r="AG296" s="891">
        <v>26.56</v>
      </c>
      <c r="AH296" s="891">
        <v>11.59</v>
      </c>
      <c r="AI296" s="891">
        <v>48.29</v>
      </c>
      <c r="AJ296" s="891">
        <v>38.630000000000003</v>
      </c>
      <c r="AK296" s="891">
        <v>120.73</v>
      </c>
      <c r="AL296" s="891">
        <v>154.53</v>
      </c>
      <c r="AM296" s="891">
        <v>4170.93</v>
      </c>
      <c r="AN296" s="891">
        <v>3863.24</v>
      </c>
      <c r="AO296" s="891">
        <v>2776.7</v>
      </c>
      <c r="AP296" s="891">
        <v>3.33</v>
      </c>
      <c r="AQ296" s="891">
        <v>3.67</v>
      </c>
      <c r="AR296" s="891">
        <v>1.61</v>
      </c>
      <c r="AS296" s="891">
        <v>31.87</v>
      </c>
      <c r="AT296" s="891">
        <v>2.41</v>
      </c>
      <c r="AU296" s="891">
        <v>4.83</v>
      </c>
      <c r="AV296" s="891">
        <v>2.41</v>
      </c>
      <c r="AW296" s="891">
        <v>1.45</v>
      </c>
      <c r="AX296" s="891">
        <v>3.86</v>
      </c>
      <c r="AY296" s="891">
        <v>2.41</v>
      </c>
      <c r="AZ296" s="891">
        <v>5.31</v>
      </c>
      <c r="BA296" s="891">
        <f t="shared" si="12"/>
        <v>203.05</v>
      </c>
      <c r="BB296" s="926">
        <f t="shared" si="13"/>
        <v>24244.809999999998</v>
      </c>
      <c r="BC296" s="926">
        <f t="shared" si="14"/>
        <v>98.34999999999927</v>
      </c>
      <c r="BD296" s="891"/>
      <c r="BE296" s="891"/>
      <c r="BF296" s="891"/>
      <c r="BG296" s="928"/>
      <c r="BH296" s="928"/>
      <c r="BI296" s="928"/>
    </row>
    <row r="297" spans="1:61">
      <c r="A297" s="891" t="s">
        <v>1068</v>
      </c>
      <c r="B297" s="891" t="s">
        <v>1606</v>
      </c>
      <c r="C297" s="891" t="s">
        <v>171</v>
      </c>
      <c r="D297" s="891">
        <v>8</v>
      </c>
      <c r="E297" s="891">
        <v>40</v>
      </c>
      <c r="F297" s="891">
        <v>5.65</v>
      </c>
      <c r="G297" s="891">
        <v>3</v>
      </c>
      <c r="H297" s="891">
        <v>4.5</v>
      </c>
      <c r="I297" s="891">
        <v>1.25</v>
      </c>
      <c r="J297" s="891">
        <v>1.1200000000000001</v>
      </c>
      <c r="K297" s="891">
        <v>0.94</v>
      </c>
      <c r="L297" s="891">
        <v>2.67</v>
      </c>
      <c r="M297" s="891">
        <v>2</v>
      </c>
      <c r="N297" s="891">
        <v>19.84</v>
      </c>
      <c r="O297" s="891">
        <v>1.5</v>
      </c>
      <c r="P297" s="891">
        <v>10</v>
      </c>
      <c r="Q297" s="891">
        <v>2.5</v>
      </c>
      <c r="R297" s="891">
        <v>3</v>
      </c>
      <c r="S297" s="891">
        <v>4.5</v>
      </c>
      <c r="T297" s="891">
        <v>1.76</v>
      </c>
      <c r="U297" s="891">
        <v>11.41</v>
      </c>
      <c r="V297" s="891">
        <v>67.5</v>
      </c>
      <c r="W297" s="891">
        <v>1.04</v>
      </c>
      <c r="X297" s="927">
        <v>17375</v>
      </c>
      <c r="Y297" s="891">
        <v>600</v>
      </c>
      <c r="Z297" s="891">
        <v>674.5</v>
      </c>
      <c r="AA297" s="891">
        <v>1200</v>
      </c>
      <c r="AB297" s="891">
        <v>1000</v>
      </c>
      <c r="AC297" s="891">
        <v>72.48</v>
      </c>
      <c r="AD297" s="891">
        <v>0.28000000000000003</v>
      </c>
      <c r="AE297" s="891">
        <v>32.5</v>
      </c>
      <c r="AF297" s="891">
        <v>24.99</v>
      </c>
      <c r="AG297" s="891">
        <v>15</v>
      </c>
      <c r="AH297" s="891">
        <v>9.5</v>
      </c>
      <c r="AI297" s="891">
        <v>40</v>
      </c>
      <c r="AJ297" s="891">
        <v>26</v>
      </c>
      <c r="AK297" s="891">
        <v>50</v>
      </c>
      <c r="AL297" s="891">
        <v>48</v>
      </c>
      <c r="AM297" s="891">
        <v>1313.2</v>
      </c>
      <c r="AN297" s="891">
        <v>1076.3900000000001</v>
      </c>
      <c r="AO297" s="891">
        <v>2302.5</v>
      </c>
      <c r="AP297" s="891">
        <v>4.62</v>
      </c>
      <c r="AQ297" s="891">
        <v>3.15</v>
      </c>
      <c r="AR297" s="891">
        <v>1.71</v>
      </c>
      <c r="AS297" s="891">
        <v>12</v>
      </c>
      <c r="AT297" s="891">
        <v>3.51</v>
      </c>
      <c r="AU297" s="891">
        <v>4.3899999999999997</v>
      </c>
      <c r="AV297" s="891">
        <v>2.19</v>
      </c>
      <c r="AW297" s="891">
        <v>1.1200000000000001</v>
      </c>
      <c r="AX297" s="891">
        <v>3.5</v>
      </c>
      <c r="AY297" s="891">
        <v>1.8</v>
      </c>
      <c r="AZ297" s="891">
        <v>4.38</v>
      </c>
      <c r="BA297" s="891">
        <f t="shared" si="12"/>
        <v>105.26</v>
      </c>
      <c r="BB297" s="926">
        <f t="shared" si="13"/>
        <v>17462.16</v>
      </c>
      <c r="BC297" s="926">
        <f t="shared" si="14"/>
        <v>86.119999999999848</v>
      </c>
      <c r="BD297" s="891"/>
      <c r="BE297" s="891"/>
      <c r="BF297" s="891"/>
      <c r="BG297" s="928"/>
      <c r="BH297" s="928"/>
      <c r="BI297" s="928"/>
    </row>
    <row r="298" spans="1:61">
      <c r="A298" s="891" t="s">
        <v>1069</v>
      </c>
      <c r="B298" s="891" t="s">
        <v>585</v>
      </c>
      <c r="C298" s="891" t="s">
        <v>37</v>
      </c>
      <c r="D298" s="891">
        <v>12.86</v>
      </c>
      <c r="E298" s="891">
        <v>81.93</v>
      </c>
      <c r="F298" s="891">
        <v>9.83</v>
      </c>
      <c r="G298" s="891">
        <v>6.77</v>
      </c>
      <c r="H298" s="891">
        <v>6.35</v>
      </c>
      <c r="I298" s="891">
        <v>2</v>
      </c>
      <c r="J298" s="891">
        <v>1.93</v>
      </c>
      <c r="K298" s="891">
        <v>1.01</v>
      </c>
      <c r="L298" s="891">
        <v>2.0299999999999998</v>
      </c>
      <c r="M298" s="891">
        <v>3.95</v>
      </c>
      <c r="N298" s="891">
        <v>11.15</v>
      </c>
      <c r="O298" s="891">
        <v>2.23</v>
      </c>
      <c r="P298" s="891">
        <v>15.94</v>
      </c>
      <c r="Q298" s="891">
        <v>3</v>
      </c>
      <c r="R298" s="891">
        <v>2.54</v>
      </c>
      <c r="S298" s="891">
        <v>9.01</v>
      </c>
      <c r="T298" s="891">
        <v>2.87</v>
      </c>
      <c r="U298" s="891">
        <v>14.67</v>
      </c>
      <c r="V298" s="891">
        <v>63.09</v>
      </c>
      <c r="W298" s="891">
        <v>2.0699999999999998</v>
      </c>
      <c r="X298" s="927">
        <v>28799.67</v>
      </c>
      <c r="Y298" s="891">
        <v>1147.07</v>
      </c>
      <c r="Z298" s="891">
        <v>880.79</v>
      </c>
      <c r="AA298" s="891">
        <v>1686.27</v>
      </c>
      <c r="AB298" s="891">
        <v>1310.94</v>
      </c>
      <c r="AC298" s="891">
        <v>141.63</v>
      </c>
      <c r="AD298" s="891">
        <v>0.16</v>
      </c>
      <c r="AE298" s="891">
        <v>53.45</v>
      </c>
      <c r="AF298" s="891">
        <v>64.73</v>
      </c>
      <c r="AG298" s="891">
        <v>16.39</v>
      </c>
      <c r="AH298" s="891">
        <v>10.33</v>
      </c>
      <c r="AI298" s="891">
        <v>159.36000000000001</v>
      </c>
      <c r="AJ298" s="891">
        <v>98.32</v>
      </c>
      <c r="AK298" s="891">
        <v>198.32</v>
      </c>
      <c r="AL298" s="891">
        <v>204.83</v>
      </c>
      <c r="AM298" s="891">
        <v>2867.68</v>
      </c>
      <c r="AN298" s="891">
        <v>2294.14</v>
      </c>
      <c r="AO298" s="891">
        <v>2109.1799999999998</v>
      </c>
      <c r="AP298" s="891">
        <v>7</v>
      </c>
      <c r="AQ298" s="891">
        <v>4.96</v>
      </c>
      <c r="AR298" s="891">
        <v>2.2599999999999998</v>
      </c>
      <c r="AS298" s="891">
        <v>54.68</v>
      </c>
      <c r="AT298" s="891">
        <v>3.28</v>
      </c>
      <c r="AU298" s="891">
        <v>3.48</v>
      </c>
      <c r="AV298" s="891">
        <v>1.9</v>
      </c>
      <c r="AW298" s="891">
        <v>3</v>
      </c>
      <c r="AX298" s="891">
        <v>3.61</v>
      </c>
      <c r="AY298" s="891">
        <v>3.58</v>
      </c>
      <c r="AZ298" s="891">
        <v>4.92</v>
      </c>
      <c r="BA298" s="891">
        <f t="shared" si="12"/>
        <v>195.24</v>
      </c>
      <c r="BB298" s="926">
        <f t="shared" si="13"/>
        <v>28929.599999999995</v>
      </c>
      <c r="BC298" s="926">
        <f t="shared" si="14"/>
        <v>127.85999999999666</v>
      </c>
      <c r="BD298" s="891"/>
      <c r="BE298" s="891"/>
      <c r="BF298" s="891"/>
      <c r="BG298" s="928"/>
      <c r="BH298" s="928"/>
      <c r="BI298" s="928"/>
    </row>
    <row r="299" spans="1:61">
      <c r="A299" s="891" t="s">
        <v>1070</v>
      </c>
      <c r="B299" s="891" t="s">
        <v>1606</v>
      </c>
      <c r="C299" s="891" t="s">
        <v>117</v>
      </c>
      <c r="D299" s="891">
        <v>12</v>
      </c>
      <c r="E299" s="891">
        <v>60</v>
      </c>
      <c r="F299" s="891">
        <v>6</v>
      </c>
      <c r="G299" s="891">
        <v>3.75</v>
      </c>
      <c r="H299" s="891">
        <v>5.5</v>
      </c>
      <c r="I299" s="891">
        <v>1.5</v>
      </c>
      <c r="J299" s="891">
        <v>1.25</v>
      </c>
      <c r="K299" s="891">
        <v>0.97</v>
      </c>
      <c r="L299" s="891">
        <v>2.5</v>
      </c>
      <c r="M299" s="891">
        <v>1.7</v>
      </c>
      <c r="N299" s="891">
        <v>8.01</v>
      </c>
      <c r="O299" s="891">
        <v>2</v>
      </c>
      <c r="P299" s="891">
        <v>10</v>
      </c>
      <c r="Q299" s="891">
        <v>1.8</v>
      </c>
      <c r="R299" s="891">
        <v>1.88</v>
      </c>
      <c r="S299" s="891">
        <v>4.75</v>
      </c>
      <c r="T299" s="891">
        <v>2.12</v>
      </c>
      <c r="U299" s="891">
        <v>8.81</v>
      </c>
      <c r="V299" s="891">
        <v>100</v>
      </c>
      <c r="W299" s="891">
        <v>0.96</v>
      </c>
      <c r="X299" s="927">
        <v>18000</v>
      </c>
      <c r="Y299" s="891">
        <v>900</v>
      </c>
      <c r="Z299" s="891">
        <v>700</v>
      </c>
      <c r="AA299" s="891">
        <v>1700</v>
      </c>
      <c r="AB299" s="891">
        <v>1200</v>
      </c>
      <c r="AC299" s="891">
        <v>198.9</v>
      </c>
      <c r="AD299" s="891">
        <v>0.1</v>
      </c>
      <c r="AE299" s="891">
        <v>50</v>
      </c>
      <c r="AF299" s="891">
        <v>48.5</v>
      </c>
      <c r="AG299" s="891">
        <v>20</v>
      </c>
      <c r="AH299" s="891">
        <v>10.7</v>
      </c>
      <c r="AI299" s="891">
        <v>53</v>
      </c>
      <c r="AJ299" s="891">
        <v>40</v>
      </c>
      <c r="AK299" s="891">
        <v>100</v>
      </c>
      <c r="AL299" s="891">
        <v>70</v>
      </c>
      <c r="AM299" s="891">
        <v>2960.08</v>
      </c>
      <c r="AN299" s="891">
        <v>2218.92</v>
      </c>
      <c r="AO299" s="891">
        <v>3145</v>
      </c>
      <c r="AP299" s="891">
        <v>3.35</v>
      </c>
      <c r="AQ299" s="891">
        <v>1.88</v>
      </c>
      <c r="AR299" s="891">
        <v>2.5</v>
      </c>
      <c r="AS299" s="891">
        <v>37.65</v>
      </c>
      <c r="AT299" s="891">
        <v>4.5</v>
      </c>
      <c r="AU299" s="891">
        <v>9.3699999999999992</v>
      </c>
      <c r="AV299" s="891">
        <v>4.41</v>
      </c>
      <c r="AW299" s="891">
        <v>1.59</v>
      </c>
      <c r="AX299" s="891">
        <v>4</v>
      </c>
      <c r="AY299" s="891">
        <v>2.09</v>
      </c>
      <c r="AZ299" s="891">
        <v>3.06</v>
      </c>
      <c r="BA299" s="891">
        <f t="shared" si="12"/>
        <v>249</v>
      </c>
      <c r="BB299" s="926">
        <f t="shared" si="13"/>
        <v>18145.110000000004</v>
      </c>
      <c r="BC299" s="926">
        <f t="shared" si="14"/>
        <v>144.15000000000421</v>
      </c>
      <c r="BD299" s="891"/>
      <c r="BE299" s="891"/>
      <c r="BF299" s="891"/>
      <c r="BG299" s="928"/>
      <c r="BH299" s="928"/>
      <c r="BI299" s="928"/>
    </row>
    <row r="300" spans="1:61">
      <c r="A300" s="891" t="s">
        <v>1071</v>
      </c>
      <c r="B300" s="891" t="s">
        <v>567</v>
      </c>
      <c r="C300" s="891" t="s">
        <v>230</v>
      </c>
      <c r="D300" s="891">
        <v>8.68</v>
      </c>
      <c r="E300" s="891">
        <v>38.57</v>
      </c>
      <c r="F300" s="891">
        <v>6.75</v>
      </c>
      <c r="G300" s="891">
        <v>1.93</v>
      </c>
      <c r="H300" s="891">
        <v>1.93</v>
      </c>
      <c r="I300" s="891">
        <v>1.1200000000000001</v>
      </c>
      <c r="J300" s="891">
        <v>0.96</v>
      </c>
      <c r="K300" s="891">
        <v>1.22</v>
      </c>
      <c r="L300" s="891">
        <v>0.96</v>
      </c>
      <c r="M300" s="891">
        <v>1.93</v>
      </c>
      <c r="N300" s="891">
        <v>8.68</v>
      </c>
      <c r="O300" s="891">
        <v>0.87</v>
      </c>
      <c r="P300" s="891">
        <v>7.71</v>
      </c>
      <c r="Q300" s="891">
        <v>1.25</v>
      </c>
      <c r="R300" s="891">
        <v>1.74</v>
      </c>
      <c r="S300" s="891">
        <v>4.24</v>
      </c>
      <c r="T300" s="891">
        <v>1.06</v>
      </c>
      <c r="U300" s="891">
        <v>6.65</v>
      </c>
      <c r="V300" s="891">
        <v>43.39</v>
      </c>
      <c r="W300" s="891">
        <v>1.87</v>
      </c>
      <c r="X300" s="927">
        <v>24590.16</v>
      </c>
      <c r="Y300" s="891">
        <v>385.73</v>
      </c>
      <c r="Z300" s="891">
        <v>289.3</v>
      </c>
      <c r="AA300" s="891">
        <v>916.1</v>
      </c>
      <c r="AB300" s="891">
        <v>482.16</v>
      </c>
      <c r="AC300" s="891">
        <v>231.44</v>
      </c>
      <c r="AD300" s="891">
        <v>0.1</v>
      </c>
      <c r="AE300" s="891">
        <v>19.29</v>
      </c>
      <c r="AF300" s="891">
        <v>57.86</v>
      </c>
      <c r="AG300" s="891">
        <v>19.29</v>
      </c>
      <c r="AH300" s="891">
        <v>7.71</v>
      </c>
      <c r="AI300" s="891">
        <v>77.150000000000006</v>
      </c>
      <c r="AJ300" s="891">
        <v>54</v>
      </c>
      <c r="AK300" s="891">
        <v>96.43</v>
      </c>
      <c r="AL300" s="891">
        <v>140.69</v>
      </c>
      <c r="AM300" s="891">
        <v>2892.96</v>
      </c>
      <c r="AN300" s="891">
        <v>1120.45</v>
      </c>
      <c r="AO300" s="891">
        <v>703.95</v>
      </c>
      <c r="AP300" s="891">
        <v>4</v>
      </c>
      <c r="AQ300" s="891">
        <v>2.89</v>
      </c>
      <c r="AR300" s="891">
        <v>0.87</v>
      </c>
      <c r="AS300" s="891">
        <v>11.57</v>
      </c>
      <c r="AT300" s="891">
        <v>1.35</v>
      </c>
      <c r="AU300" s="891">
        <v>1.93</v>
      </c>
      <c r="AV300" s="891">
        <v>0.57999999999999996</v>
      </c>
      <c r="AW300" s="891">
        <v>0.87</v>
      </c>
      <c r="AX300" s="891">
        <v>2.31</v>
      </c>
      <c r="AY300" s="891">
        <v>1.93</v>
      </c>
      <c r="AZ300" s="891">
        <v>2.31</v>
      </c>
      <c r="BA300" s="891">
        <f t="shared" si="12"/>
        <v>250.82999999999998</v>
      </c>
      <c r="BB300" s="926">
        <f t="shared" si="13"/>
        <v>24651.809999999998</v>
      </c>
      <c r="BC300" s="926">
        <f t="shared" si="14"/>
        <v>59.77999999999782</v>
      </c>
      <c r="BD300" s="891"/>
      <c r="BE300" s="891"/>
      <c r="BF300" s="891"/>
      <c r="BG300" s="928"/>
      <c r="BH300" s="928"/>
      <c r="BI300" s="928"/>
    </row>
    <row r="301" spans="1:61">
      <c r="A301" s="891" t="s">
        <v>1072</v>
      </c>
      <c r="B301" s="891" t="s">
        <v>607</v>
      </c>
      <c r="C301" s="891" t="s">
        <v>239</v>
      </c>
      <c r="D301" s="891">
        <v>7.13</v>
      </c>
      <c r="E301" s="891">
        <v>28.52</v>
      </c>
      <c r="F301" s="891">
        <v>6.24</v>
      </c>
      <c r="G301" s="891">
        <v>2.67</v>
      </c>
      <c r="H301" s="891">
        <v>2.58</v>
      </c>
      <c r="I301" s="891">
        <v>2.14</v>
      </c>
      <c r="J301" s="891">
        <v>1.43</v>
      </c>
      <c r="K301" s="891">
        <v>1.07</v>
      </c>
      <c r="L301" s="891">
        <v>1.25</v>
      </c>
      <c r="M301" s="891">
        <v>2.5</v>
      </c>
      <c r="N301" s="891">
        <v>8.02</v>
      </c>
      <c r="O301" s="891">
        <v>1.25</v>
      </c>
      <c r="P301" s="891">
        <v>6.24</v>
      </c>
      <c r="Q301" s="891">
        <v>1.43</v>
      </c>
      <c r="R301" s="891">
        <v>1.6</v>
      </c>
      <c r="S301" s="891">
        <v>4.37</v>
      </c>
      <c r="T301" s="891">
        <v>1.78</v>
      </c>
      <c r="U301" s="891">
        <v>8.91</v>
      </c>
      <c r="V301" s="891">
        <v>49.2</v>
      </c>
      <c r="W301" s="891">
        <v>1.93</v>
      </c>
      <c r="X301" s="927">
        <v>22430.35</v>
      </c>
      <c r="Y301" s="891">
        <v>401.05</v>
      </c>
      <c r="Z301" s="891">
        <v>267.37</v>
      </c>
      <c r="AA301" s="891">
        <v>534.73</v>
      </c>
      <c r="AB301" s="891">
        <v>445.61</v>
      </c>
      <c r="AC301" s="891">
        <v>196.07</v>
      </c>
      <c r="AD301" s="891">
        <v>0.18</v>
      </c>
      <c r="AE301" s="891">
        <v>26.74</v>
      </c>
      <c r="AF301" s="891">
        <v>44.56</v>
      </c>
      <c r="AG301" s="891">
        <v>13.81</v>
      </c>
      <c r="AH301" s="891">
        <v>5.35</v>
      </c>
      <c r="AI301" s="891">
        <v>98.03</v>
      </c>
      <c r="AJ301" s="891">
        <v>49.02</v>
      </c>
      <c r="AK301" s="891">
        <v>89.12</v>
      </c>
      <c r="AL301" s="891">
        <v>80.209999999999994</v>
      </c>
      <c r="AM301" s="891">
        <v>2406.29</v>
      </c>
      <c r="AN301" s="891">
        <v>1515.07</v>
      </c>
      <c r="AO301" s="891">
        <v>903.09</v>
      </c>
      <c r="AP301" s="891">
        <v>5.75</v>
      </c>
      <c r="AQ301" s="891">
        <v>3.56</v>
      </c>
      <c r="AR301" s="891">
        <v>0.89</v>
      </c>
      <c r="AS301" s="891">
        <v>10.69</v>
      </c>
      <c r="AT301" s="891">
        <v>1.78</v>
      </c>
      <c r="AU301" s="891">
        <v>1.78</v>
      </c>
      <c r="AV301" s="891">
        <v>0.8</v>
      </c>
      <c r="AW301" s="891">
        <v>0.98</v>
      </c>
      <c r="AX301" s="891">
        <v>1.43</v>
      </c>
      <c r="AY301" s="891">
        <v>1.6</v>
      </c>
      <c r="AZ301" s="891">
        <v>1.78</v>
      </c>
      <c r="BA301" s="891">
        <f t="shared" si="12"/>
        <v>222.99</v>
      </c>
      <c r="BB301" s="926">
        <f t="shared" si="13"/>
        <v>22498.399999999998</v>
      </c>
      <c r="BC301" s="926">
        <f t="shared" si="14"/>
        <v>66.119999999999266</v>
      </c>
      <c r="BD301" s="891"/>
      <c r="BE301" s="891"/>
      <c r="BF301" s="891"/>
      <c r="BG301" s="928"/>
      <c r="BH301" s="928"/>
      <c r="BI301" s="928"/>
    </row>
    <row r="302" spans="1:61">
      <c r="A302" s="891" t="s">
        <v>1631</v>
      </c>
      <c r="B302" s="891" t="s">
        <v>611</v>
      </c>
      <c r="C302" s="891" t="s">
        <v>191</v>
      </c>
      <c r="D302" s="891">
        <v>9.17</v>
      </c>
      <c r="E302" s="891">
        <v>45.85</v>
      </c>
      <c r="F302" s="891">
        <v>8.25</v>
      </c>
      <c r="G302" s="891">
        <v>1.83</v>
      </c>
      <c r="H302" s="891">
        <v>3.67</v>
      </c>
      <c r="I302" s="891">
        <v>1.6</v>
      </c>
      <c r="J302" s="891">
        <v>0.92</v>
      </c>
      <c r="K302" s="891">
        <v>1.28</v>
      </c>
      <c r="L302" s="891">
        <v>1.83</v>
      </c>
      <c r="M302" s="891">
        <v>1.83</v>
      </c>
      <c r="N302" s="891">
        <v>10.09</v>
      </c>
      <c r="O302" s="891">
        <v>0.92</v>
      </c>
      <c r="P302" s="891">
        <v>11.46</v>
      </c>
      <c r="Q302" s="891">
        <v>1.6</v>
      </c>
      <c r="R302" s="891">
        <v>2.75</v>
      </c>
      <c r="S302" s="891">
        <v>2.29</v>
      </c>
      <c r="T302" s="891">
        <v>1.38</v>
      </c>
      <c r="U302" s="891">
        <v>4.59</v>
      </c>
      <c r="V302" s="891">
        <v>61.1</v>
      </c>
      <c r="W302" s="891">
        <v>1.37</v>
      </c>
      <c r="X302" s="927">
        <v>26896.65</v>
      </c>
      <c r="Y302" s="891">
        <v>1000</v>
      </c>
      <c r="Z302" s="891">
        <v>650</v>
      </c>
      <c r="AA302" s="891">
        <v>1834.02</v>
      </c>
      <c r="AB302" s="891">
        <v>1375.52</v>
      </c>
      <c r="AC302" s="891">
        <v>114.63</v>
      </c>
      <c r="AD302" s="891">
        <v>0.46</v>
      </c>
      <c r="AE302" s="891">
        <v>34.39</v>
      </c>
      <c r="AF302" s="891">
        <v>91.7</v>
      </c>
      <c r="AG302" s="891">
        <v>47.93</v>
      </c>
      <c r="AH302" s="891">
        <v>9.17</v>
      </c>
      <c r="AI302" s="891">
        <v>100.87</v>
      </c>
      <c r="AJ302" s="891">
        <v>91.7</v>
      </c>
      <c r="AK302" s="891">
        <v>137.55000000000001</v>
      </c>
      <c r="AL302" s="891">
        <v>114.63</v>
      </c>
      <c r="AM302" s="891">
        <v>4624.71</v>
      </c>
      <c r="AN302" s="891">
        <v>2980.28</v>
      </c>
      <c r="AO302" s="891">
        <v>939.94</v>
      </c>
      <c r="AP302" s="891">
        <v>10</v>
      </c>
      <c r="AQ302" s="891">
        <v>2.15</v>
      </c>
      <c r="AR302" s="891">
        <v>0.78</v>
      </c>
      <c r="AS302" s="891">
        <v>9.82</v>
      </c>
      <c r="AT302" s="891">
        <v>2.41</v>
      </c>
      <c r="AU302" s="891">
        <v>1.83</v>
      </c>
      <c r="AV302" s="891">
        <v>1.38</v>
      </c>
      <c r="AW302" s="891">
        <v>0.92</v>
      </c>
      <c r="AX302" s="891">
        <v>2.29</v>
      </c>
      <c r="AY302" s="891">
        <v>1.38</v>
      </c>
      <c r="AZ302" s="891">
        <v>2.25</v>
      </c>
      <c r="BA302" s="891">
        <f t="shared" si="12"/>
        <v>149.47999999999999</v>
      </c>
      <c r="BB302" s="926">
        <f t="shared" si="13"/>
        <v>26973.25</v>
      </c>
      <c r="BC302" s="926">
        <f t="shared" si="14"/>
        <v>75.22999999999854</v>
      </c>
      <c r="BD302" s="891"/>
      <c r="BE302" s="891"/>
      <c r="BF302" s="891"/>
      <c r="BG302" s="928"/>
      <c r="BH302" s="928"/>
      <c r="BI302" s="928"/>
    </row>
    <row r="303" spans="1:61">
      <c r="A303" s="891" t="s">
        <v>1074</v>
      </c>
      <c r="B303" s="891" t="s">
        <v>1573</v>
      </c>
      <c r="C303" s="891" t="s">
        <v>208</v>
      </c>
      <c r="D303" s="891">
        <v>4.8</v>
      </c>
      <c r="E303" s="891">
        <v>26.67</v>
      </c>
      <c r="F303" s="891">
        <v>5.33</v>
      </c>
      <c r="G303" s="891">
        <v>0.8</v>
      </c>
      <c r="H303" s="891">
        <v>1.31</v>
      </c>
      <c r="I303" s="891">
        <v>0.4</v>
      </c>
      <c r="J303" s="891">
        <v>0.27</v>
      </c>
      <c r="K303" s="891">
        <v>1.07</v>
      </c>
      <c r="L303" s="891">
        <v>0.8</v>
      </c>
      <c r="M303" s="891">
        <v>2</v>
      </c>
      <c r="N303" s="891">
        <v>6.4</v>
      </c>
      <c r="O303" s="891">
        <v>0.53</v>
      </c>
      <c r="P303" s="891">
        <v>26.67</v>
      </c>
      <c r="Q303" s="891">
        <v>0.8</v>
      </c>
      <c r="R303" s="891">
        <v>1.2</v>
      </c>
      <c r="S303" s="891">
        <v>2.4</v>
      </c>
      <c r="T303" s="891">
        <v>0.53</v>
      </c>
      <c r="U303" s="891">
        <v>4.8</v>
      </c>
      <c r="V303" s="891">
        <v>33.33</v>
      </c>
      <c r="W303" s="891">
        <v>0.12</v>
      </c>
      <c r="X303" s="927">
        <v>15999.15</v>
      </c>
      <c r="Y303" s="891">
        <v>500</v>
      </c>
      <c r="Z303" s="891">
        <v>309.99</v>
      </c>
      <c r="AA303" s="891">
        <v>866.62</v>
      </c>
      <c r="AB303" s="891">
        <v>566.65</v>
      </c>
      <c r="AC303" s="891">
        <v>35.11</v>
      </c>
      <c r="AD303" s="891">
        <v>0.13</v>
      </c>
      <c r="AE303" s="891">
        <v>66.66</v>
      </c>
      <c r="AF303" s="891">
        <v>83.33</v>
      </c>
      <c r="AG303" s="891">
        <v>28.33</v>
      </c>
      <c r="AH303" s="891">
        <v>121.59</v>
      </c>
      <c r="AI303" s="891">
        <v>61.6</v>
      </c>
      <c r="AJ303" s="891">
        <v>66.66</v>
      </c>
      <c r="AK303" s="891">
        <v>80</v>
      </c>
      <c r="AL303" s="891">
        <v>74.83</v>
      </c>
      <c r="AM303" s="891">
        <v>1666.63</v>
      </c>
      <c r="AN303" s="891">
        <v>1150</v>
      </c>
      <c r="AO303" s="891">
        <v>1999.89</v>
      </c>
      <c r="AP303" s="891">
        <v>4</v>
      </c>
      <c r="AQ303" s="891">
        <v>1.33</v>
      </c>
      <c r="AR303" s="891">
        <v>0.53</v>
      </c>
      <c r="AS303" s="891">
        <v>5.33</v>
      </c>
      <c r="AT303" s="891">
        <v>1.6</v>
      </c>
      <c r="AU303" s="891">
        <v>1.2</v>
      </c>
      <c r="AV303" s="891">
        <v>0.8</v>
      </c>
      <c r="AW303" s="891">
        <v>1.03</v>
      </c>
      <c r="AX303" s="891">
        <v>2.58</v>
      </c>
      <c r="AY303" s="891">
        <v>1.6</v>
      </c>
      <c r="AZ303" s="891">
        <v>1.6</v>
      </c>
      <c r="BA303" s="891">
        <f t="shared" si="12"/>
        <v>101.9</v>
      </c>
      <c r="BB303" s="926">
        <f t="shared" si="13"/>
        <v>16040.32</v>
      </c>
      <c r="BC303" s="926">
        <f t="shared" si="14"/>
        <v>41.050000000000075</v>
      </c>
      <c r="BD303" s="891"/>
      <c r="BE303" s="891"/>
      <c r="BF303" s="891"/>
      <c r="BG303" s="928"/>
      <c r="BH303" s="928"/>
      <c r="BI303" s="928"/>
    </row>
    <row r="304" spans="1:61">
      <c r="A304" s="891" t="s">
        <v>1075</v>
      </c>
      <c r="B304" s="891" t="s">
        <v>1606</v>
      </c>
      <c r="C304" s="891" t="s">
        <v>199</v>
      </c>
      <c r="D304" s="891">
        <v>9</v>
      </c>
      <c r="E304" s="891">
        <v>45</v>
      </c>
      <c r="F304" s="891">
        <v>7</v>
      </c>
      <c r="G304" s="891">
        <v>3</v>
      </c>
      <c r="H304" s="891">
        <v>4</v>
      </c>
      <c r="I304" s="891">
        <v>1.79</v>
      </c>
      <c r="J304" s="891">
        <v>1.5</v>
      </c>
      <c r="K304" s="891">
        <v>0.68</v>
      </c>
      <c r="L304" s="891">
        <v>2.54</v>
      </c>
      <c r="M304" s="891">
        <v>1.59</v>
      </c>
      <c r="N304" s="891">
        <v>9.6300000000000008</v>
      </c>
      <c r="O304" s="891">
        <v>1.94</v>
      </c>
      <c r="P304" s="891">
        <v>14.5</v>
      </c>
      <c r="Q304" s="891">
        <v>2</v>
      </c>
      <c r="R304" s="891">
        <v>2.37</v>
      </c>
      <c r="S304" s="891">
        <v>9.9</v>
      </c>
      <c r="T304" s="891">
        <v>1</v>
      </c>
      <c r="U304" s="891">
        <v>4.46</v>
      </c>
      <c r="V304" s="891">
        <v>46.5</v>
      </c>
      <c r="W304" s="891">
        <v>1.03</v>
      </c>
      <c r="X304" s="927">
        <v>24000</v>
      </c>
      <c r="Y304" s="891">
        <v>650</v>
      </c>
      <c r="Z304" s="891">
        <v>712.5</v>
      </c>
      <c r="AA304" s="891">
        <v>1100</v>
      </c>
      <c r="AB304" s="891">
        <v>1400</v>
      </c>
      <c r="AC304" s="891">
        <v>125</v>
      </c>
      <c r="AD304" s="891">
        <v>0.06</v>
      </c>
      <c r="AE304" s="891">
        <v>45.92</v>
      </c>
      <c r="AF304" s="891">
        <v>30</v>
      </c>
      <c r="AG304" s="891">
        <v>15</v>
      </c>
      <c r="AH304" s="891">
        <v>9.5</v>
      </c>
      <c r="AI304" s="891">
        <v>35</v>
      </c>
      <c r="AJ304" s="891">
        <v>30</v>
      </c>
      <c r="AK304" s="891">
        <v>65</v>
      </c>
      <c r="AL304" s="891">
        <v>70</v>
      </c>
      <c r="AM304" s="891">
        <v>920</v>
      </c>
      <c r="AN304" s="891">
        <v>680</v>
      </c>
      <c r="AO304" s="891">
        <v>1700</v>
      </c>
      <c r="AP304" s="891">
        <v>5.32</v>
      </c>
      <c r="AQ304" s="891">
        <v>3</v>
      </c>
      <c r="AR304" s="891">
        <v>1.86</v>
      </c>
      <c r="AS304" s="891">
        <v>20.5</v>
      </c>
      <c r="AT304" s="891">
        <v>3.05</v>
      </c>
      <c r="AU304" s="891">
        <v>4.82</v>
      </c>
      <c r="AV304" s="891">
        <v>2.99</v>
      </c>
      <c r="AW304" s="891">
        <v>1.69</v>
      </c>
      <c r="AX304" s="891">
        <v>3.5</v>
      </c>
      <c r="AY304" s="891">
        <v>2.2000000000000002</v>
      </c>
      <c r="AZ304" s="891">
        <v>3.38</v>
      </c>
      <c r="BA304" s="891">
        <f t="shared" si="12"/>
        <v>170.98000000000002</v>
      </c>
      <c r="BB304" s="926">
        <f t="shared" si="13"/>
        <v>24073.89</v>
      </c>
      <c r="BC304" s="926">
        <f t="shared" si="14"/>
        <v>72.859999999999417</v>
      </c>
      <c r="BD304" s="891"/>
      <c r="BE304" s="891"/>
      <c r="BF304" s="891"/>
      <c r="BG304" s="928"/>
      <c r="BH304" s="928"/>
      <c r="BI304" s="928"/>
    </row>
    <row r="305" spans="1:61">
      <c r="A305" s="891" t="s">
        <v>1076</v>
      </c>
      <c r="B305" s="891" t="s">
        <v>563</v>
      </c>
      <c r="C305" s="891" t="s">
        <v>101</v>
      </c>
      <c r="D305" s="891">
        <v>20.32</v>
      </c>
      <c r="E305" s="891">
        <v>67.73</v>
      </c>
      <c r="F305" s="891">
        <v>9.48</v>
      </c>
      <c r="G305" s="891">
        <v>6.77</v>
      </c>
      <c r="H305" s="891">
        <v>5.42</v>
      </c>
      <c r="I305" s="891">
        <v>2.0299999999999998</v>
      </c>
      <c r="J305" s="891">
        <v>1.35</v>
      </c>
      <c r="K305" s="891">
        <v>2.0299999999999998</v>
      </c>
      <c r="L305" s="891">
        <v>2.0299999999999998</v>
      </c>
      <c r="M305" s="891">
        <v>2.71</v>
      </c>
      <c r="N305" s="891">
        <v>13.55</v>
      </c>
      <c r="O305" s="891">
        <v>0.68</v>
      </c>
      <c r="P305" s="891">
        <v>6.77</v>
      </c>
      <c r="Q305" s="891">
        <v>1.69</v>
      </c>
      <c r="R305" s="891">
        <v>2.71</v>
      </c>
      <c r="S305" s="891">
        <v>6.77</v>
      </c>
      <c r="T305" s="891">
        <v>2.0299999999999998</v>
      </c>
      <c r="U305" s="891">
        <v>10.84</v>
      </c>
      <c r="V305" s="891">
        <v>47.41</v>
      </c>
      <c r="W305" s="891">
        <v>2.44</v>
      </c>
      <c r="X305" s="927">
        <v>24383.64</v>
      </c>
      <c r="Y305" s="891">
        <v>1354.65</v>
      </c>
      <c r="Z305" s="891">
        <v>948.25</v>
      </c>
      <c r="AA305" s="891">
        <v>3386.62</v>
      </c>
      <c r="AB305" s="891">
        <v>1625.58</v>
      </c>
      <c r="AC305" s="891">
        <v>203.2</v>
      </c>
      <c r="AD305" s="891">
        <v>0.21</v>
      </c>
      <c r="AE305" s="891">
        <v>33.869999999999997</v>
      </c>
      <c r="AF305" s="891">
        <v>81.28</v>
      </c>
      <c r="AG305" s="891">
        <v>14.9</v>
      </c>
      <c r="AH305" s="891">
        <v>10.84</v>
      </c>
      <c r="AI305" s="891">
        <v>135.46</v>
      </c>
      <c r="AJ305" s="891">
        <v>54.19</v>
      </c>
      <c r="AK305" s="891">
        <v>135.46</v>
      </c>
      <c r="AL305" s="891">
        <v>128.69</v>
      </c>
      <c r="AM305" s="891">
        <v>14223.79</v>
      </c>
      <c r="AN305" s="891">
        <v>6095.91</v>
      </c>
      <c r="AO305" s="891">
        <v>1950.69</v>
      </c>
      <c r="AP305" s="891">
        <v>5</v>
      </c>
      <c r="AQ305" s="891">
        <v>4.74</v>
      </c>
      <c r="AR305" s="891">
        <v>1.49</v>
      </c>
      <c r="AS305" s="891">
        <v>34.340000000000003</v>
      </c>
      <c r="AT305" s="891">
        <v>2.44</v>
      </c>
      <c r="AU305" s="891">
        <v>1.96</v>
      </c>
      <c r="AV305" s="891">
        <v>1.35</v>
      </c>
      <c r="AW305" s="891">
        <v>1.35</v>
      </c>
      <c r="AX305" s="891">
        <v>1.49</v>
      </c>
      <c r="AY305" s="891">
        <v>2.71</v>
      </c>
      <c r="AZ305" s="891">
        <v>2.71</v>
      </c>
      <c r="BA305" s="891">
        <f t="shared" si="12"/>
        <v>237.28</v>
      </c>
      <c r="BB305" s="926">
        <f t="shared" si="13"/>
        <v>24476.090000000004</v>
      </c>
      <c r="BC305" s="926">
        <f t="shared" si="14"/>
        <v>90.010000000004368</v>
      </c>
      <c r="BD305" s="891"/>
      <c r="BE305" s="891"/>
      <c r="BF305" s="891"/>
      <c r="BG305" s="928"/>
      <c r="BH305" s="928"/>
      <c r="BI305" s="928"/>
    </row>
    <row r="306" spans="1:61">
      <c r="A306" s="891" t="s">
        <v>1077</v>
      </c>
      <c r="B306" s="891" t="s">
        <v>556</v>
      </c>
      <c r="C306" s="891" t="s">
        <v>280</v>
      </c>
      <c r="D306" s="891">
        <v>9.2799999999999994</v>
      </c>
      <c r="E306" s="891">
        <v>30.92</v>
      </c>
      <c r="F306" s="891">
        <v>9.2799999999999994</v>
      </c>
      <c r="G306" s="891">
        <v>1.24</v>
      </c>
      <c r="H306" s="891">
        <v>1.86</v>
      </c>
      <c r="I306" s="891">
        <v>1.08</v>
      </c>
      <c r="J306" s="891">
        <v>0.77</v>
      </c>
      <c r="K306" s="891">
        <v>1.08</v>
      </c>
      <c r="L306" s="891">
        <v>0.46</v>
      </c>
      <c r="M306" s="891">
        <v>1.42</v>
      </c>
      <c r="N306" s="891">
        <v>9.0399999999999991</v>
      </c>
      <c r="O306" s="891">
        <v>0.93</v>
      </c>
      <c r="P306" s="891">
        <v>7.73</v>
      </c>
      <c r="Q306" s="891">
        <v>1.21</v>
      </c>
      <c r="R306" s="891">
        <v>1.7</v>
      </c>
      <c r="S306" s="891">
        <v>1.86</v>
      </c>
      <c r="T306" s="891">
        <v>0.53</v>
      </c>
      <c r="U306" s="891">
        <v>5.57</v>
      </c>
      <c r="V306" s="891">
        <v>27.83</v>
      </c>
      <c r="W306" s="891">
        <v>0.93</v>
      </c>
      <c r="X306" s="927">
        <v>21645.69</v>
      </c>
      <c r="Y306" s="891">
        <v>618.45000000000005</v>
      </c>
      <c r="Z306" s="891">
        <v>463.84</v>
      </c>
      <c r="AA306" s="891">
        <v>1314.2</v>
      </c>
      <c r="AB306" s="891">
        <v>803.98</v>
      </c>
      <c r="AC306" s="891">
        <v>204.43</v>
      </c>
      <c r="AD306" s="891">
        <v>0.03</v>
      </c>
      <c r="AE306" s="891">
        <v>15.46</v>
      </c>
      <c r="AF306" s="891">
        <v>51.41</v>
      </c>
      <c r="AG306" s="891">
        <v>13.14</v>
      </c>
      <c r="AH306" s="891">
        <v>8.0399999999999991</v>
      </c>
      <c r="AI306" s="891">
        <v>123.69</v>
      </c>
      <c r="AJ306" s="891">
        <v>77.31</v>
      </c>
      <c r="AK306" s="891">
        <v>154.61000000000001</v>
      </c>
      <c r="AL306" s="891">
        <v>77.31</v>
      </c>
      <c r="AM306" s="891">
        <v>1546.12</v>
      </c>
      <c r="AN306" s="891">
        <v>1236.9000000000001</v>
      </c>
      <c r="AO306" s="891">
        <v>672.56</v>
      </c>
      <c r="AP306" s="891">
        <v>13</v>
      </c>
      <c r="AQ306" s="891">
        <v>3.09</v>
      </c>
      <c r="AR306" s="891">
        <v>0.7</v>
      </c>
      <c r="AS306" s="891">
        <v>18.55</v>
      </c>
      <c r="AT306" s="891">
        <v>1.31</v>
      </c>
      <c r="AU306" s="891">
        <v>1.55</v>
      </c>
      <c r="AV306" s="891">
        <v>0.74</v>
      </c>
      <c r="AW306" s="891">
        <v>1.24</v>
      </c>
      <c r="AX306" s="891">
        <v>2.16</v>
      </c>
      <c r="AY306" s="891">
        <v>1.24</v>
      </c>
      <c r="AZ306" s="891">
        <v>1.86</v>
      </c>
      <c r="BA306" s="891">
        <f t="shared" si="12"/>
        <v>219.92000000000002</v>
      </c>
      <c r="BB306" s="926">
        <f t="shared" si="13"/>
        <v>21697.32</v>
      </c>
      <c r="BC306" s="926">
        <f t="shared" si="14"/>
        <v>50.700000000001019</v>
      </c>
      <c r="BD306" s="891"/>
      <c r="BE306" s="891"/>
      <c r="BF306" s="891"/>
      <c r="BG306" s="928"/>
      <c r="BH306" s="928"/>
      <c r="BI306" s="928"/>
    </row>
    <row r="307" spans="1:61">
      <c r="A307" s="891" t="s">
        <v>1078</v>
      </c>
      <c r="B307" s="891" t="s">
        <v>590</v>
      </c>
      <c r="C307" s="891" t="s">
        <v>89</v>
      </c>
      <c r="D307" s="891">
        <v>14.9</v>
      </c>
      <c r="E307" s="891">
        <v>88.05</v>
      </c>
      <c r="F307" s="891">
        <v>9.14</v>
      </c>
      <c r="G307" s="891">
        <v>5.42</v>
      </c>
      <c r="H307" s="891">
        <v>4.0599999999999996</v>
      </c>
      <c r="I307" s="891">
        <v>2.71</v>
      </c>
      <c r="J307" s="891">
        <v>2.0299999999999998</v>
      </c>
      <c r="K307" s="891">
        <v>1.08</v>
      </c>
      <c r="L307" s="891">
        <v>1.75</v>
      </c>
      <c r="M307" s="891">
        <v>2.71</v>
      </c>
      <c r="N307" s="891">
        <v>10.82</v>
      </c>
      <c r="O307" s="891">
        <v>0.88</v>
      </c>
      <c r="P307" s="891">
        <v>6.77</v>
      </c>
      <c r="Q307" s="891">
        <v>1.08</v>
      </c>
      <c r="R307" s="891">
        <v>1.35</v>
      </c>
      <c r="S307" s="891">
        <v>8.1300000000000008</v>
      </c>
      <c r="T307" s="891">
        <v>4.0599999999999996</v>
      </c>
      <c r="U307" s="891">
        <v>8.81</v>
      </c>
      <c r="V307" s="891">
        <v>67.73</v>
      </c>
      <c r="W307" s="891">
        <v>2.41</v>
      </c>
      <c r="X307" s="927">
        <v>33046.6</v>
      </c>
      <c r="Y307" s="891">
        <v>1015.98</v>
      </c>
      <c r="Z307" s="891">
        <v>812.79</v>
      </c>
      <c r="AA307" s="891">
        <v>1625.58</v>
      </c>
      <c r="AB307" s="891">
        <v>1320.78</v>
      </c>
      <c r="AC307" s="891">
        <v>203.2</v>
      </c>
      <c r="AD307" s="891">
        <v>0.27</v>
      </c>
      <c r="AE307" s="891">
        <v>27.09</v>
      </c>
      <c r="AF307" s="891">
        <v>42.67</v>
      </c>
      <c r="AG307" s="891">
        <v>15.92</v>
      </c>
      <c r="AH307" s="891">
        <v>13.21</v>
      </c>
      <c r="AI307" s="891">
        <v>121.92</v>
      </c>
      <c r="AJ307" s="891">
        <v>47.41</v>
      </c>
      <c r="AK307" s="891">
        <v>108.37</v>
      </c>
      <c r="AL307" s="891">
        <v>149.01</v>
      </c>
      <c r="AM307" s="891">
        <v>2709.29</v>
      </c>
      <c r="AN307" s="891">
        <v>2167.4299999999998</v>
      </c>
      <c r="AO307" s="891">
        <v>2980.22</v>
      </c>
      <c r="AP307" s="891">
        <v>4.55</v>
      </c>
      <c r="AQ307" s="891">
        <v>3.62</v>
      </c>
      <c r="AR307" s="891">
        <v>2.61</v>
      </c>
      <c r="AS307" s="891">
        <v>26.82</v>
      </c>
      <c r="AT307" s="891">
        <v>2.71</v>
      </c>
      <c r="AU307" s="891">
        <v>2.71</v>
      </c>
      <c r="AV307" s="891">
        <v>1.35</v>
      </c>
      <c r="AW307" s="891">
        <v>1.35</v>
      </c>
      <c r="AX307" s="891">
        <v>3.32</v>
      </c>
      <c r="AY307" s="891">
        <v>2.64</v>
      </c>
      <c r="AZ307" s="891">
        <v>2.0299999999999998</v>
      </c>
      <c r="BA307" s="891">
        <f t="shared" si="12"/>
        <v>230.56</v>
      </c>
      <c r="BB307" s="926">
        <f t="shared" si="13"/>
        <v>33153.85</v>
      </c>
      <c r="BC307" s="926">
        <f t="shared" si="14"/>
        <v>104.84</v>
      </c>
      <c r="BD307" s="891"/>
      <c r="BE307" s="891"/>
      <c r="BF307" s="891"/>
      <c r="BG307" s="928"/>
      <c r="BH307" s="928"/>
      <c r="BI307" s="928"/>
    </row>
    <row r="308" spans="1:61">
      <c r="A308" s="891" t="s">
        <v>1079</v>
      </c>
      <c r="B308" s="891" t="s">
        <v>629</v>
      </c>
      <c r="C308" s="891" t="s">
        <v>347</v>
      </c>
      <c r="D308" s="891">
        <v>4.8499999999999996</v>
      </c>
      <c r="E308" s="891">
        <v>19.39</v>
      </c>
      <c r="F308" s="891">
        <v>6.46</v>
      </c>
      <c r="G308" s="891">
        <v>1.62</v>
      </c>
      <c r="H308" s="891">
        <v>1.94</v>
      </c>
      <c r="I308" s="891">
        <v>1.29</v>
      </c>
      <c r="J308" s="891">
        <v>0.97</v>
      </c>
      <c r="K308" s="891">
        <v>0.81</v>
      </c>
      <c r="L308" s="891">
        <v>0.71</v>
      </c>
      <c r="M308" s="891">
        <v>1.78</v>
      </c>
      <c r="N308" s="891">
        <v>5.82</v>
      </c>
      <c r="O308" s="891">
        <v>0.48</v>
      </c>
      <c r="P308" s="891">
        <v>6.46</v>
      </c>
      <c r="Q308" s="891">
        <v>0.81</v>
      </c>
      <c r="R308" s="891">
        <v>1.26</v>
      </c>
      <c r="S308" s="891">
        <v>3.88</v>
      </c>
      <c r="T308" s="891">
        <v>0.84</v>
      </c>
      <c r="U308" s="891">
        <v>5.17</v>
      </c>
      <c r="V308" s="891">
        <v>32.32</v>
      </c>
      <c r="W308" s="891">
        <v>1.85</v>
      </c>
      <c r="X308" s="927">
        <v>22303.39</v>
      </c>
      <c r="Y308" s="891">
        <v>420.21</v>
      </c>
      <c r="Z308" s="891">
        <v>355.56</v>
      </c>
      <c r="AA308" s="891">
        <v>614.15</v>
      </c>
      <c r="AB308" s="891">
        <v>484.86</v>
      </c>
      <c r="AC308" s="891">
        <v>113.13</v>
      </c>
      <c r="AD308" s="891">
        <v>0.1</v>
      </c>
      <c r="AE308" s="891">
        <v>12.93</v>
      </c>
      <c r="AF308" s="891">
        <v>32.32</v>
      </c>
      <c r="AG308" s="891">
        <v>5.82</v>
      </c>
      <c r="AH308" s="891">
        <v>6.46</v>
      </c>
      <c r="AI308" s="891">
        <v>54.95</v>
      </c>
      <c r="AJ308" s="891">
        <v>64.650000000000006</v>
      </c>
      <c r="AK308" s="891">
        <v>80.81</v>
      </c>
      <c r="AL308" s="891">
        <v>80.81</v>
      </c>
      <c r="AM308" s="891">
        <v>1632.35</v>
      </c>
      <c r="AN308" s="891">
        <v>1422.25</v>
      </c>
      <c r="AO308" s="891">
        <v>646.48</v>
      </c>
      <c r="AP308" s="891">
        <v>4</v>
      </c>
      <c r="AQ308" s="891">
        <v>1.62</v>
      </c>
      <c r="AR308" s="891">
        <v>0.79</v>
      </c>
      <c r="AS308" s="891">
        <v>12.93</v>
      </c>
      <c r="AT308" s="891">
        <v>0.97</v>
      </c>
      <c r="AU308" s="891">
        <v>1.62</v>
      </c>
      <c r="AV308" s="891">
        <v>0.32</v>
      </c>
      <c r="AW308" s="891">
        <v>0.81</v>
      </c>
      <c r="AX308" s="891">
        <v>1.62</v>
      </c>
      <c r="AY308" s="891">
        <v>0.78</v>
      </c>
      <c r="AZ308" s="891">
        <v>1.62</v>
      </c>
      <c r="BA308" s="891">
        <f t="shared" si="12"/>
        <v>126.16</v>
      </c>
      <c r="BB308" s="926">
        <f t="shared" si="13"/>
        <v>22353.739999999998</v>
      </c>
      <c r="BC308" s="926">
        <f t="shared" si="14"/>
        <v>48.499999999998543</v>
      </c>
      <c r="BD308" s="891"/>
      <c r="BE308" s="891"/>
      <c r="BF308" s="891"/>
      <c r="BG308" s="928"/>
      <c r="BH308" s="928"/>
      <c r="BI308" s="928"/>
    </row>
    <row r="309" spans="1:61">
      <c r="A309" s="891" t="s">
        <v>1080</v>
      </c>
      <c r="B309" s="891" t="s">
        <v>1606</v>
      </c>
      <c r="C309" s="891" t="s">
        <v>120</v>
      </c>
      <c r="D309" s="891">
        <v>10</v>
      </c>
      <c r="E309" s="891">
        <v>50</v>
      </c>
      <c r="F309" s="891">
        <v>6</v>
      </c>
      <c r="G309" s="891">
        <v>3.72</v>
      </c>
      <c r="H309" s="891">
        <v>5</v>
      </c>
      <c r="I309" s="891">
        <v>1.59</v>
      </c>
      <c r="J309" s="891">
        <v>1.5</v>
      </c>
      <c r="K309" s="891">
        <v>1.06</v>
      </c>
      <c r="L309" s="891">
        <v>3</v>
      </c>
      <c r="M309" s="891">
        <v>2.5</v>
      </c>
      <c r="N309" s="891">
        <v>9.9600000000000009</v>
      </c>
      <c r="O309" s="891">
        <v>2</v>
      </c>
      <c r="P309" s="891">
        <v>13</v>
      </c>
      <c r="Q309" s="891">
        <v>3</v>
      </c>
      <c r="R309" s="891">
        <v>4.5</v>
      </c>
      <c r="S309" s="891">
        <v>6</v>
      </c>
      <c r="T309" s="891">
        <v>2.5</v>
      </c>
      <c r="U309" s="891">
        <v>11</v>
      </c>
      <c r="V309" s="891">
        <v>100</v>
      </c>
      <c r="W309" s="891">
        <v>1.03</v>
      </c>
      <c r="X309" s="927">
        <v>25000</v>
      </c>
      <c r="Y309" s="891">
        <v>850</v>
      </c>
      <c r="Z309" s="891">
        <v>800</v>
      </c>
      <c r="AA309" s="891">
        <v>1600</v>
      </c>
      <c r="AB309" s="891">
        <v>1200</v>
      </c>
      <c r="AC309" s="891">
        <v>152.49</v>
      </c>
      <c r="AD309" s="891">
        <v>0.18</v>
      </c>
      <c r="AE309" s="891">
        <v>40</v>
      </c>
      <c r="AF309" s="891">
        <v>49</v>
      </c>
      <c r="AG309" s="891">
        <v>30</v>
      </c>
      <c r="AH309" s="891">
        <v>10</v>
      </c>
      <c r="AI309" s="891">
        <v>40</v>
      </c>
      <c r="AJ309" s="891">
        <v>49</v>
      </c>
      <c r="AK309" s="891">
        <v>72.5</v>
      </c>
      <c r="AL309" s="891">
        <v>80</v>
      </c>
      <c r="AM309" s="891">
        <v>2092.89</v>
      </c>
      <c r="AN309" s="891">
        <v>968.75</v>
      </c>
      <c r="AO309" s="891">
        <v>3630</v>
      </c>
      <c r="AP309" s="891">
        <v>4</v>
      </c>
      <c r="AQ309" s="891">
        <v>4.38</v>
      </c>
      <c r="AR309" s="891">
        <v>1.55</v>
      </c>
      <c r="AS309" s="891">
        <v>26.5</v>
      </c>
      <c r="AT309" s="891">
        <v>4.41</v>
      </c>
      <c r="AU309" s="891">
        <v>4.41</v>
      </c>
      <c r="AV309" s="891">
        <v>1.84</v>
      </c>
      <c r="AW309" s="891">
        <v>1.79</v>
      </c>
      <c r="AX309" s="891">
        <v>4</v>
      </c>
      <c r="AY309" s="891">
        <v>2.2000000000000002</v>
      </c>
      <c r="AZ309" s="891">
        <v>4.4000000000000004</v>
      </c>
      <c r="BA309" s="891">
        <f t="shared" si="12"/>
        <v>192.67000000000002</v>
      </c>
      <c r="BB309" s="926">
        <f t="shared" si="13"/>
        <v>25135.96</v>
      </c>
      <c r="BC309" s="926">
        <f t="shared" si="14"/>
        <v>134.92999999999913</v>
      </c>
      <c r="BD309" s="891"/>
      <c r="BE309" s="891"/>
      <c r="BF309" s="891"/>
      <c r="BG309" s="928"/>
      <c r="BH309" s="928"/>
      <c r="BI309" s="928"/>
    </row>
    <row r="310" spans="1:61">
      <c r="A310" s="891" t="s">
        <v>1632</v>
      </c>
      <c r="B310" s="891" t="s">
        <v>1606</v>
      </c>
      <c r="C310" s="891" t="s">
        <v>213</v>
      </c>
      <c r="D310" s="891">
        <v>10</v>
      </c>
      <c r="E310" s="891">
        <v>40</v>
      </c>
      <c r="F310" s="891">
        <v>5.5</v>
      </c>
      <c r="G310" s="891">
        <v>3</v>
      </c>
      <c r="H310" s="891">
        <v>4.5</v>
      </c>
      <c r="I310" s="891">
        <v>1.5</v>
      </c>
      <c r="J310" s="891">
        <v>1</v>
      </c>
      <c r="K310" s="891">
        <v>0.94</v>
      </c>
      <c r="L310" s="891">
        <v>2</v>
      </c>
      <c r="M310" s="891">
        <v>2</v>
      </c>
      <c r="N310" s="891">
        <v>9.4600000000000009</v>
      </c>
      <c r="O310" s="891">
        <v>1.66</v>
      </c>
      <c r="P310" s="891">
        <v>10</v>
      </c>
      <c r="Q310" s="891">
        <v>2</v>
      </c>
      <c r="R310" s="891">
        <v>3.25</v>
      </c>
      <c r="S310" s="891">
        <v>5.05</v>
      </c>
      <c r="T310" s="891">
        <v>2</v>
      </c>
      <c r="U310" s="891">
        <v>6.81</v>
      </c>
      <c r="V310" s="891">
        <v>70</v>
      </c>
      <c r="W310" s="891">
        <v>0.93</v>
      </c>
      <c r="X310" s="927">
        <v>18950</v>
      </c>
      <c r="Y310" s="891">
        <v>880</v>
      </c>
      <c r="Z310" s="891">
        <v>600</v>
      </c>
      <c r="AA310" s="891">
        <v>2000</v>
      </c>
      <c r="AB310" s="891">
        <v>1300</v>
      </c>
      <c r="AC310" s="891">
        <v>206.25</v>
      </c>
      <c r="AD310" s="891">
        <v>0.05</v>
      </c>
      <c r="AE310" s="891">
        <v>34.5</v>
      </c>
      <c r="AF310" s="891">
        <v>30</v>
      </c>
      <c r="AG310" s="891">
        <v>10</v>
      </c>
      <c r="AH310" s="891">
        <v>9.5</v>
      </c>
      <c r="AI310" s="891">
        <v>36.75</v>
      </c>
      <c r="AJ310" s="891">
        <v>26.5</v>
      </c>
      <c r="AK310" s="891">
        <v>80</v>
      </c>
      <c r="AL310" s="891">
        <v>77.5</v>
      </c>
      <c r="AM310" s="891">
        <v>1103.3</v>
      </c>
      <c r="AN310" s="891">
        <v>811.38</v>
      </c>
      <c r="AO310" s="891">
        <v>3390</v>
      </c>
      <c r="AP310" s="891">
        <v>3.67</v>
      </c>
      <c r="AQ310" s="891">
        <v>3</v>
      </c>
      <c r="AR310" s="891">
        <v>1.22</v>
      </c>
      <c r="AS310" s="891">
        <v>22</v>
      </c>
      <c r="AT310" s="891">
        <v>3</v>
      </c>
      <c r="AU310" s="891">
        <v>2.7</v>
      </c>
      <c r="AV310" s="891">
        <v>2.76</v>
      </c>
      <c r="AW310" s="891">
        <v>1.43</v>
      </c>
      <c r="AX310" s="891">
        <v>3</v>
      </c>
      <c r="AY310" s="891">
        <v>2.5499999999999998</v>
      </c>
      <c r="AZ310" s="891">
        <v>3</v>
      </c>
      <c r="BA310" s="891">
        <f t="shared" si="12"/>
        <v>240.8</v>
      </c>
      <c r="BB310" s="926">
        <f t="shared" si="13"/>
        <v>19049.150000000001</v>
      </c>
      <c r="BC310" s="926">
        <f t="shared" si="14"/>
        <v>98.220000000001448</v>
      </c>
      <c r="BD310" s="891"/>
      <c r="BE310" s="891"/>
      <c r="BF310" s="891"/>
      <c r="BG310" s="928"/>
      <c r="BH310" s="928"/>
      <c r="BI310" s="928"/>
    </row>
    <row r="311" spans="1:61">
      <c r="A311" s="891" t="s">
        <v>1633</v>
      </c>
      <c r="B311" s="891" t="s">
        <v>556</v>
      </c>
      <c r="C311" s="891" t="s">
        <v>244</v>
      </c>
      <c r="D311" s="891">
        <v>10.82</v>
      </c>
      <c r="E311" s="891">
        <v>46.38</v>
      </c>
      <c r="F311" s="891">
        <v>7.73</v>
      </c>
      <c r="G311" s="891">
        <v>1.86</v>
      </c>
      <c r="H311" s="891">
        <v>3.09</v>
      </c>
      <c r="I311" s="891">
        <v>1.24</v>
      </c>
      <c r="J311" s="891">
        <v>0.93</v>
      </c>
      <c r="K311" s="891">
        <v>1.24</v>
      </c>
      <c r="L311" s="891">
        <v>0.93</v>
      </c>
      <c r="M311" s="891">
        <v>1.55</v>
      </c>
      <c r="N311" s="891">
        <v>9.2799999999999994</v>
      </c>
      <c r="O311" s="891">
        <v>1</v>
      </c>
      <c r="P311" s="891">
        <v>9.2799999999999994</v>
      </c>
      <c r="Q311" s="891">
        <v>1.24</v>
      </c>
      <c r="R311" s="891">
        <v>2.4700000000000002</v>
      </c>
      <c r="S311" s="891">
        <v>1.86</v>
      </c>
      <c r="T311" s="891">
        <v>0.83</v>
      </c>
      <c r="U311" s="891">
        <v>5.88</v>
      </c>
      <c r="V311" s="891">
        <v>48.86</v>
      </c>
      <c r="W311" s="891">
        <v>0.96</v>
      </c>
      <c r="X311" s="927">
        <v>21645.69</v>
      </c>
      <c r="Y311" s="891">
        <v>927.67</v>
      </c>
      <c r="Z311" s="891">
        <v>618.45000000000005</v>
      </c>
      <c r="AA311" s="891">
        <v>1546.12</v>
      </c>
      <c r="AB311" s="891">
        <v>1082.28</v>
      </c>
      <c r="AC311" s="891">
        <v>156.16</v>
      </c>
      <c r="AD311" s="891">
        <v>0.03</v>
      </c>
      <c r="AE311" s="891">
        <v>12.37</v>
      </c>
      <c r="AF311" s="891">
        <v>43.81</v>
      </c>
      <c r="AG311" s="891">
        <v>18.55</v>
      </c>
      <c r="AH311" s="891">
        <v>9.2799999999999994</v>
      </c>
      <c r="AI311" s="891">
        <v>123.69</v>
      </c>
      <c r="AJ311" s="891">
        <v>46.38</v>
      </c>
      <c r="AK311" s="891">
        <v>108.23</v>
      </c>
      <c r="AL311" s="891">
        <v>108.23</v>
      </c>
      <c r="AM311" s="891">
        <v>3401.47</v>
      </c>
      <c r="AN311" s="891">
        <v>2319.1799999999998</v>
      </c>
      <c r="AO311" s="891">
        <v>927.67</v>
      </c>
      <c r="AP311" s="891">
        <v>14</v>
      </c>
      <c r="AQ311" s="891">
        <v>7.73</v>
      </c>
      <c r="AR311" s="891">
        <v>0.93</v>
      </c>
      <c r="AS311" s="891">
        <v>11.91</v>
      </c>
      <c r="AT311" s="891">
        <v>1.86</v>
      </c>
      <c r="AU311" s="891">
        <v>1.86</v>
      </c>
      <c r="AV311" s="891">
        <v>0.93</v>
      </c>
      <c r="AW311" s="891">
        <v>1.24</v>
      </c>
      <c r="AX311" s="891">
        <v>3.09</v>
      </c>
      <c r="AY311" s="891">
        <v>1.24</v>
      </c>
      <c r="AZ311" s="891">
        <v>2.3199999999999998</v>
      </c>
      <c r="BA311" s="891">
        <f t="shared" si="12"/>
        <v>168.56</v>
      </c>
      <c r="BB311" s="926">
        <f t="shared" si="13"/>
        <v>21716.91</v>
      </c>
      <c r="BC311" s="926">
        <f t="shared" si="14"/>
        <v>70.26000000000117</v>
      </c>
      <c r="BD311" s="891"/>
      <c r="BE311" s="891"/>
      <c r="BF311" s="891"/>
      <c r="BG311" s="928"/>
      <c r="BH311" s="928"/>
      <c r="BI311" s="928"/>
    </row>
    <row r="312" spans="1:61">
      <c r="A312" s="891" t="s">
        <v>1634</v>
      </c>
      <c r="B312" s="891" t="s">
        <v>1606</v>
      </c>
      <c r="C312" s="891" t="s">
        <v>198</v>
      </c>
      <c r="D312" s="891">
        <v>10</v>
      </c>
      <c r="E312" s="891">
        <v>40</v>
      </c>
      <c r="F312" s="891">
        <v>6</v>
      </c>
      <c r="G312" s="891">
        <v>4</v>
      </c>
      <c r="H312" s="891">
        <v>5</v>
      </c>
      <c r="I312" s="891">
        <v>1.54</v>
      </c>
      <c r="J312" s="891">
        <v>1</v>
      </c>
      <c r="K312" s="891">
        <v>0.79</v>
      </c>
      <c r="L312" s="891">
        <v>2.2000000000000002</v>
      </c>
      <c r="M312" s="891">
        <v>2</v>
      </c>
      <c r="N312" s="891">
        <v>11.02</v>
      </c>
      <c r="O312" s="891">
        <v>1.6</v>
      </c>
      <c r="P312" s="891">
        <v>13</v>
      </c>
      <c r="Q312" s="891">
        <v>1.25</v>
      </c>
      <c r="R312" s="891">
        <v>2</v>
      </c>
      <c r="S312" s="891">
        <v>6</v>
      </c>
      <c r="T312" s="891">
        <v>2.5</v>
      </c>
      <c r="U312" s="891">
        <v>7.71</v>
      </c>
      <c r="V312" s="891">
        <v>79.25</v>
      </c>
      <c r="W312" s="891">
        <v>0.92</v>
      </c>
      <c r="X312" s="927">
        <v>22000</v>
      </c>
      <c r="Y312" s="891">
        <v>650</v>
      </c>
      <c r="Z312" s="891">
        <v>653.5</v>
      </c>
      <c r="AA312" s="891">
        <v>1300</v>
      </c>
      <c r="AB312" s="891">
        <v>1200</v>
      </c>
      <c r="AC312" s="891">
        <v>114.03</v>
      </c>
      <c r="AD312" s="891">
        <v>0.36</v>
      </c>
      <c r="AE312" s="891">
        <v>50</v>
      </c>
      <c r="AF312" s="891">
        <v>30</v>
      </c>
      <c r="AG312" s="891">
        <v>15</v>
      </c>
      <c r="AH312" s="891">
        <v>8.25</v>
      </c>
      <c r="AI312" s="891">
        <v>40</v>
      </c>
      <c r="AJ312" s="891">
        <v>34.5</v>
      </c>
      <c r="AK312" s="891">
        <v>92.5</v>
      </c>
      <c r="AL312" s="891">
        <v>85</v>
      </c>
      <c r="AM312" s="891">
        <v>1560.77</v>
      </c>
      <c r="AN312" s="891">
        <v>941.84</v>
      </c>
      <c r="AO312" s="891">
        <v>3077</v>
      </c>
      <c r="AP312" s="891">
        <v>4</v>
      </c>
      <c r="AQ312" s="891">
        <v>2</v>
      </c>
      <c r="AR312" s="891">
        <v>1.07</v>
      </c>
      <c r="AS312" s="891">
        <v>22</v>
      </c>
      <c r="AT312" s="891">
        <v>2.8</v>
      </c>
      <c r="AU312" s="891">
        <v>2.2000000000000002</v>
      </c>
      <c r="AV312" s="891">
        <v>0.69</v>
      </c>
      <c r="AW312" s="891">
        <v>1.5</v>
      </c>
      <c r="AX312" s="891">
        <v>3</v>
      </c>
      <c r="AY312" s="891">
        <v>2.2000000000000002</v>
      </c>
      <c r="AZ312" s="891">
        <v>3.86</v>
      </c>
      <c r="BA312" s="891">
        <f t="shared" si="12"/>
        <v>164.39</v>
      </c>
      <c r="BB312" s="926">
        <f t="shared" si="13"/>
        <v>22107.739999999998</v>
      </c>
      <c r="BC312" s="926">
        <f t="shared" si="14"/>
        <v>106.81999999999796</v>
      </c>
      <c r="BD312" s="891"/>
      <c r="BE312" s="891"/>
      <c r="BF312" s="891"/>
      <c r="BG312" s="928"/>
      <c r="BH312" s="928"/>
      <c r="BI312" s="928"/>
    </row>
    <row r="313" spans="1:61">
      <c r="A313" s="891" t="s">
        <v>1635</v>
      </c>
      <c r="B313" s="891" t="s">
        <v>1606</v>
      </c>
      <c r="C313" s="891" t="s">
        <v>222</v>
      </c>
      <c r="D313" s="891">
        <v>10</v>
      </c>
      <c r="E313" s="891">
        <v>42.5</v>
      </c>
      <c r="F313" s="891">
        <v>6.25</v>
      </c>
      <c r="G313" s="891">
        <v>3</v>
      </c>
      <c r="H313" s="891">
        <v>4</v>
      </c>
      <c r="I313" s="891">
        <v>1.5</v>
      </c>
      <c r="J313" s="891">
        <v>1.35</v>
      </c>
      <c r="K313" s="891">
        <v>1.19</v>
      </c>
      <c r="L313" s="891">
        <v>2</v>
      </c>
      <c r="M313" s="891">
        <v>2</v>
      </c>
      <c r="N313" s="891">
        <v>7.17</v>
      </c>
      <c r="O313" s="891">
        <v>1.29</v>
      </c>
      <c r="P313" s="891">
        <v>11.5</v>
      </c>
      <c r="Q313" s="891">
        <v>2.25</v>
      </c>
      <c r="R313" s="891">
        <v>3.5</v>
      </c>
      <c r="S313" s="891">
        <v>5.81</v>
      </c>
      <c r="T313" s="891">
        <v>1.82</v>
      </c>
      <c r="U313" s="891">
        <v>6.31</v>
      </c>
      <c r="V313" s="891">
        <v>35</v>
      </c>
      <c r="W313" s="891">
        <v>0.9</v>
      </c>
      <c r="X313" s="927">
        <v>21750</v>
      </c>
      <c r="Y313" s="891">
        <v>900</v>
      </c>
      <c r="Z313" s="891">
        <v>600</v>
      </c>
      <c r="AA313" s="891">
        <v>1750</v>
      </c>
      <c r="AB313" s="891">
        <v>1350</v>
      </c>
      <c r="AC313" s="891">
        <v>112.55</v>
      </c>
      <c r="AD313" s="891">
        <v>0.1</v>
      </c>
      <c r="AE313" s="891">
        <v>50</v>
      </c>
      <c r="AF313" s="891">
        <v>45</v>
      </c>
      <c r="AG313" s="891">
        <v>15</v>
      </c>
      <c r="AH313" s="891">
        <v>9</v>
      </c>
      <c r="AI313" s="891">
        <v>40</v>
      </c>
      <c r="AJ313" s="891">
        <v>20</v>
      </c>
      <c r="AK313" s="891">
        <v>80</v>
      </c>
      <c r="AL313" s="891">
        <v>75</v>
      </c>
      <c r="AM313" s="891">
        <v>1399.31</v>
      </c>
      <c r="AN313" s="891">
        <v>667.36</v>
      </c>
      <c r="AO313" s="891">
        <v>3005</v>
      </c>
      <c r="AP313" s="891">
        <v>4.5</v>
      </c>
      <c r="AQ313" s="891">
        <v>3</v>
      </c>
      <c r="AR313" s="891">
        <v>2.4900000000000002</v>
      </c>
      <c r="AS313" s="891">
        <v>20</v>
      </c>
      <c r="AT313" s="891">
        <v>3.15</v>
      </c>
      <c r="AU313" s="891">
        <v>3</v>
      </c>
      <c r="AV313" s="891">
        <v>1.83</v>
      </c>
      <c r="AW313" s="891">
        <v>1.3</v>
      </c>
      <c r="AX313" s="891">
        <v>4</v>
      </c>
      <c r="AY313" s="891">
        <v>2</v>
      </c>
      <c r="AZ313" s="891">
        <v>2.2000000000000002</v>
      </c>
      <c r="BA313" s="891">
        <f t="shared" si="12"/>
        <v>162.64999999999998</v>
      </c>
      <c r="BB313" s="926">
        <f t="shared" si="13"/>
        <v>21813.210000000003</v>
      </c>
      <c r="BC313" s="926">
        <f t="shared" si="14"/>
        <v>62.310000000002766</v>
      </c>
      <c r="BD313" s="891"/>
      <c r="BE313" s="891"/>
      <c r="BF313" s="891"/>
      <c r="BG313" s="928"/>
      <c r="BH313" s="928"/>
      <c r="BI313" s="928"/>
    </row>
    <row r="314" spans="1:61">
      <c r="A314" s="891" t="s">
        <v>1636</v>
      </c>
      <c r="B314" s="891" t="s">
        <v>1606</v>
      </c>
      <c r="C314" s="891" t="s">
        <v>170</v>
      </c>
      <c r="D314" s="891">
        <v>10</v>
      </c>
      <c r="E314" s="891">
        <v>60</v>
      </c>
      <c r="F314" s="891">
        <v>7</v>
      </c>
      <c r="G314" s="891">
        <v>4.5</v>
      </c>
      <c r="H314" s="891">
        <v>6</v>
      </c>
      <c r="I314" s="891">
        <v>1.56</v>
      </c>
      <c r="J314" s="891">
        <v>1.54</v>
      </c>
      <c r="K314" s="891">
        <v>0.92</v>
      </c>
      <c r="L314" s="891">
        <v>2.41</v>
      </c>
      <c r="M314" s="891">
        <v>2.5</v>
      </c>
      <c r="N314" s="891">
        <v>13.72</v>
      </c>
      <c r="O314" s="891">
        <v>2</v>
      </c>
      <c r="P314" s="891">
        <v>11</v>
      </c>
      <c r="Q314" s="891">
        <v>3</v>
      </c>
      <c r="R314" s="891">
        <v>4.62</v>
      </c>
      <c r="S314" s="891">
        <v>5</v>
      </c>
      <c r="T314" s="891">
        <v>2.38</v>
      </c>
      <c r="U314" s="891">
        <v>7.31</v>
      </c>
      <c r="V314" s="891">
        <v>72</v>
      </c>
      <c r="W314" s="891">
        <v>1.06</v>
      </c>
      <c r="X314" s="927">
        <v>22000</v>
      </c>
      <c r="Y314" s="891">
        <v>1400</v>
      </c>
      <c r="Z314" s="891">
        <v>1100</v>
      </c>
      <c r="AA314" s="891">
        <v>2800</v>
      </c>
      <c r="AB314" s="891">
        <v>2000</v>
      </c>
      <c r="AC314" s="891">
        <v>148.68</v>
      </c>
      <c r="AD314" s="891">
        <v>0.1</v>
      </c>
      <c r="AE314" s="891">
        <v>42.75</v>
      </c>
      <c r="AF314" s="891">
        <v>45</v>
      </c>
      <c r="AG314" s="891">
        <v>25</v>
      </c>
      <c r="AH314" s="891">
        <v>11.5</v>
      </c>
      <c r="AI314" s="891">
        <v>47.5</v>
      </c>
      <c r="AJ314" s="891">
        <v>30</v>
      </c>
      <c r="AK314" s="891">
        <v>90</v>
      </c>
      <c r="AL314" s="891">
        <v>90</v>
      </c>
      <c r="AM314" s="891">
        <v>2967.54</v>
      </c>
      <c r="AN314" s="891">
        <v>2662.5</v>
      </c>
      <c r="AO314" s="891">
        <v>3582</v>
      </c>
      <c r="AP314" s="891">
        <v>4</v>
      </c>
      <c r="AQ314" s="891">
        <v>2.65</v>
      </c>
      <c r="AR314" s="891">
        <v>1.68</v>
      </c>
      <c r="AS314" s="891">
        <v>29</v>
      </c>
      <c r="AT314" s="891">
        <v>2.2000000000000002</v>
      </c>
      <c r="AU314" s="891">
        <v>2.34</v>
      </c>
      <c r="AV314" s="891">
        <v>1.08</v>
      </c>
      <c r="AW314" s="891">
        <v>1.25</v>
      </c>
      <c r="AX314" s="891">
        <v>3.76</v>
      </c>
      <c r="AY314" s="891">
        <v>4.4000000000000004</v>
      </c>
      <c r="AZ314" s="891">
        <v>1.74</v>
      </c>
      <c r="BA314" s="891">
        <f t="shared" si="12"/>
        <v>191.53</v>
      </c>
      <c r="BB314" s="926">
        <f t="shared" si="13"/>
        <v>22108.77</v>
      </c>
      <c r="BC314" s="926">
        <f t="shared" si="14"/>
        <v>107.71000000000043</v>
      </c>
      <c r="BD314" s="891"/>
      <c r="BE314" s="891"/>
      <c r="BF314" s="891"/>
      <c r="BG314" s="928"/>
      <c r="BH314" s="928"/>
      <c r="BI314" s="928"/>
    </row>
    <row r="315" spans="1:61">
      <c r="A315" s="891" t="s">
        <v>1637</v>
      </c>
      <c r="B315" s="891" t="s">
        <v>1606</v>
      </c>
      <c r="C315" s="891" t="s">
        <v>111</v>
      </c>
      <c r="D315" s="891">
        <v>12</v>
      </c>
      <c r="E315" s="891">
        <v>70</v>
      </c>
      <c r="F315" s="891">
        <v>6</v>
      </c>
      <c r="G315" s="891">
        <v>5</v>
      </c>
      <c r="H315" s="891">
        <v>5.12</v>
      </c>
      <c r="I315" s="891">
        <v>1.89</v>
      </c>
      <c r="J315" s="891">
        <v>1.5</v>
      </c>
      <c r="K315" s="891">
        <v>1.06</v>
      </c>
      <c r="L315" s="891">
        <v>3.79</v>
      </c>
      <c r="M315" s="891">
        <v>3</v>
      </c>
      <c r="N315" s="891">
        <v>13.21</v>
      </c>
      <c r="O315" s="891">
        <v>2</v>
      </c>
      <c r="P315" s="891">
        <v>11</v>
      </c>
      <c r="Q315" s="891">
        <v>2</v>
      </c>
      <c r="R315" s="891">
        <v>3</v>
      </c>
      <c r="S315" s="891">
        <v>6.5</v>
      </c>
      <c r="T315" s="891">
        <v>2</v>
      </c>
      <c r="U315" s="891">
        <v>11.02</v>
      </c>
      <c r="V315" s="891">
        <v>71</v>
      </c>
      <c r="W315" s="891">
        <v>1.0900000000000001</v>
      </c>
      <c r="X315" s="927">
        <v>18547.5</v>
      </c>
      <c r="Y315" s="891">
        <v>2402.7800000000002</v>
      </c>
      <c r="Z315" s="891">
        <v>1600</v>
      </c>
      <c r="AA315" s="891">
        <v>4500</v>
      </c>
      <c r="AB315" s="891">
        <v>3000</v>
      </c>
      <c r="AC315" s="891">
        <v>75</v>
      </c>
      <c r="AD315" s="891">
        <v>0.18</v>
      </c>
      <c r="AE315" s="891">
        <v>45</v>
      </c>
      <c r="AF315" s="891">
        <v>57.5</v>
      </c>
      <c r="AG315" s="891">
        <v>25</v>
      </c>
      <c r="AH315" s="891">
        <v>12</v>
      </c>
      <c r="AI315" s="891">
        <v>50</v>
      </c>
      <c r="AJ315" s="891">
        <v>62.47</v>
      </c>
      <c r="AK315" s="891">
        <v>75</v>
      </c>
      <c r="AL315" s="891">
        <v>100</v>
      </c>
      <c r="AM315" s="891">
        <v>6696.01</v>
      </c>
      <c r="AN315" s="891">
        <v>5532.82</v>
      </c>
      <c r="AO315" s="891">
        <v>4040</v>
      </c>
      <c r="AP315" s="891">
        <v>3.88</v>
      </c>
      <c r="AQ315" s="891">
        <v>3.5</v>
      </c>
      <c r="AR315" s="891">
        <v>1.71</v>
      </c>
      <c r="AS315" s="891">
        <v>30</v>
      </c>
      <c r="AT315" s="891">
        <v>4.41</v>
      </c>
      <c r="AU315" s="891">
        <v>3.44</v>
      </c>
      <c r="AV315" s="891">
        <v>2.65</v>
      </c>
      <c r="AW315" s="891">
        <v>1.99</v>
      </c>
      <c r="AX315" s="891">
        <v>3.5</v>
      </c>
      <c r="AY315" s="891">
        <v>4.2300000000000004</v>
      </c>
      <c r="AZ315" s="891">
        <v>4.4000000000000004</v>
      </c>
      <c r="BA315" s="891">
        <f t="shared" ref="BA315:BA377" si="15">AC315+AD315+AE315</f>
        <v>120.18</v>
      </c>
      <c r="BB315" s="926">
        <f t="shared" ref="BB315:BB377" si="16">T315+V315+W315+X315+AQ315+AR315+AS315</f>
        <v>18656.8</v>
      </c>
      <c r="BC315" s="926">
        <f t="shared" ref="BC315:BC377" si="17">BB315-X315-W315</f>
        <v>108.20999999999927</v>
      </c>
      <c r="BD315" s="891"/>
      <c r="BE315" s="891"/>
      <c r="BF315" s="891"/>
      <c r="BG315" s="928"/>
      <c r="BH315" s="928"/>
      <c r="BI315" s="928"/>
    </row>
    <row r="316" spans="1:61">
      <c r="A316" s="891" t="s">
        <v>1638</v>
      </c>
      <c r="B316" s="891" t="s">
        <v>1606</v>
      </c>
      <c r="C316" s="891" t="s">
        <v>132</v>
      </c>
      <c r="D316" s="891">
        <v>12</v>
      </c>
      <c r="E316" s="891">
        <v>60</v>
      </c>
      <c r="F316" s="891">
        <v>6</v>
      </c>
      <c r="G316" s="891">
        <v>4.5</v>
      </c>
      <c r="H316" s="891">
        <v>5</v>
      </c>
      <c r="I316" s="891">
        <v>1.62</v>
      </c>
      <c r="J316" s="891">
        <v>1.1200000000000001</v>
      </c>
      <c r="K316" s="891">
        <v>1.19</v>
      </c>
      <c r="L316" s="891">
        <v>2.74</v>
      </c>
      <c r="M316" s="891">
        <v>2.99</v>
      </c>
      <c r="N316" s="891">
        <v>8.31</v>
      </c>
      <c r="O316" s="891">
        <v>2.5</v>
      </c>
      <c r="P316" s="891">
        <v>15</v>
      </c>
      <c r="Q316" s="891">
        <v>2.5</v>
      </c>
      <c r="R316" s="891">
        <v>4.5</v>
      </c>
      <c r="S316" s="891">
        <v>6.13</v>
      </c>
      <c r="T316" s="891">
        <v>2</v>
      </c>
      <c r="U316" s="891">
        <v>8.81</v>
      </c>
      <c r="V316" s="891">
        <v>70</v>
      </c>
      <c r="W316" s="891">
        <v>1.06</v>
      </c>
      <c r="X316" s="927">
        <v>20000</v>
      </c>
      <c r="Y316" s="891">
        <v>1750</v>
      </c>
      <c r="Z316" s="891">
        <v>1650</v>
      </c>
      <c r="AA316" s="891">
        <v>3000</v>
      </c>
      <c r="AB316" s="891">
        <v>2650</v>
      </c>
      <c r="AC316" s="891">
        <v>166.49</v>
      </c>
      <c r="AD316" s="891">
        <v>0.28000000000000003</v>
      </c>
      <c r="AE316" s="891">
        <v>50</v>
      </c>
      <c r="AF316" s="891">
        <v>32.5</v>
      </c>
      <c r="AG316" s="891">
        <v>30</v>
      </c>
      <c r="AH316" s="891">
        <v>11.25</v>
      </c>
      <c r="AI316" s="891">
        <v>50</v>
      </c>
      <c r="AJ316" s="891">
        <v>30</v>
      </c>
      <c r="AK316" s="891">
        <v>80</v>
      </c>
      <c r="AL316" s="891">
        <v>100</v>
      </c>
      <c r="AM316" s="891">
        <v>4036.47</v>
      </c>
      <c r="AN316" s="891">
        <v>3500</v>
      </c>
      <c r="AO316" s="891">
        <v>4090</v>
      </c>
      <c r="AP316" s="891">
        <v>4.72</v>
      </c>
      <c r="AQ316" s="891">
        <v>2.75</v>
      </c>
      <c r="AR316" s="891">
        <v>1.55</v>
      </c>
      <c r="AS316" s="891">
        <v>18</v>
      </c>
      <c r="AT316" s="891">
        <v>4</v>
      </c>
      <c r="AU316" s="891">
        <v>3</v>
      </c>
      <c r="AV316" s="891">
        <v>2</v>
      </c>
      <c r="AW316" s="891">
        <v>2</v>
      </c>
      <c r="AX316" s="891">
        <v>4</v>
      </c>
      <c r="AY316" s="891">
        <v>6.61</v>
      </c>
      <c r="AZ316" s="891">
        <v>4.41</v>
      </c>
      <c r="BA316" s="891">
        <f t="shared" si="15"/>
        <v>216.77</v>
      </c>
      <c r="BB316" s="926">
        <f t="shared" si="16"/>
        <v>20095.36</v>
      </c>
      <c r="BC316" s="926">
        <f t="shared" si="17"/>
        <v>94.30000000000058</v>
      </c>
      <c r="BD316" s="891"/>
      <c r="BE316" s="891"/>
      <c r="BF316" s="891"/>
      <c r="BG316" s="928"/>
      <c r="BH316" s="928"/>
      <c r="BI316" s="928"/>
    </row>
    <row r="317" spans="1:61">
      <c r="A317" s="891" t="s">
        <v>1638</v>
      </c>
      <c r="B317" s="891" t="s">
        <v>1639</v>
      </c>
      <c r="C317" s="891" t="s">
        <v>224</v>
      </c>
      <c r="D317" s="891">
        <v>7.94</v>
      </c>
      <c r="E317" s="891">
        <v>37.5</v>
      </c>
      <c r="F317" s="891">
        <v>7</v>
      </c>
      <c r="G317" s="891">
        <v>2.5</v>
      </c>
      <c r="H317" s="891">
        <v>3.75</v>
      </c>
      <c r="I317" s="891">
        <v>1.58</v>
      </c>
      <c r="J317" s="891">
        <v>1.5</v>
      </c>
      <c r="K317" s="891">
        <v>1.39</v>
      </c>
      <c r="L317" s="891">
        <v>1.44</v>
      </c>
      <c r="M317" s="891">
        <v>3</v>
      </c>
      <c r="N317" s="891">
        <v>7.88</v>
      </c>
      <c r="O317" s="891">
        <v>1.5</v>
      </c>
      <c r="P317" s="891">
        <v>15</v>
      </c>
      <c r="Q317" s="891">
        <v>1.62</v>
      </c>
      <c r="R317" s="891">
        <v>3</v>
      </c>
      <c r="S317" s="891">
        <v>2.42</v>
      </c>
      <c r="T317" s="891">
        <v>0.5</v>
      </c>
      <c r="U317" s="891">
        <v>9.85</v>
      </c>
      <c r="V317" s="891">
        <v>37.5</v>
      </c>
      <c r="W317" s="891">
        <v>1.4</v>
      </c>
      <c r="X317" s="927">
        <v>30000</v>
      </c>
      <c r="Y317" s="891">
        <v>400</v>
      </c>
      <c r="Z317" s="891">
        <v>500</v>
      </c>
      <c r="AA317" s="891">
        <v>650</v>
      </c>
      <c r="AB317" s="891">
        <v>1000</v>
      </c>
      <c r="AC317" s="891">
        <v>50.5</v>
      </c>
      <c r="AD317" s="891">
        <v>0.08</v>
      </c>
      <c r="AE317" s="891">
        <v>50</v>
      </c>
      <c r="AF317" s="891">
        <v>57</v>
      </c>
      <c r="AG317" s="891">
        <v>10</v>
      </c>
      <c r="AH317" s="891">
        <v>5</v>
      </c>
      <c r="AI317" s="891">
        <v>59.55</v>
      </c>
      <c r="AJ317" s="891">
        <v>70</v>
      </c>
      <c r="AK317" s="891">
        <v>104.24</v>
      </c>
      <c r="AL317" s="891">
        <v>100</v>
      </c>
      <c r="AM317" s="891">
        <v>1200</v>
      </c>
      <c r="AN317" s="891">
        <v>1100</v>
      </c>
      <c r="AO317" s="891">
        <v>700</v>
      </c>
      <c r="AP317" s="891">
        <v>13.5</v>
      </c>
      <c r="AQ317" s="891">
        <v>1.19</v>
      </c>
      <c r="AR317" s="891">
        <v>1.08</v>
      </c>
      <c r="AS317" s="891">
        <v>10</v>
      </c>
      <c r="AT317" s="891">
        <v>5</v>
      </c>
      <c r="AU317" s="891">
        <v>2</v>
      </c>
      <c r="AV317" s="891">
        <v>1</v>
      </c>
      <c r="AW317" s="891">
        <v>0.7</v>
      </c>
      <c r="AX317" s="891">
        <v>2.78</v>
      </c>
      <c r="AY317" s="891">
        <v>3</v>
      </c>
      <c r="AZ317" s="891">
        <v>1</v>
      </c>
      <c r="BA317" s="891">
        <f t="shared" si="15"/>
        <v>100.58</v>
      </c>
      <c r="BB317" s="926">
        <f t="shared" si="16"/>
        <v>30051.670000000002</v>
      </c>
      <c r="BC317" s="926">
        <f t="shared" si="17"/>
        <v>50.270000000001893</v>
      </c>
      <c r="BD317" s="891"/>
      <c r="BE317" s="891"/>
      <c r="BF317" s="891"/>
      <c r="BG317" s="928"/>
      <c r="BH317" s="928"/>
      <c r="BI317" s="928"/>
    </row>
    <row r="318" spans="1:61">
      <c r="A318" s="891" t="s">
        <v>1640</v>
      </c>
      <c r="B318" s="891" t="s">
        <v>1641</v>
      </c>
      <c r="C318" s="891" t="s">
        <v>162</v>
      </c>
      <c r="D318" s="891">
        <v>12</v>
      </c>
      <c r="E318" s="891">
        <v>50</v>
      </c>
      <c r="F318" s="891">
        <v>6.5</v>
      </c>
      <c r="G318" s="891">
        <v>1.5</v>
      </c>
      <c r="H318" s="891">
        <v>3.5</v>
      </c>
      <c r="I318" s="891">
        <v>1</v>
      </c>
      <c r="J318" s="891">
        <v>1.1599999999999999</v>
      </c>
      <c r="K318" s="891">
        <v>1.59</v>
      </c>
      <c r="L318" s="891">
        <v>2.36</v>
      </c>
      <c r="M318" s="891">
        <v>2.2999999999999998</v>
      </c>
      <c r="N318" s="891">
        <v>10</v>
      </c>
      <c r="O318" s="891">
        <v>1.95</v>
      </c>
      <c r="P318" s="891">
        <v>12</v>
      </c>
      <c r="Q318" s="891">
        <v>1.5</v>
      </c>
      <c r="R318" s="891">
        <v>2.5</v>
      </c>
      <c r="S318" s="891">
        <v>6</v>
      </c>
      <c r="T318" s="891">
        <v>1</v>
      </c>
      <c r="U318" s="891">
        <v>4.74</v>
      </c>
      <c r="V318" s="891">
        <v>30</v>
      </c>
      <c r="W318" s="891">
        <v>0.96</v>
      </c>
      <c r="X318" s="927">
        <v>26000</v>
      </c>
      <c r="Y318" s="891">
        <v>800</v>
      </c>
      <c r="Z318" s="891">
        <v>500</v>
      </c>
      <c r="AA318" s="891">
        <v>1225</v>
      </c>
      <c r="AB318" s="891">
        <v>900</v>
      </c>
      <c r="AC318" s="891">
        <v>300</v>
      </c>
      <c r="AD318" s="891">
        <v>0.2</v>
      </c>
      <c r="AE318" s="891">
        <v>55</v>
      </c>
      <c r="AF318" s="891">
        <v>35</v>
      </c>
      <c r="AG318" s="891">
        <v>10</v>
      </c>
      <c r="AH318" s="891">
        <v>7</v>
      </c>
      <c r="AI318" s="891">
        <v>47.5</v>
      </c>
      <c r="AJ318" s="891">
        <v>50</v>
      </c>
      <c r="AK318" s="891">
        <v>80</v>
      </c>
      <c r="AL318" s="891">
        <v>100</v>
      </c>
      <c r="AM318" s="891">
        <v>4251.74</v>
      </c>
      <c r="AN318" s="891">
        <v>1157.1199999999999</v>
      </c>
      <c r="AO318" s="891">
        <v>1800</v>
      </c>
      <c r="AP318" s="891">
        <v>6</v>
      </c>
      <c r="AQ318" s="891">
        <v>1.75</v>
      </c>
      <c r="AR318" s="891">
        <v>1.65</v>
      </c>
      <c r="AS318" s="891">
        <v>24</v>
      </c>
      <c r="AT318" s="891">
        <v>4.41</v>
      </c>
      <c r="AU318" s="891">
        <v>4.41</v>
      </c>
      <c r="AV318" s="891">
        <v>3.31</v>
      </c>
      <c r="AW318" s="891">
        <v>2</v>
      </c>
      <c r="AX318" s="891">
        <v>3</v>
      </c>
      <c r="AY318" s="891">
        <v>1.93</v>
      </c>
      <c r="AZ318" s="891">
        <v>3.53</v>
      </c>
      <c r="BA318" s="891">
        <f t="shared" si="15"/>
        <v>355.2</v>
      </c>
      <c r="BB318" s="926">
        <f t="shared" si="16"/>
        <v>26059.360000000001</v>
      </c>
      <c r="BC318" s="926">
        <f t="shared" si="17"/>
        <v>58.400000000000581</v>
      </c>
      <c r="BD318" s="891"/>
      <c r="BE318" s="891"/>
      <c r="BF318" s="891"/>
      <c r="BG318" s="928"/>
      <c r="BH318" s="928"/>
      <c r="BI318" s="928"/>
    </row>
    <row r="319" spans="1:61">
      <c r="A319" s="891" t="s">
        <v>1642</v>
      </c>
      <c r="B319" s="891" t="s">
        <v>1643</v>
      </c>
      <c r="C319" s="891" t="s">
        <v>279</v>
      </c>
      <c r="D319" s="891">
        <v>4</v>
      </c>
      <c r="E319" s="891">
        <v>27.5</v>
      </c>
      <c r="F319" s="891">
        <v>4.99</v>
      </c>
      <c r="G319" s="891">
        <v>1.5</v>
      </c>
      <c r="H319" s="891">
        <v>2.5</v>
      </c>
      <c r="I319" s="891">
        <v>0.5</v>
      </c>
      <c r="J319" s="891">
        <v>0.5</v>
      </c>
      <c r="K319" s="891">
        <v>1.22</v>
      </c>
      <c r="L319" s="891">
        <v>1</v>
      </c>
      <c r="M319" s="891">
        <v>2</v>
      </c>
      <c r="N319" s="891">
        <v>5.5</v>
      </c>
      <c r="O319" s="891">
        <v>0.7</v>
      </c>
      <c r="P319" s="891">
        <v>12.5</v>
      </c>
      <c r="Q319" s="891">
        <v>1</v>
      </c>
      <c r="R319" s="891">
        <v>2.5</v>
      </c>
      <c r="S319" s="891">
        <v>2.5</v>
      </c>
      <c r="T319" s="891">
        <v>0.25</v>
      </c>
      <c r="U319" s="891">
        <v>9.59</v>
      </c>
      <c r="V319" s="891">
        <v>74.91</v>
      </c>
      <c r="W319" s="891">
        <v>1.2</v>
      </c>
      <c r="X319" s="927">
        <v>18500</v>
      </c>
      <c r="Y319" s="891">
        <v>200</v>
      </c>
      <c r="Z319" s="891">
        <v>180</v>
      </c>
      <c r="AA319" s="891">
        <v>375</v>
      </c>
      <c r="AB319" s="891">
        <v>300</v>
      </c>
      <c r="AC319" s="891">
        <v>54.9</v>
      </c>
      <c r="AD319" s="891">
        <v>0.16</v>
      </c>
      <c r="AE319" s="891">
        <v>52.74</v>
      </c>
      <c r="AF319" s="891">
        <v>30</v>
      </c>
      <c r="AG319" s="891">
        <v>12.5</v>
      </c>
      <c r="AH319" s="891">
        <v>5.49</v>
      </c>
      <c r="AI319" s="891">
        <v>57</v>
      </c>
      <c r="AJ319" s="891">
        <v>49</v>
      </c>
      <c r="AK319" s="891">
        <v>82</v>
      </c>
      <c r="AL319" s="891">
        <v>90</v>
      </c>
      <c r="AM319" s="891">
        <v>2100</v>
      </c>
      <c r="AN319" s="891">
        <v>2300</v>
      </c>
      <c r="AO319" s="891">
        <v>275</v>
      </c>
      <c r="AP319" s="891">
        <v>13.5</v>
      </c>
      <c r="AQ319" s="891">
        <v>4</v>
      </c>
      <c r="AR319" s="891">
        <v>4</v>
      </c>
      <c r="AS319" s="891">
        <v>8.5</v>
      </c>
      <c r="AT319" s="891">
        <v>2.2999999999999998</v>
      </c>
      <c r="AU319" s="891">
        <v>1.71</v>
      </c>
      <c r="AV319" s="891">
        <v>0.95</v>
      </c>
      <c r="AW319" s="891">
        <v>0.7</v>
      </c>
      <c r="AX319" s="891">
        <v>2</v>
      </c>
      <c r="AY319" s="891">
        <v>1.1000000000000001</v>
      </c>
      <c r="AZ319" s="891">
        <v>1.87</v>
      </c>
      <c r="BA319" s="891">
        <f t="shared" si="15"/>
        <v>107.8</v>
      </c>
      <c r="BB319" s="926">
        <f t="shared" si="16"/>
        <v>18592.86</v>
      </c>
      <c r="BC319" s="926">
        <f t="shared" si="17"/>
        <v>91.660000000000579</v>
      </c>
      <c r="BD319" s="891"/>
      <c r="BE319" s="891"/>
      <c r="BF319" s="891"/>
      <c r="BG319" s="928"/>
      <c r="BH319" s="928"/>
      <c r="BI319" s="928"/>
    </row>
    <row r="320" spans="1:61">
      <c r="A320" s="891" t="s">
        <v>1644</v>
      </c>
      <c r="B320" s="891" t="s">
        <v>1606</v>
      </c>
      <c r="C320" s="891" t="s">
        <v>147</v>
      </c>
      <c r="D320" s="891">
        <v>10</v>
      </c>
      <c r="E320" s="891">
        <v>45</v>
      </c>
      <c r="F320" s="891">
        <v>6.41</v>
      </c>
      <c r="G320" s="891">
        <v>4</v>
      </c>
      <c r="H320" s="891">
        <v>6</v>
      </c>
      <c r="I320" s="891">
        <v>1.99</v>
      </c>
      <c r="J320" s="891">
        <v>1.2</v>
      </c>
      <c r="K320" s="891">
        <v>0.92</v>
      </c>
      <c r="L320" s="891">
        <v>3.25</v>
      </c>
      <c r="M320" s="891">
        <v>2.99</v>
      </c>
      <c r="N320" s="891">
        <v>11.02</v>
      </c>
      <c r="O320" s="891">
        <v>2.25</v>
      </c>
      <c r="P320" s="891">
        <v>13</v>
      </c>
      <c r="Q320" s="891">
        <v>2.75</v>
      </c>
      <c r="R320" s="891">
        <v>3</v>
      </c>
      <c r="S320" s="891">
        <v>7</v>
      </c>
      <c r="T320" s="891">
        <v>1.75</v>
      </c>
      <c r="U320" s="891">
        <v>7.72</v>
      </c>
      <c r="V320" s="891">
        <v>52.5</v>
      </c>
      <c r="W320" s="891">
        <v>1.02</v>
      </c>
      <c r="X320" s="927">
        <v>18045</v>
      </c>
      <c r="Y320" s="891">
        <v>1350</v>
      </c>
      <c r="Z320" s="891">
        <v>900</v>
      </c>
      <c r="AA320" s="891">
        <v>2500</v>
      </c>
      <c r="AB320" s="891">
        <v>1900</v>
      </c>
      <c r="AC320" s="891">
        <v>150</v>
      </c>
      <c r="AD320" s="891">
        <v>0.15</v>
      </c>
      <c r="AE320" s="891">
        <v>37.5</v>
      </c>
      <c r="AF320" s="891">
        <v>60</v>
      </c>
      <c r="AG320" s="891">
        <v>22</v>
      </c>
      <c r="AH320" s="891">
        <v>9.3800000000000008</v>
      </c>
      <c r="AI320" s="891">
        <v>40</v>
      </c>
      <c r="AJ320" s="891">
        <v>35</v>
      </c>
      <c r="AK320" s="891">
        <v>60</v>
      </c>
      <c r="AL320" s="891">
        <v>90</v>
      </c>
      <c r="AM320" s="891">
        <v>5381.96</v>
      </c>
      <c r="AN320" s="891">
        <v>5381.96</v>
      </c>
      <c r="AO320" s="891">
        <v>1200</v>
      </c>
      <c r="AP320" s="891">
        <v>5</v>
      </c>
      <c r="AQ320" s="891">
        <v>2.4</v>
      </c>
      <c r="AR320" s="891">
        <v>2.17</v>
      </c>
      <c r="AS320" s="891">
        <v>15</v>
      </c>
      <c r="AT320" s="891">
        <v>4.95</v>
      </c>
      <c r="AU320" s="891">
        <v>5.79</v>
      </c>
      <c r="AV320" s="891">
        <v>2.7</v>
      </c>
      <c r="AW320" s="891">
        <v>1.25</v>
      </c>
      <c r="AX320" s="891">
        <v>3.52</v>
      </c>
      <c r="AY320" s="891">
        <v>2.09</v>
      </c>
      <c r="AZ320" s="891">
        <v>3.5</v>
      </c>
      <c r="BA320" s="891">
        <f t="shared" si="15"/>
        <v>187.65</v>
      </c>
      <c r="BB320" s="926">
        <f t="shared" si="16"/>
        <v>18119.84</v>
      </c>
      <c r="BC320" s="926">
        <f t="shared" si="17"/>
        <v>73.820000000000149</v>
      </c>
      <c r="BD320" s="891"/>
      <c r="BE320" s="891"/>
      <c r="BF320" s="891"/>
      <c r="BG320" s="928"/>
      <c r="BH320" s="928"/>
      <c r="BI320" s="928"/>
    </row>
    <row r="321" spans="1:61">
      <c r="A321" s="891" t="s">
        <v>1092</v>
      </c>
      <c r="B321" s="891" t="s">
        <v>612</v>
      </c>
      <c r="C321" s="891" t="s">
        <v>250</v>
      </c>
      <c r="D321" s="891">
        <v>7.03</v>
      </c>
      <c r="E321" s="891">
        <v>40</v>
      </c>
      <c r="F321" s="891">
        <v>7.01</v>
      </c>
      <c r="G321" s="891">
        <v>1.9</v>
      </c>
      <c r="H321" s="891">
        <v>3.01</v>
      </c>
      <c r="I321" s="891">
        <v>1.2</v>
      </c>
      <c r="J321" s="891">
        <v>1</v>
      </c>
      <c r="K321" s="891">
        <v>1.3</v>
      </c>
      <c r="L321" s="891">
        <v>1</v>
      </c>
      <c r="M321" s="891">
        <v>2.5</v>
      </c>
      <c r="N321" s="891">
        <v>10</v>
      </c>
      <c r="O321" s="891">
        <v>1.36</v>
      </c>
      <c r="P321" s="891">
        <v>6.02</v>
      </c>
      <c r="Q321" s="891">
        <v>1.5</v>
      </c>
      <c r="R321" s="891">
        <v>2</v>
      </c>
      <c r="S321" s="891">
        <v>4.78</v>
      </c>
      <c r="T321" s="891">
        <v>1.27</v>
      </c>
      <c r="U321" s="891">
        <v>6.26</v>
      </c>
      <c r="V321" s="891">
        <v>48.18</v>
      </c>
      <c r="W321" s="891">
        <v>1.63</v>
      </c>
      <c r="X321" s="927">
        <v>15559.12</v>
      </c>
      <c r="Y321" s="891">
        <v>402.08</v>
      </c>
      <c r="Z321" s="891">
        <v>400.76</v>
      </c>
      <c r="AA321" s="891">
        <v>803.05</v>
      </c>
      <c r="AB321" s="891">
        <v>801.53</v>
      </c>
      <c r="AC321" s="891">
        <v>134.26</v>
      </c>
      <c r="AD321" s="891">
        <v>0.3</v>
      </c>
      <c r="AE321" s="891">
        <v>38.07</v>
      </c>
      <c r="AF321" s="891">
        <v>60</v>
      </c>
      <c r="AG321" s="891">
        <v>14.56</v>
      </c>
      <c r="AH321" s="891">
        <v>8.0299999999999994</v>
      </c>
      <c r="AI321" s="891">
        <v>65</v>
      </c>
      <c r="AJ321" s="891">
        <v>45.08</v>
      </c>
      <c r="AK321" s="891">
        <v>80</v>
      </c>
      <c r="AL321" s="891">
        <v>87.4</v>
      </c>
      <c r="AM321" s="891">
        <v>1800</v>
      </c>
      <c r="AN321" s="891">
        <v>2104.58</v>
      </c>
      <c r="AO321" s="891">
        <v>903.43</v>
      </c>
      <c r="AP321" s="891">
        <v>5</v>
      </c>
      <c r="AQ321" s="891">
        <v>0.5</v>
      </c>
      <c r="AR321" s="891">
        <v>1.7</v>
      </c>
      <c r="AS321" s="891">
        <v>16.260000000000002</v>
      </c>
      <c r="AT321" s="891">
        <v>1.2</v>
      </c>
      <c r="AU321" s="891">
        <v>1.2</v>
      </c>
      <c r="AV321" s="891">
        <v>1</v>
      </c>
      <c r="AW321" s="891">
        <v>1.04</v>
      </c>
      <c r="AX321" s="891">
        <v>2.5</v>
      </c>
      <c r="AY321" s="891">
        <v>1.61</v>
      </c>
      <c r="AZ321" s="891">
        <v>1.51</v>
      </c>
      <c r="BA321" s="891">
        <f t="shared" si="15"/>
        <v>172.63</v>
      </c>
      <c r="BB321" s="926">
        <f t="shared" si="16"/>
        <v>15628.660000000002</v>
      </c>
      <c r="BC321" s="926">
        <f t="shared" si="17"/>
        <v>67.910000000000878</v>
      </c>
      <c r="BD321" s="891"/>
      <c r="BE321" s="891"/>
      <c r="BF321" s="891"/>
      <c r="BG321" s="928"/>
      <c r="BH321" s="928"/>
      <c r="BI321" s="928"/>
    </row>
    <row r="322" spans="1:61">
      <c r="A322" s="891" t="s">
        <v>1645</v>
      </c>
      <c r="B322" s="891" t="s">
        <v>1646</v>
      </c>
      <c r="C322" s="891" t="s">
        <v>741</v>
      </c>
      <c r="D322" s="891">
        <v>10</v>
      </c>
      <c r="E322" s="891">
        <v>25</v>
      </c>
      <c r="F322" s="891">
        <v>6.23</v>
      </c>
      <c r="G322" s="891">
        <v>1.75</v>
      </c>
      <c r="H322" s="891">
        <v>2.35</v>
      </c>
      <c r="I322" s="891">
        <v>0.82</v>
      </c>
      <c r="J322" s="891">
        <v>0.47</v>
      </c>
      <c r="K322" s="891">
        <v>1.26</v>
      </c>
      <c r="L322" s="891">
        <v>1.41</v>
      </c>
      <c r="M322" s="891">
        <v>1.97</v>
      </c>
      <c r="N322" s="891">
        <v>6.74</v>
      </c>
      <c r="O322" s="891">
        <v>1.1200000000000001</v>
      </c>
      <c r="P322" s="891">
        <v>8.58</v>
      </c>
      <c r="Q322" s="891">
        <v>1.41</v>
      </c>
      <c r="R322" s="891">
        <v>2.35</v>
      </c>
      <c r="S322" s="891">
        <v>3</v>
      </c>
      <c r="T322" s="891">
        <v>0.59</v>
      </c>
      <c r="U322" s="891">
        <v>6.22</v>
      </c>
      <c r="V322" s="891">
        <v>22.33</v>
      </c>
      <c r="W322" s="891">
        <v>1.55</v>
      </c>
      <c r="X322" s="927">
        <v>22091.71</v>
      </c>
      <c r="Y322" s="891">
        <v>485.02</v>
      </c>
      <c r="Z322" s="891">
        <v>291.01</v>
      </c>
      <c r="AA322" s="891">
        <v>705.05</v>
      </c>
      <c r="AB322" s="891">
        <v>470.04</v>
      </c>
      <c r="AC322" s="891">
        <v>89.55</v>
      </c>
      <c r="AD322" s="891">
        <v>0.17</v>
      </c>
      <c r="AE322" s="891">
        <v>82.26</v>
      </c>
      <c r="AF322" s="891">
        <v>47</v>
      </c>
      <c r="AG322" s="891">
        <v>7.05</v>
      </c>
      <c r="AH322" s="891">
        <v>5.44</v>
      </c>
      <c r="AI322" s="891">
        <v>47</v>
      </c>
      <c r="AJ322" s="891">
        <v>58.75</v>
      </c>
      <c r="AK322" s="891">
        <v>58.75</v>
      </c>
      <c r="AL322" s="891">
        <v>76.38</v>
      </c>
      <c r="AM322" s="891">
        <v>1057.58</v>
      </c>
      <c r="AN322" s="891">
        <v>587.54999999999995</v>
      </c>
      <c r="AO322" s="891">
        <v>705.05</v>
      </c>
      <c r="AP322" s="891">
        <v>16</v>
      </c>
      <c r="AQ322" s="891">
        <v>4</v>
      </c>
      <c r="AR322" s="891">
        <v>1.76</v>
      </c>
      <c r="AS322" s="891">
        <v>2.35</v>
      </c>
      <c r="AT322" s="891">
        <v>3.56</v>
      </c>
      <c r="AU322" s="891">
        <v>2.4900000000000002</v>
      </c>
      <c r="AV322" s="891">
        <v>1.51</v>
      </c>
      <c r="AW322" s="891">
        <v>0.82</v>
      </c>
      <c r="AX322" s="891">
        <v>1.18</v>
      </c>
      <c r="AY322" s="891">
        <v>1.46</v>
      </c>
      <c r="AZ322" s="891">
        <v>2.0099999999999998</v>
      </c>
      <c r="BA322" s="891">
        <f t="shared" si="15"/>
        <v>171.98000000000002</v>
      </c>
      <c r="BB322" s="926">
        <f t="shared" si="16"/>
        <v>22124.289999999997</v>
      </c>
      <c r="BC322" s="926">
        <f t="shared" si="17"/>
        <v>31.029999999998108</v>
      </c>
      <c r="BD322" s="891"/>
      <c r="BE322" s="891"/>
      <c r="BF322" s="891"/>
      <c r="BG322" s="928"/>
      <c r="BH322" s="928"/>
      <c r="BI322" s="928"/>
    </row>
    <row r="323" spans="1:61">
      <c r="A323" s="891" t="s">
        <v>1647</v>
      </c>
      <c r="B323" s="891" t="s">
        <v>611</v>
      </c>
      <c r="C323" s="891" t="s">
        <v>197</v>
      </c>
      <c r="D323" s="891">
        <v>9.17</v>
      </c>
      <c r="E323" s="891">
        <v>45.85</v>
      </c>
      <c r="F323" s="891">
        <v>8.25</v>
      </c>
      <c r="G323" s="891">
        <v>2.29</v>
      </c>
      <c r="H323" s="891">
        <v>4.59</v>
      </c>
      <c r="I323" s="891">
        <v>1.38</v>
      </c>
      <c r="J323" s="891">
        <v>0.92</v>
      </c>
      <c r="K323" s="891">
        <v>1.28</v>
      </c>
      <c r="L323" s="891">
        <v>1.83</v>
      </c>
      <c r="M323" s="891">
        <v>1.83</v>
      </c>
      <c r="N323" s="891">
        <v>11</v>
      </c>
      <c r="O323" s="891">
        <v>0.92</v>
      </c>
      <c r="P323" s="891">
        <v>11.46</v>
      </c>
      <c r="Q323" s="891">
        <v>1.6</v>
      </c>
      <c r="R323" s="891">
        <v>3.67</v>
      </c>
      <c r="S323" s="891">
        <v>2.52</v>
      </c>
      <c r="T323" s="891">
        <v>1.38</v>
      </c>
      <c r="U323" s="891">
        <v>5.04</v>
      </c>
      <c r="V323" s="891">
        <v>68.78</v>
      </c>
      <c r="W323" s="891">
        <v>1.24</v>
      </c>
      <c r="X323" s="927">
        <v>23154.52</v>
      </c>
      <c r="Y323" s="891">
        <v>779.46</v>
      </c>
      <c r="Z323" s="891">
        <v>458.51</v>
      </c>
      <c r="AA323" s="891">
        <v>1834.02</v>
      </c>
      <c r="AB323" s="891">
        <v>1146.26</v>
      </c>
      <c r="AC323" s="891">
        <v>81.19</v>
      </c>
      <c r="AD323" s="891">
        <v>0.56000000000000005</v>
      </c>
      <c r="AE323" s="891">
        <v>41.04</v>
      </c>
      <c r="AF323" s="891">
        <v>68.78</v>
      </c>
      <c r="AG323" s="891">
        <v>36.68</v>
      </c>
      <c r="AH323" s="891">
        <v>9.17</v>
      </c>
      <c r="AI323" s="891">
        <v>91.7</v>
      </c>
      <c r="AJ323" s="891">
        <v>68.78</v>
      </c>
      <c r="AK323" s="891">
        <v>160.47999999999999</v>
      </c>
      <c r="AL323" s="891">
        <v>96.06</v>
      </c>
      <c r="AM323" s="891">
        <v>3668.04</v>
      </c>
      <c r="AN323" s="891">
        <v>2292.5300000000002</v>
      </c>
      <c r="AO323" s="891">
        <v>939.94</v>
      </c>
      <c r="AP323" s="891">
        <v>12</v>
      </c>
      <c r="AQ323" s="891">
        <v>1.93</v>
      </c>
      <c r="AR323" s="891">
        <v>1.38</v>
      </c>
      <c r="AS323" s="891">
        <v>15.13</v>
      </c>
      <c r="AT323" s="891">
        <v>2.4500000000000002</v>
      </c>
      <c r="AU323" s="891">
        <v>1.83</v>
      </c>
      <c r="AV323" s="891">
        <v>1.83</v>
      </c>
      <c r="AW323" s="891">
        <v>0.92</v>
      </c>
      <c r="AX323" s="891">
        <v>1.83</v>
      </c>
      <c r="AY323" s="891">
        <v>1.38</v>
      </c>
      <c r="AZ323" s="891">
        <v>2.98</v>
      </c>
      <c r="BA323" s="891">
        <f t="shared" si="15"/>
        <v>122.78999999999999</v>
      </c>
      <c r="BB323" s="926">
        <f t="shared" si="16"/>
        <v>23244.360000000004</v>
      </c>
      <c r="BC323" s="926">
        <f t="shared" si="17"/>
        <v>88.600000000003789</v>
      </c>
      <c r="BD323" s="891"/>
      <c r="BE323" s="891"/>
      <c r="BF323" s="891"/>
      <c r="BG323" s="928"/>
      <c r="BH323" s="928"/>
      <c r="BI323" s="928"/>
    </row>
    <row r="324" spans="1:61">
      <c r="A324" s="891" t="s">
        <v>1095</v>
      </c>
      <c r="B324" s="891" t="s">
        <v>1583</v>
      </c>
      <c r="C324" s="891" t="s">
        <v>766</v>
      </c>
      <c r="D324" s="891">
        <v>4.84</v>
      </c>
      <c r="E324" s="891">
        <v>24.19</v>
      </c>
      <c r="F324" s="891">
        <v>5.53</v>
      </c>
      <c r="G324" s="891">
        <v>2.0699999999999998</v>
      </c>
      <c r="H324" s="891">
        <v>2.0699999999999998</v>
      </c>
      <c r="I324" s="891">
        <v>2.0699999999999998</v>
      </c>
      <c r="J324" s="891">
        <v>0.98</v>
      </c>
      <c r="K324" s="891">
        <v>1.04</v>
      </c>
      <c r="L324" s="891">
        <v>0.69</v>
      </c>
      <c r="M324" s="891">
        <v>2.0699999999999998</v>
      </c>
      <c r="N324" s="891">
        <v>6.91</v>
      </c>
      <c r="O324" s="891">
        <v>0.69</v>
      </c>
      <c r="P324" s="891">
        <v>5.89</v>
      </c>
      <c r="Q324" s="891">
        <v>1.04</v>
      </c>
      <c r="R324" s="891">
        <v>1.04</v>
      </c>
      <c r="S324" s="891">
        <v>2.56</v>
      </c>
      <c r="T324" s="891">
        <v>1.1100000000000001</v>
      </c>
      <c r="U324" s="891">
        <v>5.87</v>
      </c>
      <c r="V324" s="891">
        <v>34.56</v>
      </c>
      <c r="W324" s="891">
        <v>1.73</v>
      </c>
      <c r="X324" s="927">
        <v>20733.98</v>
      </c>
      <c r="Y324" s="891">
        <v>311.01</v>
      </c>
      <c r="Z324" s="891">
        <v>187.99</v>
      </c>
      <c r="AA324" s="891">
        <v>581.25</v>
      </c>
      <c r="AB324" s="891">
        <v>345.57</v>
      </c>
      <c r="AC324" s="891">
        <v>172.78</v>
      </c>
      <c r="AD324" s="891">
        <v>0.17</v>
      </c>
      <c r="AE324" s="891">
        <v>18.66</v>
      </c>
      <c r="AF324" s="891">
        <v>34.56</v>
      </c>
      <c r="AG324" s="891">
        <v>10.37</v>
      </c>
      <c r="AH324" s="891">
        <v>4.1500000000000004</v>
      </c>
      <c r="AI324" s="891">
        <v>103.67</v>
      </c>
      <c r="AJ324" s="891">
        <v>36.28</v>
      </c>
      <c r="AK324" s="891">
        <v>98.49</v>
      </c>
      <c r="AL324" s="891">
        <v>96.76</v>
      </c>
      <c r="AM324" s="891">
        <v>2073.4</v>
      </c>
      <c r="AN324" s="891">
        <v>1162.5</v>
      </c>
      <c r="AO324" s="891">
        <v>566.73</v>
      </c>
      <c r="AP324" s="891">
        <v>7.5</v>
      </c>
      <c r="AQ324" s="891">
        <v>1.04</v>
      </c>
      <c r="AR324" s="891">
        <v>0.69</v>
      </c>
      <c r="AS324" s="891">
        <v>6.91</v>
      </c>
      <c r="AT324" s="891">
        <v>1.38</v>
      </c>
      <c r="AU324" s="891">
        <v>1.45</v>
      </c>
      <c r="AV324" s="891">
        <v>0.69</v>
      </c>
      <c r="AW324" s="891">
        <v>0.69</v>
      </c>
      <c r="AX324" s="891">
        <v>1.73</v>
      </c>
      <c r="AY324" s="891">
        <v>1.73</v>
      </c>
      <c r="AZ324" s="891">
        <v>1.73</v>
      </c>
      <c r="BA324" s="891">
        <f t="shared" si="15"/>
        <v>191.60999999999999</v>
      </c>
      <c r="BB324" s="926">
        <f t="shared" si="16"/>
        <v>20780.02</v>
      </c>
      <c r="BC324" s="926">
        <f t="shared" si="17"/>
        <v>44.310000000000876</v>
      </c>
      <c r="BD324" s="891"/>
      <c r="BE324" s="891"/>
      <c r="BF324" s="891"/>
      <c r="BG324" s="928"/>
      <c r="BH324" s="928"/>
      <c r="BI324" s="928"/>
    </row>
    <row r="325" spans="1:61">
      <c r="A325" s="891" t="s">
        <v>1096</v>
      </c>
      <c r="B325" s="891" t="s">
        <v>559</v>
      </c>
      <c r="C325" s="891" t="s">
        <v>90</v>
      </c>
      <c r="D325" s="891">
        <v>10.62</v>
      </c>
      <c r="E325" s="891">
        <v>52.64</v>
      </c>
      <c r="F325" s="891">
        <v>6.28</v>
      </c>
      <c r="G325" s="891">
        <v>4.71</v>
      </c>
      <c r="H325" s="891">
        <v>5.31</v>
      </c>
      <c r="I325" s="891">
        <v>1.69</v>
      </c>
      <c r="J325" s="891">
        <v>1.81</v>
      </c>
      <c r="K325" s="891">
        <v>1.81</v>
      </c>
      <c r="L325" s="891">
        <v>2.5</v>
      </c>
      <c r="M325" s="891">
        <v>2.9</v>
      </c>
      <c r="N325" s="891">
        <v>9.5500000000000007</v>
      </c>
      <c r="O325" s="891">
        <v>2.41</v>
      </c>
      <c r="P325" s="891">
        <v>14.49</v>
      </c>
      <c r="Q325" s="891">
        <v>2.66</v>
      </c>
      <c r="R325" s="891">
        <v>3.62</v>
      </c>
      <c r="S325" s="891">
        <v>11.59</v>
      </c>
      <c r="T325" s="891">
        <v>2.9</v>
      </c>
      <c r="U325" s="891">
        <v>11.6</v>
      </c>
      <c r="V325" s="891">
        <v>70.989999999999995</v>
      </c>
      <c r="W325" s="891">
        <v>1.22</v>
      </c>
      <c r="X325" s="927">
        <v>19544.62</v>
      </c>
      <c r="Y325" s="891">
        <v>820.94</v>
      </c>
      <c r="Z325" s="891">
        <v>690.55</v>
      </c>
      <c r="AA325" s="891">
        <v>1400.42</v>
      </c>
      <c r="AB325" s="891">
        <v>1158.97</v>
      </c>
      <c r="AC325" s="891">
        <v>204.09</v>
      </c>
      <c r="AD325" s="891">
        <v>0.28999999999999998</v>
      </c>
      <c r="AE325" s="891">
        <v>48.29</v>
      </c>
      <c r="AF325" s="891">
        <v>62.78</v>
      </c>
      <c r="AG325" s="891">
        <v>38.630000000000003</v>
      </c>
      <c r="AH325" s="891">
        <v>10.62</v>
      </c>
      <c r="AI325" s="891">
        <v>43.46</v>
      </c>
      <c r="AJ325" s="891">
        <v>57.95</v>
      </c>
      <c r="AK325" s="891">
        <v>106.24</v>
      </c>
      <c r="AL325" s="891">
        <v>132.80000000000001</v>
      </c>
      <c r="AM325" s="891">
        <v>2433.36</v>
      </c>
      <c r="AN325" s="891">
        <v>2333.88</v>
      </c>
      <c r="AO325" s="891">
        <v>2317.94</v>
      </c>
      <c r="AP325" s="891">
        <v>5</v>
      </c>
      <c r="AQ325" s="891">
        <v>3.5</v>
      </c>
      <c r="AR325" s="891">
        <v>1.55</v>
      </c>
      <c r="AS325" s="891">
        <v>43.46</v>
      </c>
      <c r="AT325" s="891">
        <v>3.13</v>
      </c>
      <c r="AU325" s="891">
        <v>2.78</v>
      </c>
      <c r="AV325" s="891">
        <v>1.47</v>
      </c>
      <c r="AW325" s="891">
        <v>1.21</v>
      </c>
      <c r="AX325" s="891">
        <v>2.95</v>
      </c>
      <c r="AY325" s="891">
        <v>4.82</v>
      </c>
      <c r="AZ325" s="891">
        <v>4.2300000000000004</v>
      </c>
      <c r="BA325" s="891">
        <f t="shared" si="15"/>
        <v>252.67</v>
      </c>
      <c r="BB325" s="926">
        <f t="shared" si="16"/>
        <v>19668.239999999998</v>
      </c>
      <c r="BC325" s="926">
        <f t="shared" si="17"/>
        <v>122.39999999999898</v>
      </c>
      <c r="BD325" s="891"/>
      <c r="BE325" s="891"/>
      <c r="BF325" s="891"/>
      <c r="BG325" s="928"/>
      <c r="BH325" s="928"/>
      <c r="BI325" s="928"/>
    </row>
    <row r="326" spans="1:61">
      <c r="A326" s="891" t="s">
        <v>1097</v>
      </c>
      <c r="B326" s="891" t="s">
        <v>1606</v>
      </c>
      <c r="C326" s="891" t="s">
        <v>133</v>
      </c>
      <c r="D326" s="891">
        <v>12</v>
      </c>
      <c r="E326" s="891">
        <v>57.5</v>
      </c>
      <c r="F326" s="891">
        <v>7</v>
      </c>
      <c r="G326" s="891">
        <v>4.62</v>
      </c>
      <c r="H326" s="891">
        <v>5</v>
      </c>
      <c r="I326" s="891">
        <v>1.6</v>
      </c>
      <c r="J326" s="891">
        <v>1.3</v>
      </c>
      <c r="K326" s="891">
        <v>0.79</v>
      </c>
      <c r="L326" s="891">
        <v>3</v>
      </c>
      <c r="M326" s="891">
        <v>2.59</v>
      </c>
      <c r="N326" s="891">
        <v>11.01</v>
      </c>
      <c r="O326" s="891">
        <v>2</v>
      </c>
      <c r="P326" s="891">
        <v>10.5</v>
      </c>
      <c r="Q326" s="891">
        <v>3</v>
      </c>
      <c r="R326" s="891">
        <v>3</v>
      </c>
      <c r="S326" s="891">
        <v>8.84</v>
      </c>
      <c r="T326" s="891">
        <v>2.5</v>
      </c>
      <c r="U326" s="891">
        <v>8.8000000000000007</v>
      </c>
      <c r="V326" s="891">
        <v>90</v>
      </c>
      <c r="W326" s="891">
        <v>1.03</v>
      </c>
      <c r="X326" s="927">
        <v>19000</v>
      </c>
      <c r="Y326" s="891">
        <v>1450</v>
      </c>
      <c r="Z326" s="891">
        <v>1000</v>
      </c>
      <c r="AA326" s="891">
        <v>2500</v>
      </c>
      <c r="AB326" s="891">
        <v>1600</v>
      </c>
      <c r="AC326" s="891">
        <v>152.49</v>
      </c>
      <c r="AD326" s="891">
        <v>0.18</v>
      </c>
      <c r="AE326" s="891">
        <v>50</v>
      </c>
      <c r="AF326" s="891">
        <v>50</v>
      </c>
      <c r="AG326" s="891">
        <v>12</v>
      </c>
      <c r="AH326" s="891">
        <v>11</v>
      </c>
      <c r="AI326" s="891">
        <v>45</v>
      </c>
      <c r="AJ326" s="891">
        <v>40</v>
      </c>
      <c r="AK326" s="891">
        <v>90</v>
      </c>
      <c r="AL326" s="891">
        <v>100</v>
      </c>
      <c r="AM326" s="891">
        <v>4902.96</v>
      </c>
      <c r="AN326" s="891">
        <v>1800</v>
      </c>
      <c r="AO326" s="891">
        <v>3631</v>
      </c>
      <c r="AP326" s="891">
        <v>3.68</v>
      </c>
      <c r="AQ326" s="891">
        <v>2.5</v>
      </c>
      <c r="AR326" s="891">
        <v>1.71</v>
      </c>
      <c r="AS326" s="891">
        <v>28.72</v>
      </c>
      <c r="AT326" s="891">
        <v>3.93</v>
      </c>
      <c r="AU326" s="891">
        <v>3.53</v>
      </c>
      <c r="AV326" s="891">
        <v>3</v>
      </c>
      <c r="AW326" s="891">
        <v>1.6</v>
      </c>
      <c r="AX326" s="891">
        <v>3.75</v>
      </c>
      <c r="AY326" s="891">
        <v>3.33</v>
      </c>
      <c r="AZ326" s="891">
        <v>4.41</v>
      </c>
      <c r="BA326" s="891">
        <f t="shared" si="15"/>
        <v>202.67000000000002</v>
      </c>
      <c r="BB326" s="926">
        <f t="shared" si="16"/>
        <v>19126.46</v>
      </c>
      <c r="BC326" s="926">
        <f t="shared" si="17"/>
        <v>125.42999999999913</v>
      </c>
      <c r="BD326" s="891"/>
      <c r="BE326" s="891"/>
      <c r="BF326" s="891"/>
      <c r="BG326" s="928"/>
      <c r="BH326" s="928"/>
      <c r="BI326" s="928"/>
    </row>
    <row r="327" spans="1:61">
      <c r="A327" s="891" t="s">
        <v>1098</v>
      </c>
      <c r="B327" s="891" t="s">
        <v>1589</v>
      </c>
      <c r="C327" s="891" t="s">
        <v>149</v>
      </c>
      <c r="D327" s="891">
        <v>5.74</v>
      </c>
      <c r="E327" s="891">
        <v>37.33</v>
      </c>
      <c r="F327" s="891">
        <v>5.6</v>
      </c>
      <c r="G327" s="891">
        <v>2.8</v>
      </c>
      <c r="H327" s="891">
        <v>4.67</v>
      </c>
      <c r="I327" s="891">
        <v>1.4</v>
      </c>
      <c r="J327" s="891">
        <v>0.93</v>
      </c>
      <c r="K327" s="891">
        <v>1.91</v>
      </c>
      <c r="L327" s="891">
        <v>1.87</v>
      </c>
      <c r="M327" s="891">
        <v>3</v>
      </c>
      <c r="N327" s="891">
        <v>13.17</v>
      </c>
      <c r="O327" s="891">
        <v>1.17</v>
      </c>
      <c r="P327" s="891">
        <v>18.670000000000002</v>
      </c>
      <c r="Q327" s="891">
        <v>1.87</v>
      </c>
      <c r="R327" s="891">
        <v>3.27</v>
      </c>
      <c r="S327" s="891">
        <v>2.52</v>
      </c>
      <c r="T327" s="891">
        <v>1.07</v>
      </c>
      <c r="U327" s="891">
        <v>9.01</v>
      </c>
      <c r="V327" s="891">
        <v>41.39</v>
      </c>
      <c r="W327" s="891">
        <v>1.87</v>
      </c>
      <c r="X327" s="927">
        <v>28467.43</v>
      </c>
      <c r="Y327" s="891">
        <v>933.36</v>
      </c>
      <c r="Z327" s="891">
        <v>560.01</v>
      </c>
      <c r="AA327" s="891">
        <v>2800.07</v>
      </c>
      <c r="AB327" s="891">
        <v>1306.7</v>
      </c>
      <c r="AC327" s="891">
        <v>186.67</v>
      </c>
      <c r="AD327" s="891">
        <v>0.09</v>
      </c>
      <c r="AE327" s="891">
        <v>25.2</v>
      </c>
      <c r="AF327" s="891">
        <v>74.67</v>
      </c>
      <c r="AG327" s="891">
        <v>18.670000000000002</v>
      </c>
      <c r="AH327" s="891">
        <v>8.4</v>
      </c>
      <c r="AI327" s="891">
        <v>94.27</v>
      </c>
      <c r="AJ327" s="891">
        <v>55.07</v>
      </c>
      <c r="AK327" s="891">
        <v>93.34</v>
      </c>
      <c r="AL327" s="891">
        <v>140</v>
      </c>
      <c r="AM327" s="891">
        <v>7466.87</v>
      </c>
      <c r="AN327" s="891">
        <v>3733.43</v>
      </c>
      <c r="AO327" s="891">
        <v>2333.4</v>
      </c>
      <c r="AP327" s="891">
        <v>4.3499999999999996</v>
      </c>
      <c r="AQ327" s="891">
        <v>2.2400000000000002</v>
      </c>
      <c r="AR327" s="891">
        <v>1.03</v>
      </c>
      <c r="AS327" s="891">
        <v>13.07</v>
      </c>
      <c r="AT327" s="891">
        <v>4.95</v>
      </c>
      <c r="AU327" s="891">
        <v>3.73</v>
      </c>
      <c r="AV327" s="891">
        <v>2.8</v>
      </c>
      <c r="AW327" s="891">
        <v>1.87</v>
      </c>
      <c r="AX327" s="891">
        <v>4.2</v>
      </c>
      <c r="AY327" s="891">
        <v>3.03</v>
      </c>
      <c r="AZ327" s="891">
        <v>4.43</v>
      </c>
      <c r="BA327" s="891">
        <f t="shared" si="15"/>
        <v>211.95999999999998</v>
      </c>
      <c r="BB327" s="926">
        <f t="shared" si="16"/>
        <v>28528.100000000002</v>
      </c>
      <c r="BC327" s="926">
        <f t="shared" si="17"/>
        <v>58.800000000001894</v>
      </c>
      <c r="BD327" s="891"/>
      <c r="BE327" s="891"/>
      <c r="BF327" s="891"/>
      <c r="BG327" s="928"/>
      <c r="BH327" s="928"/>
      <c r="BI327" s="928"/>
    </row>
    <row r="328" spans="1:61">
      <c r="A328" s="891" t="s">
        <v>1099</v>
      </c>
      <c r="B328" s="891" t="s">
        <v>596</v>
      </c>
      <c r="C328" s="891" t="s">
        <v>193</v>
      </c>
      <c r="D328" s="891">
        <v>12.19</v>
      </c>
      <c r="E328" s="891">
        <v>51.48</v>
      </c>
      <c r="F328" s="891">
        <v>8.3000000000000007</v>
      </c>
      <c r="G328" s="891">
        <v>2.71</v>
      </c>
      <c r="H328" s="891">
        <v>2.98</v>
      </c>
      <c r="I328" s="891">
        <v>2.0299999999999998</v>
      </c>
      <c r="J328" s="891">
        <v>1.35</v>
      </c>
      <c r="K328" s="891">
        <v>1.08</v>
      </c>
      <c r="L328" s="891">
        <v>1.35</v>
      </c>
      <c r="M328" s="891">
        <v>1.86</v>
      </c>
      <c r="N328" s="891">
        <v>10.84</v>
      </c>
      <c r="O328" s="891">
        <v>1.1200000000000001</v>
      </c>
      <c r="P328" s="891">
        <v>5.42</v>
      </c>
      <c r="Q328" s="891">
        <v>1.08</v>
      </c>
      <c r="R328" s="891">
        <v>1.63</v>
      </c>
      <c r="S328" s="891">
        <v>5.99</v>
      </c>
      <c r="T328" s="891">
        <v>1.76</v>
      </c>
      <c r="U328" s="891">
        <v>9.14</v>
      </c>
      <c r="V328" s="891">
        <v>38.61</v>
      </c>
      <c r="W328" s="891">
        <v>2.0299999999999998</v>
      </c>
      <c r="X328" s="927">
        <v>28447.58</v>
      </c>
      <c r="Y328" s="891">
        <v>745.06</v>
      </c>
      <c r="Z328" s="891">
        <v>541.86</v>
      </c>
      <c r="AA328" s="891">
        <v>1151.45</v>
      </c>
      <c r="AB328" s="891">
        <v>812.79</v>
      </c>
      <c r="AC328" s="891">
        <v>138.16999999999999</v>
      </c>
      <c r="AD328" s="891">
        <v>0.14000000000000001</v>
      </c>
      <c r="AE328" s="891">
        <v>48.77</v>
      </c>
      <c r="AF328" s="891">
        <v>64.349999999999994</v>
      </c>
      <c r="AG328" s="891">
        <v>13.55</v>
      </c>
      <c r="AH328" s="891">
        <v>9.48</v>
      </c>
      <c r="AI328" s="891">
        <v>90.76</v>
      </c>
      <c r="AJ328" s="891">
        <v>44.7</v>
      </c>
      <c r="AK328" s="891">
        <v>101.6</v>
      </c>
      <c r="AL328" s="891">
        <v>94.15</v>
      </c>
      <c r="AM328" s="891">
        <v>3251.15</v>
      </c>
      <c r="AN328" s="891">
        <v>2031.97</v>
      </c>
      <c r="AO328" s="891">
        <v>1490.11</v>
      </c>
      <c r="AP328" s="891">
        <v>3.75</v>
      </c>
      <c r="AQ328" s="891">
        <v>4.0599999999999996</v>
      </c>
      <c r="AR328" s="891">
        <v>1.1499999999999999</v>
      </c>
      <c r="AS328" s="891">
        <v>46.4</v>
      </c>
      <c r="AT328" s="891">
        <v>2.0299999999999998</v>
      </c>
      <c r="AU328" s="891">
        <v>1.35</v>
      </c>
      <c r="AV328" s="891">
        <v>1.22</v>
      </c>
      <c r="AW328" s="891">
        <v>1.29</v>
      </c>
      <c r="AX328" s="891">
        <v>1.63</v>
      </c>
      <c r="AY328" s="891">
        <v>1.08</v>
      </c>
      <c r="AZ328" s="891">
        <v>1.9</v>
      </c>
      <c r="BA328" s="891">
        <f t="shared" si="15"/>
        <v>187.07999999999998</v>
      </c>
      <c r="BB328" s="926">
        <f t="shared" si="16"/>
        <v>28541.590000000007</v>
      </c>
      <c r="BC328" s="926">
        <f t="shared" si="17"/>
        <v>91.980000000005674</v>
      </c>
      <c r="BD328" s="891"/>
      <c r="BE328" s="891"/>
      <c r="BF328" s="891"/>
      <c r="BG328" s="928"/>
      <c r="BH328" s="928"/>
      <c r="BI328" s="928"/>
    </row>
    <row r="329" spans="1:61">
      <c r="A329" s="891" t="s">
        <v>1100</v>
      </c>
      <c r="B329" s="891" t="s">
        <v>552</v>
      </c>
      <c r="C329" s="891" t="s">
        <v>251</v>
      </c>
      <c r="D329" s="891">
        <v>4.9000000000000004</v>
      </c>
      <c r="E329" s="891">
        <v>40.840000000000003</v>
      </c>
      <c r="F329" s="891">
        <v>4.08</v>
      </c>
      <c r="G329" s="891">
        <v>2.4500000000000002</v>
      </c>
      <c r="H329" s="891">
        <v>5.72</v>
      </c>
      <c r="I329" s="891">
        <v>0.49</v>
      </c>
      <c r="J329" s="891">
        <v>0.33</v>
      </c>
      <c r="K329" s="891">
        <v>2.4500000000000002</v>
      </c>
      <c r="L329" s="891">
        <v>2.4500000000000002</v>
      </c>
      <c r="M329" s="891">
        <v>2.4500000000000002</v>
      </c>
      <c r="N329" s="891">
        <v>13.89</v>
      </c>
      <c r="O329" s="891">
        <v>0.82</v>
      </c>
      <c r="P329" s="891">
        <v>14.7</v>
      </c>
      <c r="Q329" s="891">
        <v>0.98</v>
      </c>
      <c r="R329" s="891">
        <v>2.5299999999999998</v>
      </c>
      <c r="S329" s="891">
        <v>2.4500000000000002</v>
      </c>
      <c r="T329" s="891">
        <v>0.49</v>
      </c>
      <c r="U329" s="891">
        <v>4.9000000000000004</v>
      </c>
      <c r="V329" s="891">
        <v>32.68</v>
      </c>
      <c r="W329" s="891">
        <v>1.31</v>
      </c>
      <c r="X329" s="927">
        <v>19605.28</v>
      </c>
      <c r="Y329" s="891">
        <v>980.26</v>
      </c>
      <c r="Z329" s="891">
        <v>490.13</v>
      </c>
      <c r="AA329" s="891">
        <v>2450.66</v>
      </c>
      <c r="AB329" s="891">
        <v>1307.02</v>
      </c>
      <c r="AC329" s="891">
        <v>58</v>
      </c>
      <c r="AD329" s="891">
        <v>0.03</v>
      </c>
      <c r="AE329" s="891">
        <v>24.51</v>
      </c>
      <c r="AF329" s="891">
        <v>47.38</v>
      </c>
      <c r="AG329" s="891">
        <v>11.44</v>
      </c>
      <c r="AH329" s="891">
        <v>16.34</v>
      </c>
      <c r="AI329" s="891">
        <v>130.69999999999999</v>
      </c>
      <c r="AJ329" s="891">
        <v>49.01</v>
      </c>
      <c r="AK329" s="891">
        <v>130.69999999999999</v>
      </c>
      <c r="AL329" s="891">
        <v>130.69999999999999</v>
      </c>
      <c r="AM329" s="891">
        <v>7351.98</v>
      </c>
      <c r="AN329" s="891">
        <v>3267.55</v>
      </c>
      <c r="AO329" s="891">
        <v>1001.35</v>
      </c>
      <c r="AP329" s="891">
        <v>6</v>
      </c>
      <c r="AQ329" s="891">
        <v>2.29</v>
      </c>
      <c r="AR329" s="891">
        <v>0.39</v>
      </c>
      <c r="AS329" s="891">
        <v>5.0999999999999996</v>
      </c>
      <c r="AT329" s="891">
        <v>2.4500000000000002</v>
      </c>
      <c r="AU329" s="891">
        <v>2.4500000000000002</v>
      </c>
      <c r="AV329" s="891">
        <v>1.23</v>
      </c>
      <c r="AW329" s="891">
        <v>0.98</v>
      </c>
      <c r="AX329" s="891">
        <v>4.57</v>
      </c>
      <c r="AY329" s="891">
        <v>1.06</v>
      </c>
      <c r="AZ329" s="891">
        <v>1.55</v>
      </c>
      <c r="BA329" s="891">
        <f t="shared" si="15"/>
        <v>82.54</v>
      </c>
      <c r="BB329" s="926">
        <f t="shared" si="16"/>
        <v>19647.539999999997</v>
      </c>
      <c r="BC329" s="926">
        <f t="shared" si="17"/>
        <v>40.949999999998397</v>
      </c>
      <c r="BD329" s="891"/>
      <c r="BE329" s="891"/>
      <c r="BF329" s="891"/>
      <c r="BG329" s="928"/>
      <c r="BH329" s="928"/>
      <c r="BI329" s="928"/>
    </row>
    <row r="330" spans="1:61">
      <c r="A330" s="891" t="s">
        <v>1101</v>
      </c>
      <c r="B330" s="891" t="s">
        <v>552</v>
      </c>
      <c r="C330" s="891" t="s">
        <v>184</v>
      </c>
      <c r="D330" s="891">
        <v>7.35</v>
      </c>
      <c r="E330" s="891">
        <v>49.01</v>
      </c>
      <c r="F330" s="891">
        <v>5.72</v>
      </c>
      <c r="G330" s="891">
        <v>3.27</v>
      </c>
      <c r="H330" s="891">
        <v>5.72</v>
      </c>
      <c r="I330" s="891">
        <v>1.18</v>
      </c>
      <c r="J330" s="891">
        <v>0.65</v>
      </c>
      <c r="K330" s="891">
        <v>2.5099999999999998</v>
      </c>
      <c r="L330" s="891">
        <v>2.4500000000000002</v>
      </c>
      <c r="M330" s="891">
        <v>2.61</v>
      </c>
      <c r="N330" s="891">
        <v>26.96</v>
      </c>
      <c r="O330" s="891">
        <v>0.49</v>
      </c>
      <c r="P330" s="891">
        <v>24.34</v>
      </c>
      <c r="Q330" s="891">
        <v>0.9</v>
      </c>
      <c r="R330" s="891">
        <v>2.94</v>
      </c>
      <c r="S330" s="891">
        <v>2.61</v>
      </c>
      <c r="T330" s="891">
        <v>0.33</v>
      </c>
      <c r="U330" s="891">
        <v>5.55</v>
      </c>
      <c r="V330" s="891">
        <v>26.14</v>
      </c>
      <c r="W330" s="891">
        <v>1.31</v>
      </c>
      <c r="X330" s="927">
        <v>24506.6</v>
      </c>
      <c r="Y330" s="891">
        <v>808.72</v>
      </c>
      <c r="Z330" s="891">
        <v>463.99</v>
      </c>
      <c r="AA330" s="891">
        <v>1633.77</v>
      </c>
      <c r="AB330" s="891">
        <v>1470.4</v>
      </c>
      <c r="AC330" s="891">
        <v>99.52</v>
      </c>
      <c r="AD330" s="891">
        <v>0.11</v>
      </c>
      <c r="AE330" s="891">
        <v>27.61</v>
      </c>
      <c r="AF330" s="891">
        <v>44.93</v>
      </c>
      <c r="AG330" s="891">
        <v>24.51</v>
      </c>
      <c r="AH330" s="891">
        <v>13.07</v>
      </c>
      <c r="AI330" s="891">
        <v>114.36</v>
      </c>
      <c r="AJ330" s="891">
        <v>49.01</v>
      </c>
      <c r="AK330" s="891">
        <v>98.03</v>
      </c>
      <c r="AL330" s="891">
        <v>122.53</v>
      </c>
      <c r="AM330" s="891">
        <v>6861.85</v>
      </c>
      <c r="AN330" s="891">
        <v>3921.06</v>
      </c>
      <c r="AO330" s="891">
        <v>653.51</v>
      </c>
      <c r="AP330" s="891">
        <v>7</v>
      </c>
      <c r="AQ330" s="891">
        <v>2.12</v>
      </c>
      <c r="AR330" s="891">
        <v>0.44</v>
      </c>
      <c r="AS330" s="891">
        <v>6.54</v>
      </c>
      <c r="AT330" s="891">
        <v>1.8</v>
      </c>
      <c r="AU330" s="891">
        <v>3.68</v>
      </c>
      <c r="AV330" s="891">
        <v>0.82</v>
      </c>
      <c r="AW330" s="891">
        <v>0.5</v>
      </c>
      <c r="AX330" s="891">
        <v>5.55</v>
      </c>
      <c r="AY330" s="891">
        <v>1.31</v>
      </c>
      <c r="AZ330" s="891">
        <v>2.4500000000000002</v>
      </c>
      <c r="BA330" s="891">
        <f t="shared" si="15"/>
        <v>127.24</v>
      </c>
      <c r="BB330" s="926">
        <f t="shared" si="16"/>
        <v>24543.479999999996</v>
      </c>
      <c r="BC330" s="926">
        <f t="shared" si="17"/>
        <v>35.569999999997378</v>
      </c>
      <c r="BD330" s="891"/>
      <c r="BE330" s="891"/>
      <c r="BF330" s="891"/>
      <c r="BG330" s="928"/>
      <c r="BH330" s="928"/>
      <c r="BI330" s="928"/>
    </row>
    <row r="331" spans="1:61">
      <c r="A331" s="891" t="s">
        <v>1648</v>
      </c>
      <c r="B331" s="891" t="s">
        <v>589</v>
      </c>
      <c r="C331" s="891" t="s">
        <v>1192</v>
      </c>
      <c r="D331" s="891">
        <v>8.0299999999999994</v>
      </c>
      <c r="E331" s="891">
        <v>40.130000000000003</v>
      </c>
      <c r="F331" s="891">
        <v>5.62</v>
      </c>
      <c r="G331" s="891">
        <v>5.0599999999999996</v>
      </c>
      <c r="H331" s="891">
        <v>6.42</v>
      </c>
      <c r="I331" s="891">
        <v>1.2</v>
      </c>
      <c r="J331" s="891">
        <v>0.8</v>
      </c>
      <c r="K331" s="891">
        <v>2.41</v>
      </c>
      <c r="L331" s="891">
        <v>1.61</v>
      </c>
      <c r="M331" s="891">
        <v>2.0099999999999998</v>
      </c>
      <c r="N331" s="891">
        <v>12.04</v>
      </c>
      <c r="O331" s="891">
        <v>1.2</v>
      </c>
      <c r="P331" s="891">
        <v>24.08</v>
      </c>
      <c r="Q331" s="891">
        <v>4.21</v>
      </c>
      <c r="R331" s="891">
        <v>4.82</v>
      </c>
      <c r="S331" s="891">
        <v>9.6300000000000008</v>
      </c>
      <c r="T331" s="891">
        <v>1.4</v>
      </c>
      <c r="U331" s="891">
        <v>8.0299999999999994</v>
      </c>
      <c r="V331" s="891">
        <v>77.05</v>
      </c>
      <c r="W331" s="891">
        <v>1.69</v>
      </c>
      <c r="X331" s="927">
        <v>110072.23</v>
      </c>
      <c r="Y331" s="891">
        <v>2808.99</v>
      </c>
      <c r="Z331" s="891">
        <v>1725.52</v>
      </c>
      <c r="AA331" s="891">
        <v>5216.6899999999996</v>
      </c>
      <c r="AB331" s="891">
        <v>2929.37</v>
      </c>
      <c r="AC331" s="891">
        <v>168.28</v>
      </c>
      <c r="AD331" s="891">
        <v>0.13</v>
      </c>
      <c r="AE331" s="891">
        <v>32.1</v>
      </c>
      <c r="AF331" s="891">
        <v>100.32</v>
      </c>
      <c r="AG331" s="891">
        <v>8.0299999999999994</v>
      </c>
      <c r="AH331" s="891">
        <v>8.0299999999999994</v>
      </c>
      <c r="AI331" s="891">
        <v>96.31</v>
      </c>
      <c r="AJ331" s="891">
        <v>56.18</v>
      </c>
      <c r="AK331" s="891">
        <v>103.53</v>
      </c>
      <c r="AL331" s="891">
        <v>104.33</v>
      </c>
      <c r="AM331" s="891">
        <v>15549.79</v>
      </c>
      <c r="AN331" s="891">
        <v>8638.77</v>
      </c>
      <c r="AO331" s="891">
        <v>2808.99</v>
      </c>
      <c r="AP331" s="891">
        <v>2.6</v>
      </c>
      <c r="AQ331" s="891">
        <v>2.57</v>
      </c>
      <c r="AR331" s="891">
        <v>0.48</v>
      </c>
      <c r="AS331" s="891">
        <v>14.13</v>
      </c>
      <c r="AT331" s="891">
        <v>3.21</v>
      </c>
      <c r="AU331" s="891">
        <v>3.21</v>
      </c>
      <c r="AV331" s="891">
        <v>2.41</v>
      </c>
      <c r="AW331" s="891">
        <v>1.61</v>
      </c>
      <c r="AX331" s="891">
        <v>4.01</v>
      </c>
      <c r="AY331" s="891">
        <v>2.91</v>
      </c>
      <c r="AZ331" s="891">
        <v>2.61</v>
      </c>
      <c r="BA331" s="891">
        <f t="shared" si="15"/>
        <v>200.51</v>
      </c>
      <c r="BB331" s="926">
        <f t="shared" si="16"/>
        <v>110169.55</v>
      </c>
      <c r="BC331" s="926">
        <f t="shared" si="17"/>
        <v>95.630000000006987</v>
      </c>
      <c r="BD331" s="891"/>
      <c r="BE331" s="891"/>
      <c r="BF331" s="891"/>
      <c r="BG331" s="928"/>
      <c r="BH331" s="928"/>
      <c r="BI331" s="928"/>
    </row>
    <row r="332" spans="1:61">
      <c r="A332" s="891" t="s">
        <v>1102</v>
      </c>
      <c r="B332" s="891" t="s">
        <v>650</v>
      </c>
      <c r="C332" s="891" t="s">
        <v>324</v>
      </c>
      <c r="D332" s="891">
        <v>4.4000000000000004</v>
      </c>
      <c r="E332" s="891">
        <v>27.09</v>
      </c>
      <c r="F332" s="891">
        <v>4.4000000000000004</v>
      </c>
      <c r="G332" s="891">
        <v>2.1800000000000002</v>
      </c>
      <c r="H332" s="891">
        <v>2.19</v>
      </c>
      <c r="I332" s="891">
        <v>1.54</v>
      </c>
      <c r="J332" s="891">
        <v>1.1000000000000001</v>
      </c>
      <c r="K332" s="891">
        <v>1.1000000000000001</v>
      </c>
      <c r="L332" s="891">
        <v>0.66</v>
      </c>
      <c r="M332" s="891">
        <v>1.84</v>
      </c>
      <c r="N332" s="891">
        <v>6.77</v>
      </c>
      <c r="O332" s="891">
        <v>0.55000000000000004</v>
      </c>
      <c r="P332" s="891">
        <v>4.62</v>
      </c>
      <c r="Q332" s="891">
        <v>0.95</v>
      </c>
      <c r="R332" s="891">
        <v>1.35</v>
      </c>
      <c r="S332" s="891">
        <v>2.64</v>
      </c>
      <c r="T332" s="891">
        <v>0.77</v>
      </c>
      <c r="U332" s="891">
        <v>5.42</v>
      </c>
      <c r="V332" s="891">
        <v>33</v>
      </c>
      <c r="W332" s="891">
        <v>1.87</v>
      </c>
      <c r="X332" s="927">
        <v>21674.34</v>
      </c>
      <c r="Y332" s="891">
        <v>278.48</v>
      </c>
      <c r="Z332" s="891">
        <v>203.2</v>
      </c>
      <c r="AA332" s="891">
        <v>541.86</v>
      </c>
      <c r="AB332" s="891">
        <v>392.85</v>
      </c>
      <c r="AC332" s="891">
        <v>198.02</v>
      </c>
      <c r="AD332" s="891">
        <v>0.14000000000000001</v>
      </c>
      <c r="AE332" s="891">
        <v>13.55</v>
      </c>
      <c r="AF332" s="891">
        <v>27.09</v>
      </c>
      <c r="AG332" s="891">
        <v>8.8000000000000007</v>
      </c>
      <c r="AH332" s="891">
        <v>4.0599999999999996</v>
      </c>
      <c r="AI332" s="891">
        <v>72.37</v>
      </c>
      <c r="AJ332" s="891">
        <v>44</v>
      </c>
      <c r="AK332" s="891">
        <v>110.01</v>
      </c>
      <c r="AL332" s="891">
        <v>99.01</v>
      </c>
      <c r="AM332" s="891">
        <v>1761.04</v>
      </c>
      <c r="AN332" s="891">
        <v>1219.18</v>
      </c>
      <c r="AO332" s="891">
        <v>440.04</v>
      </c>
      <c r="AP332" s="891">
        <v>8.5</v>
      </c>
      <c r="AQ332" s="891">
        <v>0.93</v>
      </c>
      <c r="AR332" s="891">
        <v>0.55000000000000004</v>
      </c>
      <c r="AS332" s="891">
        <v>6.77</v>
      </c>
      <c r="AT332" s="891">
        <v>1.02</v>
      </c>
      <c r="AU332" s="891">
        <v>1.21</v>
      </c>
      <c r="AV332" s="891">
        <v>0.68</v>
      </c>
      <c r="AW332" s="891">
        <v>0.41</v>
      </c>
      <c r="AX332" s="891">
        <v>1.98</v>
      </c>
      <c r="AY332" s="891">
        <v>1.32</v>
      </c>
      <c r="AZ332" s="891">
        <v>0.91</v>
      </c>
      <c r="BA332" s="891">
        <f t="shared" si="15"/>
        <v>211.71</v>
      </c>
      <c r="BB332" s="926">
        <f t="shared" si="16"/>
        <v>21718.23</v>
      </c>
      <c r="BC332" s="926">
        <f t="shared" si="17"/>
        <v>42.01999999999942</v>
      </c>
      <c r="BD332" s="891"/>
      <c r="BE332" s="891"/>
      <c r="BF332" s="891"/>
      <c r="BG332" s="928"/>
      <c r="BH332" s="928"/>
      <c r="BI332" s="928"/>
    </row>
    <row r="333" spans="1:61">
      <c r="A333" s="891" t="s">
        <v>1103</v>
      </c>
      <c r="B333" s="891" t="s">
        <v>595</v>
      </c>
      <c r="C333" s="891" t="s">
        <v>144</v>
      </c>
      <c r="D333" s="891">
        <v>13.55</v>
      </c>
      <c r="E333" s="891">
        <v>52.15</v>
      </c>
      <c r="F333" s="891">
        <v>9.48</v>
      </c>
      <c r="G333" s="891">
        <v>3.52</v>
      </c>
      <c r="H333" s="891">
        <v>3.39</v>
      </c>
      <c r="I333" s="891">
        <v>1.96</v>
      </c>
      <c r="J333" s="891">
        <v>1.35</v>
      </c>
      <c r="K333" s="891">
        <v>1.22</v>
      </c>
      <c r="L333" s="891">
        <v>1.29</v>
      </c>
      <c r="M333" s="891">
        <v>2.71</v>
      </c>
      <c r="N333" s="891">
        <v>16.260000000000002</v>
      </c>
      <c r="O333" s="891">
        <v>0.68</v>
      </c>
      <c r="P333" s="891">
        <v>5.42</v>
      </c>
      <c r="Q333" s="891">
        <v>1.22</v>
      </c>
      <c r="R333" s="891">
        <v>1.35</v>
      </c>
      <c r="S333" s="891">
        <v>5.89</v>
      </c>
      <c r="T333" s="891">
        <v>1.9</v>
      </c>
      <c r="U333" s="891">
        <v>9.48</v>
      </c>
      <c r="V333" s="891">
        <v>54.19</v>
      </c>
      <c r="W333" s="891">
        <v>1.91</v>
      </c>
      <c r="X333" s="927">
        <v>29802.22</v>
      </c>
      <c r="Y333" s="891">
        <v>541.86</v>
      </c>
      <c r="Z333" s="891">
        <v>406.39</v>
      </c>
      <c r="AA333" s="891">
        <v>914.39</v>
      </c>
      <c r="AB333" s="891">
        <v>643.46</v>
      </c>
      <c r="AC333" s="891">
        <v>135.46</v>
      </c>
      <c r="AD333" s="891">
        <v>0.41</v>
      </c>
      <c r="AE333" s="891">
        <v>27.09</v>
      </c>
      <c r="AF333" s="891">
        <v>44.03</v>
      </c>
      <c r="AG333" s="891">
        <v>16.93</v>
      </c>
      <c r="AH333" s="891">
        <v>10.84</v>
      </c>
      <c r="AI333" s="891">
        <v>94.83</v>
      </c>
      <c r="AJ333" s="891">
        <v>60.96</v>
      </c>
      <c r="AK333" s="891">
        <v>121.92</v>
      </c>
      <c r="AL333" s="891">
        <v>91.44</v>
      </c>
      <c r="AM333" s="891">
        <v>5079.92</v>
      </c>
      <c r="AN333" s="891">
        <v>2099.6999999999998</v>
      </c>
      <c r="AO333" s="891">
        <v>2031.97</v>
      </c>
      <c r="AP333" s="891">
        <v>4.7</v>
      </c>
      <c r="AQ333" s="891">
        <v>10.84</v>
      </c>
      <c r="AR333" s="891">
        <v>2.0299999999999998</v>
      </c>
      <c r="AS333" s="891">
        <v>10.84</v>
      </c>
      <c r="AT333" s="891">
        <v>2.71</v>
      </c>
      <c r="AU333" s="891">
        <v>2.71</v>
      </c>
      <c r="AV333" s="891">
        <v>2.71</v>
      </c>
      <c r="AW333" s="891">
        <v>1.63</v>
      </c>
      <c r="AX333" s="891">
        <v>2.71</v>
      </c>
      <c r="AY333" s="891">
        <v>1.35</v>
      </c>
      <c r="AZ333" s="891">
        <v>1.35</v>
      </c>
      <c r="BA333" s="891">
        <f t="shared" si="15"/>
        <v>162.96</v>
      </c>
      <c r="BB333" s="926">
        <f t="shared" si="16"/>
        <v>29883.93</v>
      </c>
      <c r="BC333" s="926">
        <f t="shared" si="17"/>
        <v>79.79999999999913</v>
      </c>
      <c r="BD333" s="891"/>
      <c r="BE333" s="891"/>
      <c r="BF333" s="891"/>
      <c r="BG333" s="928"/>
      <c r="BH333" s="928"/>
      <c r="BI333" s="928"/>
    </row>
    <row r="334" spans="1:61">
      <c r="A334" s="891" t="s">
        <v>1104</v>
      </c>
      <c r="B334" s="891" t="s">
        <v>637</v>
      </c>
      <c r="C334" s="891" t="s">
        <v>320</v>
      </c>
      <c r="D334" s="891">
        <v>5.53</v>
      </c>
      <c r="E334" s="891">
        <v>29.38</v>
      </c>
      <c r="F334" s="891">
        <v>4.84</v>
      </c>
      <c r="G334" s="891">
        <v>1.38</v>
      </c>
      <c r="H334" s="891">
        <v>2.0699999999999998</v>
      </c>
      <c r="I334" s="891">
        <v>1.04</v>
      </c>
      <c r="J334" s="891">
        <v>0.69</v>
      </c>
      <c r="K334" s="891">
        <v>1.31</v>
      </c>
      <c r="L334" s="891">
        <v>0.69</v>
      </c>
      <c r="M334" s="891">
        <v>2.0699999999999998</v>
      </c>
      <c r="N334" s="891">
        <v>5.53</v>
      </c>
      <c r="O334" s="891">
        <v>0.62</v>
      </c>
      <c r="P334" s="891">
        <v>5.53</v>
      </c>
      <c r="Q334" s="891">
        <v>0.75</v>
      </c>
      <c r="R334" s="891">
        <v>1.38</v>
      </c>
      <c r="S334" s="891">
        <v>3.46</v>
      </c>
      <c r="T334" s="891">
        <v>0.69</v>
      </c>
      <c r="U334" s="891">
        <v>6.57</v>
      </c>
      <c r="V334" s="891">
        <v>34.56</v>
      </c>
      <c r="W334" s="891">
        <v>1.8</v>
      </c>
      <c r="X334" s="927">
        <v>19354.39</v>
      </c>
      <c r="Y334" s="891">
        <v>345.61</v>
      </c>
      <c r="Z334" s="891">
        <v>241.93</v>
      </c>
      <c r="AA334" s="891">
        <v>552.98</v>
      </c>
      <c r="AB334" s="891">
        <v>414.74</v>
      </c>
      <c r="AC334" s="891">
        <v>117.51</v>
      </c>
      <c r="AD334" s="891">
        <v>0.22</v>
      </c>
      <c r="AE334" s="891">
        <v>10.37</v>
      </c>
      <c r="AF334" s="891">
        <v>34.56</v>
      </c>
      <c r="AG334" s="891">
        <v>12.3</v>
      </c>
      <c r="AH334" s="891">
        <v>6.84</v>
      </c>
      <c r="AI334" s="891">
        <v>69.12</v>
      </c>
      <c r="AJ334" s="891">
        <v>41.47</v>
      </c>
      <c r="AK334" s="891">
        <v>89.86</v>
      </c>
      <c r="AL334" s="891">
        <v>69.12</v>
      </c>
      <c r="AM334" s="891">
        <v>1341.1</v>
      </c>
      <c r="AN334" s="891">
        <v>898.6</v>
      </c>
      <c r="AO334" s="891">
        <v>587.54</v>
      </c>
      <c r="AP334" s="891">
        <v>8</v>
      </c>
      <c r="AQ334" s="891">
        <v>0.48</v>
      </c>
      <c r="AR334" s="891">
        <v>0.53</v>
      </c>
      <c r="AS334" s="891">
        <v>8.09</v>
      </c>
      <c r="AT334" s="891">
        <v>1.38</v>
      </c>
      <c r="AU334" s="891">
        <v>1.38</v>
      </c>
      <c r="AV334" s="891">
        <v>0.69</v>
      </c>
      <c r="AW334" s="891">
        <v>0.62</v>
      </c>
      <c r="AX334" s="891">
        <v>1.38</v>
      </c>
      <c r="AY334" s="891">
        <v>1.38</v>
      </c>
      <c r="AZ334" s="891">
        <v>1.38</v>
      </c>
      <c r="BA334" s="891">
        <f t="shared" si="15"/>
        <v>128.1</v>
      </c>
      <c r="BB334" s="926">
        <f t="shared" si="16"/>
        <v>19400.539999999997</v>
      </c>
      <c r="BC334" s="926">
        <f t="shared" si="17"/>
        <v>44.34999999999782</v>
      </c>
      <c r="BD334" s="891"/>
      <c r="BE334" s="891"/>
      <c r="BF334" s="891"/>
      <c r="BG334" s="928"/>
      <c r="BH334" s="928"/>
      <c r="BI334" s="928"/>
    </row>
    <row r="335" spans="1:61">
      <c r="A335" s="891" t="s">
        <v>1105</v>
      </c>
      <c r="B335" s="891" t="s">
        <v>607</v>
      </c>
      <c r="C335" s="891" t="s">
        <v>207</v>
      </c>
      <c r="D335" s="891">
        <v>10.77</v>
      </c>
      <c r="E335" s="891">
        <v>43.67</v>
      </c>
      <c r="F335" s="891">
        <v>5.35</v>
      </c>
      <c r="G335" s="891">
        <v>2.67</v>
      </c>
      <c r="H335" s="891">
        <v>2.67</v>
      </c>
      <c r="I335" s="891">
        <v>2.14</v>
      </c>
      <c r="J335" s="891">
        <v>1.6</v>
      </c>
      <c r="K335" s="891">
        <v>1.07</v>
      </c>
      <c r="L335" s="891">
        <v>0.89</v>
      </c>
      <c r="M335" s="891">
        <v>2.71</v>
      </c>
      <c r="N335" s="891">
        <v>10.69</v>
      </c>
      <c r="O335" s="891">
        <v>1.1100000000000001</v>
      </c>
      <c r="P335" s="891">
        <v>6.24</v>
      </c>
      <c r="Q335" s="891">
        <v>1.25</v>
      </c>
      <c r="R335" s="891">
        <v>1.3</v>
      </c>
      <c r="S335" s="891">
        <v>4.0999999999999996</v>
      </c>
      <c r="T335" s="891">
        <v>1.96</v>
      </c>
      <c r="U335" s="891">
        <v>9.6300000000000008</v>
      </c>
      <c r="V335" s="891">
        <v>53.47</v>
      </c>
      <c r="W335" s="891">
        <v>1.86</v>
      </c>
      <c r="X335" s="927">
        <v>24954.1</v>
      </c>
      <c r="Y335" s="891">
        <v>445.61</v>
      </c>
      <c r="Z335" s="891">
        <v>320.83999999999997</v>
      </c>
      <c r="AA335" s="891">
        <v>623.85</v>
      </c>
      <c r="AB335" s="891">
        <v>472.35</v>
      </c>
      <c r="AC335" s="891">
        <v>227.26</v>
      </c>
      <c r="AD335" s="891">
        <v>0.18</v>
      </c>
      <c r="AE335" s="891">
        <v>25.85</v>
      </c>
      <c r="AF335" s="891">
        <v>35.65</v>
      </c>
      <c r="AG335" s="891">
        <v>9.1999999999999993</v>
      </c>
      <c r="AH335" s="891">
        <v>6.24</v>
      </c>
      <c r="AI335" s="891">
        <v>89.12</v>
      </c>
      <c r="AJ335" s="891">
        <v>49.73</v>
      </c>
      <c r="AK335" s="891">
        <v>89.12</v>
      </c>
      <c r="AL335" s="891">
        <v>84.67</v>
      </c>
      <c r="AM335" s="891">
        <v>3208.38</v>
      </c>
      <c r="AN335" s="891">
        <v>2317.17</v>
      </c>
      <c r="AO335" s="891">
        <v>712.97</v>
      </c>
      <c r="AP335" s="891">
        <v>7.4</v>
      </c>
      <c r="AQ335" s="891">
        <v>3.56</v>
      </c>
      <c r="AR335" s="891">
        <v>1.78</v>
      </c>
      <c r="AS335" s="891">
        <v>10.59</v>
      </c>
      <c r="AT335" s="891">
        <v>1.78</v>
      </c>
      <c r="AU335" s="891">
        <v>2.14</v>
      </c>
      <c r="AV335" s="891">
        <v>1.07</v>
      </c>
      <c r="AW335" s="891">
        <v>0.89</v>
      </c>
      <c r="AX335" s="891">
        <v>1.78</v>
      </c>
      <c r="AY335" s="891">
        <v>1.78</v>
      </c>
      <c r="AZ335" s="891">
        <v>1.96</v>
      </c>
      <c r="BA335" s="891">
        <f t="shared" si="15"/>
        <v>253.29</v>
      </c>
      <c r="BB335" s="926">
        <f t="shared" si="16"/>
        <v>25027.32</v>
      </c>
      <c r="BC335" s="926">
        <f t="shared" si="17"/>
        <v>71.360000000001165</v>
      </c>
      <c r="BD335" s="891"/>
      <c r="BE335" s="891"/>
      <c r="BF335" s="891"/>
      <c r="BG335" s="928"/>
      <c r="BH335" s="928"/>
      <c r="BI335" s="928"/>
    </row>
    <row r="336" spans="1:61">
      <c r="A336" s="891" t="s">
        <v>1106</v>
      </c>
      <c r="B336" s="891" t="s">
        <v>577</v>
      </c>
      <c r="C336" s="891" t="s">
        <v>4</v>
      </c>
      <c r="D336" s="891">
        <v>30</v>
      </c>
      <c r="E336" s="891">
        <v>116.67</v>
      </c>
      <c r="F336" s="891">
        <v>16.670000000000002</v>
      </c>
      <c r="G336" s="891">
        <v>12.17</v>
      </c>
      <c r="H336" s="891">
        <v>12.5</v>
      </c>
      <c r="I336" s="891">
        <v>3.92</v>
      </c>
      <c r="J336" s="891">
        <v>3.33</v>
      </c>
      <c r="K336" s="891">
        <v>2.33</v>
      </c>
      <c r="L336" s="891">
        <v>4.08</v>
      </c>
      <c r="M336" s="891">
        <v>5.58</v>
      </c>
      <c r="N336" s="891">
        <v>14.56</v>
      </c>
      <c r="O336" s="891">
        <v>3.33</v>
      </c>
      <c r="P336" s="891">
        <v>20</v>
      </c>
      <c r="Q336" s="891">
        <v>4.5199999999999996</v>
      </c>
      <c r="R336" s="891">
        <v>4.95</v>
      </c>
      <c r="S336" s="891">
        <v>14.67</v>
      </c>
      <c r="T336" s="891">
        <v>5.5</v>
      </c>
      <c r="U336" s="891">
        <v>20</v>
      </c>
      <c r="V336" s="891">
        <v>105</v>
      </c>
      <c r="W336" s="891">
        <v>2.5</v>
      </c>
      <c r="X336" s="927">
        <v>44084.07</v>
      </c>
      <c r="Y336" s="891">
        <v>2083.37</v>
      </c>
      <c r="Z336" s="891">
        <v>1500.03</v>
      </c>
      <c r="AA336" s="891">
        <v>3666.73</v>
      </c>
      <c r="AB336" s="891">
        <v>3000.05</v>
      </c>
      <c r="AC336" s="891">
        <v>259.73</v>
      </c>
      <c r="AD336" s="891">
        <v>0.14000000000000001</v>
      </c>
      <c r="AE336" s="891">
        <v>66.67</v>
      </c>
      <c r="AF336" s="891">
        <v>91.67</v>
      </c>
      <c r="AG336" s="891">
        <v>37.83</v>
      </c>
      <c r="AH336" s="891">
        <v>18.329999999999998</v>
      </c>
      <c r="AI336" s="891">
        <v>150</v>
      </c>
      <c r="AJ336" s="891">
        <v>66.67</v>
      </c>
      <c r="AK336" s="891">
        <v>134.84</v>
      </c>
      <c r="AL336" s="891">
        <v>150</v>
      </c>
      <c r="AM336" s="891">
        <v>7750.13</v>
      </c>
      <c r="AN336" s="891">
        <v>5000.08</v>
      </c>
      <c r="AO336" s="891">
        <v>4922.58</v>
      </c>
      <c r="AP336" s="891">
        <v>3.5</v>
      </c>
      <c r="AQ336" s="891">
        <v>15</v>
      </c>
      <c r="AR336" s="891">
        <v>2.36</v>
      </c>
      <c r="AS336" s="891">
        <v>91.67</v>
      </c>
      <c r="AT336" s="891">
        <v>3.6</v>
      </c>
      <c r="AU336" s="891">
        <v>3.45</v>
      </c>
      <c r="AV336" s="891">
        <v>2.25</v>
      </c>
      <c r="AW336" s="891">
        <v>2.42</v>
      </c>
      <c r="AX336" s="891">
        <v>6.67</v>
      </c>
      <c r="AY336" s="891">
        <v>4.17</v>
      </c>
      <c r="AZ336" s="891">
        <v>4.17</v>
      </c>
      <c r="BA336" s="891">
        <f t="shared" si="15"/>
        <v>326.54000000000002</v>
      </c>
      <c r="BB336" s="926">
        <f t="shared" si="16"/>
        <v>44306.1</v>
      </c>
      <c r="BC336" s="926">
        <f t="shared" si="17"/>
        <v>219.52999999999884</v>
      </c>
      <c r="BD336" s="891"/>
      <c r="BE336" s="891"/>
      <c r="BF336" s="891"/>
      <c r="BG336" s="928"/>
      <c r="BH336" s="928"/>
      <c r="BI336" s="928"/>
    </row>
    <row r="337" spans="1:61">
      <c r="A337" s="891" t="s">
        <v>1107</v>
      </c>
      <c r="B337" s="891" t="s">
        <v>582</v>
      </c>
      <c r="C337" s="891" t="s">
        <v>18</v>
      </c>
      <c r="D337" s="891">
        <v>13.82</v>
      </c>
      <c r="E337" s="891">
        <v>91.08</v>
      </c>
      <c r="F337" s="891">
        <v>10.029999999999999</v>
      </c>
      <c r="G337" s="891">
        <v>8.49</v>
      </c>
      <c r="H337" s="891">
        <v>7.72</v>
      </c>
      <c r="I337" s="891">
        <v>3.09</v>
      </c>
      <c r="J337" s="891">
        <v>2.3199999999999998</v>
      </c>
      <c r="K337" s="891">
        <v>1.35</v>
      </c>
      <c r="L337" s="891">
        <v>3.55</v>
      </c>
      <c r="M337" s="891">
        <v>3.86</v>
      </c>
      <c r="N337" s="891">
        <v>14.05</v>
      </c>
      <c r="O337" s="891">
        <v>2.3199999999999998</v>
      </c>
      <c r="P337" s="891">
        <v>12.27</v>
      </c>
      <c r="Q337" s="891">
        <v>2.3199999999999998</v>
      </c>
      <c r="R337" s="891">
        <v>2.2400000000000002</v>
      </c>
      <c r="S337" s="891">
        <v>8.18</v>
      </c>
      <c r="T337" s="891">
        <v>5.56</v>
      </c>
      <c r="U337" s="891">
        <v>12.2</v>
      </c>
      <c r="V337" s="891">
        <v>121.95</v>
      </c>
      <c r="W337" s="891">
        <v>2.3199999999999998</v>
      </c>
      <c r="X337" s="927">
        <v>27786.78</v>
      </c>
      <c r="Y337" s="891">
        <v>1327.59</v>
      </c>
      <c r="Z337" s="891">
        <v>771.86</v>
      </c>
      <c r="AA337" s="891">
        <v>2392.75</v>
      </c>
      <c r="AB337" s="891">
        <v>1389.34</v>
      </c>
      <c r="AC337" s="891">
        <v>214.19</v>
      </c>
      <c r="AD337" s="891">
        <v>0.15</v>
      </c>
      <c r="AE337" s="891">
        <v>30.87</v>
      </c>
      <c r="AF337" s="891">
        <v>61.75</v>
      </c>
      <c r="AG337" s="891">
        <v>38.590000000000003</v>
      </c>
      <c r="AH337" s="891">
        <v>16.98</v>
      </c>
      <c r="AI337" s="891">
        <v>138.93</v>
      </c>
      <c r="AJ337" s="891">
        <v>57.89</v>
      </c>
      <c r="AK337" s="891">
        <v>138.93</v>
      </c>
      <c r="AL337" s="891">
        <v>185.25</v>
      </c>
      <c r="AM337" s="891">
        <v>9571</v>
      </c>
      <c r="AN337" s="891">
        <v>5634.54</v>
      </c>
      <c r="AO337" s="891">
        <v>3396.16</v>
      </c>
      <c r="AP337" s="891">
        <v>3.5</v>
      </c>
      <c r="AQ337" s="891">
        <v>6.95</v>
      </c>
      <c r="AR337" s="891">
        <v>1.85</v>
      </c>
      <c r="AS337" s="891">
        <v>68.7</v>
      </c>
      <c r="AT337" s="891">
        <v>3.24</v>
      </c>
      <c r="AU337" s="891">
        <v>3.09</v>
      </c>
      <c r="AV337" s="891">
        <v>1.23</v>
      </c>
      <c r="AW337" s="891">
        <v>2.3199999999999998</v>
      </c>
      <c r="AX337" s="891">
        <v>4.63</v>
      </c>
      <c r="AY337" s="891">
        <v>3.09</v>
      </c>
      <c r="AZ337" s="891">
        <v>4.63</v>
      </c>
      <c r="BA337" s="891">
        <f t="shared" si="15"/>
        <v>245.21</v>
      </c>
      <c r="BB337" s="926">
        <f t="shared" si="16"/>
        <v>27994.11</v>
      </c>
      <c r="BC337" s="926">
        <f t="shared" si="17"/>
        <v>205.01000000000175</v>
      </c>
      <c r="BD337" s="891"/>
      <c r="BE337" s="891"/>
      <c r="BF337" s="891"/>
      <c r="BG337" s="928"/>
      <c r="BH337" s="928"/>
      <c r="BI337" s="928"/>
    </row>
    <row r="338" spans="1:61">
      <c r="A338" s="891" t="s">
        <v>1109</v>
      </c>
      <c r="B338" s="891" t="s">
        <v>566</v>
      </c>
      <c r="C338" s="891" t="s">
        <v>82</v>
      </c>
      <c r="D338" s="891">
        <v>11.18</v>
      </c>
      <c r="E338" s="891">
        <v>67.73</v>
      </c>
      <c r="F338" s="891">
        <v>8.1300000000000008</v>
      </c>
      <c r="G338" s="891">
        <v>4.0599999999999996</v>
      </c>
      <c r="H338" s="891">
        <v>4.0599999999999996</v>
      </c>
      <c r="I338" s="891">
        <v>3.25</v>
      </c>
      <c r="J338" s="891">
        <v>2.3199999999999998</v>
      </c>
      <c r="K338" s="891">
        <v>1.08</v>
      </c>
      <c r="L338" s="891">
        <v>2.71</v>
      </c>
      <c r="M338" s="891">
        <v>3.32</v>
      </c>
      <c r="N338" s="891">
        <v>19.64</v>
      </c>
      <c r="O338" s="891">
        <v>1.22</v>
      </c>
      <c r="P338" s="891">
        <v>6.77</v>
      </c>
      <c r="Q338" s="891">
        <v>1.35</v>
      </c>
      <c r="R338" s="891">
        <v>1.49</v>
      </c>
      <c r="S338" s="891">
        <v>6.77</v>
      </c>
      <c r="T338" s="891">
        <v>3.39</v>
      </c>
      <c r="U338" s="891">
        <v>10.84</v>
      </c>
      <c r="V338" s="891">
        <v>94.83</v>
      </c>
      <c r="W338" s="891">
        <v>2.14</v>
      </c>
      <c r="X338" s="927">
        <v>23767.27</v>
      </c>
      <c r="Y338" s="891">
        <v>677.32</v>
      </c>
      <c r="Z338" s="891">
        <v>541.86</v>
      </c>
      <c r="AA338" s="891">
        <v>1794.91</v>
      </c>
      <c r="AB338" s="891">
        <v>1320.78</v>
      </c>
      <c r="AC338" s="891">
        <v>203.2</v>
      </c>
      <c r="AD338" s="891">
        <v>0.12</v>
      </c>
      <c r="AE338" s="891">
        <v>33.869999999999997</v>
      </c>
      <c r="AF338" s="891">
        <v>67.73</v>
      </c>
      <c r="AG338" s="891">
        <v>37.25</v>
      </c>
      <c r="AH338" s="891">
        <v>10.84</v>
      </c>
      <c r="AI338" s="891">
        <v>108.37</v>
      </c>
      <c r="AJ338" s="891">
        <v>71.12</v>
      </c>
      <c r="AK338" s="891">
        <v>108.37</v>
      </c>
      <c r="AL338" s="891">
        <v>128.69</v>
      </c>
      <c r="AM338" s="891">
        <v>3251.15</v>
      </c>
      <c r="AN338" s="891">
        <v>1896.51</v>
      </c>
      <c r="AO338" s="891">
        <v>3386.62</v>
      </c>
      <c r="AP338" s="891">
        <v>5.5</v>
      </c>
      <c r="AQ338" s="891">
        <v>3.93</v>
      </c>
      <c r="AR338" s="891">
        <v>2.71</v>
      </c>
      <c r="AS338" s="891">
        <v>36.58</v>
      </c>
      <c r="AT338" s="891">
        <v>2.71</v>
      </c>
      <c r="AU338" s="891">
        <v>2.84</v>
      </c>
      <c r="AV338" s="891">
        <v>1.83</v>
      </c>
      <c r="AW338" s="891">
        <v>1.04</v>
      </c>
      <c r="AX338" s="891">
        <v>3.59</v>
      </c>
      <c r="AY338" s="891">
        <v>1.83</v>
      </c>
      <c r="AZ338" s="891">
        <v>2.71</v>
      </c>
      <c r="BA338" s="891">
        <f t="shared" si="15"/>
        <v>237.19</v>
      </c>
      <c r="BB338" s="926">
        <f t="shared" si="16"/>
        <v>23910.850000000002</v>
      </c>
      <c r="BC338" s="926">
        <f t="shared" si="17"/>
        <v>141.44000000000176</v>
      </c>
      <c r="BD338" s="891"/>
      <c r="BE338" s="891"/>
      <c r="BF338" s="891"/>
      <c r="BG338" s="928"/>
      <c r="BH338" s="928"/>
      <c r="BI338" s="928"/>
    </row>
    <row r="339" spans="1:61">
      <c r="A339" s="891" t="s">
        <v>1110</v>
      </c>
      <c r="B339" s="891" t="s">
        <v>560</v>
      </c>
      <c r="C339" s="891" t="s">
        <v>384</v>
      </c>
      <c r="D339" s="891">
        <v>1.64</v>
      </c>
      <c r="E339" s="891">
        <v>4.92</v>
      </c>
      <c r="F339" s="891">
        <v>2.46</v>
      </c>
      <c r="G339" s="891">
        <v>1.56</v>
      </c>
      <c r="H339" s="891">
        <v>3.28</v>
      </c>
      <c r="I339" s="891">
        <v>0.33</v>
      </c>
      <c r="J339" s="891">
        <v>0.22</v>
      </c>
      <c r="K339" s="891">
        <v>0.66</v>
      </c>
      <c r="L339" s="891">
        <v>0.33</v>
      </c>
      <c r="M339" s="891">
        <v>0.98</v>
      </c>
      <c r="N339" s="891">
        <v>3.28</v>
      </c>
      <c r="O339" s="891">
        <v>0.45</v>
      </c>
      <c r="P339" s="891">
        <v>5.74</v>
      </c>
      <c r="Q339" s="891">
        <v>1.43</v>
      </c>
      <c r="R339" s="891">
        <v>3.12</v>
      </c>
      <c r="S339" s="891">
        <v>1.64</v>
      </c>
      <c r="T339" s="891">
        <v>0.16</v>
      </c>
      <c r="U339" s="891">
        <v>4.0999999999999996</v>
      </c>
      <c r="V339" s="891">
        <v>4.92</v>
      </c>
      <c r="W339" s="891">
        <v>1.27</v>
      </c>
      <c r="X339" s="927">
        <v>11478.23</v>
      </c>
      <c r="Y339" s="891">
        <v>81.99</v>
      </c>
      <c r="Z339" s="891">
        <v>32.79</v>
      </c>
      <c r="AA339" s="891">
        <v>163.97</v>
      </c>
      <c r="AB339" s="891">
        <v>81.99</v>
      </c>
      <c r="AC339" s="891">
        <v>40.99</v>
      </c>
      <c r="AD339" s="891">
        <v>0.02</v>
      </c>
      <c r="AE339" s="891">
        <v>16.399999999999999</v>
      </c>
      <c r="AF339" s="891">
        <v>20.5</v>
      </c>
      <c r="AG339" s="891">
        <v>2.46</v>
      </c>
      <c r="AH339" s="891">
        <v>2.87</v>
      </c>
      <c r="AI339" s="891">
        <v>32.79</v>
      </c>
      <c r="AJ339" s="891">
        <v>32.79</v>
      </c>
      <c r="AK339" s="891">
        <v>81.99</v>
      </c>
      <c r="AL339" s="891">
        <v>40.99</v>
      </c>
      <c r="AM339" s="891">
        <v>670.62</v>
      </c>
      <c r="AN339" s="891">
        <v>510.71</v>
      </c>
      <c r="AO339" s="891">
        <v>491.92</v>
      </c>
      <c r="AP339" s="891">
        <v>10</v>
      </c>
      <c r="AQ339" s="891">
        <v>0.41</v>
      </c>
      <c r="AR339" s="891">
        <v>0.25</v>
      </c>
      <c r="AS339" s="891">
        <v>1.64</v>
      </c>
      <c r="AT339" s="891">
        <v>1.64</v>
      </c>
      <c r="AU339" s="891">
        <v>0.98</v>
      </c>
      <c r="AV339" s="891">
        <v>0.33</v>
      </c>
      <c r="AW339" s="891">
        <v>0.25</v>
      </c>
      <c r="AX339" s="891">
        <v>1.07</v>
      </c>
      <c r="AY339" s="891">
        <v>0.53</v>
      </c>
      <c r="AZ339" s="891">
        <v>0.49</v>
      </c>
      <c r="BA339" s="891">
        <f t="shared" si="15"/>
        <v>57.410000000000004</v>
      </c>
      <c r="BB339" s="926">
        <f t="shared" si="16"/>
        <v>11486.88</v>
      </c>
      <c r="BC339" s="926">
        <f t="shared" si="17"/>
        <v>7.3799999999996366</v>
      </c>
      <c r="BD339" s="891"/>
      <c r="BE339" s="891"/>
      <c r="BF339" s="891"/>
      <c r="BG339" s="928"/>
      <c r="BH339" s="928"/>
      <c r="BI339" s="928"/>
    </row>
    <row r="340" spans="1:61">
      <c r="A340" s="891" t="s">
        <v>1111</v>
      </c>
      <c r="B340" s="891" t="s">
        <v>559</v>
      </c>
      <c r="C340" s="891" t="s">
        <v>109</v>
      </c>
      <c r="D340" s="891">
        <v>11.11</v>
      </c>
      <c r="E340" s="891">
        <v>48.29</v>
      </c>
      <c r="F340" s="891">
        <v>7.73</v>
      </c>
      <c r="G340" s="891">
        <v>4.83</v>
      </c>
      <c r="H340" s="891">
        <v>4.83</v>
      </c>
      <c r="I340" s="891">
        <v>2.41</v>
      </c>
      <c r="J340" s="891">
        <v>1.93</v>
      </c>
      <c r="K340" s="891">
        <v>1.92</v>
      </c>
      <c r="L340" s="891">
        <v>2.89</v>
      </c>
      <c r="M340" s="891">
        <v>3.86</v>
      </c>
      <c r="N340" s="891">
        <v>14.49</v>
      </c>
      <c r="O340" s="891">
        <v>2.17</v>
      </c>
      <c r="P340" s="891">
        <v>17.38</v>
      </c>
      <c r="Q340" s="891">
        <v>2.66</v>
      </c>
      <c r="R340" s="891">
        <v>2.66</v>
      </c>
      <c r="S340" s="891">
        <v>9.66</v>
      </c>
      <c r="T340" s="891">
        <v>2.66</v>
      </c>
      <c r="U340" s="891">
        <v>14.25</v>
      </c>
      <c r="V340" s="891">
        <v>96.58</v>
      </c>
      <c r="W340" s="891">
        <v>1.33</v>
      </c>
      <c r="X340" s="927">
        <v>17384.59</v>
      </c>
      <c r="Y340" s="891">
        <v>869.23</v>
      </c>
      <c r="Z340" s="891">
        <v>676.07</v>
      </c>
      <c r="AA340" s="891">
        <v>1641.88</v>
      </c>
      <c r="AB340" s="891">
        <v>1154.1400000000001</v>
      </c>
      <c r="AC340" s="891">
        <v>96.58</v>
      </c>
      <c r="AD340" s="891">
        <v>0.28999999999999998</v>
      </c>
      <c r="AE340" s="891">
        <v>48.29</v>
      </c>
      <c r="AF340" s="891">
        <v>48.29</v>
      </c>
      <c r="AG340" s="891">
        <v>17.87</v>
      </c>
      <c r="AH340" s="891">
        <v>13.28</v>
      </c>
      <c r="AI340" s="891">
        <v>60.36</v>
      </c>
      <c r="AJ340" s="891">
        <v>38.630000000000003</v>
      </c>
      <c r="AK340" s="891">
        <v>144.87</v>
      </c>
      <c r="AL340" s="891">
        <v>67.61</v>
      </c>
      <c r="AM340" s="891">
        <v>3378.67</v>
      </c>
      <c r="AN340" s="891">
        <v>2858.87</v>
      </c>
      <c r="AO340" s="891">
        <v>2028.2</v>
      </c>
      <c r="AP340" s="891">
        <v>3.5</v>
      </c>
      <c r="AQ340" s="891">
        <v>3.09</v>
      </c>
      <c r="AR340" s="891">
        <v>1.78</v>
      </c>
      <c r="AS340" s="891">
        <v>31.74</v>
      </c>
      <c r="AT340" s="891">
        <v>2.37</v>
      </c>
      <c r="AU340" s="891">
        <v>2.17</v>
      </c>
      <c r="AV340" s="891">
        <v>1.9</v>
      </c>
      <c r="AW340" s="891">
        <v>1.25</v>
      </c>
      <c r="AX340" s="891">
        <v>3.72</v>
      </c>
      <c r="AY340" s="891">
        <v>3.24</v>
      </c>
      <c r="AZ340" s="891">
        <v>2.0499999999999998</v>
      </c>
      <c r="BA340" s="891">
        <f t="shared" si="15"/>
        <v>145.16</v>
      </c>
      <c r="BB340" s="926">
        <f t="shared" si="16"/>
        <v>17521.77</v>
      </c>
      <c r="BC340" s="926">
        <f t="shared" si="17"/>
        <v>135.85000000000028</v>
      </c>
      <c r="BD340" s="891"/>
      <c r="BE340" s="891"/>
      <c r="BF340" s="891"/>
      <c r="BG340" s="928"/>
      <c r="BH340" s="928"/>
      <c r="BI340" s="928"/>
    </row>
    <row r="341" spans="1:61">
      <c r="A341" s="891" t="s">
        <v>1112</v>
      </c>
      <c r="B341" s="891" t="s">
        <v>579</v>
      </c>
      <c r="C341" s="891" t="s">
        <v>15</v>
      </c>
      <c r="D341" s="891">
        <v>14.2</v>
      </c>
      <c r="E341" s="891">
        <v>75.72</v>
      </c>
      <c r="F341" s="891">
        <v>7.98</v>
      </c>
      <c r="G341" s="891">
        <v>5.68</v>
      </c>
      <c r="H341" s="891">
        <v>7.1</v>
      </c>
      <c r="I341" s="891">
        <v>2.84</v>
      </c>
      <c r="J341" s="891">
        <v>2.37</v>
      </c>
      <c r="K341" s="891">
        <v>1.28</v>
      </c>
      <c r="L341" s="891">
        <v>2.96</v>
      </c>
      <c r="M341" s="891">
        <v>3.79</v>
      </c>
      <c r="N341" s="891">
        <v>10</v>
      </c>
      <c r="O341" s="891">
        <v>2.84</v>
      </c>
      <c r="P341" s="891">
        <v>16.09</v>
      </c>
      <c r="Q341" s="891">
        <v>4.7300000000000004</v>
      </c>
      <c r="R341" s="891">
        <v>4.7300000000000004</v>
      </c>
      <c r="S341" s="891">
        <v>16.09</v>
      </c>
      <c r="T341" s="891">
        <v>3.79</v>
      </c>
      <c r="U341" s="891">
        <v>9.4700000000000006</v>
      </c>
      <c r="V341" s="891">
        <v>113.58</v>
      </c>
      <c r="W341" s="891">
        <v>1.42</v>
      </c>
      <c r="X341" s="927">
        <v>24609.56</v>
      </c>
      <c r="Y341" s="891">
        <v>2177</v>
      </c>
      <c r="Z341" s="891">
        <v>1514.43</v>
      </c>
      <c r="AA341" s="891">
        <v>3928.06</v>
      </c>
      <c r="AB341" s="891">
        <v>2650.26</v>
      </c>
      <c r="AC341" s="891">
        <v>198.04</v>
      </c>
      <c r="AD341" s="891">
        <v>0.95</v>
      </c>
      <c r="AE341" s="891">
        <v>56.79</v>
      </c>
      <c r="AF341" s="891">
        <v>82.35</v>
      </c>
      <c r="AG341" s="891">
        <v>20.82</v>
      </c>
      <c r="AH341" s="891">
        <v>17.04</v>
      </c>
      <c r="AI341" s="891">
        <v>99.38</v>
      </c>
      <c r="AJ341" s="891">
        <v>75.72</v>
      </c>
      <c r="AK341" s="891">
        <v>141.97999999999999</v>
      </c>
      <c r="AL341" s="891">
        <v>141.97999999999999</v>
      </c>
      <c r="AM341" s="891">
        <v>9465.2199999999993</v>
      </c>
      <c r="AN341" s="891">
        <v>5709.89</v>
      </c>
      <c r="AO341" s="891">
        <v>4283.01</v>
      </c>
      <c r="AP341" s="891">
        <v>6</v>
      </c>
      <c r="AQ341" s="891">
        <v>3.31</v>
      </c>
      <c r="AR341" s="891">
        <v>2.84</v>
      </c>
      <c r="AS341" s="891">
        <v>50.48</v>
      </c>
      <c r="AT341" s="891">
        <v>3.79</v>
      </c>
      <c r="AU341" s="891">
        <v>2.93</v>
      </c>
      <c r="AV341" s="891">
        <v>2.84</v>
      </c>
      <c r="AW341" s="891">
        <v>2.56</v>
      </c>
      <c r="AX341" s="891">
        <v>3.31</v>
      </c>
      <c r="AY341" s="891">
        <v>2.84</v>
      </c>
      <c r="AZ341" s="891">
        <v>4.7300000000000004</v>
      </c>
      <c r="BA341" s="891">
        <f t="shared" si="15"/>
        <v>255.77999999999997</v>
      </c>
      <c r="BB341" s="926">
        <f t="shared" si="16"/>
        <v>24784.980000000003</v>
      </c>
      <c r="BC341" s="926">
        <f t="shared" si="17"/>
        <v>174.0000000000019</v>
      </c>
      <c r="BD341" s="891"/>
      <c r="BE341" s="891"/>
      <c r="BF341" s="891"/>
      <c r="BG341" s="928"/>
      <c r="BH341" s="928"/>
      <c r="BI341" s="928"/>
    </row>
    <row r="342" spans="1:61">
      <c r="A342" s="891" t="s">
        <v>1113</v>
      </c>
      <c r="B342" s="891" t="s">
        <v>629</v>
      </c>
      <c r="C342" s="891" t="s">
        <v>331</v>
      </c>
      <c r="D342" s="891">
        <v>8.08</v>
      </c>
      <c r="E342" s="891">
        <v>25.86</v>
      </c>
      <c r="F342" s="891">
        <v>4.8499999999999996</v>
      </c>
      <c r="G342" s="891">
        <v>1.94</v>
      </c>
      <c r="H342" s="891">
        <v>1.62</v>
      </c>
      <c r="I342" s="891">
        <v>0.68</v>
      </c>
      <c r="J342" s="891">
        <v>0.48</v>
      </c>
      <c r="K342" s="891">
        <v>0.66</v>
      </c>
      <c r="L342" s="891">
        <v>0.65</v>
      </c>
      <c r="M342" s="891">
        <v>1.77</v>
      </c>
      <c r="N342" s="891">
        <v>6.3</v>
      </c>
      <c r="O342" s="891">
        <v>0.65</v>
      </c>
      <c r="P342" s="891">
        <v>6.14</v>
      </c>
      <c r="Q342" s="891">
        <v>0.84</v>
      </c>
      <c r="R342" s="891">
        <v>1.23</v>
      </c>
      <c r="S342" s="891">
        <v>4.1399999999999997</v>
      </c>
      <c r="T342" s="891">
        <v>0.65</v>
      </c>
      <c r="U342" s="891">
        <v>5.17</v>
      </c>
      <c r="V342" s="891">
        <v>29.09</v>
      </c>
      <c r="W342" s="891">
        <v>1.87</v>
      </c>
      <c r="X342" s="927">
        <v>18586.16</v>
      </c>
      <c r="Y342" s="891">
        <v>387.89</v>
      </c>
      <c r="Z342" s="891">
        <v>323.24</v>
      </c>
      <c r="AA342" s="891">
        <v>646.48</v>
      </c>
      <c r="AB342" s="891">
        <v>484.86</v>
      </c>
      <c r="AC342" s="891">
        <v>129.30000000000001</v>
      </c>
      <c r="AD342" s="891">
        <v>0.1</v>
      </c>
      <c r="AE342" s="891">
        <v>17.78</v>
      </c>
      <c r="AF342" s="891">
        <v>37.17</v>
      </c>
      <c r="AG342" s="891">
        <v>16.16</v>
      </c>
      <c r="AH342" s="891">
        <v>7.11</v>
      </c>
      <c r="AI342" s="891">
        <v>90.51</v>
      </c>
      <c r="AJ342" s="891">
        <v>48.49</v>
      </c>
      <c r="AK342" s="891">
        <v>64.650000000000006</v>
      </c>
      <c r="AL342" s="891">
        <v>80.81</v>
      </c>
      <c r="AM342" s="891">
        <v>1777.81</v>
      </c>
      <c r="AN342" s="891">
        <v>1454.57</v>
      </c>
      <c r="AO342" s="891">
        <v>808.09</v>
      </c>
      <c r="AP342" s="891">
        <v>4.62</v>
      </c>
      <c r="AQ342" s="891">
        <v>0.97</v>
      </c>
      <c r="AR342" s="891">
        <v>0.71</v>
      </c>
      <c r="AS342" s="891">
        <v>9.6999999999999993</v>
      </c>
      <c r="AT342" s="891">
        <v>0.89</v>
      </c>
      <c r="AU342" s="891">
        <v>1.55</v>
      </c>
      <c r="AV342" s="891">
        <v>0.65</v>
      </c>
      <c r="AW342" s="891">
        <v>0.81</v>
      </c>
      <c r="AX342" s="891">
        <v>2.1</v>
      </c>
      <c r="AY342" s="891">
        <v>1.29</v>
      </c>
      <c r="AZ342" s="891">
        <v>1.78</v>
      </c>
      <c r="BA342" s="891">
        <f t="shared" si="15"/>
        <v>147.18</v>
      </c>
      <c r="BB342" s="926">
        <f t="shared" si="16"/>
        <v>18629.150000000001</v>
      </c>
      <c r="BC342" s="926">
        <f t="shared" si="17"/>
        <v>41.120000000001603</v>
      </c>
      <c r="BD342" s="891"/>
      <c r="BE342" s="891"/>
      <c r="BF342" s="891"/>
      <c r="BG342" s="928"/>
      <c r="BH342" s="928"/>
      <c r="BI342" s="928"/>
    </row>
    <row r="343" spans="1:61">
      <c r="A343" s="891" t="s">
        <v>1114</v>
      </c>
      <c r="B343" s="891" t="s">
        <v>613</v>
      </c>
      <c r="C343" s="891" t="s">
        <v>225</v>
      </c>
      <c r="D343" s="891">
        <v>3.4</v>
      </c>
      <c r="E343" s="891">
        <v>20.43</v>
      </c>
      <c r="F343" s="891">
        <v>4.09</v>
      </c>
      <c r="G343" s="891">
        <v>1.7</v>
      </c>
      <c r="H343" s="891">
        <v>2.2999999999999998</v>
      </c>
      <c r="I343" s="891">
        <v>0.85</v>
      </c>
      <c r="J343" s="891">
        <v>0.61</v>
      </c>
      <c r="K343" s="891">
        <v>2.72</v>
      </c>
      <c r="L343" s="891">
        <v>1.19</v>
      </c>
      <c r="M343" s="891">
        <v>1.72</v>
      </c>
      <c r="N343" s="891">
        <v>18.72</v>
      </c>
      <c r="O343" s="891">
        <v>1.02</v>
      </c>
      <c r="P343" s="891">
        <v>11.91</v>
      </c>
      <c r="Q343" s="891">
        <v>1.96</v>
      </c>
      <c r="R343" s="891">
        <v>2.21</v>
      </c>
      <c r="S343" s="891">
        <v>2.89</v>
      </c>
      <c r="T343" s="891">
        <v>0.68</v>
      </c>
      <c r="U343" s="891">
        <v>6.3</v>
      </c>
      <c r="V343" s="891">
        <v>22.98</v>
      </c>
      <c r="W343" s="891">
        <v>1.22</v>
      </c>
      <c r="X343" s="927">
        <v>20425.53</v>
      </c>
      <c r="Y343" s="891">
        <v>408.51</v>
      </c>
      <c r="Z343" s="891">
        <v>153.19</v>
      </c>
      <c r="AA343" s="891">
        <v>680.85</v>
      </c>
      <c r="AB343" s="891">
        <v>510.64</v>
      </c>
      <c r="AC343" s="891">
        <v>204.26</v>
      </c>
      <c r="AD343" s="891">
        <v>0.15</v>
      </c>
      <c r="AE343" s="891">
        <v>28.09</v>
      </c>
      <c r="AF343" s="891">
        <v>57.59</v>
      </c>
      <c r="AG343" s="891">
        <v>10</v>
      </c>
      <c r="AH343" s="891">
        <v>10.89</v>
      </c>
      <c r="AI343" s="891">
        <v>68.09</v>
      </c>
      <c r="AJ343" s="891">
        <v>67.91</v>
      </c>
      <c r="AK343" s="891">
        <v>45</v>
      </c>
      <c r="AL343" s="891">
        <v>102.13</v>
      </c>
      <c r="AM343" s="891">
        <v>3744.68</v>
      </c>
      <c r="AN343" s="891">
        <v>1617.02</v>
      </c>
      <c r="AO343" s="891">
        <v>1219.18</v>
      </c>
      <c r="AP343" s="891">
        <v>3</v>
      </c>
      <c r="AQ343" s="891">
        <v>2.89</v>
      </c>
      <c r="AR343" s="891">
        <v>0.68</v>
      </c>
      <c r="AS343" s="891">
        <v>20.43</v>
      </c>
      <c r="AT343" s="891">
        <v>3.06</v>
      </c>
      <c r="AU343" s="891">
        <v>4.09</v>
      </c>
      <c r="AV343" s="891">
        <v>1.7</v>
      </c>
      <c r="AW343" s="891">
        <v>1.23</v>
      </c>
      <c r="AX343" s="891">
        <v>1.79</v>
      </c>
      <c r="AY343" s="891">
        <v>1.87</v>
      </c>
      <c r="AZ343" s="891">
        <v>3.83</v>
      </c>
      <c r="BA343" s="891">
        <f t="shared" si="15"/>
        <v>232.5</v>
      </c>
      <c r="BB343" s="926">
        <f t="shared" si="16"/>
        <v>20474.41</v>
      </c>
      <c r="BC343" s="926">
        <f t="shared" si="17"/>
        <v>47.66000000000102</v>
      </c>
      <c r="BD343" s="891"/>
      <c r="BE343" s="891"/>
      <c r="BF343" s="891"/>
      <c r="BG343" s="928"/>
      <c r="BH343" s="928"/>
      <c r="BI343" s="928"/>
    </row>
    <row r="344" spans="1:61">
      <c r="A344" s="891" t="s">
        <v>1115</v>
      </c>
      <c r="B344" s="891" t="s">
        <v>613</v>
      </c>
      <c r="C344" s="891" t="s">
        <v>255</v>
      </c>
      <c r="D344" s="891">
        <v>2.89</v>
      </c>
      <c r="E344" s="891">
        <v>20.43</v>
      </c>
      <c r="F344" s="891">
        <v>4.09</v>
      </c>
      <c r="G344" s="891">
        <v>1.7</v>
      </c>
      <c r="H344" s="891">
        <v>2.21</v>
      </c>
      <c r="I344" s="891">
        <v>1</v>
      </c>
      <c r="J344" s="891">
        <v>0.68</v>
      </c>
      <c r="K344" s="891">
        <v>2.5499999999999998</v>
      </c>
      <c r="L344" s="891">
        <v>1.7</v>
      </c>
      <c r="M344" s="891">
        <v>1.63</v>
      </c>
      <c r="N344" s="891">
        <v>22.13</v>
      </c>
      <c r="O344" s="891">
        <v>1.02</v>
      </c>
      <c r="P344" s="891">
        <v>10.61</v>
      </c>
      <c r="Q344" s="891">
        <v>1.35</v>
      </c>
      <c r="R344" s="891">
        <v>1.36</v>
      </c>
      <c r="S344" s="891">
        <v>3.06</v>
      </c>
      <c r="T344" s="891">
        <v>0.68</v>
      </c>
      <c r="U344" s="891">
        <v>6.81</v>
      </c>
      <c r="V344" s="891">
        <v>42.55</v>
      </c>
      <c r="W344" s="891">
        <v>1.19</v>
      </c>
      <c r="X344" s="927">
        <v>18723.400000000001</v>
      </c>
      <c r="Y344" s="891">
        <v>671.9</v>
      </c>
      <c r="Z344" s="891">
        <v>510.64</v>
      </c>
      <c r="AA344" s="891">
        <v>1276.5999999999999</v>
      </c>
      <c r="AB344" s="891">
        <v>851.06</v>
      </c>
      <c r="AC344" s="891">
        <v>52.77</v>
      </c>
      <c r="AD344" s="891">
        <v>0.11</v>
      </c>
      <c r="AE344" s="891">
        <v>27.23</v>
      </c>
      <c r="AF344" s="891">
        <v>51.06</v>
      </c>
      <c r="AG344" s="891">
        <v>8.51</v>
      </c>
      <c r="AH344" s="891">
        <v>10.210000000000001</v>
      </c>
      <c r="AI344" s="891">
        <v>102.13</v>
      </c>
      <c r="AJ344" s="891">
        <v>51.06</v>
      </c>
      <c r="AK344" s="891">
        <v>68.09</v>
      </c>
      <c r="AL344" s="891">
        <v>119.15</v>
      </c>
      <c r="AM344" s="891">
        <v>10212.77</v>
      </c>
      <c r="AN344" s="891">
        <v>5106.38</v>
      </c>
      <c r="AO344" s="891">
        <v>1702.13</v>
      </c>
      <c r="AP344" s="891">
        <v>2</v>
      </c>
      <c r="AQ344" s="891">
        <v>2.38</v>
      </c>
      <c r="AR344" s="891">
        <v>0.68</v>
      </c>
      <c r="AS344" s="891">
        <v>5.96</v>
      </c>
      <c r="AT344" s="891">
        <v>2.38</v>
      </c>
      <c r="AU344" s="891">
        <v>1.7</v>
      </c>
      <c r="AV344" s="891">
        <v>1.19</v>
      </c>
      <c r="AW344" s="891">
        <v>1.43</v>
      </c>
      <c r="AX344" s="891">
        <v>2.72</v>
      </c>
      <c r="AY344" s="891">
        <v>2.21</v>
      </c>
      <c r="AZ344" s="891">
        <v>3.61</v>
      </c>
      <c r="BA344" s="891">
        <f t="shared" si="15"/>
        <v>80.11</v>
      </c>
      <c r="BB344" s="926">
        <f t="shared" si="16"/>
        <v>18776.84</v>
      </c>
      <c r="BC344" s="926">
        <f t="shared" si="17"/>
        <v>52.249999999998693</v>
      </c>
      <c r="BD344" s="891"/>
      <c r="BE344" s="891"/>
      <c r="BF344" s="891"/>
      <c r="BG344" s="928"/>
      <c r="BH344" s="928"/>
      <c r="BI344" s="928"/>
    </row>
    <row r="345" spans="1:61">
      <c r="A345" s="891" t="s">
        <v>1116</v>
      </c>
      <c r="B345" s="891" t="s">
        <v>609</v>
      </c>
      <c r="C345" s="891" t="s">
        <v>218</v>
      </c>
      <c r="D345" s="891">
        <v>8.1300000000000008</v>
      </c>
      <c r="E345" s="891">
        <v>40.64</v>
      </c>
      <c r="F345" s="891">
        <v>6.77</v>
      </c>
      <c r="G345" s="891">
        <v>3.39</v>
      </c>
      <c r="H345" s="891">
        <v>2.71</v>
      </c>
      <c r="I345" s="891">
        <v>1.35</v>
      </c>
      <c r="J345" s="891">
        <v>1.35</v>
      </c>
      <c r="K345" s="891">
        <v>0.81</v>
      </c>
      <c r="L345" s="891">
        <v>1.02</v>
      </c>
      <c r="M345" s="891">
        <v>1.76</v>
      </c>
      <c r="N345" s="891">
        <v>9.48</v>
      </c>
      <c r="O345" s="891">
        <v>1.08</v>
      </c>
      <c r="P345" s="891">
        <v>7.45</v>
      </c>
      <c r="Q345" s="891">
        <v>1.22</v>
      </c>
      <c r="R345" s="891">
        <v>1.63</v>
      </c>
      <c r="S345" s="891">
        <v>4.33</v>
      </c>
      <c r="T345" s="891">
        <v>1.49</v>
      </c>
      <c r="U345" s="891">
        <v>7.96</v>
      </c>
      <c r="V345" s="891">
        <v>27.09</v>
      </c>
      <c r="W345" s="891">
        <v>1.88</v>
      </c>
      <c r="X345" s="927">
        <v>23173.94</v>
      </c>
      <c r="Y345" s="891">
        <v>514.77</v>
      </c>
      <c r="Z345" s="891">
        <v>331.89</v>
      </c>
      <c r="AA345" s="891">
        <v>982.12</v>
      </c>
      <c r="AB345" s="891">
        <v>528.30999999999995</v>
      </c>
      <c r="AC345" s="891">
        <v>264.16000000000003</v>
      </c>
      <c r="AD345" s="891">
        <v>0.05</v>
      </c>
      <c r="AE345" s="891">
        <v>21.67</v>
      </c>
      <c r="AF345" s="891">
        <v>70.44</v>
      </c>
      <c r="AG345" s="891">
        <v>12.87</v>
      </c>
      <c r="AH345" s="891">
        <v>8.1300000000000008</v>
      </c>
      <c r="AI345" s="891">
        <v>115.14</v>
      </c>
      <c r="AJ345" s="891">
        <v>74.510000000000005</v>
      </c>
      <c r="AK345" s="891">
        <v>108.37</v>
      </c>
      <c r="AL345" s="891">
        <v>135.46</v>
      </c>
      <c r="AM345" s="891">
        <v>2438.36</v>
      </c>
      <c r="AN345" s="891">
        <v>1557.84</v>
      </c>
      <c r="AO345" s="891">
        <v>948.25</v>
      </c>
      <c r="AP345" s="891">
        <v>3</v>
      </c>
      <c r="AQ345" s="891">
        <v>3.39</v>
      </c>
      <c r="AR345" s="891">
        <v>0.68</v>
      </c>
      <c r="AS345" s="891">
        <v>16.010000000000002</v>
      </c>
      <c r="AT345" s="891">
        <v>1.63</v>
      </c>
      <c r="AU345" s="891">
        <v>1.75</v>
      </c>
      <c r="AV345" s="891">
        <v>0.54</v>
      </c>
      <c r="AW345" s="891">
        <v>1.35</v>
      </c>
      <c r="AX345" s="891">
        <v>2.71</v>
      </c>
      <c r="AY345" s="891">
        <v>1.63</v>
      </c>
      <c r="AZ345" s="891">
        <v>3.1</v>
      </c>
      <c r="BA345" s="891">
        <f t="shared" si="15"/>
        <v>285.88000000000005</v>
      </c>
      <c r="BB345" s="926">
        <f t="shared" si="16"/>
        <v>23224.479999999996</v>
      </c>
      <c r="BC345" s="926">
        <f t="shared" si="17"/>
        <v>48.659999999997233</v>
      </c>
      <c r="BD345" s="891"/>
      <c r="BE345" s="891"/>
      <c r="BF345" s="891"/>
      <c r="BG345" s="928"/>
      <c r="BH345" s="928"/>
      <c r="BI345" s="928"/>
    </row>
    <row r="346" spans="1:61">
      <c r="A346" s="891" t="s">
        <v>1117</v>
      </c>
      <c r="B346" s="891" t="s">
        <v>1606</v>
      </c>
      <c r="C346" s="891" t="s">
        <v>178</v>
      </c>
      <c r="D346" s="891">
        <v>10</v>
      </c>
      <c r="E346" s="891">
        <v>43.5</v>
      </c>
      <c r="F346" s="891">
        <v>7</v>
      </c>
      <c r="G346" s="891">
        <v>3</v>
      </c>
      <c r="H346" s="891">
        <v>4.75</v>
      </c>
      <c r="I346" s="891">
        <v>1.29</v>
      </c>
      <c r="J346" s="891">
        <v>1.25</v>
      </c>
      <c r="K346" s="891">
        <v>1.01</v>
      </c>
      <c r="L346" s="891">
        <v>2.25</v>
      </c>
      <c r="M346" s="891">
        <v>1.92</v>
      </c>
      <c r="N346" s="891">
        <v>9.3699999999999992</v>
      </c>
      <c r="O346" s="891">
        <v>1.88</v>
      </c>
      <c r="P346" s="891">
        <v>15</v>
      </c>
      <c r="Q346" s="891">
        <v>2.5</v>
      </c>
      <c r="R346" s="891">
        <v>3</v>
      </c>
      <c r="S346" s="891">
        <v>6</v>
      </c>
      <c r="T346" s="891">
        <v>1.62</v>
      </c>
      <c r="U346" s="891">
        <v>6.26</v>
      </c>
      <c r="V346" s="891">
        <v>60</v>
      </c>
      <c r="W346" s="891">
        <v>0.92</v>
      </c>
      <c r="X346" s="927">
        <v>24000</v>
      </c>
      <c r="Y346" s="891">
        <v>875</v>
      </c>
      <c r="Z346" s="891">
        <v>650</v>
      </c>
      <c r="AA346" s="891">
        <v>1500</v>
      </c>
      <c r="AB346" s="891">
        <v>1250</v>
      </c>
      <c r="AC346" s="891">
        <v>178.95</v>
      </c>
      <c r="AD346" s="891">
        <v>0.09</v>
      </c>
      <c r="AE346" s="891">
        <v>50</v>
      </c>
      <c r="AF346" s="891">
        <v>40</v>
      </c>
      <c r="AG346" s="891">
        <v>15</v>
      </c>
      <c r="AH346" s="891">
        <v>10</v>
      </c>
      <c r="AI346" s="891">
        <v>45</v>
      </c>
      <c r="AJ346" s="891">
        <v>30</v>
      </c>
      <c r="AK346" s="891">
        <v>70</v>
      </c>
      <c r="AL346" s="891">
        <v>80</v>
      </c>
      <c r="AM346" s="891">
        <v>1884</v>
      </c>
      <c r="AN346" s="891">
        <v>861.11</v>
      </c>
      <c r="AO346" s="891">
        <v>3155.5</v>
      </c>
      <c r="AP346" s="891">
        <v>5</v>
      </c>
      <c r="AQ346" s="891">
        <v>2.5</v>
      </c>
      <c r="AR346" s="891">
        <v>1.4</v>
      </c>
      <c r="AS346" s="891">
        <v>30</v>
      </c>
      <c r="AT346" s="891">
        <v>3.64</v>
      </c>
      <c r="AU346" s="891">
        <v>3.31</v>
      </c>
      <c r="AV346" s="891">
        <v>2</v>
      </c>
      <c r="AW346" s="891">
        <v>1.72</v>
      </c>
      <c r="AX346" s="891">
        <v>3.75</v>
      </c>
      <c r="AY346" s="891">
        <v>3.38</v>
      </c>
      <c r="AZ346" s="891">
        <v>4.3899999999999997</v>
      </c>
      <c r="BA346" s="891">
        <f t="shared" si="15"/>
        <v>229.04</v>
      </c>
      <c r="BB346" s="926">
        <f t="shared" si="16"/>
        <v>24096.440000000002</v>
      </c>
      <c r="BC346" s="926">
        <f t="shared" si="17"/>
        <v>95.520000000002327</v>
      </c>
      <c r="BD346" s="891"/>
      <c r="BE346" s="891"/>
      <c r="BF346" s="891"/>
      <c r="BG346" s="928"/>
      <c r="BH346" s="928"/>
      <c r="BI346" s="928"/>
    </row>
    <row r="347" spans="1:61">
      <c r="A347" s="891" t="s">
        <v>1118</v>
      </c>
      <c r="B347" s="891" t="s">
        <v>588</v>
      </c>
      <c r="C347" s="891" t="s">
        <v>61</v>
      </c>
      <c r="D347" s="891">
        <v>10.84</v>
      </c>
      <c r="E347" s="891">
        <v>81.28</v>
      </c>
      <c r="F347" s="891">
        <v>9.48</v>
      </c>
      <c r="G347" s="891">
        <v>5.42</v>
      </c>
      <c r="H347" s="891">
        <v>6.77</v>
      </c>
      <c r="I347" s="891">
        <v>2.71</v>
      </c>
      <c r="J347" s="891">
        <v>2.0299999999999998</v>
      </c>
      <c r="K347" s="891">
        <v>1.35</v>
      </c>
      <c r="L347" s="891">
        <v>3.05</v>
      </c>
      <c r="M347" s="891">
        <v>2.71</v>
      </c>
      <c r="N347" s="891">
        <v>10.84</v>
      </c>
      <c r="O347" s="891">
        <v>2.71</v>
      </c>
      <c r="P347" s="891">
        <v>13.55</v>
      </c>
      <c r="Q347" s="891">
        <v>3.39</v>
      </c>
      <c r="R347" s="891">
        <v>3.39</v>
      </c>
      <c r="S347" s="891">
        <v>7.32</v>
      </c>
      <c r="T347" s="891">
        <v>3.39</v>
      </c>
      <c r="U347" s="891">
        <v>13.55</v>
      </c>
      <c r="V347" s="891">
        <v>60.96</v>
      </c>
      <c r="W347" s="891">
        <v>2.36</v>
      </c>
      <c r="X347" s="927">
        <v>32511.51</v>
      </c>
      <c r="Y347" s="891">
        <v>948.25</v>
      </c>
      <c r="Z347" s="891">
        <v>711.19</v>
      </c>
      <c r="AA347" s="891">
        <v>1354.65</v>
      </c>
      <c r="AB347" s="891">
        <v>1219.18</v>
      </c>
      <c r="AC347" s="891">
        <v>97.39</v>
      </c>
      <c r="AD347" s="891">
        <v>0.12</v>
      </c>
      <c r="AE347" s="891">
        <v>27.09</v>
      </c>
      <c r="AF347" s="891">
        <v>77.89</v>
      </c>
      <c r="AG347" s="891">
        <v>27.09</v>
      </c>
      <c r="AH347" s="891">
        <v>16.260000000000002</v>
      </c>
      <c r="AI347" s="891">
        <v>108.37</v>
      </c>
      <c r="AJ347" s="891">
        <v>44.03</v>
      </c>
      <c r="AK347" s="891">
        <v>128.69</v>
      </c>
      <c r="AL347" s="891">
        <v>115.14</v>
      </c>
      <c r="AM347" s="891">
        <v>4741.26</v>
      </c>
      <c r="AN347" s="891">
        <v>3047.95</v>
      </c>
      <c r="AO347" s="891">
        <v>2709.29</v>
      </c>
      <c r="AP347" s="891">
        <v>3</v>
      </c>
      <c r="AQ347" s="891">
        <v>7.99</v>
      </c>
      <c r="AR347" s="891">
        <v>2.06</v>
      </c>
      <c r="AS347" s="891">
        <v>57.84</v>
      </c>
      <c r="AT347" s="891">
        <v>2.71</v>
      </c>
      <c r="AU347" s="891">
        <v>2.71</v>
      </c>
      <c r="AV347" s="891">
        <v>1.35</v>
      </c>
      <c r="AW347" s="891">
        <v>2.71</v>
      </c>
      <c r="AX347" s="891">
        <v>4.0599999999999996</v>
      </c>
      <c r="AY347" s="891">
        <v>2.71</v>
      </c>
      <c r="AZ347" s="891">
        <v>4.0599999999999996</v>
      </c>
      <c r="BA347" s="891">
        <f t="shared" si="15"/>
        <v>124.60000000000001</v>
      </c>
      <c r="BB347" s="926">
        <f t="shared" si="16"/>
        <v>32646.11</v>
      </c>
      <c r="BC347" s="926">
        <f t="shared" si="17"/>
        <v>132.24000000000217</v>
      </c>
      <c r="BD347" s="891"/>
      <c r="BE347" s="891"/>
      <c r="BF347" s="891"/>
      <c r="BG347" s="928"/>
      <c r="BH347" s="928"/>
      <c r="BI347" s="928"/>
    </row>
    <row r="348" spans="1:61">
      <c r="A348" s="891" t="s">
        <v>1119</v>
      </c>
      <c r="B348" s="891" t="s">
        <v>609</v>
      </c>
      <c r="C348" s="891" t="s">
        <v>238</v>
      </c>
      <c r="D348" s="891">
        <v>6.77</v>
      </c>
      <c r="E348" s="891">
        <v>33.869999999999997</v>
      </c>
      <c r="F348" s="891">
        <v>6.1</v>
      </c>
      <c r="G348" s="891">
        <v>2.71</v>
      </c>
      <c r="H348" s="891">
        <v>3.12</v>
      </c>
      <c r="I348" s="891">
        <v>1.63</v>
      </c>
      <c r="J348" s="891">
        <v>1.08</v>
      </c>
      <c r="K348" s="891">
        <v>0.78</v>
      </c>
      <c r="L348" s="891">
        <v>0.68</v>
      </c>
      <c r="M348" s="891">
        <v>1.76</v>
      </c>
      <c r="N348" s="891">
        <v>8.1300000000000008</v>
      </c>
      <c r="O348" s="891">
        <v>0.95</v>
      </c>
      <c r="P348" s="891">
        <v>6.77</v>
      </c>
      <c r="Q348" s="891">
        <v>1.08</v>
      </c>
      <c r="R348" s="891">
        <v>1.22</v>
      </c>
      <c r="S348" s="891">
        <v>4.33</v>
      </c>
      <c r="T348" s="891">
        <v>1.34</v>
      </c>
      <c r="U348" s="891">
        <v>7.45</v>
      </c>
      <c r="V348" s="891">
        <v>24.25</v>
      </c>
      <c r="W348" s="891">
        <v>1.76</v>
      </c>
      <c r="X348" s="927">
        <v>22415.33</v>
      </c>
      <c r="Y348" s="891">
        <v>423.33</v>
      </c>
      <c r="Z348" s="891">
        <v>270.93</v>
      </c>
      <c r="AA348" s="891">
        <v>812.79</v>
      </c>
      <c r="AB348" s="891">
        <v>575.72</v>
      </c>
      <c r="AC348" s="891">
        <v>270.93</v>
      </c>
      <c r="AD348" s="891">
        <v>0.05</v>
      </c>
      <c r="AE348" s="891">
        <v>21.67</v>
      </c>
      <c r="AF348" s="891">
        <v>67.73</v>
      </c>
      <c r="AG348" s="891">
        <v>12.19</v>
      </c>
      <c r="AH348" s="891">
        <v>6.77</v>
      </c>
      <c r="AI348" s="891">
        <v>135.46</v>
      </c>
      <c r="AJ348" s="891">
        <v>54.12</v>
      </c>
      <c r="AK348" s="891">
        <v>88.05</v>
      </c>
      <c r="AL348" s="891">
        <v>101.6</v>
      </c>
      <c r="AM348" s="891">
        <v>2031.97</v>
      </c>
      <c r="AN348" s="891">
        <v>1354.65</v>
      </c>
      <c r="AO348" s="891">
        <v>872.19</v>
      </c>
      <c r="AP348" s="891">
        <v>3</v>
      </c>
      <c r="AQ348" s="891">
        <v>3.39</v>
      </c>
      <c r="AR348" s="891">
        <v>0.78</v>
      </c>
      <c r="AS348" s="891">
        <v>16.39</v>
      </c>
      <c r="AT348" s="891">
        <v>1.63</v>
      </c>
      <c r="AU348" s="891">
        <v>1.49</v>
      </c>
      <c r="AV348" s="891">
        <v>0.54</v>
      </c>
      <c r="AW348" s="891">
        <v>1.35</v>
      </c>
      <c r="AX348" s="891">
        <v>2.71</v>
      </c>
      <c r="AY348" s="891">
        <v>2.57</v>
      </c>
      <c r="AZ348" s="891">
        <v>2.7</v>
      </c>
      <c r="BA348" s="891">
        <f t="shared" si="15"/>
        <v>292.65000000000003</v>
      </c>
      <c r="BB348" s="926">
        <f t="shared" si="16"/>
        <v>22463.239999999998</v>
      </c>
      <c r="BC348" s="926">
        <f t="shared" si="17"/>
        <v>46.149999999996218</v>
      </c>
      <c r="BD348" s="891"/>
      <c r="BE348" s="891"/>
      <c r="BF348" s="891"/>
      <c r="BG348" s="928"/>
      <c r="BH348" s="928"/>
      <c r="BI348" s="928"/>
    </row>
    <row r="349" spans="1:61">
      <c r="A349" s="891" t="s">
        <v>1120</v>
      </c>
      <c r="B349" s="891" t="s">
        <v>758</v>
      </c>
      <c r="C349" s="891" t="s">
        <v>288</v>
      </c>
      <c r="D349" s="891">
        <v>10</v>
      </c>
      <c r="E349" s="891">
        <v>25.15</v>
      </c>
      <c r="F349" s="891">
        <v>3.6</v>
      </c>
      <c r="G349" s="891">
        <v>1.01</v>
      </c>
      <c r="H349" s="891">
        <v>2.37</v>
      </c>
      <c r="I349" s="891">
        <v>0.4</v>
      </c>
      <c r="J349" s="891">
        <v>0.57999999999999996</v>
      </c>
      <c r="K349" s="891">
        <v>0.52</v>
      </c>
      <c r="L349" s="891">
        <v>0.35</v>
      </c>
      <c r="M349" s="891">
        <v>2.0499999999999998</v>
      </c>
      <c r="N349" s="891">
        <v>8.3000000000000007</v>
      </c>
      <c r="O349" s="891">
        <v>0.62</v>
      </c>
      <c r="P349" s="891">
        <v>4.05</v>
      </c>
      <c r="Q349" s="891">
        <v>1.56</v>
      </c>
      <c r="R349" s="891">
        <v>2.5099999999999998</v>
      </c>
      <c r="S349" s="891">
        <v>2</v>
      </c>
      <c r="T349" s="891">
        <v>0.3</v>
      </c>
      <c r="U349" s="891">
        <v>7.5</v>
      </c>
      <c r="V349" s="891">
        <v>20</v>
      </c>
      <c r="W349" s="891">
        <v>0.82</v>
      </c>
      <c r="X349" s="927">
        <v>18500</v>
      </c>
      <c r="Y349" s="891">
        <v>351.79</v>
      </c>
      <c r="Z349" s="891">
        <v>201.19</v>
      </c>
      <c r="AA349" s="891">
        <v>955.36</v>
      </c>
      <c r="AB349" s="891">
        <v>352.38</v>
      </c>
      <c r="AC349" s="891">
        <v>30.36</v>
      </c>
      <c r="AD349" s="891">
        <v>0.03</v>
      </c>
      <c r="AE349" s="891">
        <v>300</v>
      </c>
      <c r="AF349" s="891">
        <v>30</v>
      </c>
      <c r="AG349" s="891">
        <v>10</v>
      </c>
      <c r="AH349" s="891">
        <v>7.55</v>
      </c>
      <c r="AI349" s="891">
        <v>63.95</v>
      </c>
      <c r="AJ349" s="891">
        <v>65.45</v>
      </c>
      <c r="AK349" s="891">
        <v>100</v>
      </c>
      <c r="AL349" s="891">
        <v>128.69</v>
      </c>
      <c r="AM349" s="891">
        <v>2138.41</v>
      </c>
      <c r="AN349" s="891">
        <v>758.94</v>
      </c>
      <c r="AO349" s="891">
        <v>401.79</v>
      </c>
      <c r="AP349" s="891">
        <v>16</v>
      </c>
      <c r="AQ349" s="891">
        <v>0.17</v>
      </c>
      <c r="AR349" s="891">
        <v>0.26</v>
      </c>
      <c r="AS349" s="891">
        <v>2</v>
      </c>
      <c r="AT349" s="891">
        <v>2.0099999999999998</v>
      </c>
      <c r="AU349" s="891">
        <v>2.76</v>
      </c>
      <c r="AV349" s="891">
        <v>0.6</v>
      </c>
      <c r="AW349" s="891">
        <v>0.45</v>
      </c>
      <c r="AX349" s="891">
        <v>2.11</v>
      </c>
      <c r="AY349" s="891">
        <v>1.72</v>
      </c>
      <c r="AZ349" s="891">
        <v>1.01</v>
      </c>
      <c r="BA349" s="891">
        <f t="shared" si="15"/>
        <v>330.39</v>
      </c>
      <c r="BB349" s="926">
        <f t="shared" si="16"/>
        <v>18523.549999999996</v>
      </c>
      <c r="BC349" s="926">
        <f t="shared" si="17"/>
        <v>22.729999999995634</v>
      </c>
      <c r="BD349" s="891"/>
      <c r="BE349" s="891"/>
      <c r="BF349" s="891"/>
      <c r="BG349" s="928"/>
      <c r="BH349" s="928"/>
      <c r="BI349" s="928"/>
    </row>
    <row r="350" spans="1:61">
      <c r="A350" s="891" t="s">
        <v>1121</v>
      </c>
      <c r="B350" s="891" t="s">
        <v>568</v>
      </c>
      <c r="C350" s="891" t="s">
        <v>328</v>
      </c>
      <c r="D350" s="891">
        <v>8.5</v>
      </c>
      <c r="E350" s="891">
        <v>27.02</v>
      </c>
      <c r="F350" s="891">
        <v>7.21</v>
      </c>
      <c r="G350" s="891">
        <v>1.2</v>
      </c>
      <c r="H350" s="891">
        <v>2.1</v>
      </c>
      <c r="I350" s="891">
        <v>0.6</v>
      </c>
      <c r="J350" s="891">
        <v>0.41</v>
      </c>
      <c r="K350" s="891">
        <v>1.5</v>
      </c>
      <c r="L350" s="891">
        <v>0.48</v>
      </c>
      <c r="M350" s="891">
        <v>2.12</v>
      </c>
      <c r="N350" s="891">
        <v>4.6500000000000004</v>
      </c>
      <c r="O350" s="891">
        <v>0.6</v>
      </c>
      <c r="P350" s="891">
        <v>4.8099999999999996</v>
      </c>
      <c r="Q350" s="891">
        <v>1</v>
      </c>
      <c r="R350" s="891">
        <v>1.4</v>
      </c>
      <c r="S350" s="891">
        <v>1.8</v>
      </c>
      <c r="T350" s="891">
        <v>0.36</v>
      </c>
      <c r="U350" s="891">
        <v>5</v>
      </c>
      <c r="V350" s="891">
        <v>17.11</v>
      </c>
      <c r="W350" s="891">
        <v>1.32</v>
      </c>
      <c r="X350" s="927">
        <v>24035.57</v>
      </c>
      <c r="Y350" s="891">
        <v>350</v>
      </c>
      <c r="Z350" s="891">
        <v>200</v>
      </c>
      <c r="AA350" s="891">
        <v>700.44</v>
      </c>
      <c r="AB350" s="891">
        <v>500</v>
      </c>
      <c r="AC350" s="891">
        <v>75.67</v>
      </c>
      <c r="AD350" s="891">
        <v>0.13</v>
      </c>
      <c r="AE350" s="891">
        <v>18.03</v>
      </c>
      <c r="AF350" s="891">
        <v>66.099999999999994</v>
      </c>
      <c r="AG350" s="891">
        <v>18.03</v>
      </c>
      <c r="AH350" s="891">
        <v>7.11</v>
      </c>
      <c r="AI350" s="891">
        <v>73.5</v>
      </c>
      <c r="AJ350" s="891">
        <v>42.06</v>
      </c>
      <c r="AK350" s="891">
        <v>120</v>
      </c>
      <c r="AL350" s="891">
        <v>120.18</v>
      </c>
      <c r="AM350" s="891">
        <v>1500</v>
      </c>
      <c r="AN350" s="891">
        <v>3000</v>
      </c>
      <c r="AO350" s="891">
        <v>360.53</v>
      </c>
      <c r="AP350" s="891">
        <v>13</v>
      </c>
      <c r="AQ350" s="891">
        <v>0.95</v>
      </c>
      <c r="AR350" s="891">
        <v>0.42</v>
      </c>
      <c r="AS350" s="891">
        <v>4.8099999999999996</v>
      </c>
      <c r="AT350" s="891">
        <v>1.2</v>
      </c>
      <c r="AU350" s="891">
        <v>1.2</v>
      </c>
      <c r="AV350" s="891">
        <v>0.6</v>
      </c>
      <c r="AW350" s="891">
        <v>0.54</v>
      </c>
      <c r="AX350" s="891">
        <v>2.1</v>
      </c>
      <c r="AY350" s="891">
        <v>2.4</v>
      </c>
      <c r="AZ350" s="891">
        <v>1.1299999999999999</v>
      </c>
      <c r="BA350" s="891">
        <f t="shared" si="15"/>
        <v>93.83</v>
      </c>
      <c r="BB350" s="926">
        <f t="shared" si="16"/>
        <v>24060.54</v>
      </c>
      <c r="BC350" s="926">
        <f t="shared" si="17"/>
        <v>23.650000000001164</v>
      </c>
      <c r="BD350" s="891"/>
      <c r="BE350" s="891"/>
      <c r="BF350" s="891"/>
      <c r="BG350" s="928"/>
      <c r="BH350" s="928"/>
      <c r="BI350" s="928"/>
    </row>
    <row r="351" spans="1:61">
      <c r="A351" s="891" t="s">
        <v>1122</v>
      </c>
      <c r="B351" s="891" t="s">
        <v>626</v>
      </c>
      <c r="C351" s="891" t="s">
        <v>295</v>
      </c>
      <c r="D351" s="891">
        <v>5.75</v>
      </c>
      <c r="E351" s="891">
        <v>25</v>
      </c>
      <c r="F351" s="891">
        <v>5</v>
      </c>
      <c r="G351" s="891">
        <v>8</v>
      </c>
      <c r="H351" s="891">
        <v>6</v>
      </c>
      <c r="I351" s="891">
        <v>0.5</v>
      </c>
      <c r="J351" s="891">
        <v>0.3</v>
      </c>
      <c r="K351" s="891">
        <v>1</v>
      </c>
      <c r="L351" s="891">
        <v>0.5</v>
      </c>
      <c r="M351" s="891">
        <v>2.2999999999999998</v>
      </c>
      <c r="N351" s="891">
        <v>5.45</v>
      </c>
      <c r="O351" s="891">
        <v>0.41</v>
      </c>
      <c r="P351" s="891">
        <v>40</v>
      </c>
      <c r="Q351" s="891">
        <v>8.15</v>
      </c>
      <c r="R351" s="891">
        <v>6.51</v>
      </c>
      <c r="S351" s="891">
        <v>3</v>
      </c>
      <c r="T351" s="891">
        <v>0.2</v>
      </c>
      <c r="U351" s="891">
        <v>4.78</v>
      </c>
      <c r="V351" s="891">
        <v>16.29</v>
      </c>
      <c r="W351" s="891">
        <v>0.5</v>
      </c>
      <c r="X351" s="927">
        <v>30000</v>
      </c>
      <c r="Y351" s="891">
        <v>775</v>
      </c>
      <c r="Z351" s="891">
        <v>407.33</v>
      </c>
      <c r="AA351" s="891">
        <v>1500</v>
      </c>
      <c r="AB351" s="891">
        <v>975.69</v>
      </c>
      <c r="AC351" s="891">
        <v>67.069999999999993</v>
      </c>
      <c r="AD351" s="891">
        <v>0.06</v>
      </c>
      <c r="AE351" s="891">
        <v>40</v>
      </c>
      <c r="AF351" s="891">
        <v>36.630000000000003</v>
      </c>
      <c r="AG351" s="891">
        <v>13.65</v>
      </c>
      <c r="AH351" s="891">
        <v>3.26</v>
      </c>
      <c r="AI351" s="891">
        <v>70</v>
      </c>
      <c r="AJ351" s="891">
        <v>65</v>
      </c>
      <c r="AK351" s="891">
        <v>100</v>
      </c>
      <c r="AL351" s="891">
        <v>85</v>
      </c>
      <c r="AM351" s="891">
        <v>3200</v>
      </c>
      <c r="AN351" s="891">
        <v>1628</v>
      </c>
      <c r="AO351" s="891">
        <v>529.1</v>
      </c>
      <c r="AP351" s="891">
        <v>20</v>
      </c>
      <c r="AQ351" s="891">
        <v>0.41</v>
      </c>
      <c r="AR351" s="891">
        <v>0.41</v>
      </c>
      <c r="AS351" s="891">
        <v>5.52</v>
      </c>
      <c r="AT351" s="891">
        <v>1.58</v>
      </c>
      <c r="AU351" s="891">
        <v>1.5</v>
      </c>
      <c r="AV351" s="891">
        <v>0.7</v>
      </c>
      <c r="AW351" s="891">
        <v>0.7</v>
      </c>
      <c r="AX351" s="891">
        <v>3</v>
      </c>
      <c r="AY351" s="891">
        <v>2.5</v>
      </c>
      <c r="AZ351" s="891">
        <v>1.2</v>
      </c>
      <c r="BA351" s="891">
        <f t="shared" si="15"/>
        <v>107.13</v>
      </c>
      <c r="BB351" s="926">
        <f t="shared" si="16"/>
        <v>30023.33</v>
      </c>
      <c r="BC351" s="926">
        <f t="shared" si="17"/>
        <v>22.830000000001746</v>
      </c>
      <c r="BD351" s="891"/>
      <c r="BE351" s="891"/>
      <c r="BF351" s="891"/>
      <c r="BG351" s="928"/>
      <c r="BH351" s="928"/>
      <c r="BI351" s="928"/>
    </row>
    <row r="352" spans="1:61">
      <c r="A352" s="891" t="s">
        <v>1649</v>
      </c>
      <c r="B352" s="891" t="s">
        <v>570</v>
      </c>
      <c r="C352" s="891" t="s">
        <v>84</v>
      </c>
      <c r="D352" s="891">
        <v>14.1</v>
      </c>
      <c r="E352" s="891">
        <v>70.48</v>
      </c>
      <c r="F352" s="891">
        <v>12.69</v>
      </c>
      <c r="G352" s="891">
        <v>7.05</v>
      </c>
      <c r="H352" s="891">
        <v>7.05</v>
      </c>
      <c r="I352" s="891">
        <v>2.2599999999999998</v>
      </c>
      <c r="J352" s="891">
        <v>1.97</v>
      </c>
      <c r="K352" s="891">
        <v>1.75</v>
      </c>
      <c r="L352" s="891">
        <v>1.97</v>
      </c>
      <c r="M352" s="891">
        <v>3.66</v>
      </c>
      <c r="N352" s="891">
        <v>12.12</v>
      </c>
      <c r="O352" s="891">
        <v>1.41</v>
      </c>
      <c r="P352" s="891">
        <v>12.55</v>
      </c>
      <c r="Q352" s="891">
        <v>2.54</v>
      </c>
      <c r="R352" s="891">
        <v>3.66</v>
      </c>
      <c r="S352" s="891">
        <v>7.89</v>
      </c>
      <c r="T352" s="891">
        <v>1.86</v>
      </c>
      <c r="U352" s="891">
        <v>9.8699999999999992</v>
      </c>
      <c r="V352" s="891">
        <v>66.95</v>
      </c>
      <c r="W352" s="891">
        <v>2.2000000000000002</v>
      </c>
      <c r="X352" s="927">
        <v>38903.919999999998</v>
      </c>
      <c r="Y352" s="891">
        <v>1127.6500000000001</v>
      </c>
      <c r="Z352" s="891">
        <v>986.69</v>
      </c>
      <c r="AA352" s="891">
        <v>1973.39</v>
      </c>
      <c r="AB352" s="891">
        <v>1409.56</v>
      </c>
      <c r="AC352" s="891">
        <v>213</v>
      </c>
      <c r="AD352" s="891">
        <v>0.15</v>
      </c>
      <c r="AE352" s="891">
        <v>25.37</v>
      </c>
      <c r="AF352" s="891">
        <v>84.57</v>
      </c>
      <c r="AG352" s="891">
        <v>16.91</v>
      </c>
      <c r="AH352" s="891">
        <v>10.71</v>
      </c>
      <c r="AI352" s="891">
        <v>133.91</v>
      </c>
      <c r="AJ352" s="891">
        <v>70.48</v>
      </c>
      <c r="AK352" s="891">
        <v>140.96</v>
      </c>
      <c r="AL352" s="891">
        <v>140.96</v>
      </c>
      <c r="AM352" s="891">
        <v>8457.3700000000008</v>
      </c>
      <c r="AN352" s="891">
        <v>5638.25</v>
      </c>
      <c r="AO352" s="891">
        <v>1881.77</v>
      </c>
      <c r="AP352" s="891">
        <v>4</v>
      </c>
      <c r="AQ352" s="891">
        <v>3.38</v>
      </c>
      <c r="AR352" s="891">
        <v>1.0900000000000001</v>
      </c>
      <c r="AS352" s="891">
        <v>26.5</v>
      </c>
      <c r="AT352" s="891">
        <v>2.82</v>
      </c>
      <c r="AU352" s="891">
        <v>1.41</v>
      </c>
      <c r="AV352" s="891">
        <v>1.41</v>
      </c>
      <c r="AW352" s="891">
        <v>1.41</v>
      </c>
      <c r="AX352" s="891">
        <v>3.66</v>
      </c>
      <c r="AY352" s="891">
        <v>2.54</v>
      </c>
      <c r="AZ352" s="891">
        <v>1.97</v>
      </c>
      <c r="BA352" s="891">
        <f t="shared" si="15"/>
        <v>238.52</v>
      </c>
      <c r="BB352" s="926">
        <f t="shared" si="16"/>
        <v>39005.899999999994</v>
      </c>
      <c r="BC352" s="926">
        <f t="shared" si="17"/>
        <v>99.779999999995923</v>
      </c>
      <c r="BD352" s="891"/>
      <c r="BE352" s="891"/>
      <c r="BF352" s="891"/>
      <c r="BG352" s="928"/>
      <c r="BH352" s="928"/>
      <c r="BI352" s="928"/>
    </row>
    <row r="353" spans="1:61">
      <c r="A353" s="891" t="s">
        <v>1650</v>
      </c>
      <c r="B353" s="891" t="s">
        <v>590</v>
      </c>
      <c r="C353" s="891" t="s">
        <v>32</v>
      </c>
      <c r="D353" s="891">
        <v>21.67</v>
      </c>
      <c r="E353" s="891">
        <v>81.28</v>
      </c>
      <c r="F353" s="891">
        <v>8.1300000000000008</v>
      </c>
      <c r="G353" s="891">
        <v>5.76</v>
      </c>
      <c r="H353" s="891">
        <v>5.08</v>
      </c>
      <c r="I353" s="891">
        <v>2.71</v>
      </c>
      <c r="J353" s="891">
        <v>2.71</v>
      </c>
      <c r="K353" s="891">
        <v>1.18</v>
      </c>
      <c r="L353" s="891">
        <v>1.63</v>
      </c>
      <c r="M353" s="891">
        <v>2.71</v>
      </c>
      <c r="N353" s="891">
        <v>13.55</v>
      </c>
      <c r="O353" s="891">
        <v>1.35</v>
      </c>
      <c r="P353" s="891">
        <v>6.77</v>
      </c>
      <c r="Q353" s="891">
        <v>1.35</v>
      </c>
      <c r="R353" s="891">
        <v>1.49</v>
      </c>
      <c r="S353" s="891">
        <v>7.79</v>
      </c>
      <c r="T353" s="891">
        <v>3.73</v>
      </c>
      <c r="U353" s="891">
        <v>8.81</v>
      </c>
      <c r="V353" s="891">
        <v>67.73</v>
      </c>
      <c r="W353" s="891">
        <v>2.42</v>
      </c>
      <c r="X353" s="927">
        <v>32999.19</v>
      </c>
      <c r="Y353" s="891">
        <v>1083.72</v>
      </c>
      <c r="Z353" s="891">
        <v>880.52</v>
      </c>
      <c r="AA353" s="891">
        <v>2167.4299999999998</v>
      </c>
      <c r="AB353" s="891">
        <v>1625.58</v>
      </c>
      <c r="AC353" s="891">
        <v>245.13</v>
      </c>
      <c r="AD353" s="891">
        <v>0.41</v>
      </c>
      <c r="AE353" s="891">
        <v>33.869999999999997</v>
      </c>
      <c r="AF353" s="891">
        <v>54.19</v>
      </c>
      <c r="AG353" s="891">
        <v>54.19</v>
      </c>
      <c r="AH353" s="891">
        <v>13.55</v>
      </c>
      <c r="AI353" s="891">
        <v>121.88</v>
      </c>
      <c r="AJ353" s="891">
        <v>74.510000000000005</v>
      </c>
      <c r="AK353" s="891">
        <v>94.83</v>
      </c>
      <c r="AL353" s="891">
        <v>203.2</v>
      </c>
      <c r="AM353" s="891">
        <v>4741.26</v>
      </c>
      <c r="AN353" s="891">
        <v>2709.29</v>
      </c>
      <c r="AO353" s="891">
        <v>3793.01</v>
      </c>
      <c r="AP353" s="891">
        <v>4.22</v>
      </c>
      <c r="AQ353" s="891">
        <v>10.16</v>
      </c>
      <c r="AR353" s="891">
        <v>3.12</v>
      </c>
      <c r="AS353" s="891">
        <v>101.6</v>
      </c>
      <c r="AT353" s="891">
        <v>2.71</v>
      </c>
      <c r="AU353" s="891">
        <v>4.0599999999999996</v>
      </c>
      <c r="AV353" s="891">
        <v>2.71</v>
      </c>
      <c r="AW353" s="891">
        <v>1.35</v>
      </c>
      <c r="AX353" s="891">
        <v>3.39</v>
      </c>
      <c r="AY353" s="891">
        <v>2.1</v>
      </c>
      <c r="AZ353" s="891">
        <v>2.42</v>
      </c>
      <c r="BA353" s="891">
        <f t="shared" si="15"/>
        <v>279.40999999999997</v>
      </c>
      <c r="BB353" s="926">
        <f t="shared" si="16"/>
        <v>33187.950000000004</v>
      </c>
      <c r="BC353" s="926">
        <f t="shared" si="17"/>
        <v>186.34000000000205</v>
      </c>
      <c r="BD353" s="891"/>
      <c r="BE353" s="891"/>
      <c r="BF353" s="891"/>
      <c r="BG353" s="928"/>
      <c r="BH353" s="928"/>
      <c r="BI353" s="928"/>
    </row>
    <row r="354" spans="1:61">
      <c r="A354" s="891" t="s">
        <v>1125</v>
      </c>
      <c r="B354" s="891" t="s">
        <v>564</v>
      </c>
      <c r="C354" s="891" t="s">
        <v>148</v>
      </c>
      <c r="D354" s="891">
        <v>16.260000000000002</v>
      </c>
      <c r="E354" s="891">
        <v>54.19</v>
      </c>
      <c r="F354" s="891">
        <v>8.1300000000000008</v>
      </c>
      <c r="G354" s="891">
        <v>5.42</v>
      </c>
      <c r="H354" s="891">
        <v>6.77</v>
      </c>
      <c r="I354" s="891">
        <v>2.0299999999999998</v>
      </c>
      <c r="J354" s="891">
        <v>0.68</v>
      </c>
      <c r="K354" s="891">
        <v>1.49</v>
      </c>
      <c r="L354" s="891">
        <v>1.08</v>
      </c>
      <c r="M354" s="891">
        <v>4.0599999999999996</v>
      </c>
      <c r="N354" s="891">
        <v>10.84</v>
      </c>
      <c r="O354" s="891">
        <v>0.81</v>
      </c>
      <c r="P354" s="891">
        <v>8.1300000000000008</v>
      </c>
      <c r="Q354" s="891">
        <v>1.63</v>
      </c>
      <c r="R354" s="891">
        <v>2.0299999999999998</v>
      </c>
      <c r="S354" s="891">
        <v>5.42</v>
      </c>
      <c r="T354" s="891">
        <v>1.08</v>
      </c>
      <c r="U354" s="891">
        <v>9.14</v>
      </c>
      <c r="V354" s="891">
        <v>40.64</v>
      </c>
      <c r="W354" s="891">
        <v>2.33</v>
      </c>
      <c r="X354" s="927">
        <v>24044.97</v>
      </c>
      <c r="Y354" s="891">
        <v>406.39</v>
      </c>
      <c r="Z354" s="891">
        <v>338.66</v>
      </c>
      <c r="AA354" s="891">
        <v>677.32</v>
      </c>
      <c r="AB354" s="891">
        <v>541.86</v>
      </c>
      <c r="AC354" s="891">
        <v>203.2</v>
      </c>
      <c r="AD354" s="891">
        <v>0.41</v>
      </c>
      <c r="AE354" s="891">
        <v>25.74</v>
      </c>
      <c r="AF354" s="891">
        <v>54.19</v>
      </c>
      <c r="AG354" s="891">
        <v>27.09</v>
      </c>
      <c r="AH354" s="891">
        <v>10.84</v>
      </c>
      <c r="AI354" s="891">
        <v>108.37</v>
      </c>
      <c r="AJ354" s="891">
        <v>47.41</v>
      </c>
      <c r="AK354" s="891">
        <v>108.37</v>
      </c>
      <c r="AL354" s="891">
        <v>108.37</v>
      </c>
      <c r="AM354" s="891">
        <v>2709.29</v>
      </c>
      <c r="AN354" s="891">
        <v>1625.58</v>
      </c>
      <c r="AO354" s="891">
        <v>948.25</v>
      </c>
      <c r="AP354" s="891">
        <v>4.3</v>
      </c>
      <c r="AQ354" s="891">
        <v>3.39</v>
      </c>
      <c r="AR354" s="891">
        <v>1.1499999999999999</v>
      </c>
      <c r="AS354" s="891">
        <v>18.86</v>
      </c>
      <c r="AT354" s="891">
        <v>2.0299999999999998</v>
      </c>
      <c r="AU354" s="891">
        <v>1.35</v>
      </c>
      <c r="AV354" s="891">
        <v>0.95</v>
      </c>
      <c r="AW354" s="891">
        <v>0.91</v>
      </c>
      <c r="AX354" s="891">
        <v>4.74</v>
      </c>
      <c r="AY354" s="891">
        <v>1.96</v>
      </c>
      <c r="AZ354" s="891">
        <v>2.0299999999999998</v>
      </c>
      <c r="BA354" s="891">
        <f t="shared" si="15"/>
        <v>229.35</v>
      </c>
      <c r="BB354" s="926">
        <f t="shared" si="16"/>
        <v>24112.420000000002</v>
      </c>
      <c r="BC354" s="926">
        <f t="shared" si="17"/>
        <v>65.120000000000729</v>
      </c>
      <c r="BD354" s="891"/>
      <c r="BE354" s="891"/>
      <c r="BF354" s="891"/>
      <c r="BG354" s="928"/>
      <c r="BH354" s="928"/>
      <c r="BI354" s="928"/>
    </row>
    <row r="355" spans="1:61">
      <c r="A355" s="891" t="s">
        <v>1126</v>
      </c>
      <c r="B355" s="891" t="s">
        <v>560</v>
      </c>
      <c r="C355" s="891" t="s">
        <v>399</v>
      </c>
      <c r="D355" s="891">
        <v>0.66</v>
      </c>
      <c r="E355" s="891">
        <v>5.33</v>
      </c>
      <c r="F355" s="891">
        <v>2.86</v>
      </c>
      <c r="G355" s="891">
        <v>1.23</v>
      </c>
      <c r="H355" s="891">
        <v>1.64</v>
      </c>
      <c r="I355" s="891">
        <v>0.33</v>
      </c>
      <c r="J355" s="891">
        <v>0.22</v>
      </c>
      <c r="K355" s="891">
        <v>0.49</v>
      </c>
      <c r="L355" s="891">
        <v>0.36</v>
      </c>
      <c r="M355" s="891">
        <v>0.79</v>
      </c>
      <c r="N355" s="891">
        <v>0.94</v>
      </c>
      <c r="O355" s="891">
        <v>0.33</v>
      </c>
      <c r="P355" s="891">
        <v>2.87</v>
      </c>
      <c r="Q355" s="891">
        <v>1.1499999999999999</v>
      </c>
      <c r="R355" s="891">
        <v>1.8</v>
      </c>
      <c r="S355" s="891">
        <v>1.8</v>
      </c>
      <c r="T355" s="891">
        <v>0.11</v>
      </c>
      <c r="U355" s="891">
        <v>2.54</v>
      </c>
      <c r="V355" s="891">
        <v>4.0999999999999996</v>
      </c>
      <c r="W355" s="891">
        <v>1.1499999999999999</v>
      </c>
      <c r="X355" s="927">
        <v>10658.36</v>
      </c>
      <c r="Y355" s="891">
        <v>73.790000000000006</v>
      </c>
      <c r="Z355" s="891">
        <v>40.99</v>
      </c>
      <c r="AA355" s="891">
        <v>180.37</v>
      </c>
      <c r="AB355" s="891">
        <v>139.38</v>
      </c>
      <c r="AC355" s="891">
        <v>15.17</v>
      </c>
      <c r="AD355" s="891">
        <v>0.02</v>
      </c>
      <c r="AE355" s="891">
        <v>16.399999999999999</v>
      </c>
      <c r="AF355" s="891">
        <v>9.84</v>
      </c>
      <c r="AG355" s="891">
        <v>1.64</v>
      </c>
      <c r="AH355" s="891">
        <v>1.1499999999999999</v>
      </c>
      <c r="AI355" s="891">
        <v>24.6</v>
      </c>
      <c r="AJ355" s="891">
        <v>24.6</v>
      </c>
      <c r="AK355" s="891">
        <v>40.99</v>
      </c>
      <c r="AL355" s="891">
        <v>24.6</v>
      </c>
      <c r="AM355" s="891">
        <v>794.25</v>
      </c>
      <c r="AN355" s="891">
        <v>441.25</v>
      </c>
      <c r="AO355" s="891">
        <v>401.74</v>
      </c>
      <c r="AP355" s="891">
        <v>10.35</v>
      </c>
      <c r="AQ355" s="891">
        <v>0.72</v>
      </c>
      <c r="AR355" s="891">
        <v>0.25</v>
      </c>
      <c r="AS355" s="891">
        <v>1.23</v>
      </c>
      <c r="AT355" s="891">
        <v>2.2999999999999998</v>
      </c>
      <c r="AU355" s="891">
        <v>1.1499999999999999</v>
      </c>
      <c r="AV355" s="891">
        <v>0.41</v>
      </c>
      <c r="AW355" s="891">
        <v>0.66</v>
      </c>
      <c r="AX355" s="891">
        <v>0.82</v>
      </c>
      <c r="AY355" s="891">
        <v>0.56999999999999995</v>
      </c>
      <c r="AZ355" s="891">
        <v>0.33</v>
      </c>
      <c r="BA355" s="891">
        <f t="shared" si="15"/>
        <v>31.589999999999996</v>
      </c>
      <c r="BB355" s="926">
        <f t="shared" si="16"/>
        <v>10665.92</v>
      </c>
      <c r="BC355" s="926">
        <f t="shared" si="17"/>
        <v>6.4099999999994903</v>
      </c>
      <c r="BD355" s="891"/>
      <c r="BE355" s="891"/>
      <c r="BF355" s="891"/>
      <c r="BG355" s="928"/>
      <c r="BH355" s="928"/>
      <c r="BI355" s="928"/>
    </row>
    <row r="356" spans="1:61">
      <c r="A356" s="891" t="s">
        <v>1127</v>
      </c>
      <c r="B356" s="891" t="s">
        <v>638</v>
      </c>
      <c r="C356" s="891" t="s">
        <v>334</v>
      </c>
      <c r="D356" s="891">
        <v>4.5599999999999996</v>
      </c>
      <c r="E356" s="891">
        <v>26.05</v>
      </c>
      <c r="F356" s="891">
        <v>5.0199999999999996</v>
      </c>
      <c r="G356" s="891">
        <v>1.37</v>
      </c>
      <c r="H356" s="891">
        <v>1.83</v>
      </c>
      <c r="I356" s="891">
        <v>1.07</v>
      </c>
      <c r="J356" s="891">
        <v>0.84</v>
      </c>
      <c r="K356" s="891">
        <v>1.1399999999999999</v>
      </c>
      <c r="L356" s="891">
        <v>0.91</v>
      </c>
      <c r="M356" s="891">
        <v>1.83</v>
      </c>
      <c r="N356" s="891">
        <v>4.5599999999999996</v>
      </c>
      <c r="O356" s="891">
        <v>0.76</v>
      </c>
      <c r="P356" s="891">
        <v>4.87</v>
      </c>
      <c r="Q356" s="891">
        <v>0.91</v>
      </c>
      <c r="R356" s="891">
        <v>1.52</v>
      </c>
      <c r="S356" s="891">
        <v>3.96</v>
      </c>
      <c r="T356" s="891">
        <v>0.76</v>
      </c>
      <c r="U356" s="891">
        <v>5.63</v>
      </c>
      <c r="V356" s="891">
        <v>23.74</v>
      </c>
      <c r="W356" s="891">
        <v>1.83</v>
      </c>
      <c r="X356" s="927">
        <v>19289.21</v>
      </c>
      <c r="Y356" s="891">
        <v>365.17</v>
      </c>
      <c r="Z356" s="891">
        <v>243.45</v>
      </c>
      <c r="AA356" s="891">
        <v>608.62</v>
      </c>
      <c r="AB356" s="891">
        <v>401</v>
      </c>
      <c r="AC356" s="891">
        <v>162.30000000000001</v>
      </c>
      <c r="AD356" s="891">
        <v>0.2</v>
      </c>
      <c r="AE356" s="891">
        <v>12.17</v>
      </c>
      <c r="AF356" s="891">
        <v>26.63</v>
      </c>
      <c r="AG356" s="891">
        <v>6.85</v>
      </c>
      <c r="AH356" s="891">
        <v>5.93</v>
      </c>
      <c r="AI356" s="891">
        <v>60.86</v>
      </c>
      <c r="AJ356" s="891">
        <v>45.65</v>
      </c>
      <c r="AK356" s="891">
        <v>91.29</v>
      </c>
      <c r="AL356" s="891">
        <v>63.91</v>
      </c>
      <c r="AM356" s="891">
        <v>1475.91</v>
      </c>
      <c r="AN356" s="891">
        <v>1186.82</v>
      </c>
      <c r="AO356" s="891">
        <v>456.47</v>
      </c>
      <c r="AP356" s="891">
        <v>6.75</v>
      </c>
      <c r="AQ356" s="891">
        <v>0.61</v>
      </c>
      <c r="AR356" s="891">
        <v>0.67</v>
      </c>
      <c r="AS356" s="891">
        <v>6.97</v>
      </c>
      <c r="AT356" s="891">
        <v>1.52</v>
      </c>
      <c r="AU356" s="891">
        <v>1.52</v>
      </c>
      <c r="AV356" s="891">
        <v>0.68</v>
      </c>
      <c r="AW356" s="891">
        <v>0.61</v>
      </c>
      <c r="AX356" s="891">
        <v>1.52</v>
      </c>
      <c r="AY356" s="891">
        <v>1.22</v>
      </c>
      <c r="AZ356" s="891">
        <v>1.52</v>
      </c>
      <c r="BA356" s="891">
        <f t="shared" si="15"/>
        <v>174.67</v>
      </c>
      <c r="BB356" s="926">
        <f t="shared" si="16"/>
        <v>19323.79</v>
      </c>
      <c r="BC356" s="926">
        <f t="shared" si="17"/>
        <v>32.750000000001748</v>
      </c>
      <c r="BD356" s="891"/>
      <c r="BE356" s="891"/>
      <c r="BF356" s="891"/>
      <c r="BG356" s="928"/>
      <c r="BH356" s="928"/>
      <c r="BI356" s="928"/>
    </row>
    <row r="357" spans="1:61">
      <c r="A357" s="891" t="s">
        <v>1128</v>
      </c>
      <c r="B357" s="891" t="s">
        <v>644</v>
      </c>
      <c r="C357" s="891" t="s">
        <v>326</v>
      </c>
      <c r="D357" s="891">
        <v>6.77</v>
      </c>
      <c r="E357" s="891">
        <v>25.6</v>
      </c>
      <c r="F357" s="891">
        <v>4.0599999999999996</v>
      </c>
      <c r="G357" s="891">
        <v>1.35</v>
      </c>
      <c r="H357" s="891">
        <v>2.0299999999999998</v>
      </c>
      <c r="I357" s="891">
        <v>1.35</v>
      </c>
      <c r="J357" s="891">
        <v>0.68</v>
      </c>
      <c r="K357" s="891">
        <v>1.35</v>
      </c>
      <c r="L357" s="891">
        <v>0.68</v>
      </c>
      <c r="M357" s="891">
        <v>1.39</v>
      </c>
      <c r="N357" s="891">
        <v>6.77</v>
      </c>
      <c r="O357" s="891">
        <v>0.68</v>
      </c>
      <c r="P357" s="891">
        <v>6.77</v>
      </c>
      <c r="Q357" s="891">
        <v>1.08</v>
      </c>
      <c r="R357" s="891">
        <v>1.49</v>
      </c>
      <c r="S357" s="891">
        <v>2.64</v>
      </c>
      <c r="T357" s="891">
        <v>0.3</v>
      </c>
      <c r="U357" s="891">
        <v>4.0599999999999996</v>
      </c>
      <c r="V357" s="891">
        <v>13.55</v>
      </c>
      <c r="W357" s="891">
        <v>2.0099999999999998</v>
      </c>
      <c r="X357" s="927">
        <v>19981.03</v>
      </c>
      <c r="Y357" s="891">
        <v>406.39</v>
      </c>
      <c r="Z357" s="891">
        <v>176.1</v>
      </c>
      <c r="AA357" s="891">
        <v>677.32</v>
      </c>
      <c r="AB357" s="891">
        <v>406.39</v>
      </c>
      <c r="AC357" s="891">
        <v>88.05</v>
      </c>
      <c r="AD357" s="891">
        <v>0.2</v>
      </c>
      <c r="AE357" s="891">
        <v>27.09</v>
      </c>
      <c r="AF357" s="891">
        <v>35.04</v>
      </c>
      <c r="AG357" s="891">
        <v>13.55</v>
      </c>
      <c r="AH357" s="891">
        <v>5.01</v>
      </c>
      <c r="AI357" s="891">
        <v>92.86</v>
      </c>
      <c r="AJ357" s="891">
        <v>54.19</v>
      </c>
      <c r="AK357" s="891">
        <v>79.900000000000006</v>
      </c>
      <c r="AL357" s="891">
        <v>108.37</v>
      </c>
      <c r="AM357" s="891">
        <v>2031.97</v>
      </c>
      <c r="AN357" s="891">
        <v>880.52</v>
      </c>
      <c r="AO357" s="891">
        <v>454.09</v>
      </c>
      <c r="AP357" s="891">
        <v>7.5</v>
      </c>
      <c r="AQ357" s="891">
        <v>2.94</v>
      </c>
      <c r="AR357" s="891">
        <v>2.83</v>
      </c>
      <c r="AS357" s="891">
        <v>9.48</v>
      </c>
      <c r="AT357" s="891">
        <v>1.35</v>
      </c>
      <c r="AU357" s="891">
        <v>1.35</v>
      </c>
      <c r="AV357" s="891">
        <v>0.54</v>
      </c>
      <c r="AW357" s="891">
        <v>1.35</v>
      </c>
      <c r="AX357" s="891">
        <v>1.35</v>
      </c>
      <c r="AY357" s="891">
        <v>1.49</v>
      </c>
      <c r="AZ357" s="891">
        <v>1.35</v>
      </c>
      <c r="BA357" s="891">
        <f t="shared" si="15"/>
        <v>115.34</v>
      </c>
      <c r="BB357" s="926">
        <f t="shared" si="16"/>
        <v>20012.14</v>
      </c>
      <c r="BC357" s="926">
        <f t="shared" si="17"/>
        <v>29.100000000000584</v>
      </c>
      <c r="BD357" s="891"/>
      <c r="BE357" s="891"/>
      <c r="BF357" s="891"/>
      <c r="BG357" s="928"/>
      <c r="BH357" s="928"/>
      <c r="BI357" s="928"/>
    </row>
    <row r="358" spans="1:61">
      <c r="A358" s="891" t="s">
        <v>1129</v>
      </c>
      <c r="B358" s="891" t="s">
        <v>557</v>
      </c>
      <c r="C358" s="891" t="s">
        <v>28</v>
      </c>
      <c r="D358" s="891">
        <v>9.1300000000000008</v>
      </c>
      <c r="E358" s="891">
        <v>50.72</v>
      </c>
      <c r="F358" s="891">
        <v>6.59</v>
      </c>
      <c r="G358" s="891">
        <v>5.07</v>
      </c>
      <c r="H358" s="891">
        <v>5.68</v>
      </c>
      <c r="I358" s="891">
        <v>1.42</v>
      </c>
      <c r="J358" s="891">
        <v>1.22</v>
      </c>
      <c r="K358" s="891">
        <v>2.0299999999999998</v>
      </c>
      <c r="L358" s="891">
        <v>2.0299999999999998</v>
      </c>
      <c r="M358" s="891">
        <v>2.23</v>
      </c>
      <c r="N358" s="891">
        <v>20.29</v>
      </c>
      <c r="O358" s="891">
        <v>1.39</v>
      </c>
      <c r="P358" s="891">
        <v>15.21</v>
      </c>
      <c r="Q358" s="891">
        <v>2.64</v>
      </c>
      <c r="R358" s="891">
        <v>3.04</v>
      </c>
      <c r="S358" s="891">
        <v>4.46</v>
      </c>
      <c r="T358" s="891">
        <v>1.62</v>
      </c>
      <c r="U358" s="891">
        <v>10.14</v>
      </c>
      <c r="V358" s="891">
        <v>101.43</v>
      </c>
      <c r="W358" s="891">
        <v>1.52</v>
      </c>
      <c r="X358" s="927">
        <v>25357.57</v>
      </c>
      <c r="Y358" s="891">
        <v>1369.31</v>
      </c>
      <c r="Z358" s="891">
        <v>669.44</v>
      </c>
      <c r="AA358" s="891">
        <v>2840.05</v>
      </c>
      <c r="AB358" s="891">
        <v>1521.45</v>
      </c>
      <c r="AC358" s="891">
        <v>189.67</v>
      </c>
      <c r="AD358" s="891">
        <v>0.43</v>
      </c>
      <c r="AE358" s="891">
        <v>40.57</v>
      </c>
      <c r="AF358" s="891">
        <v>101.43</v>
      </c>
      <c r="AG358" s="891">
        <v>20.29</v>
      </c>
      <c r="AH358" s="891">
        <v>18.260000000000002</v>
      </c>
      <c r="AI358" s="891">
        <v>81.14</v>
      </c>
      <c r="AJ358" s="891">
        <v>78.61</v>
      </c>
      <c r="AK358" s="891">
        <v>91.29</v>
      </c>
      <c r="AL358" s="891">
        <v>101.43</v>
      </c>
      <c r="AM358" s="891">
        <v>6085.82</v>
      </c>
      <c r="AN358" s="891">
        <v>4564.3599999999997</v>
      </c>
      <c r="AO358" s="891">
        <v>3195.05</v>
      </c>
      <c r="AP358" s="891">
        <v>2</v>
      </c>
      <c r="AQ358" s="891">
        <v>7.2</v>
      </c>
      <c r="AR358" s="891">
        <v>2.96</v>
      </c>
      <c r="AS358" s="891">
        <v>30.73</v>
      </c>
      <c r="AT358" s="891">
        <v>6.09</v>
      </c>
      <c r="AU358" s="891">
        <v>5.07</v>
      </c>
      <c r="AV358" s="891">
        <v>3.55</v>
      </c>
      <c r="AW358" s="891">
        <v>2.0299999999999998</v>
      </c>
      <c r="AX358" s="891">
        <v>3.93</v>
      </c>
      <c r="AY358" s="891">
        <v>5.07</v>
      </c>
      <c r="AZ358" s="891">
        <v>6.49</v>
      </c>
      <c r="BA358" s="891">
        <f t="shared" si="15"/>
        <v>230.67</v>
      </c>
      <c r="BB358" s="926">
        <f t="shared" si="16"/>
        <v>25503.03</v>
      </c>
      <c r="BC358" s="926">
        <f t="shared" si="17"/>
        <v>143.93999999999912</v>
      </c>
      <c r="BD358" s="891"/>
      <c r="BE358" s="891"/>
      <c r="BF358" s="891"/>
      <c r="BG358" s="928"/>
      <c r="BH358" s="928"/>
      <c r="BI358" s="928"/>
    </row>
    <row r="359" spans="1:61">
      <c r="A359" s="891" t="s">
        <v>1130</v>
      </c>
      <c r="B359" s="891" t="s">
        <v>559</v>
      </c>
      <c r="C359" s="891" t="s">
        <v>96</v>
      </c>
      <c r="D359" s="891">
        <v>12.36</v>
      </c>
      <c r="E359" s="891">
        <v>57.95</v>
      </c>
      <c r="F359" s="891">
        <v>7.73</v>
      </c>
      <c r="G359" s="891">
        <v>5.31</v>
      </c>
      <c r="H359" s="891">
        <v>5.79</v>
      </c>
      <c r="I359" s="891">
        <v>1.93</v>
      </c>
      <c r="J359" s="891">
        <v>1.45</v>
      </c>
      <c r="K359" s="891">
        <v>1.93</v>
      </c>
      <c r="L359" s="891">
        <v>2.84</v>
      </c>
      <c r="M359" s="891">
        <v>2.9</v>
      </c>
      <c r="N359" s="891">
        <v>11.59</v>
      </c>
      <c r="O359" s="891">
        <v>1.93</v>
      </c>
      <c r="P359" s="891">
        <v>14.49</v>
      </c>
      <c r="Q359" s="891">
        <v>2.41</v>
      </c>
      <c r="R359" s="891">
        <v>2.9</v>
      </c>
      <c r="S359" s="891">
        <v>9.66</v>
      </c>
      <c r="T359" s="891">
        <v>2.9</v>
      </c>
      <c r="U359" s="891">
        <v>10.62</v>
      </c>
      <c r="V359" s="891">
        <v>121.69</v>
      </c>
      <c r="W359" s="891">
        <v>1.26</v>
      </c>
      <c r="X359" s="927">
        <v>22213.64</v>
      </c>
      <c r="Y359" s="891">
        <v>1448.72</v>
      </c>
      <c r="Z359" s="891">
        <v>965.81</v>
      </c>
      <c r="AA359" s="891">
        <v>2511.11</v>
      </c>
      <c r="AB359" s="891">
        <v>1738.46</v>
      </c>
      <c r="AC359" s="891">
        <v>171.93</v>
      </c>
      <c r="AD359" s="891">
        <v>0.28000000000000003</v>
      </c>
      <c r="AE359" s="891">
        <v>48.29</v>
      </c>
      <c r="AF359" s="891">
        <v>53.12</v>
      </c>
      <c r="AG359" s="891">
        <v>28</v>
      </c>
      <c r="AH359" s="891">
        <v>12.56</v>
      </c>
      <c r="AI359" s="891">
        <v>57.95</v>
      </c>
      <c r="AJ359" s="891">
        <v>40.56</v>
      </c>
      <c r="AK359" s="891">
        <v>106.24</v>
      </c>
      <c r="AL359" s="891">
        <v>96.58</v>
      </c>
      <c r="AM359" s="891">
        <v>5717.74</v>
      </c>
      <c r="AN359" s="891">
        <v>3589.81</v>
      </c>
      <c r="AO359" s="891">
        <v>3090.59</v>
      </c>
      <c r="AP359" s="891">
        <v>3.5</v>
      </c>
      <c r="AQ359" s="891">
        <v>4.0999999999999996</v>
      </c>
      <c r="AR359" s="891">
        <v>1.7</v>
      </c>
      <c r="AS359" s="891">
        <v>29.94</v>
      </c>
      <c r="AT359" s="891">
        <v>2.89</v>
      </c>
      <c r="AU359" s="891">
        <v>2.89</v>
      </c>
      <c r="AV359" s="891">
        <v>1.58</v>
      </c>
      <c r="AW359" s="891">
        <v>1.89</v>
      </c>
      <c r="AX359" s="891">
        <v>3.37</v>
      </c>
      <c r="AY359" s="891">
        <v>2.89</v>
      </c>
      <c r="AZ359" s="891">
        <v>2.9</v>
      </c>
      <c r="BA359" s="891">
        <f t="shared" si="15"/>
        <v>220.5</v>
      </c>
      <c r="BB359" s="926">
        <f t="shared" si="16"/>
        <v>22375.229999999996</v>
      </c>
      <c r="BC359" s="926">
        <f t="shared" si="17"/>
        <v>160.32999999999652</v>
      </c>
      <c r="BD359" s="891"/>
      <c r="BE359" s="891"/>
      <c r="BF359" s="891"/>
      <c r="BG359" s="928"/>
      <c r="BH359" s="928"/>
      <c r="BI359" s="928"/>
    </row>
    <row r="360" spans="1:61">
      <c r="A360" s="891" t="s">
        <v>1131</v>
      </c>
      <c r="B360" s="891" t="s">
        <v>569</v>
      </c>
      <c r="C360" s="891" t="s">
        <v>70</v>
      </c>
      <c r="D360" s="891">
        <v>14.9</v>
      </c>
      <c r="E360" s="891">
        <v>67.73</v>
      </c>
      <c r="F360" s="891">
        <v>9.11</v>
      </c>
      <c r="G360" s="891">
        <v>6.64</v>
      </c>
      <c r="H360" s="891">
        <v>6.77</v>
      </c>
      <c r="I360" s="891">
        <v>2.71</v>
      </c>
      <c r="J360" s="891">
        <v>1.46</v>
      </c>
      <c r="K360" s="891">
        <v>1.1499999999999999</v>
      </c>
      <c r="L360" s="891">
        <v>1.35</v>
      </c>
      <c r="M360" s="891">
        <v>4.0599999999999996</v>
      </c>
      <c r="N360" s="891">
        <v>24.38</v>
      </c>
      <c r="O360" s="891">
        <v>2.0299999999999998</v>
      </c>
      <c r="P360" s="891">
        <v>8.1300000000000008</v>
      </c>
      <c r="Q360" s="891">
        <v>1.69</v>
      </c>
      <c r="R360" s="891">
        <v>2.0299999999999998</v>
      </c>
      <c r="S360" s="891">
        <v>8.26</v>
      </c>
      <c r="T360" s="891">
        <v>2.17</v>
      </c>
      <c r="U360" s="891">
        <v>9.48</v>
      </c>
      <c r="V360" s="891">
        <v>54.19</v>
      </c>
      <c r="W360" s="891">
        <v>2.0299999999999998</v>
      </c>
      <c r="X360" s="927">
        <v>22351.67</v>
      </c>
      <c r="Y360" s="891">
        <v>677.32</v>
      </c>
      <c r="Z360" s="891">
        <v>507.99</v>
      </c>
      <c r="AA360" s="891">
        <v>1625.58</v>
      </c>
      <c r="AB360" s="891">
        <v>1015.98</v>
      </c>
      <c r="AC360" s="891">
        <v>187.11</v>
      </c>
      <c r="AD360" s="891">
        <v>0.41</v>
      </c>
      <c r="AE360" s="891">
        <v>40.64</v>
      </c>
      <c r="AF360" s="891">
        <v>56.9</v>
      </c>
      <c r="AG360" s="891">
        <v>30.48</v>
      </c>
      <c r="AH360" s="891">
        <v>9.48</v>
      </c>
      <c r="AI360" s="891">
        <v>121.92</v>
      </c>
      <c r="AJ360" s="891">
        <v>47.41</v>
      </c>
      <c r="AK360" s="891">
        <v>163.91</v>
      </c>
      <c r="AL360" s="891">
        <v>270.93</v>
      </c>
      <c r="AM360" s="891">
        <v>4910.59</v>
      </c>
      <c r="AN360" s="891">
        <v>3454.35</v>
      </c>
      <c r="AO360" s="891">
        <v>2479</v>
      </c>
      <c r="AP360" s="891">
        <v>3.5</v>
      </c>
      <c r="AQ360" s="891">
        <v>3.25</v>
      </c>
      <c r="AR360" s="891">
        <v>2.44</v>
      </c>
      <c r="AS360" s="891">
        <v>24.11</v>
      </c>
      <c r="AT360" s="891">
        <v>2.7</v>
      </c>
      <c r="AU360" s="891">
        <v>2.2999999999999998</v>
      </c>
      <c r="AV360" s="891">
        <v>1.63</v>
      </c>
      <c r="AW360" s="891">
        <v>1.29</v>
      </c>
      <c r="AX360" s="891">
        <v>3.05</v>
      </c>
      <c r="AY360" s="891">
        <v>2.71</v>
      </c>
      <c r="AZ360" s="891">
        <v>2.7</v>
      </c>
      <c r="BA360" s="891">
        <f t="shared" si="15"/>
        <v>228.16000000000003</v>
      </c>
      <c r="BB360" s="926">
        <f t="shared" si="16"/>
        <v>22439.859999999997</v>
      </c>
      <c r="BC360" s="926">
        <f t="shared" si="17"/>
        <v>86.159999999998689</v>
      </c>
      <c r="BD360" s="891"/>
      <c r="BE360" s="891"/>
      <c r="BF360" s="891"/>
      <c r="BG360" s="928"/>
      <c r="BH360" s="928"/>
      <c r="BI360" s="928"/>
    </row>
    <row r="361" spans="1:61">
      <c r="A361" s="891" t="s">
        <v>1132</v>
      </c>
      <c r="B361" s="891" t="s">
        <v>563</v>
      </c>
      <c r="C361" s="891" t="s">
        <v>66</v>
      </c>
      <c r="D361" s="891">
        <v>20.32</v>
      </c>
      <c r="E361" s="891">
        <v>67.73</v>
      </c>
      <c r="F361" s="891">
        <v>10.16</v>
      </c>
      <c r="G361" s="891">
        <v>5.76</v>
      </c>
      <c r="H361" s="891">
        <v>5.42</v>
      </c>
      <c r="I361" s="891">
        <v>2.0299999999999998</v>
      </c>
      <c r="J361" s="891">
        <v>1.69</v>
      </c>
      <c r="K361" s="891">
        <v>1.35</v>
      </c>
      <c r="L361" s="891">
        <v>2.0299999999999998</v>
      </c>
      <c r="M361" s="891">
        <v>4.0599999999999996</v>
      </c>
      <c r="N361" s="891">
        <v>13.55</v>
      </c>
      <c r="O361" s="891">
        <v>0.54</v>
      </c>
      <c r="P361" s="891">
        <v>9.48</v>
      </c>
      <c r="Q361" s="891">
        <v>1.49</v>
      </c>
      <c r="R361" s="891">
        <v>1.63</v>
      </c>
      <c r="S361" s="891">
        <v>6.84</v>
      </c>
      <c r="T361" s="891">
        <v>1.56</v>
      </c>
      <c r="U361" s="891">
        <v>13.4</v>
      </c>
      <c r="V361" s="891">
        <v>40.64</v>
      </c>
      <c r="W361" s="891">
        <v>2.44</v>
      </c>
      <c r="X361" s="927">
        <v>29463.56</v>
      </c>
      <c r="Y361" s="891">
        <v>677.32</v>
      </c>
      <c r="Z361" s="891">
        <v>474.13</v>
      </c>
      <c r="AA361" s="891">
        <v>1015.98</v>
      </c>
      <c r="AB361" s="891">
        <v>948.25</v>
      </c>
      <c r="AC361" s="891">
        <v>172.72</v>
      </c>
      <c r="AD361" s="891">
        <v>0.27</v>
      </c>
      <c r="AE361" s="891">
        <v>39.28</v>
      </c>
      <c r="AF361" s="891">
        <v>60.96</v>
      </c>
      <c r="AG361" s="891">
        <v>27.09</v>
      </c>
      <c r="AH361" s="891">
        <v>10.16</v>
      </c>
      <c r="AI361" s="891">
        <v>149.01</v>
      </c>
      <c r="AJ361" s="891">
        <v>47.41</v>
      </c>
      <c r="AK361" s="891">
        <v>162.56</v>
      </c>
      <c r="AL361" s="891">
        <v>338.66</v>
      </c>
      <c r="AM361" s="891">
        <v>4063.94</v>
      </c>
      <c r="AN361" s="891">
        <v>2438.36</v>
      </c>
      <c r="AO361" s="891">
        <v>2099.6999999999998</v>
      </c>
      <c r="AP361" s="891">
        <v>5</v>
      </c>
      <c r="AQ361" s="891">
        <v>4.2699999999999996</v>
      </c>
      <c r="AR361" s="891">
        <v>2.8</v>
      </c>
      <c r="AS361" s="891">
        <v>67.73</v>
      </c>
      <c r="AT361" s="891">
        <v>2.29</v>
      </c>
      <c r="AU361" s="891">
        <v>2.15</v>
      </c>
      <c r="AV361" s="891">
        <v>2.0299999999999998</v>
      </c>
      <c r="AW361" s="891">
        <v>1.63</v>
      </c>
      <c r="AX361" s="891">
        <v>1.49</v>
      </c>
      <c r="AY361" s="891">
        <v>2.71</v>
      </c>
      <c r="AZ361" s="891">
        <v>2.7</v>
      </c>
      <c r="BA361" s="891">
        <f t="shared" si="15"/>
        <v>212.27</v>
      </c>
      <c r="BB361" s="926">
        <f t="shared" si="16"/>
        <v>29583</v>
      </c>
      <c r="BC361" s="926">
        <f t="shared" si="17"/>
        <v>116.99999999999869</v>
      </c>
      <c r="BD361" s="891"/>
      <c r="BE361" s="891"/>
      <c r="BF361" s="891"/>
      <c r="BG361" s="928"/>
      <c r="BH361" s="928"/>
      <c r="BI361" s="928"/>
    </row>
    <row r="362" spans="1:61">
      <c r="A362" s="891" t="s">
        <v>1133</v>
      </c>
      <c r="B362" s="891" t="s">
        <v>577</v>
      </c>
      <c r="C362" s="891" t="s">
        <v>3</v>
      </c>
      <c r="D362" s="891">
        <v>25</v>
      </c>
      <c r="E362" s="891">
        <v>133.34</v>
      </c>
      <c r="F362" s="891">
        <v>16.25</v>
      </c>
      <c r="G362" s="891">
        <v>11.67</v>
      </c>
      <c r="H362" s="891">
        <v>9.25</v>
      </c>
      <c r="I362" s="891">
        <v>4.17</v>
      </c>
      <c r="J362" s="891">
        <v>3.33</v>
      </c>
      <c r="K362" s="891">
        <v>2.42</v>
      </c>
      <c r="L362" s="891">
        <v>3.33</v>
      </c>
      <c r="M362" s="891">
        <v>5.17</v>
      </c>
      <c r="N362" s="891">
        <v>13.33</v>
      </c>
      <c r="O362" s="891">
        <v>3.33</v>
      </c>
      <c r="P362" s="891">
        <v>20</v>
      </c>
      <c r="Q362" s="891">
        <v>4.67</v>
      </c>
      <c r="R362" s="891">
        <v>5</v>
      </c>
      <c r="S362" s="891">
        <v>15</v>
      </c>
      <c r="T362" s="891">
        <v>5.5</v>
      </c>
      <c r="U362" s="891">
        <v>20</v>
      </c>
      <c r="V362" s="891">
        <v>97.5</v>
      </c>
      <c r="W362" s="891">
        <v>2.33</v>
      </c>
      <c r="X362" s="927">
        <v>49167.49</v>
      </c>
      <c r="Y362" s="891">
        <v>1500.03</v>
      </c>
      <c r="Z362" s="891">
        <v>1166.69</v>
      </c>
      <c r="AA362" s="891">
        <v>2500.04</v>
      </c>
      <c r="AB362" s="891">
        <v>2000.03</v>
      </c>
      <c r="AC362" s="891">
        <v>515.63</v>
      </c>
      <c r="AD362" s="891">
        <v>0.17</v>
      </c>
      <c r="AE362" s="891">
        <v>51.67</v>
      </c>
      <c r="AF362" s="891">
        <v>82.42</v>
      </c>
      <c r="AG362" s="891">
        <v>41.67</v>
      </c>
      <c r="AH362" s="891">
        <v>18.329999999999998</v>
      </c>
      <c r="AI362" s="891">
        <v>150</v>
      </c>
      <c r="AJ362" s="891">
        <v>83.33</v>
      </c>
      <c r="AK362" s="891">
        <v>133.34</v>
      </c>
      <c r="AL362" s="891">
        <v>175</v>
      </c>
      <c r="AM362" s="891">
        <v>6666.78</v>
      </c>
      <c r="AN362" s="891">
        <v>5000.08</v>
      </c>
      <c r="AO362" s="891">
        <v>4166.74</v>
      </c>
      <c r="AP362" s="891">
        <v>3.99</v>
      </c>
      <c r="AQ362" s="891">
        <v>12.5</v>
      </c>
      <c r="AR362" s="891">
        <v>3.67</v>
      </c>
      <c r="AS362" s="891">
        <v>75</v>
      </c>
      <c r="AT362" s="891">
        <v>3.33</v>
      </c>
      <c r="AU362" s="891">
        <v>3.33</v>
      </c>
      <c r="AV362" s="891">
        <v>2</v>
      </c>
      <c r="AW362" s="891">
        <v>2.5</v>
      </c>
      <c r="AX362" s="891">
        <v>5.83</v>
      </c>
      <c r="AY362" s="891">
        <v>3.33</v>
      </c>
      <c r="AZ362" s="891">
        <v>4.83</v>
      </c>
      <c r="BA362" s="891">
        <f t="shared" si="15"/>
        <v>567.46999999999991</v>
      </c>
      <c r="BB362" s="926">
        <f t="shared" si="16"/>
        <v>49363.99</v>
      </c>
      <c r="BC362" s="926">
        <f t="shared" si="17"/>
        <v>194.17</v>
      </c>
      <c r="BD362" s="891"/>
      <c r="BE362" s="891"/>
      <c r="BF362" s="891"/>
      <c r="BG362" s="928"/>
      <c r="BH362" s="928"/>
      <c r="BI362" s="928"/>
    </row>
    <row r="363" spans="1:61">
      <c r="A363" s="891" t="s">
        <v>1134</v>
      </c>
      <c r="B363" s="891" t="s">
        <v>1606</v>
      </c>
      <c r="C363" s="891" t="s">
        <v>150</v>
      </c>
      <c r="D363" s="891">
        <v>9</v>
      </c>
      <c r="E363" s="891">
        <v>60</v>
      </c>
      <c r="F363" s="891">
        <v>6</v>
      </c>
      <c r="G363" s="891">
        <v>3</v>
      </c>
      <c r="H363" s="891">
        <v>4.25</v>
      </c>
      <c r="I363" s="891">
        <v>1.54</v>
      </c>
      <c r="J363" s="891">
        <v>1.4</v>
      </c>
      <c r="K363" s="891">
        <v>1.81</v>
      </c>
      <c r="L363" s="891">
        <v>2.96</v>
      </c>
      <c r="M363" s="891">
        <v>2.37</v>
      </c>
      <c r="N363" s="891">
        <v>11</v>
      </c>
      <c r="O363" s="891">
        <v>1.5</v>
      </c>
      <c r="P363" s="891">
        <v>10</v>
      </c>
      <c r="Q363" s="891">
        <v>1.74</v>
      </c>
      <c r="R363" s="891">
        <v>2.14</v>
      </c>
      <c r="S363" s="891">
        <v>6.99</v>
      </c>
      <c r="T363" s="891">
        <v>1.5</v>
      </c>
      <c r="U363" s="891">
        <v>11.01</v>
      </c>
      <c r="V363" s="891">
        <v>30</v>
      </c>
      <c r="W363" s="891">
        <v>0.85</v>
      </c>
      <c r="X363" s="927">
        <v>20000</v>
      </c>
      <c r="Y363" s="891">
        <v>700</v>
      </c>
      <c r="Z363" s="891">
        <v>625</v>
      </c>
      <c r="AA363" s="891">
        <v>1200</v>
      </c>
      <c r="AB363" s="891">
        <v>1000</v>
      </c>
      <c r="AC363" s="891">
        <v>150</v>
      </c>
      <c r="AD363" s="891">
        <v>0.1</v>
      </c>
      <c r="AE363" s="891">
        <v>50</v>
      </c>
      <c r="AF363" s="891">
        <v>40</v>
      </c>
      <c r="AG363" s="891">
        <v>50</v>
      </c>
      <c r="AH363" s="891">
        <v>8</v>
      </c>
      <c r="AI363" s="891">
        <v>30</v>
      </c>
      <c r="AJ363" s="891">
        <v>25</v>
      </c>
      <c r="AK363" s="891">
        <v>72.5</v>
      </c>
      <c r="AL363" s="891">
        <v>75</v>
      </c>
      <c r="AM363" s="891">
        <v>1264.76</v>
      </c>
      <c r="AN363" s="891">
        <v>1103.3</v>
      </c>
      <c r="AO363" s="891">
        <v>2000</v>
      </c>
      <c r="AP363" s="891">
        <v>3.75</v>
      </c>
      <c r="AQ363" s="891">
        <v>3.35</v>
      </c>
      <c r="AR363" s="891">
        <v>2.17</v>
      </c>
      <c r="AS363" s="891">
        <v>40</v>
      </c>
      <c r="AT363" s="891">
        <v>2.84</v>
      </c>
      <c r="AU363" s="891">
        <v>4</v>
      </c>
      <c r="AV363" s="891">
        <v>3.09</v>
      </c>
      <c r="AW363" s="891">
        <v>1.75</v>
      </c>
      <c r="AX363" s="891">
        <v>3.5</v>
      </c>
      <c r="AY363" s="891">
        <v>3.5</v>
      </c>
      <c r="AZ363" s="891">
        <v>4</v>
      </c>
      <c r="BA363" s="891">
        <f t="shared" si="15"/>
        <v>200.1</v>
      </c>
      <c r="BB363" s="926">
        <f t="shared" si="16"/>
        <v>20077.869999999995</v>
      </c>
      <c r="BC363" s="926">
        <f t="shared" si="17"/>
        <v>77.019999999995349</v>
      </c>
      <c r="BD363" s="891"/>
      <c r="BE363" s="891"/>
      <c r="BF363" s="891"/>
      <c r="BG363" s="928"/>
      <c r="BH363" s="928"/>
      <c r="BI363" s="928"/>
    </row>
    <row r="364" spans="1:61">
      <c r="A364" s="891" t="s">
        <v>1135</v>
      </c>
      <c r="B364" s="891" t="s">
        <v>1606</v>
      </c>
      <c r="C364" s="891" t="s">
        <v>219</v>
      </c>
      <c r="D364" s="891">
        <v>9.25</v>
      </c>
      <c r="E364" s="891">
        <v>40</v>
      </c>
      <c r="F364" s="891">
        <v>7</v>
      </c>
      <c r="G364" s="891">
        <v>3</v>
      </c>
      <c r="H364" s="891">
        <v>4</v>
      </c>
      <c r="I364" s="891">
        <v>1.54</v>
      </c>
      <c r="J364" s="891">
        <v>1.29</v>
      </c>
      <c r="K364" s="891">
        <v>1.05</v>
      </c>
      <c r="L364" s="891">
        <v>2</v>
      </c>
      <c r="M364" s="891">
        <v>2.25</v>
      </c>
      <c r="N364" s="891">
        <v>8.82</v>
      </c>
      <c r="O364" s="891">
        <v>1.25</v>
      </c>
      <c r="P364" s="891">
        <v>15</v>
      </c>
      <c r="Q364" s="891">
        <v>2.5</v>
      </c>
      <c r="R364" s="891">
        <v>2.62</v>
      </c>
      <c r="S364" s="891">
        <v>6.5</v>
      </c>
      <c r="T364" s="891">
        <v>1.75</v>
      </c>
      <c r="U364" s="891">
        <v>7.72</v>
      </c>
      <c r="V364" s="891">
        <v>40</v>
      </c>
      <c r="W364" s="891">
        <v>0.91</v>
      </c>
      <c r="X364" s="927">
        <v>24000</v>
      </c>
      <c r="Y364" s="891">
        <v>650</v>
      </c>
      <c r="Z364" s="891">
        <v>500</v>
      </c>
      <c r="AA364" s="891">
        <v>1500</v>
      </c>
      <c r="AB364" s="891">
        <v>1100</v>
      </c>
      <c r="AC364" s="891">
        <v>179.83</v>
      </c>
      <c r="AD364" s="891">
        <v>0.08</v>
      </c>
      <c r="AE364" s="891">
        <v>45</v>
      </c>
      <c r="AF364" s="891">
        <v>30</v>
      </c>
      <c r="AG364" s="891">
        <v>10</v>
      </c>
      <c r="AH364" s="891">
        <v>9</v>
      </c>
      <c r="AI364" s="891">
        <v>45</v>
      </c>
      <c r="AJ364" s="891">
        <v>40</v>
      </c>
      <c r="AK364" s="891">
        <v>75</v>
      </c>
      <c r="AL364" s="891">
        <v>100</v>
      </c>
      <c r="AM364" s="891">
        <v>1345.49</v>
      </c>
      <c r="AN364" s="891">
        <v>861.11</v>
      </c>
      <c r="AO364" s="891">
        <v>2000</v>
      </c>
      <c r="AP364" s="891">
        <v>4</v>
      </c>
      <c r="AQ364" s="891">
        <v>1</v>
      </c>
      <c r="AR364" s="891">
        <v>1.55</v>
      </c>
      <c r="AS364" s="891">
        <v>35</v>
      </c>
      <c r="AT364" s="891">
        <v>1.55</v>
      </c>
      <c r="AU364" s="891">
        <v>1.55</v>
      </c>
      <c r="AV364" s="891">
        <v>1.55</v>
      </c>
      <c r="AW364" s="891">
        <v>1.7</v>
      </c>
      <c r="AX364" s="891">
        <v>4</v>
      </c>
      <c r="AY364" s="891">
        <v>3.65</v>
      </c>
      <c r="AZ364" s="891">
        <v>3.17</v>
      </c>
      <c r="BA364" s="891">
        <f t="shared" si="15"/>
        <v>224.91000000000003</v>
      </c>
      <c r="BB364" s="926">
        <f t="shared" si="16"/>
        <v>24080.21</v>
      </c>
      <c r="BC364" s="926">
        <f t="shared" si="17"/>
        <v>79.29999999999913</v>
      </c>
      <c r="BD364" s="891"/>
      <c r="BE364" s="891"/>
      <c r="BF364" s="891"/>
      <c r="BG364" s="928"/>
      <c r="BH364" s="928"/>
      <c r="BI364" s="928"/>
    </row>
    <row r="365" spans="1:61">
      <c r="A365" s="891" t="s">
        <v>1136</v>
      </c>
      <c r="B365" s="891" t="s">
        <v>642</v>
      </c>
      <c r="C365" s="891" t="s">
        <v>365</v>
      </c>
      <c r="D365" s="891">
        <v>3.65</v>
      </c>
      <c r="E365" s="891">
        <v>20.32</v>
      </c>
      <c r="F365" s="891">
        <v>5.14</v>
      </c>
      <c r="G365" s="891">
        <v>1.78</v>
      </c>
      <c r="H365" s="891">
        <v>4</v>
      </c>
      <c r="I365" s="891">
        <v>0.61</v>
      </c>
      <c r="J365" s="891">
        <v>0.28999999999999998</v>
      </c>
      <c r="K365" s="891">
        <v>0.67</v>
      </c>
      <c r="L365" s="891">
        <v>0.24</v>
      </c>
      <c r="M365" s="891">
        <v>1.1000000000000001</v>
      </c>
      <c r="N365" s="891">
        <v>9.48</v>
      </c>
      <c r="O365" s="891">
        <v>0.37</v>
      </c>
      <c r="P365" s="891">
        <v>6.09</v>
      </c>
      <c r="Q365" s="891">
        <v>1.04</v>
      </c>
      <c r="R365" s="891">
        <v>1.22</v>
      </c>
      <c r="S365" s="891">
        <v>3.04</v>
      </c>
      <c r="T365" s="891">
        <v>0.4</v>
      </c>
      <c r="U365" s="891">
        <v>4.87</v>
      </c>
      <c r="V365" s="891">
        <v>16.739999999999998</v>
      </c>
      <c r="W365" s="891">
        <v>0.96</v>
      </c>
      <c r="X365" s="927">
        <v>29223.74</v>
      </c>
      <c r="Y365" s="891">
        <v>270.93</v>
      </c>
      <c r="Z365" s="891">
        <v>243.53</v>
      </c>
      <c r="AA365" s="891">
        <v>541.86</v>
      </c>
      <c r="AB365" s="891">
        <v>395.74</v>
      </c>
      <c r="AC365" s="891">
        <v>53.27</v>
      </c>
      <c r="AD365" s="891">
        <v>0.11</v>
      </c>
      <c r="AE365" s="891">
        <v>24.35</v>
      </c>
      <c r="AF365" s="891">
        <v>30.44</v>
      </c>
      <c r="AG365" s="891">
        <v>6.77</v>
      </c>
      <c r="AH365" s="891">
        <v>3.04</v>
      </c>
      <c r="AI365" s="891">
        <v>73.06</v>
      </c>
      <c r="AJ365" s="891">
        <v>64.31</v>
      </c>
      <c r="AK365" s="891">
        <v>79.150000000000006</v>
      </c>
      <c r="AL365" s="891">
        <v>55</v>
      </c>
      <c r="AM365" s="891">
        <v>1035.01</v>
      </c>
      <c r="AN365" s="891">
        <v>669.71</v>
      </c>
      <c r="AO365" s="891">
        <v>365.3</v>
      </c>
      <c r="AP365" s="891">
        <v>8</v>
      </c>
      <c r="AQ365" s="891">
        <v>0.27</v>
      </c>
      <c r="AR365" s="891">
        <v>0.32</v>
      </c>
      <c r="AS365" s="891">
        <v>6.09</v>
      </c>
      <c r="AT365" s="891">
        <v>2</v>
      </c>
      <c r="AU365" s="891">
        <v>1.1100000000000001</v>
      </c>
      <c r="AV365" s="891">
        <v>0.54</v>
      </c>
      <c r="AW365" s="891">
        <v>0.41</v>
      </c>
      <c r="AX365" s="891">
        <v>1.44</v>
      </c>
      <c r="AY365" s="891">
        <v>1.22</v>
      </c>
      <c r="AZ365" s="891">
        <v>0.61</v>
      </c>
      <c r="BA365" s="891">
        <f t="shared" si="15"/>
        <v>77.73</v>
      </c>
      <c r="BB365" s="926">
        <f t="shared" si="16"/>
        <v>29248.52</v>
      </c>
      <c r="BC365" s="926">
        <f t="shared" si="17"/>
        <v>23.819999999998835</v>
      </c>
      <c r="BD365" s="891"/>
      <c r="BE365" s="891"/>
      <c r="BF365" s="891"/>
      <c r="BG365" s="928"/>
      <c r="BH365" s="928"/>
      <c r="BI365" s="928"/>
    </row>
    <row r="366" spans="1:61">
      <c r="A366" s="891" t="s">
        <v>1137</v>
      </c>
      <c r="B366" s="891" t="s">
        <v>563</v>
      </c>
      <c r="C366" s="891" t="s">
        <v>108</v>
      </c>
      <c r="D366" s="891">
        <v>18.29</v>
      </c>
      <c r="E366" s="891">
        <v>67.73</v>
      </c>
      <c r="F366" s="891">
        <v>9.48</v>
      </c>
      <c r="G366" s="891">
        <v>6.1</v>
      </c>
      <c r="H366" s="891">
        <v>5.42</v>
      </c>
      <c r="I366" s="891">
        <v>2.71</v>
      </c>
      <c r="J366" s="891">
        <v>1.35</v>
      </c>
      <c r="K366" s="891">
        <v>1.63</v>
      </c>
      <c r="L366" s="891">
        <v>1.83</v>
      </c>
      <c r="M366" s="891">
        <v>3.52</v>
      </c>
      <c r="N366" s="891">
        <v>13.55</v>
      </c>
      <c r="O366" s="891">
        <v>0.41</v>
      </c>
      <c r="P366" s="891">
        <v>6.77</v>
      </c>
      <c r="Q366" s="891">
        <v>1.63</v>
      </c>
      <c r="R366" s="891">
        <v>2.5099999999999998</v>
      </c>
      <c r="S366" s="891">
        <v>6.77</v>
      </c>
      <c r="T366" s="891">
        <v>2.0299999999999998</v>
      </c>
      <c r="U366" s="891">
        <v>10.84</v>
      </c>
      <c r="V366" s="891">
        <v>51.48</v>
      </c>
      <c r="W366" s="891">
        <v>2.44</v>
      </c>
      <c r="X366" s="927">
        <v>27092.93</v>
      </c>
      <c r="Y366" s="891">
        <v>677.32</v>
      </c>
      <c r="Z366" s="891">
        <v>541.86</v>
      </c>
      <c r="AA366" s="891">
        <v>1320.78</v>
      </c>
      <c r="AB366" s="891">
        <v>948.25</v>
      </c>
      <c r="AC366" s="891">
        <v>182.88</v>
      </c>
      <c r="AD366" s="891">
        <v>0.26</v>
      </c>
      <c r="AE366" s="891">
        <v>33.869999999999997</v>
      </c>
      <c r="AF366" s="891">
        <v>81.28</v>
      </c>
      <c r="AG366" s="891">
        <v>23.71</v>
      </c>
      <c r="AH366" s="891">
        <v>10.84</v>
      </c>
      <c r="AI366" s="891">
        <v>121.92</v>
      </c>
      <c r="AJ366" s="891">
        <v>54.19</v>
      </c>
      <c r="AK366" s="891">
        <v>135.46</v>
      </c>
      <c r="AL366" s="891">
        <v>169.33</v>
      </c>
      <c r="AM366" s="891">
        <v>5418.59</v>
      </c>
      <c r="AN366" s="891">
        <v>3386.62</v>
      </c>
      <c r="AO366" s="891">
        <v>2031.97</v>
      </c>
      <c r="AP366" s="891">
        <v>5</v>
      </c>
      <c r="AQ366" s="891">
        <v>4.74</v>
      </c>
      <c r="AR366" s="891">
        <v>1.46</v>
      </c>
      <c r="AS366" s="891">
        <v>33.32</v>
      </c>
      <c r="AT366" s="891">
        <v>2.0299999999999998</v>
      </c>
      <c r="AU366" s="891">
        <v>1.9</v>
      </c>
      <c r="AV366" s="891">
        <v>1.35</v>
      </c>
      <c r="AW366" s="891">
        <v>1.35</v>
      </c>
      <c r="AX366" s="891">
        <v>1.76</v>
      </c>
      <c r="AY366" s="891">
        <v>2.44</v>
      </c>
      <c r="AZ366" s="891">
        <v>2.71</v>
      </c>
      <c r="BA366" s="891">
        <f t="shared" si="15"/>
        <v>217.01</v>
      </c>
      <c r="BB366" s="926">
        <f t="shared" si="16"/>
        <v>27188.400000000001</v>
      </c>
      <c r="BC366" s="926">
        <f t="shared" si="17"/>
        <v>93.030000000001166</v>
      </c>
      <c r="BD366" s="891"/>
      <c r="BE366" s="891"/>
      <c r="BF366" s="891"/>
      <c r="BG366" s="928"/>
      <c r="BH366" s="928"/>
      <c r="BI366" s="928"/>
    </row>
    <row r="367" spans="1:61">
      <c r="A367" s="891" t="s">
        <v>1138</v>
      </c>
      <c r="B367" s="891" t="s">
        <v>556</v>
      </c>
      <c r="C367" s="891" t="s">
        <v>274</v>
      </c>
      <c r="D367" s="891">
        <v>5.57</v>
      </c>
      <c r="E367" s="891">
        <v>40.200000000000003</v>
      </c>
      <c r="F367" s="891">
        <v>7.73</v>
      </c>
      <c r="G367" s="891">
        <v>2.58</v>
      </c>
      <c r="H367" s="891">
        <v>3.55</v>
      </c>
      <c r="I367" s="891">
        <v>1.04</v>
      </c>
      <c r="J367" s="891">
        <v>0.7</v>
      </c>
      <c r="K367" s="891">
        <v>0.96</v>
      </c>
      <c r="L367" s="891">
        <v>0.62</v>
      </c>
      <c r="M367" s="891">
        <v>1.31</v>
      </c>
      <c r="N367" s="891">
        <v>7.73</v>
      </c>
      <c r="O367" s="891">
        <v>0.93</v>
      </c>
      <c r="P367" s="891">
        <v>9.2799999999999994</v>
      </c>
      <c r="Q367" s="891">
        <v>1.24</v>
      </c>
      <c r="R367" s="891">
        <v>2.16</v>
      </c>
      <c r="S367" s="891">
        <v>2.0299999999999998</v>
      </c>
      <c r="T367" s="891">
        <v>0.62</v>
      </c>
      <c r="U367" s="891">
        <v>5.57</v>
      </c>
      <c r="V367" s="891">
        <v>17.32</v>
      </c>
      <c r="W367" s="891">
        <v>0.93</v>
      </c>
      <c r="X367" s="927">
        <v>24274.1</v>
      </c>
      <c r="Y367" s="891">
        <v>618.45000000000005</v>
      </c>
      <c r="Z367" s="891">
        <v>371.07</v>
      </c>
      <c r="AA367" s="891">
        <v>1004.98</v>
      </c>
      <c r="AB367" s="891">
        <v>618.45000000000005</v>
      </c>
      <c r="AC367" s="891">
        <v>119.79</v>
      </c>
      <c r="AD367" s="891">
        <v>0.06</v>
      </c>
      <c r="AE367" s="891">
        <v>10.82</v>
      </c>
      <c r="AF367" s="891">
        <v>69.58</v>
      </c>
      <c r="AG367" s="891">
        <v>20.100000000000001</v>
      </c>
      <c r="AH367" s="891">
        <v>8.5</v>
      </c>
      <c r="AI367" s="891">
        <v>115.96</v>
      </c>
      <c r="AJ367" s="891">
        <v>74.209999999999994</v>
      </c>
      <c r="AK367" s="891">
        <v>108.23</v>
      </c>
      <c r="AL367" s="891">
        <v>123.69</v>
      </c>
      <c r="AM367" s="891">
        <v>2164.5700000000002</v>
      </c>
      <c r="AN367" s="891">
        <v>1716.19</v>
      </c>
      <c r="AO367" s="891">
        <v>618.45000000000005</v>
      </c>
      <c r="AP367" s="891">
        <v>15</v>
      </c>
      <c r="AQ367" s="891">
        <v>3.09</v>
      </c>
      <c r="AR367" s="891">
        <v>0.34</v>
      </c>
      <c r="AS367" s="891">
        <v>9.2799999999999994</v>
      </c>
      <c r="AT367" s="891">
        <v>2.0099999999999998</v>
      </c>
      <c r="AU367" s="891">
        <v>2.16</v>
      </c>
      <c r="AV367" s="891">
        <v>0.93</v>
      </c>
      <c r="AW367" s="891">
        <v>1.1599999999999999</v>
      </c>
      <c r="AX367" s="891">
        <v>2.4700000000000002</v>
      </c>
      <c r="AY367" s="891">
        <v>1.24</v>
      </c>
      <c r="AZ367" s="891">
        <v>2.3199999999999998</v>
      </c>
      <c r="BA367" s="891">
        <f t="shared" si="15"/>
        <v>130.67000000000002</v>
      </c>
      <c r="BB367" s="926">
        <f t="shared" si="16"/>
        <v>24305.679999999997</v>
      </c>
      <c r="BC367" s="926">
        <f t="shared" si="17"/>
        <v>30.649999999998109</v>
      </c>
      <c r="BD367" s="891"/>
      <c r="BE367" s="891"/>
      <c r="BF367" s="891"/>
      <c r="BG367" s="928"/>
      <c r="BH367" s="928"/>
      <c r="BI367" s="928"/>
    </row>
    <row r="368" spans="1:61">
      <c r="A368" s="891" t="s">
        <v>1139</v>
      </c>
      <c r="B368" s="891" t="s">
        <v>759</v>
      </c>
      <c r="C368" s="891" t="s">
        <v>277</v>
      </c>
      <c r="D368" s="891">
        <v>3.53</v>
      </c>
      <c r="E368" s="891">
        <v>30</v>
      </c>
      <c r="F368" s="891">
        <v>5</v>
      </c>
      <c r="G368" s="891">
        <v>2</v>
      </c>
      <c r="H368" s="891">
        <v>2.75</v>
      </c>
      <c r="I368" s="891">
        <v>1</v>
      </c>
      <c r="J368" s="891">
        <v>0.3</v>
      </c>
      <c r="K368" s="891">
        <v>1.24</v>
      </c>
      <c r="L368" s="891">
        <v>0.8</v>
      </c>
      <c r="M368" s="891">
        <v>2.36</v>
      </c>
      <c r="N368" s="891">
        <v>10</v>
      </c>
      <c r="O368" s="891">
        <v>0.5</v>
      </c>
      <c r="P368" s="891">
        <v>10</v>
      </c>
      <c r="Q368" s="891">
        <v>1.18</v>
      </c>
      <c r="R368" s="891">
        <v>1.9</v>
      </c>
      <c r="S368" s="891">
        <v>1.79</v>
      </c>
      <c r="T368" s="891">
        <v>0.28999999999999998</v>
      </c>
      <c r="U368" s="891">
        <v>4.59</v>
      </c>
      <c r="V368" s="891">
        <v>14.72</v>
      </c>
      <c r="W368" s="891">
        <v>1.2</v>
      </c>
      <c r="X368" s="927">
        <v>30500</v>
      </c>
      <c r="Y368" s="891">
        <v>513.64</v>
      </c>
      <c r="Z368" s="891">
        <v>275</v>
      </c>
      <c r="AA368" s="891">
        <v>1500</v>
      </c>
      <c r="AB368" s="891">
        <v>494.52</v>
      </c>
      <c r="AC368" s="891">
        <v>63.58</v>
      </c>
      <c r="AD368" s="891">
        <v>0.05</v>
      </c>
      <c r="AE368" s="891">
        <v>22.08</v>
      </c>
      <c r="AF368" s="891">
        <v>61.79</v>
      </c>
      <c r="AG368" s="891">
        <v>14.6</v>
      </c>
      <c r="AH368" s="891">
        <v>4.95</v>
      </c>
      <c r="AI368" s="891">
        <v>84.78</v>
      </c>
      <c r="AJ368" s="891">
        <v>55</v>
      </c>
      <c r="AK368" s="891">
        <v>151.66</v>
      </c>
      <c r="AL368" s="891">
        <v>176.66</v>
      </c>
      <c r="AM368" s="891">
        <v>1500</v>
      </c>
      <c r="AN368" s="891">
        <v>949.07</v>
      </c>
      <c r="AO368" s="891">
        <v>500</v>
      </c>
      <c r="AP368" s="891">
        <v>12.5</v>
      </c>
      <c r="AQ368" s="891">
        <v>0.66</v>
      </c>
      <c r="AR368" s="891">
        <v>0.51</v>
      </c>
      <c r="AS368" s="891">
        <v>4.5</v>
      </c>
      <c r="AT368" s="891">
        <v>3.6</v>
      </c>
      <c r="AU368" s="891">
        <v>3.28</v>
      </c>
      <c r="AV368" s="891">
        <v>0.85</v>
      </c>
      <c r="AW368" s="891">
        <v>1.1399999999999999</v>
      </c>
      <c r="AX368" s="891">
        <v>2.76</v>
      </c>
      <c r="AY368" s="891">
        <v>1.32</v>
      </c>
      <c r="AZ368" s="891">
        <v>3.37</v>
      </c>
      <c r="BA368" s="891">
        <f t="shared" si="15"/>
        <v>85.71</v>
      </c>
      <c r="BB368" s="926">
        <f t="shared" si="16"/>
        <v>30521.879999999997</v>
      </c>
      <c r="BC368" s="926">
        <f t="shared" si="17"/>
        <v>20.679999999997381</v>
      </c>
      <c r="BD368" s="891"/>
      <c r="BE368" s="891"/>
      <c r="BF368" s="891"/>
      <c r="BG368" s="928"/>
      <c r="BH368" s="928"/>
      <c r="BI368" s="928"/>
    </row>
    <row r="369" spans="1:61">
      <c r="A369" s="891" t="s">
        <v>1140</v>
      </c>
      <c r="B369" s="891" t="s">
        <v>590</v>
      </c>
      <c r="C369" s="891" t="s">
        <v>63</v>
      </c>
      <c r="D369" s="891">
        <v>20.32</v>
      </c>
      <c r="E369" s="891">
        <v>81.28</v>
      </c>
      <c r="F369" s="891">
        <v>8.81</v>
      </c>
      <c r="G369" s="891">
        <v>5.42</v>
      </c>
      <c r="H369" s="891">
        <v>3.39</v>
      </c>
      <c r="I369" s="891">
        <v>2.71</v>
      </c>
      <c r="J369" s="891">
        <v>2.71</v>
      </c>
      <c r="K369" s="891">
        <v>1.1499999999999999</v>
      </c>
      <c r="L369" s="891">
        <v>2.0299999999999998</v>
      </c>
      <c r="M369" s="891">
        <v>3.12</v>
      </c>
      <c r="N369" s="891">
        <v>11.51</v>
      </c>
      <c r="O369" s="891">
        <v>1.35</v>
      </c>
      <c r="P369" s="891">
        <v>6.77</v>
      </c>
      <c r="Q369" s="891">
        <v>1.35</v>
      </c>
      <c r="R369" s="891">
        <v>1.63</v>
      </c>
      <c r="S369" s="891">
        <v>8.1300000000000008</v>
      </c>
      <c r="T369" s="891">
        <v>3.39</v>
      </c>
      <c r="U369" s="891">
        <v>8.1300000000000008</v>
      </c>
      <c r="V369" s="891">
        <v>108.37</v>
      </c>
      <c r="W369" s="891">
        <v>2.3199999999999998</v>
      </c>
      <c r="X369" s="927">
        <v>34533.32</v>
      </c>
      <c r="Y369" s="891">
        <v>1151.45</v>
      </c>
      <c r="Z369" s="891">
        <v>978.73</v>
      </c>
      <c r="AA369" s="891">
        <v>1896.51</v>
      </c>
      <c r="AB369" s="891">
        <v>1354.65</v>
      </c>
      <c r="AC369" s="891">
        <v>209.35</v>
      </c>
      <c r="AD369" s="891">
        <v>0.26</v>
      </c>
      <c r="AE369" s="891">
        <v>30.48</v>
      </c>
      <c r="AF369" s="891">
        <v>47.41</v>
      </c>
      <c r="AG369" s="891">
        <v>16.93</v>
      </c>
      <c r="AH369" s="891">
        <v>12.19</v>
      </c>
      <c r="AI369" s="891">
        <v>121.92</v>
      </c>
      <c r="AJ369" s="891">
        <v>54.19</v>
      </c>
      <c r="AK369" s="891">
        <v>135.46</v>
      </c>
      <c r="AL369" s="891">
        <v>162.56</v>
      </c>
      <c r="AM369" s="891">
        <v>5350.85</v>
      </c>
      <c r="AN369" s="891">
        <v>3447.58</v>
      </c>
      <c r="AO369" s="891">
        <v>2492.5500000000002</v>
      </c>
      <c r="AP369" s="891">
        <v>4.5</v>
      </c>
      <c r="AQ369" s="891">
        <v>10.16</v>
      </c>
      <c r="AR369" s="891">
        <v>2.64</v>
      </c>
      <c r="AS369" s="891">
        <v>37.17</v>
      </c>
      <c r="AT369" s="891">
        <v>2.71</v>
      </c>
      <c r="AU369" s="891">
        <v>3.39</v>
      </c>
      <c r="AV369" s="891">
        <v>1.99</v>
      </c>
      <c r="AW369" s="891">
        <v>1.63</v>
      </c>
      <c r="AX369" s="891">
        <v>3.39</v>
      </c>
      <c r="AY369" s="891">
        <v>2.34</v>
      </c>
      <c r="AZ369" s="891">
        <v>2.5</v>
      </c>
      <c r="BA369" s="891">
        <f t="shared" si="15"/>
        <v>240.08999999999997</v>
      </c>
      <c r="BB369" s="926">
        <f t="shared" si="16"/>
        <v>34697.370000000003</v>
      </c>
      <c r="BC369" s="926">
        <f t="shared" si="17"/>
        <v>161.73000000000292</v>
      </c>
      <c r="BD369" s="891"/>
      <c r="BE369" s="891"/>
      <c r="BF369" s="891"/>
      <c r="BG369" s="928"/>
      <c r="BH369" s="928"/>
      <c r="BI369" s="928"/>
    </row>
    <row r="370" spans="1:61">
      <c r="A370" s="891" t="s">
        <v>1141</v>
      </c>
      <c r="B370" s="891" t="s">
        <v>560</v>
      </c>
      <c r="C370" s="891" t="s">
        <v>385</v>
      </c>
      <c r="D370" s="891">
        <v>2.46</v>
      </c>
      <c r="E370" s="891">
        <v>6.15</v>
      </c>
      <c r="F370" s="891">
        <v>2.46</v>
      </c>
      <c r="G370" s="891">
        <v>1.89</v>
      </c>
      <c r="H370" s="891">
        <v>1.31</v>
      </c>
      <c r="I370" s="891">
        <v>0.25</v>
      </c>
      <c r="J370" s="891">
        <v>0.22</v>
      </c>
      <c r="K370" s="891">
        <v>0.62</v>
      </c>
      <c r="L370" s="891">
        <v>0.41</v>
      </c>
      <c r="M370" s="891">
        <v>0.79</v>
      </c>
      <c r="N370" s="891">
        <v>4.67</v>
      </c>
      <c r="O370" s="891">
        <v>0.33</v>
      </c>
      <c r="P370" s="891">
        <v>9.43</v>
      </c>
      <c r="Q370" s="891">
        <v>1.23</v>
      </c>
      <c r="R370" s="891">
        <v>2.2999999999999998</v>
      </c>
      <c r="S370" s="891">
        <v>1.23</v>
      </c>
      <c r="T370" s="891">
        <v>0.16</v>
      </c>
      <c r="U370" s="891">
        <v>2.95</v>
      </c>
      <c r="V370" s="891">
        <v>8.1999999999999993</v>
      </c>
      <c r="W370" s="891">
        <v>1.1599999999999999</v>
      </c>
      <c r="X370" s="927">
        <v>11478.23</v>
      </c>
      <c r="Y370" s="891">
        <v>94.29</v>
      </c>
      <c r="Z370" s="891">
        <v>57.39</v>
      </c>
      <c r="AA370" s="891">
        <v>163.97</v>
      </c>
      <c r="AB370" s="891">
        <v>147.58000000000001</v>
      </c>
      <c r="AC370" s="891">
        <v>24.6</v>
      </c>
      <c r="AD370" s="891">
        <v>0.02</v>
      </c>
      <c r="AE370" s="891">
        <v>32.79</v>
      </c>
      <c r="AF370" s="891">
        <v>18.04</v>
      </c>
      <c r="AG370" s="891">
        <v>5.74</v>
      </c>
      <c r="AH370" s="891">
        <v>2.95</v>
      </c>
      <c r="AI370" s="891">
        <v>32.79</v>
      </c>
      <c r="AJ370" s="891">
        <v>22.14</v>
      </c>
      <c r="AK370" s="891">
        <v>49.19</v>
      </c>
      <c r="AL370" s="891">
        <v>40.99</v>
      </c>
      <c r="AM370" s="891">
        <v>529.5</v>
      </c>
      <c r="AN370" s="891">
        <v>344.18</v>
      </c>
      <c r="AO370" s="891">
        <v>491.92</v>
      </c>
      <c r="AP370" s="891">
        <v>11</v>
      </c>
      <c r="AQ370" s="891">
        <v>0.41</v>
      </c>
      <c r="AR370" s="891">
        <v>0.25</v>
      </c>
      <c r="AS370" s="891">
        <v>1.31</v>
      </c>
      <c r="AT370" s="891">
        <v>1.97</v>
      </c>
      <c r="AU370" s="891">
        <v>1.1499999999999999</v>
      </c>
      <c r="AV370" s="891">
        <v>0.25</v>
      </c>
      <c r="AW370" s="891">
        <v>0.49</v>
      </c>
      <c r="AX370" s="891">
        <v>0.9</v>
      </c>
      <c r="AY370" s="891">
        <v>0.59</v>
      </c>
      <c r="AZ370" s="891">
        <v>0.41</v>
      </c>
      <c r="BA370" s="891">
        <f t="shared" si="15"/>
        <v>57.41</v>
      </c>
      <c r="BB370" s="926">
        <f t="shared" si="16"/>
        <v>11489.72</v>
      </c>
      <c r="BC370" s="926">
        <f t="shared" si="17"/>
        <v>10.329999999999782</v>
      </c>
      <c r="BD370" s="891"/>
      <c r="BE370" s="891"/>
      <c r="BF370" s="891"/>
      <c r="BG370" s="928"/>
      <c r="BH370" s="928"/>
      <c r="BI370" s="928"/>
    </row>
    <row r="371" spans="1:61">
      <c r="A371" s="891" t="s">
        <v>1142</v>
      </c>
      <c r="B371" s="891" t="s">
        <v>596</v>
      </c>
      <c r="C371" s="891" t="s">
        <v>164</v>
      </c>
      <c r="D371" s="891">
        <v>10.84</v>
      </c>
      <c r="E371" s="891">
        <v>54.19</v>
      </c>
      <c r="F371" s="891">
        <v>9.48</v>
      </c>
      <c r="G371" s="891">
        <v>3.39</v>
      </c>
      <c r="H371" s="891">
        <v>3.74</v>
      </c>
      <c r="I371" s="891">
        <v>2.0299999999999998</v>
      </c>
      <c r="J371" s="891">
        <v>1.35</v>
      </c>
      <c r="K371" s="891">
        <v>0.95</v>
      </c>
      <c r="L371" s="891">
        <v>1.22</v>
      </c>
      <c r="M371" s="891">
        <v>2.2999999999999998</v>
      </c>
      <c r="N371" s="891">
        <v>11.51</v>
      </c>
      <c r="O371" s="891">
        <v>0.75</v>
      </c>
      <c r="P371" s="891">
        <v>7.45</v>
      </c>
      <c r="Q371" s="891">
        <v>1.08</v>
      </c>
      <c r="R371" s="891">
        <v>1.35</v>
      </c>
      <c r="S371" s="891">
        <v>6.1</v>
      </c>
      <c r="T371" s="891">
        <v>2.37</v>
      </c>
      <c r="U371" s="891">
        <v>8.1300000000000008</v>
      </c>
      <c r="V371" s="891">
        <v>60.96</v>
      </c>
      <c r="W371" s="891">
        <v>2.0299999999999998</v>
      </c>
      <c r="X371" s="927">
        <v>28786.240000000002</v>
      </c>
      <c r="Y371" s="891">
        <v>677.32</v>
      </c>
      <c r="Z371" s="891">
        <v>444.38</v>
      </c>
      <c r="AA371" s="891">
        <v>1117.58</v>
      </c>
      <c r="AB371" s="891">
        <v>812.79</v>
      </c>
      <c r="AC371" s="891">
        <v>172.72</v>
      </c>
      <c r="AD371" s="891">
        <v>0.21</v>
      </c>
      <c r="AE371" s="891">
        <v>54.19</v>
      </c>
      <c r="AF371" s="891">
        <v>54.19</v>
      </c>
      <c r="AG371" s="891">
        <v>20.32</v>
      </c>
      <c r="AH371" s="891">
        <v>11.18</v>
      </c>
      <c r="AI371" s="891">
        <v>121.92</v>
      </c>
      <c r="AJ371" s="891">
        <v>40.64</v>
      </c>
      <c r="AK371" s="891">
        <v>94.83</v>
      </c>
      <c r="AL371" s="891">
        <v>108.37</v>
      </c>
      <c r="AM371" s="891">
        <v>4673.53</v>
      </c>
      <c r="AN371" s="891">
        <v>3183.42</v>
      </c>
      <c r="AO371" s="891">
        <v>1625.58</v>
      </c>
      <c r="AP371" s="891">
        <v>4</v>
      </c>
      <c r="AQ371" s="891">
        <v>6.1</v>
      </c>
      <c r="AR371" s="891">
        <v>1.35</v>
      </c>
      <c r="AS371" s="891">
        <v>40.64</v>
      </c>
      <c r="AT371" s="891">
        <v>2.37</v>
      </c>
      <c r="AU371" s="891">
        <v>1.35</v>
      </c>
      <c r="AV371" s="891">
        <v>1.05</v>
      </c>
      <c r="AW371" s="891">
        <v>1.35</v>
      </c>
      <c r="AX371" s="891">
        <v>2.0299999999999998</v>
      </c>
      <c r="AY371" s="891">
        <v>1.35</v>
      </c>
      <c r="AZ371" s="891">
        <v>2.71</v>
      </c>
      <c r="BA371" s="891">
        <f t="shared" si="15"/>
        <v>227.12</v>
      </c>
      <c r="BB371" s="926">
        <f t="shared" si="16"/>
        <v>28899.69</v>
      </c>
      <c r="BC371" s="926">
        <f t="shared" si="17"/>
        <v>111.41999999999709</v>
      </c>
      <c r="BD371" s="891"/>
      <c r="BE371" s="891"/>
      <c r="BF371" s="891"/>
      <c r="BG371" s="928"/>
      <c r="BH371" s="928"/>
      <c r="BI371" s="928"/>
    </row>
    <row r="372" spans="1:61">
      <c r="A372" s="891" t="s">
        <v>1143</v>
      </c>
      <c r="B372" s="891" t="s">
        <v>559</v>
      </c>
      <c r="C372" s="891" t="s">
        <v>59</v>
      </c>
      <c r="D372" s="891">
        <v>11.59</v>
      </c>
      <c r="E372" s="891">
        <v>64.41</v>
      </c>
      <c r="F372" s="891">
        <v>7.73</v>
      </c>
      <c r="G372" s="891">
        <v>5.59</v>
      </c>
      <c r="H372" s="891">
        <v>6.28</v>
      </c>
      <c r="I372" s="891">
        <v>1.93</v>
      </c>
      <c r="J372" s="891">
        <v>1.93</v>
      </c>
      <c r="K372" s="891">
        <v>1.93</v>
      </c>
      <c r="L372" s="891">
        <v>2.9</v>
      </c>
      <c r="M372" s="891">
        <v>3.86</v>
      </c>
      <c r="N372" s="891">
        <v>14.49</v>
      </c>
      <c r="O372" s="891">
        <v>2.0499999999999998</v>
      </c>
      <c r="P372" s="891">
        <v>16.420000000000002</v>
      </c>
      <c r="Q372" s="891">
        <v>2.9</v>
      </c>
      <c r="R372" s="891">
        <v>2.9</v>
      </c>
      <c r="S372" s="891">
        <v>9.9</v>
      </c>
      <c r="T372" s="891">
        <v>2.66</v>
      </c>
      <c r="U372" s="891">
        <v>14.49</v>
      </c>
      <c r="V372" s="891">
        <v>87.89</v>
      </c>
      <c r="W372" s="891">
        <v>1.37</v>
      </c>
      <c r="X372" s="927">
        <v>20028.490000000002</v>
      </c>
      <c r="Y372" s="891">
        <v>1327.99</v>
      </c>
      <c r="Z372" s="891">
        <v>941.67</v>
      </c>
      <c r="AA372" s="891">
        <v>2752.56</v>
      </c>
      <c r="AB372" s="891">
        <v>1738.46</v>
      </c>
      <c r="AC372" s="891">
        <v>132.44</v>
      </c>
      <c r="AD372" s="891">
        <v>0.39</v>
      </c>
      <c r="AE372" s="891">
        <v>43.46</v>
      </c>
      <c r="AF372" s="891">
        <v>48.29</v>
      </c>
      <c r="AG372" s="891">
        <v>38.630000000000003</v>
      </c>
      <c r="AH372" s="891">
        <v>12.07</v>
      </c>
      <c r="AI372" s="891">
        <v>72.44</v>
      </c>
      <c r="AJ372" s="891">
        <v>57.95</v>
      </c>
      <c r="AK372" s="891">
        <v>111.07</v>
      </c>
      <c r="AL372" s="891">
        <v>115.9</v>
      </c>
      <c r="AM372" s="891">
        <v>7048.42</v>
      </c>
      <c r="AN372" s="891">
        <v>4836.41</v>
      </c>
      <c r="AO372" s="891">
        <v>2800.85</v>
      </c>
      <c r="AP372" s="891">
        <v>3.6</v>
      </c>
      <c r="AQ372" s="891">
        <v>3.19</v>
      </c>
      <c r="AR372" s="891">
        <v>1.8</v>
      </c>
      <c r="AS372" s="891">
        <v>31.74</v>
      </c>
      <c r="AT372" s="891">
        <v>3.19</v>
      </c>
      <c r="AU372" s="891">
        <v>3.04</v>
      </c>
      <c r="AV372" s="891">
        <v>1.69</v>
      </c>
      <c r="AW372" s="891">
        <v>1.63</v>
      </c>
      <c r="AX372" s="891">
        <v>3.86</v>
      </c>
      <c r="AY372" s="891">
        <v>4.83</v>
      </c>
      <c r="AZ372" s="891">
        <v>2.9</v>
      </c>
      <c r="BA372" s="891">
        <f t="shared" si="15"/>
        <v>176.29</v>
      </c>
      <c r="BB372" s="926">
        <f t="shared" si="16"/>
        <v>20157.14</v>
      </c>
      <c r="BC372" s="926">
        <f t="shared" si="17"/>
        <v>127.27999999999781</v>
      </c>
      <c r="BD372" s="891"/>
      <c r="BE372" s="891"/>
      <c r="BF372" s="891"/>
      <c r="BG372" s="928"/>
      <c r="BH372" s="928"/>
      <c r="BI372" s="928"/>
    </row>
    <row r="373" spans="1:61">
      <c r="A373" s="891" t="s">
        <v>1144</v>
      </c>
      <c r="B373" s="891" t="s">
        <v>637</v>
      </c>
      <c r="C373" s="891" t="s">
        <v>340</v>
      </c>
      <c r="D373" s="891">
        <v>6.22</v>
      </c>
      <c r="E373" s="891">
        <v>20.74</v>
      </c>
      <c r="F373" s="891">
        <v>4.1500000000000004</v>
      </c>
      <c r="G373" s="891">
        <v>1.38</v>
      </c>
      <c r="H373" s="891">
        <v>1.66</v>
      </c>
      <c r="I373" s="891">
        <v>1.05</v>
      </c>
      <c r="J373" s="891">
        <v>0.55000000000000004</v>
      </c>
      <c r="K373" s="891">
        <v>1.31</v>
      </c>
      <c r="L373" s="891">
        <v>0.69</v>
      </c>
      <c r="M373" s="891">
        <v>1.99</v>
      </c>
      <c r="N373" s="891">
        <v>5.36</v>
      </c>
      <c r="O373" s="891">
        <v>0.55000000000000004</v>
      </c>
      <c r="P373" s="891">
        <v>5.18</v>
      </c>
      <c r="Q373" s="891">
        <v>0.69</v>
      </c>
      <c r="R373" s="891">
        <v>1.04</v>
      </c>
      <c r="S373" s="891">
        <v>3.7</v>
      </c>
      <c r="T373" s="891">
        <v>0.69</v>
      </c>
      <c r="U373" s="891">
        <v>5.53</v>
      </c>
      <c r="V373" s="891">
        <v>27.65</v>
      </c>
      <c r="W373" s="891">
        <v>1.73</v>
      </c>
      <c r="X373" s="927">
        <v>26093.87</v>
      </c>
      <c r="Y373" s="891">
        <v>207.37</v>
      </c>
      <c r="Z373" s="891">
        <v>152.07</v>
      </c>
      <c r="AA373" s="891">
        <v>449.3</v>
      </c>
      <c r="AB373" s="891">
        <v>345.61</v>
      </c>
      <c r="AC373" s="891">
        <v>84.87</v>
      </c>
      <c r="AD373" s="891">
        <v>0.23</v>
      </c>
      <c r="AE373" s="891">
        <v>8.64</v>
      </c>
      <c r="AF373" s="891">
        <v>24.19</v>
      </c>
      <c r="AG373" s="891">
        <v>13.82</v>
      </c>
      <c r="AH373" s="891">
        <v>6.22</v>
      </c>
      <c r="AI373" s="891">
        <v>61.52</v>
      </c>
      <c r="AJ373" s="891">
        <v>41.13</v>
      </c>
      <c r="AK373" s="891">
        <v>103.68</v>
      </c>
      <c r="AL373" s="891">
        <v>55.3</v>
      </c>
      <c r="AM373" s="891">
        <v>1117.58</v>
      </c>
      <c r="AN373" s="891">
        <v>829.47</v>
      </c>
      <c r="AO373" s="891">
        <v>414.74</v>
      </c>
      <c r="AP373" s="891">
        <v>10</v>
      </c>
      <c r="AQ373" s="891">
        <v>0.68</v>
      </c>
      <c r="AR373" s="891">
        <v>0.57999999999999996</v>
      </c>
      <c r="AS373" s="891">
        <v>10.37</v>
      </c>
      <c r="AT373" s="891">
        <v>1.38</v>
      </c>
      <c r="AU373" s="891">
        <v>1.73</v>
      </c>
      <c r="AV373" s="891">
        <v>0.62</v>
      </c>
      <c r="AW373" s="891">
        <v>0.55000000000000004</v>
      </c>
      <c r="AX373" s="891">
        <v>1.38</v>
      </c>
      <c r="AY373" s="891">
        <v>1.21</v>
      </c>
      <c r="AZ373" s="891">
        <v>1.38</v>
      </c>
      <c r="BA373" s="891">
        <f t="shared" si="15"/>
        <v>93.740000000000009</v>
      </c>
      <c r="BB373" s="926">
        <f t="shared" si="16"/>
        <v>26135.57</v>
      </c>
      <c r="BC373" s="926">
        <f t="shared" si="17"/>
        <v>39.970000000000731</v>
      </c>
      <c r="BD373" s="891"/>
      <c r="BE373" s="891"/>
      <c r="BF373" s="891"/>
      <c r="BG373" s="928"/>
      <c r="BH373" s="928"/>
      <c r="BI373" s="928"/>
    </row>
    <row r="374" spans="1:61">
      <c r="A374" s="891" t="s">
        <v>1145</v>
      </c>
      <c r="B374" s="891" t="s">
        <v>563</v>
      </c>
      <c r="C374" s="891" t="s">
        <v>69</v>
      </c>
      <c r="D374" s="891">
        <v>20.32</v>
      </c>
      <c r="E374" s="891">
        <v>84.67</v>
      </c>
      <c r="F374" s="891">
        <v>10.4</v>
      </c>
      <c r="G374" s="891">
        <v>5.08</v>
      </c>
      <c r="H374" s="891">
        <v>5.42</v>
      </c>
      <c r="I374" s="891">
        <v>2.71</v>
      </c>
      <c r="J374" s="891">
        <v>2.0299999999999998</v>
      </c>
      <c r="K374" s="891">
        <v>1.42</v>
      </c>
      <c r="L374" s="891">
        <v>3.22</v>
      </c>
      <c r="M374" s="891">
        <v>2.37</v>
      </c>
      <c r="N374" s="891">
        <v>12.19</v>
      </c>
      <c r="O374" s="891">
        <v>0.54</v>
      </c>
      <c r="P374" s="891">
        <v>6.1</v>
      </c>
      <c r="Q374" s="891">
        <v>1.35</v>
      </c>
      <c r="R374" s="891">
        <v>1.69</v>
      </c>
      <c r="S374" s="891">
        <v>6.94</v>
      </c>
      <c r="T374" s="891">
        <v>1.9</v>
      </c>
      <c r="U374" s="891">
        <v>12.19</v>
      </c>
      <c r="V374" s="891">
        <v>47.41</v>
      </c>
      <c r="W374" s="891">
        <v>2.44</v>
      </c>
      <c r="X374" s="927">
        <v>27092.93</v>
      </c>
      <c r="Y374" s="891">
        <v>1083.72</v>
      </c>
      <c r="Z374" s="891">
        <v>677.32</v>
      </c>
      <c r="AA374" s="891">
        <v>2031.97</v>
      </c>
      <c r="AB374" s="891">
        <v>1015.98</v>
      </c>
      <c r="AC374" s="891">
        <v>216.74</v>
      </c>
      <c r="AD374" s="891">
        <v>0.16</v>
      </c>
      <c r="AE374" s="891">
        <v>33.869999999999997</v>
      </c>
      <c r="AF374" s="891">
        <v>67.73</v>
      </c>
      <c r="AG374" s="891">
        <v>67.73</v>
      </c>
      <c r="AH374" s="891">
        <v>10.84</v>
      </c>
      <c r="AI374" s="891">
        <v>121.92</v>
      </c>
      <c r="AJ374" s="891">
        <v>40.64</v>
      </c>
      <c r="AK374" s="891">
        <v>115.14</v>
      </c>
      <c r="AL374" s="891">
        <v>135.46</v>
      </c>
      <c r="AM374" s="891">
        <v>10159.85</v>
      </c>
      <c r="AN374" s="891">
        <v>2912.49</v>
      </c>
      <c r="AO374" s="891">
        <v>3115.69</v>
      </c>
      <c r="AP374" s="891">
        <v>4.62</v>
      </c>
      <c r="AQ374" s="891">
        <v>3.79</v>
      </c>
      <c r="AR374" s="891">
        <v>2.06</v>
      </c>
      <c r="AS374" s="891">
        <v>41.19</v>
      </c>
      <c r="AT374" s="891">
        <v>2.37</v>
      </c>
      <c r="AU374" s="891">
        <v>1.9</v>
      </c>
      <c r="AV374" s="891">
        <v>1.29</v>
      </c>
      <c r="AW374" s="891">
        <v>2.64</v>
      </c>
      <c r="AX374" s="891">
        <v>1.9</v>
      </c>
      <c r="AY374" s="891">
        <v>1.86</v>
      </c>
      <c r="AZ374" s="891">
        <v>2</v>
      </c>
      <c r="BA374" s="891">
        <f t="shared" si="15"/>
        <v>250.77</v>
      </c>
      <c r="BB374" s="926">
        <f t="shared" si="16"/>
        <v>27191.72</v>
      </c>
      <c r="BC374" s="926">
        <f t="shared" si="17"/>
        <v>96.350000000000875</v>
      </c>
      <c r="BD374" s="891"/>
      <c r="BE374" s="891"/>
      <c r="BF374" s="891"/>
      <c r="BG374" s="928"/>
      <c r="BH374" s="928"/>
      <c r="BI374" s="928"/>
    </row>
    <row r="375" spans="1:61">
      <c r="A375" s="891" t="s">
        <v>1146</v>
      </c>
      <c r="B375" s="891" t="s">
        <v>563</v>
      </c>
      <c r="C375" s="891" t="s">
        <v>95</v>
      </c>
      <c r="D375" s="891">
        <v>13.55</v>
      </c>
      <c r="E375" s="891">
        <v>74.510000000000005</v>
      </c>
      <c r="F375" s="891">
        <v>9.48</v>
      </c>
      <c r="G375" s="891">
        <v>5.08</v>
      </c>
      <c r="H375" s="891">
        <v>4.74</v>
      </c>
      <c r="I375" s="891">
        <v>2.71</v>
      </c>
      <c r="J375" s="891">
        <v>1.35</v>
      </c>
      <c r="K375" s="891">
        <v>1.35</v>
      </c>
      <c r="L375" s="891">
        <v>2.37</v>
      </c>
      <c r="M375" s="891">
        <v>5.42</v>
      </c>
      <c r="N375" s="891">
        <v>13.11</v>
      </c>
      <c r="O375" s="891">
        <v>0.68</v>
      </c>
      <c r="P375" s="891">
        <v>4.74</v>
      </c>
      <c r="Q375" s="891">
        <v>4.74</v>
      </c>
      <c r="R375" s="891">
        <v>1.35</v>
      </c>
      <c r="S375" s="891">
        <v>6.77</v>
      </c>
      <c r="T375" s="891">
        <v>1.69</v>
      </c>
      <c r="U375" s="891">
        <v>10.84</v>
      </c>
      <c r="V375" s="891">
        <v>54.19</v>
      </c>
      <c r="W375" s="891">
        <v>2.44</v>
      </c>
      <c r="X375" s="927">
        <v>22351.67</v>
      </c>
      <c r="Y375" s="891">
        <v>643.46</v>
      </c>
      <c r="Z375" s="891">
        <v>507.99</v>
      </c>
      <c r="AA375" s="891">
        <v>1083.72</v>
      </c>
      <c r="AB375" s="891">
        <v>677.32</v>
      </c>
      <c r="AC375" s="891">
        <v>206.28</v>
      </c>
      <c r="AD375" s="891">
        <v>0.22</v>
      </c>
      <c r="AE375" s="891">
        <v>36.58</v>
      </c>
      <c r="AF375" s="891">
        <v>66.38</v>
      </c>
      <c r="AG375" s="891">
        <v>30.48</v>
      </c>
      <c r="AH375" s="891">
        <v>12.19</v>
      </c>
      <c r="AI375" s="891">
        <v>128.69</v>
      </c>
      <c r="AJ375" s="891">
        <v>67.73</v>
      </c>
      <c r="AK375" s="891">
        <v>111.76</v>
      </c>
      <c r="AL375" s="891">
        <v>128.69</v>
      </c>
      <c r="AM375" s="891">
        <v>4334.87</v>
      </c>
      <c r="AN375" s="891">
        <v>2438.36</v>
      </c>
      <c r="AO375" s="891">
        <v>1964.24</v>
      </c>
      <c r="AP375" s="891">
        <v>4.5</v>
      </c>
      <c r="AQ375" s="891">
        <v>6.1</v>
      </c>
      <c r="AR375" s="891">
        <v>2.71</v>
      </c>
      <c r="AS375" s="891">
        <v>37.25</v>
      </c>
      <c r="AT375" s="891">
        <v>2.0299999999999998</v>
      </c>
      <c r="AU375" s="891">
        <v>2.57</v>
      </c>
      <c r="AV375" s="891">
        <v>1.35</v>
      </c>
      <c r="AW375" s="891">
        <v>1.02</v>
      </c>
      <c r="AX375" s="891">
        <v>2.0299999999999998</v>
      </c>
      <c r="AY375" s="891">
        <v>2.54</v>
      </c>
      <c r="AZ375" s="891">
        <v>2.4</v>
      </c>
      <c r="BA375" s="891">
        <f t="shared" si="15"/>
        <v>243.07999999999998</v>
      </c>
      <c r="BB375" s="926">
        <f t="shared" si="16"/>
        <v>22456.049999999996</v>
      </c>
      <c r="BC375" s="926">
        <f t="shared" si="17"/>
        <v>101.93999999999738</v>
      </c>
      <c r="BD375" s="891"/>
      <c r="BE375" s="891"/>
      <c r="BF375" s="891"/>
      <c r="BG375" s="928"/>
      <c r="BH375" s="928"/>
      <c r="BI375" s="928"/>
    </row>
    <row r="376" spans="1:61">
      <c r="A376" s="891" t="s">
        <v>1147</v>
      </c>
      <c r="B376" s="891" t="s">
        <v>559</v>
      </c>
      <c r="C376" s="891" t="s">
        <v>114</v>
      </c>
      <c r="D376" s="891">
        <v>11.59</v>
      </c>
      <c r="E376" s="891">
        <v>48.29</v>
      </c>
      <c r="F376" s="891">
        <v>7.24</v>
      </c>
      <c r="G376" s="891">
        <v>4.83</v>
      </c>
      <c r="H376" s="891">
        <v>5.79</v>
      </c>
      <c r="I376" s="891">
        <v>1.93</v>
      </c>
      <c r="J376" s="891">
        <v>1.45</v>
      </c>
      <c r="K376" s="891">
        <v>1.77</v>
      </c>
      <c r="L376" s="891">
        <v>2.29</v>
      </c>
      <c r="M376" s="891">
        <v>2.9</v>
      </c>
      <c r="N376" s="891">
        <v>11.59</v>
      </c>
      <c r="O376" s="891">
        <v>1.93</v>
      </c>
      <c r="P376" s="891">
        <v>14.49</v>
      </c>
      <c r="Q376" s="891">
        <v>3.38</v>
      </c>
      <c r="R376" s="891">
        <v>3.98</v>
      </c>
      <c r="S376" s="891">
        <v>9.66</v>
      </c>
      <c r="T376" s="891">
        <v>2.41</v>
      </c>
      <c r="U376" s="891">
        <v>15.74</v>
      </c>
      <c r="V376" s="891">
        <v>82.09</v>
      </c>
      <c r="W376" s="891">
        <v>1.26</v>
      </c>
      <c r="X376" s="927">
        <v>19316.21</v>
      </c>
      <c r="Y376" s="891">
        <v>917.52</v>
      </c>
      <c r="Z376" s="891">
        <v>796.79</v>
      </c>
      <c r="AA376" s="891">
        <v>1641.88</v>
      </c>
      <c r="AB376" s="891">
        <v>1352.13</v>
      </c>
      <c r="AC376" s="891">
        <v>115.9</v>
      </c>
      <c r="AD376" s="891">
        <v>0.41</v>
      </c>
      <c r="AE376" s="891">
        <v>43.46</v>
      </c>
      <c r="AF376" s="891">
        <v>48.29</v>
      </c>
      <c r="AG376" s="891">
        <v>7.73</v>
      </c>
      <c r="AH376" s="891">
        <v>11.59</v>
      </c>
      <c r="AI376" s="891">
        <v>57.95</v>
      </c>
      <c r="AJ376" s="891">
        <v>48.29</v>
      </c>
      <c r="AK376" s="891">
        <v>111.07</v>
      </c>
      <c r="AL376" s="891">
        <v>111.07</v>
      </c>
      <c r="AM376" s="891">
        <v>3750.9</v>
      </c>
      <c r="AN376" s="891">
        <v>2339.08</v>
      </c>
      <c r="AO376" s="891">
        <v>2511.11</v>
      </c>
      <c r="AP376" s="891">
        <v>4</v>
      </c>
      <c r="AQ376" s="891">
        <v>3.12</v>
      </c>
      <c r="AR376" s="891">
        <v>1.87</v>
      </c>
      <c r="AS376" s="891">
        <v>39.1</v>
      </c>
      <c r="AT376" s="891">
        <v>1.93</v>
      </c>
      <c r="AU376" s="891">
        <v>2.5099999999999998</v>
      </c>
      <c r="AV376" s="891">
        <v>1.46</v>
      </c>
      <c r="AW376" s="891">
        <v>1.35</v>
      </c>
      <c r="AX376" s="891">
        <v>3.74</v>
      </c>
      <c r="AY376" s="891">
        <v>2</v>
      </c>
      <c r="AZ376" s="891">
        <v>3.86</v>
      </c>
      <c r="BA376" s="891">
        <f t="shared" si="15"/>
        <v>159.77000000000001</v>
      </c>
      <c r="BB376" s="926">
        <f t="shared" si="16"/>
        <v>19446.059999999994</v>
      </c>
      <c r="BC376" s="926">
        <f t="shared" si="17"/>
        <v>128.58999999999492</v>
      </c>
      <c r="BD376" s="891"/>
      <c r="BE376" s="891"/>
      <c r="BF376" s="891"/>
      <c r="BG376" s="928"/>
      <c r="BH376" s="928"/>
      <c r="BI376" s="928"/>
    </row>
    <row r="377" spans="1:61">
      <c r="A377" s="891" t="s">
        <v>1148</v>
      </c>
      <c r="B377" s="891" t="s">
        <v>593</v>
      </c>
      <c r="C377" s="891" t="s">
        <v>106</v>
      </c>
      <c r="D377" s="891">
        <v>10.84</v>
      </c>
      <c r="E377" s="891">
        <v>54.19</v>
      </c>
      <c r="F377" s="891">
        <v>8.81</v>
      </c>
      <c r="G377" s="891">
        <v>4.74</v>
      </c>
      <c r="H377" s="891">
        <v>4.0599999999999996</v>
      </c>
      <c r="I377" s="891">
        <v>2.98</v>
      </c>
      <c r="J377" s="891">
        <v>2.15</v>
      </c>
      <c r="K377" s="891">
        <v>1.29</v>
      </c>
      <c r="L377" s="891">
        <v>2.0299999999999998</v>
      </c>
      <c r="M377" s="891">
        <v>4.0599999999999996</v>
      </c>
      <c r="N377" s="891">
        <v>18.97</v>
      </c>
      <c r="O377" s="891">
        <v>0.68</v>
      </c>
      <c r="P377" s="891">
        <v>7.99</v>
      </c>
      <c r="Q377" s="891">
        <v>1.08</v>
      </c>
      <c r="R377" s="891">
        <v>1.35</v>
      </c>
      <c r="S377" s="891">
        <v>6.1</v>
      </c>
      <c r="T377" s="891">
        <v>2.71</v>
      </c>
      <c r="U377" s="891">
        <v>10.84</v>
      </c>
      <c r="V377" s="891">
        <v>60.96</v>
      </c>
      <c r="W377" s="891">
        <v>1.94</v>
      </c>
      <c r="X377" s="927">
        <v>29802.22</v>
      </c>
      <c r="Y377" s="891">
        <v>948.25</v>
      </c>
      <c r="Z377" s="891">
        <v>677.32</v>
      </c>
      <c r="AA377" s="891">
        <v>1904.63</v>
      </c>
      <c r="AB377" s="891">
        <v>1286.9100000000001</v>
      </c>
      <c r="AC377" s="891">
        <v>205.98</v>
      </c>
      <c r="AD377" s="891">
        <v>0.12</v>
      </c>
      <c r="AE377" s="891">
        <v>27.09</v>
      </c>
      <c r="AF377" s="891">
        <v>67.73</v>
      </c>
      <c r="AG377" s="891">
        <v>24.38</v>
      </c>
      <c r="AH377" s="891">
        <v>12.19</v>
      </c>
      <c r="AI377" s="891">
        <v>121.92</v>
      </c>
      <c r="AJ377" s="891">
        <v>40.64</v>
      </c>
      <c r="AK377" s="891">
        <v>88.05</v>
      </c>
      <c r="AL377" s="891">
        <v>108.37</v>
      </c>
      <c r="AM377" s="891">
        <v>8127.88</v>
      </c>
      <c r="AN377" s="891">
        <v>4267.1400000000003</v>
      </c>
      <c r="AO377" s="891">
        <v>2641.56</v>
      </c>
      <c r="AP377" s="891">
        <v>3.25</v>
      </c>
      <c r="AQ377" s="891">
        <v>3.93</v>
      </c>
      <c r="AR377" s="891">
        <v>1.92</v>
      </c>
      <c r="AS377" s="891">
        <v>37.119999999999997</v>
      </c>
      <c r="AT377" s="891">
        <v>2.71</v>
      </c>
      <c r="AU377" s="891">
        <v>3.39</v>
      </c>
      <c r="AV377" s="891">
        <v>1.86</v>
      </c>
      <c r="AW377" s="891">
        <v>1.35</v>
      </c>
      <c r="AX377" s="891">
        <v>3.66</v>
      </c>
      <c r="AY377" s="891">
        <v>2.0299999999999998</v>
      </c>
      <c r="AZ377" s="891">
        <v>3.39</v>
      </c>
      <c r="BA377" s="891">
        <f t="shared" si="15"/>
        <v>233.19</v>
      </c>
      <c r="BB377" s="926">
        <f t="shared" si="16"/>
        <v>29910.799999999999</v>
      </c>
      <c r="BC377" s="926">
        <f t="shared" si="17"/>
        <v>106.63999999999811</v>
      </c>
      <c r="BD377" s="891"/>
      <c r="BE377" s="891"/>
      <c r="BF377" s="891"/>
      <c r="BG377" s="928"/>
      <c r="BH377" s="928"/>
      <c r="BI377" s="928"/>
    </row>
    <row r="378" spans="1:61">
      <c r="A378" s="891" t="s">
        <v>1149</v>
      </c>
      <c r="B378" s="891" t="s">
        <v>620</v>
      </c>
      <c r="C378" s="891" t="s">
        <v>267</v>
      </c>
      <c r="D378" s="891">
        <v>5.89</v>
      </c>
      <c r="E378" s="891">
        <v>27.48</v>
      </c>
      <c r="F378" s="891">
        <v>5.89</v>
      </c>
      <c r="G378" s="891">
        <v>2.36</v>
      </c>
      <c r="H378" s="891">
        <v>1.96</v>
      </c>
      <c r="I378" s="891">
        <v>1.18</v>
      </c>
      <c r="J378" s="891">
        <v>0.79</v>
      </c>
      <c r="K378" s="891">
        <v>1.17</v>
      </c>
      <c r="L378" s="891">
        <v>1.18</v>
      </c>
      <c r="M378" s="891">
        <v>2.12</v>
      </c>
      <c r="N378" s="891">
        <v>9.0299999999999994</v>
      </c>
      <c r="O378" s="891">
        <v>0.79</v>
      </c>
      <c r="P378" s="891">
        <v>6.67</v>
      </c>
      <c r="Q378" s="891">
        <v>0.98</v>
      </c>
      <c r="R378" s="891">
        <v>1.18</v>
      </c>
      <c r="S378" s="891">
        <v>3.53</v>
      </c>
      <c r="T378" s="891">
        <v>0.98</v>
      </c>
      <c r="U378" s="891">
        <v>6.67</v>
      </c>
      <c r="V378" s="891">
        <v>39.26</v>
      </c>
      <c r="W378" s="891">
        <v>1.9</v>
      </c>
      <c r="X378" s="927">
        <v>22342.36</v>
      </c>
      <c r="Y378" s="891">
        <v>431.88</v>
      </c>
      <c r="Z378" s="891">
        <v>265.02</v>
      </c>
      <c r="AA378" s="891">
        <v>824.5</v>
      </c>
      <c r="AB378" s="891">
        <v>471.14</v>
      </c>
      <c r="AC378" s="891">
        <v>157.05000000000001</v>
      </c>
      <c r="AD378" s="891">
        <v>0.08</v>
      </c>
      <c r="AE378" s="891">
        <v>11.78</v>
      </c>
      <c r="AF378" s="891">
        <v>62.82</v>
      </c>
      <c r="AG378" s="891">
        <v>19.63</v>
      </c>
      <c r="AH378" s="891">
        <v>7.07</v>
      </c>
      <c r="AI378" s="891">
        <v>98.15</v>
      </c>
      <c r="AJ378" s="891">
        <v>66.75</v>
      </c>
      <c r="AK378" s="891">
        <v>109.93</v>
      </c>
      <c r="AL378" s="891">
        <v>117.79</v>
      </c>
      <c r="AM378" s="891">
        <v>2650.18</v>
      </c>
      <c r="AN378" s="891">
        <v>1374.17</v>
      </c>
      <c r="AO378" s="891">
        <v>716.96</v>
      </c>
      <c r="AP378" s="891">
        <v>4</v>
      </c>
      <c r="AQ378" s="891">
        <v>0.79</v>
      </c>
      <c r="AR378" s="891">
        <v>0.79</v>
      </c>
      <c r="AS378" s="891">
        <v>11.78</v>
      </c>
      <c r="AT378" s="891">
        <v>1.37</v>
      </c>
      <c r="AU378" s="891">
        <v>1.57</v>
      </c>
      <c r="AV378" s="891">
        <v>0.39</v>
      </c>
      <c r="AW378" s="891">
        <v>1.18</v>
      </c>
      <c r="AX378" s="891">
        <v>1.96</v>
      </c>
      <c r="AY378" s="891">
        <v>1.96</v>
      </c>
      <c r="AZ378" s="891">
        <v>1.86</v>
      </c>
      <c r="BA378" s="891">
        <f t="shared" ref="BA378:BA394" si="18">AC378+AD378+AE378</f>
        <v>168.91000000000003</v>
      </c>
      <c r="BB378" s="926">
        <f t="shared" ref="BB378:BB394" si="19">T378+V378+W378+X378+AQ378+AR378+AS378</f>
        <v>22397.86</v>
      </c>
      <c r="BC378" s="926">
        <f t="shared" ref="BC378:BC394" si="20">BB378-X378-W378</f>
        <v>53.6</v>
      </c>
      <c r="BD378" s="891"/>
      <c r="BE378" s="891"/>
      <c r="BF378" s="891"/>
      <c r="BG378" s="928"/>
      <c r="BH378" s="928"/>
      <c r="BI378" s="928"/>
    </row>
    <row r="379" spans="1:61">
      <c r="A379" s="891" t="s">
        <v>1150</v>
      </c>
      <c r="B379" s="891" t="s">
        <v>560</v>
      </c>
      <c r="C379" s="891" t="s">
        <v>386</v>
      </c>
      <c r="D379" s="891">
        <v>1.48</v>
      </c>
      <c r="E379" s="891">
        <v>5.33</v>
      </c>
      <c r="F379" s="891">
        <v>4.92</v>
      </c>
      <c r="G379" s="891">
        <v>1.64</v>
      </c>
      <c r="H379" s="891">
        <v>1.89</v>
      </c>
      <c r="I379" s="891">
        <v>0.36</v>
      </c>
      <c r="J379" s="891">
        <v>0.16</v>
      </c>
      <c r="K379" s="891">
        <v>0.55000000000000004</v>
      </c>
      <c r="L379" s="891">
        <v>0.41</v>
      </c>
      <c r="M379" s="891">
        <v>0.74</v>
      </c>
      <c r="N379" s="891">
        <v>5.74</v>
      </c>
      <c r="O379" s="891">
        <v>0.33</v>
      </c>
      <c r="P379" s="891">
        <v>5.58</v>
      </c>
      <c r="Q379" s="891">
        <v>1.31</v>
      </c>
      <c r="R379" s="891">
        <v>1.64</v>
      </c>
      <c r="S379" s="891">
        <v>1.23</v>
      </c>
      <c r="T379" s="891">
        <v>0.16</v>
      </c>
      <c r="U379" s="891">
        <v>2.54</v>
      </c>
      <c r="V379" s="891">
        <v>9.84</v>
      </c>
      <c r="W379" s="891">
        <v>1.22</v>
      </c>
      <c r="X379" s="927">
        <v>13937.85</v>
      </c>
      <c r="Y379" s="891">
        <v>81.99</v>
      </c>
      <c r="Z379" s="891">
        <v>49.19</v>
      </c>
      <c r="AA379" s="891">
        <v>245.96</v>
      </c>
      <c r="AB379" s="891">
        <v>147.58000000000001</v>
      </c>
      <c r="AC379" s="891">
        <v>19.68</v>
      </c>
      <c r="AD379" s="891">
        <v>0.02</v>
      </c>
      <c r="AE379" s="891">
        <v>18.04</v>
      </c>
      <c r="AF379" s="891">
        <v>16.399999999999999</v>
      </c>
      <c r="AG379" s="891">
        <v>4.92</v>
      </c>
      <c r="AH379" s="891">
        <v>2.0499999999999998</v>
      </c>
      <c r="AI379" s="891">
        <v>26.24</v>
      </c>
      <c r="AJ379" s="891">
        <v>20.5</v>
      </c>
      <c r="AK379" s="891">
        <v>40.99</v>
      </c>
      <c r="AL379" s="891">
        <v>32.79</v>
      </c>
      <c r="AM379" s="891">
        <v>794.25</v>
      </c>
      <c r="AN379" s="891">
        <v>476.55</v>
      </c>
      <c r="AO379" s="891">
        <v>409.94</v>
      </c>
      <c r="AP379" s="891">
        <v>12.25</v>
      </c>
      <c r="AQ379" s="891">
        <v>1.31</v>
      </c>
      <c r="AR379" s="891">
        <v>0.16</v>
      </c>
      <c r="AS379" s="891">
        <v>0.82</v>
      </c>
      <c r="AT379" s="891">
        <v>2.46</v>
      </c>
      <c r="AU379" s="891">
        <v>1.64</v>
      </c>
      <c r="AV379" s="891">
        <v>0.33</v>
      </c>
      <c r="AW379" s="891">
        <v>0.33</v>
      </c>
      <c r="AX379" s="891">
        <v>0.82</v>
      </c>
      <c r="AY379" s="891">
        <v>0.66</v>
      </c>
      <c r="AZ379" s="891">
        <v>0.41</v>
      </c>
      <c r="BA379" s="891">
        <f t="shared" si="18"/>
        <v>37.739999999999995</v>
      </c>
      <c r="BB379" s="926">
        <f t="shared" si="19"/>
        <v>13951.359999999999</v>
      </c>
      <c r="BC379" s="926">
        <f t="shared" si="20"/>
        <v>12.289999999998399</v>
      </c>
      <c r="BD379" s="891"/>
      <c r="BE379" s="891"/>
      <c r="BF379" s="891"/>
      <c r="BG379" s="928"/>
      <c r="BH379" s="928"/>
      <c r="BI379" s="928"/>
    </row>
    <row r="380" spans="1:61">
      <c r="A380" s="891" t="s">
        <v>1151</v>
      </c>
      <c r="B380" s="891" t="s">
        <v>556</v>
      </c>
      <c r="C380" s="891" t="s">
        <v>190</v>
      </c>
      <c r="D380" s="891">
        <v>9.2799999999999994</v>
      </c>
      <c r="E380" s="891">
        <v>77.31</v>
      </c>
      <c r="F380" s="891">
        <v>8.9700000000000006</v>
      </c>
      <c r="G380" s="891">
        <v>1.55</v>
      </c>
      <c r="H380" s="891">
        <v>2.3199999999999998</v>
      </c>
      <c r="I380" s="891">
        <v>0.93</v>
      </c>
      <c r="J380" s="891">
        <v>0.56000000000000005</v>
      </c>
      <c r="K380" s="891">
        <v>1.86</v>
      </c>
      <c r="L380" s="891">
        <v>0.77</v>
      </c>
      <c r="M380" s="891">
        <v>2.6</v>
      </c>
      <c r="N380" s="891">
        <v>10.050000000000001</v>
      </c>
      <c r="O380" s="891">
        <v>0.93</v>
      </c>
      <c r="P380" s="891">
        <v>9.2799999999999994</v>
      </c>
      <c r="Q380" s="891">
        <v>1.39</v>
      </c>
      <c r="R380" s="891">
        <v>2.0099999999999998</v>
      </c>
      <c r="S380" s="891">
        <v>1.86</v>
      </c>
      <c r="T380" s="891">
        <v>0.53</v>
      </c>
      <c r="U380" s="891">
        <v>6.18</v>
      </c>
      <c r="V380" s="891">
        <v>24.74</v>
      </c>
      <c r="W380" s="891">
        <v>0.99</v>
      </c>
      <c r="X380" s="927">
        <v>24737.93</v>
      </c>
      <c r="Y380" s="891">
        <v>773.06</v>
      </c>
      <c r="Z380" s="891">
        <v>609.22</v>
      </c>
      <c r="AA380" s="891">
        <v>1395.75</v>
      </c>
      <c r="AB380" s="891">
        <v>991.14</v>
      </c>
      <c r="AC380" s="891">
        <v>229.99</v>
      </c>
      <c r="AD380" s="891">
        <v>0.03</v>
      </c>
      <c r="AE380" s="891">
        <v>18.55</v>
      </c>
      <c r="AF380" s="891">
        <v>92.77</v>
      </c>
      <c r="AG380" s="891">
        <v>18.55</v>
      </c>
      <c r="AH380" s="891">
        <v>7.73</v>
      </c>
      <c r="AI380" s="891">
        <v>146.88</v>
      </c>
      <c r="AJ380" s="891">
        <v>44.06</v>
      </c>
      <c r="AK380" s="891">
        <v>108.23</v>
      </c>
      <c r="AL380" s="891">
        <v>136.06</v>
      </c>
      <c r="AM380" s="891">
        <v>2442.87</v>
      </c>
      <c r="AN380" s="891">
        <v>2149.11</v>
      </c>
      <c r="AO380" s="891">
        <v>788.52</v>
      </c>
      <c r="AP380" s="891">
        <v>14.25</v>
      </c>
      <c r="AQ380" s="891">
        <v>7.73</v>
      </c>
      <c r="AR380" s="891">
        <v>0.46</v>
      </c>
      <c r="AS380" s="891">
        <v>7.73</v>
      </c>
      <c r="AT380" s="891">
        <v>2.4700000000000002</v>
      </c>
      <c r="AU380" s="891">
        <v>2.4700000000000002</v>
      </c>
      <c r="AV380" s="891">
        <v>0.93</v>
      </c>
      <c r="AW380" s="891">
        <v>1.08</v>
      </c>
      <c r="AX380" s="891">
        <v>4.17</v>
      </c>
      <c r="AY380" s="891">
        <v>1.47</v>
      </c>
      <c r="AZ380" s="891">
        <v>2.59</v>
      </c>
      <c r="BA380" s="891">
        <f t="shared" si="18"/>
        <v>248.57000000000002</v>
      </c>
      <c r="BB380" s="926">
        <f t="shared" si="19"/>
        <v>24780.109999999997</v>
      </c>
      <c r="BC380" s="926">
        <f t="shared" si="20"/>
        <v>41.189999999996651</v>
      </c>
      <c r="BD380" s="891"/>
      <c r="BE380" s="891"/>
      <c r="BF380" s="891"/>
      <c r="BG380" s="928"/>
      <c r="BH380" s="928"/>
      <c r="BI380" s="928"/>
    </row>
    <row r="381" spans="1:61">
      <c r="A381" s="891" t="s">
        <v>1152</v>
      </c>
      <c r="B381" s="891" t="s">
        <v>629</v>
      </c>
      <c r="C381" s="891" t="s">
        <v>272</v>
      </c>
      <c r="D381" s="891">
        <v>6.46</v>
      </c>
      <c r="E381" s="891">
        <v>38.79</v>
      </c>
      <c r="F381" s="891">
        <v>5.42</v>
      </c>
      <c r="G381" s="891">
        <v>2.59</v>
      </c>
      <c r="H381" s="891">
        <v>2.59</v>
      </c>
      <c r="I381" s="891">
        <v>1.1299999999999999</v>
      </c>
      <c r="J381" s="891">
        <v>0.66</v>
      </c>
      <c r="K381" s="891">
        <v>0.91</v>
      </c>
      <c r="L381" s="891">
        <v>0.97</v>
      </c>
      <c r="M381" s="891">
        <v>2.59</v>
      </c>
      <c r="N381" s="891">
        <v>7.88</v>
      </c>
      <c r="O381" s="891">
        <v>0.65</v>
      </c>
      <c r="P381" s="891">
        <v>8.08</v>
      </c>
      <c r="Q381" s="891">
        <v>0.97</v>
      </c>
      <c r="R381" s="891">
        <v>1.29</v>
      </c>
      <c r="S381" s="891">
        <v>3.88</v>
      </c>
      <c r="T381" s="891">
        <v>1.29</v>
      </c>
      <c r="U381" s="891">
        <v>5.5</v>
      </c>
      <c r="V381" s="891">
        <v>32.32</v>
      </c>
      <c r="W381" s="891">
        <v>1.84</v>
      </c>
      <c r="X381" s="927">
        <v>21879.95</v>
      </c>
      <c r="Y381" s="891">
        <v>581.83000000000004</v>
      </c>
      <c r="Z381" s="891">
        <v>484.86</v>
      </c>
      <c r="AA381" s="891">
        <v>1131.33</v>
      </c>
      <c r="AB381" s="891">
        <v>808.09</v>
      </c>
      <c r="AC381" s="891">
        <v>161.62</v>
      </c>
      <c r="AD381" s="891">
        <v>0.1</v>
      </c>
      <c r="AE381" s="891">
        <v>18.100000000000001</v>
      </c>
      <c r="AF381" s="891">
        <v>48.49</v>
      </c>
      <c r="AG381" s="891">
        <v>16.16</v>
      </c>
      <c r="AH381" s="891">
        <v>8.08</v>
      </c>
      <c r="AI381" s="891">
        <v>93.74</v>
      </c>
      <c r="AJ381" s="891">
        <v>51.56</v>
      </c>
      <c r="AK381" s="891">
        <v>96.97</v>
      </c>
      <c r="AL381" s="891">
        <v>96.97</v>
      </c>
      <c r="AM381" s="891">
        <v>3232.38</v>
      </c>
      <c r="AN381" s="891">
        <v>2262.66</v>
      </c>
      <c r="AO381" s="891">
        <v>1091.93</v>
      </c>
      <c r="AP381" s="891">
        <v>6</v>
      </c>
      <c r="AQ381" s="891">
        <v>2.46</v>
      </c>
      <c r="AR381" s="891">
        <v>0.78</v>
      </c>
      <c r="AS381" s="891">
        <v>12.93</v>
      </c>
      <c r="AT381" s="891">
        <v>1.29</v>
      </c>
      <c r="AU381" s="891">
        <v>1.62</v>
      </c>
      <c r="AV381" s="891">
        <v>0.65</v>
      </c>
      <c r="AW381" s="891">
        <v>0.97</v>
      </c>
      <c r="AX381" s="891">
        <v>2.59</v>
      </c>
      <c r="AY381" s="891">
        <v>1.29</v>
      </c>
      <c r="AZ381" s="891">
        <v>1.62</v>
      </c>
      <c r="BA381" s="891">
        <f t="shared" si="18"/>
        <v>179.82</v>
      </c>
      <c r="BB381" s="926">
        <f t="shared" si="19"/>
        <v>21931.57</v>
      </c>
      <c r="BC381" s="926">
        <f t="shared" si="20"/>
        <v>49.779999999998978</v>
      </c>
      <c r="BD381" s="891"/>
      <c r="BE381" s="891"/>
      <c r="BF381" s="891"/>
      <c r="BG381" s="928"/>
      <c r="BH381" s="928"/>
      <c r="BI381" s="928"/>
    </row>
    <row r="382" spans="1:61">
      <c r="A382" s="891" t="s">
        <v>1153</v>
      </c>
      <c r="B382" s="891" t="s">
        <v>1606</v>
      </c>
      <c r="C382" s="891" t="s">
        <v>57</v>
      </c>
      <c r="D382" s="891">
        <v>15</v>
      </c>
      <c r="E382" s="891">
        <v>70</v>
      </c>
      <c r="F382" s="891">
        <v>6.75</v>
      </c>
      <c r="G382" s="891">
        <v>4.5</v>
      </c>
      <c r="H382" s="891">
        <v>6</v>
      </c>
      <c r="I382" s="891">
        <v>1.75</v>
      </c>
      <c r="J382" s="891">
        <v>1.7</v>
      </c>
      <c r="K382" s="891">
        <v>1.06</v>
      </c>
      <c r="L382" s="891">
        <v>2.58</v>
      </c>
      <c r="M382" s="891">
        <v>2.99</v>
      </c>
      <c r="N382" s="891">
        <v>13.23</v>
      </c>
      <c r="O382" s="891">
        <v>1.99</v>
      </c>
      <c r="P382" s="891">
        <v>12</v>
      </c>
      <c r="Q382" s="891">
        <v>1.75</v>
      </c>
      <c r="R382" s="891">
        <v>2.5</v>
      </c>
      <c r="S382" s="891">
        <v>7</v>
      </c>
      <c r="T382" s="891">
        <v>2.35</v>
      </c>
      <c r="U382" s="891">
        <v>8.8000000000000007</v>
      </c>
      <c r="V382" s="891">
        <v>190</v>
      </c>
      <c r="W382" s="891">
        <v>1.02</v>
      </c>
      <c r="X382" s="927">
        <v>20000</v>
      </c>
      <c r="Y382" s="891">
        <v>2000</v>
      </c>
      <c r="Z382" s="891">
        <v>1200</v>
      </c>
      <c r="AA382" s="891">
        <v>3625</v>
      </c>
      <c r="AB382" s="891">
        <v>2200</v>
      </c>
      <c r="AC382" s="891">
        <v>166.35</v>
      </c>
      <c r="AD382" s="891">
        <v>0.2</v>
      </c>
      <c r="AE382" s="891">
        <v>50</v>
      </c>
      <c r="AF382" s="891">
        <v>70</v>
      </c>
      <c r="AG382" s="891">
        <v>20</v>
      </c>
      <c r="AH382" s="891">
        <v>12</v>
      </c>
      <c r="AI382" s="891">
        <v>40</v>
      </c>
      <c r="AJ382" s="891">
        <v>33</v>
      </c>
      <c r="AK382" s="891">
        <v>80</v>
      </c>
      <c r="AL382" s="891">
        <v>120</v>
      </c>
      <c r="AM382" s="891">
        <v>5381.96</v>
      </c>
      <c r="AN382" s="891">
        <v>4171.0200000000004</v>
      </c>
      <c r="AO382" s="891">
        <v>3810</v>
      </c>
      <c r="AP382" s="891">
        <v>3.8</v>
      </c>
      <c r="AQ382" s="891">
        <v>3</v>
      </c>
      <c r="AR382" s="891">
        <v>2.59</v>
      </c>
      <c r="AS382" s="891">
        <v>12</v>
      </c>
      <c r="AT382" s="891">
        <v>4.72</v>
      </c>
      <c r="AU382" s="891">
        <v>4.3899999999999997</v>
      </c>
      <c r="AV382" s="891">
        <v>2.2000000000000002</v>
      </c>
      <c r="AW382" s="891">
        <v>2</v>
      </c>
      <c r="AX382" s="891">
        <v>3.75</v>
      </c>
      <c r="AY382" s="891">
        <v>4.41</v>
      </c>
      <c r="AZ382" s="891">
        <v>6</v>
      </c>
      <c r="BA382" s="891">
        <f t="shared" si="18"/>
        <v>216.54999999999998</v>
      </c>
      <c r="BB382" s="926">
        <f t="shared" si="19"/>
        <v>20210.96</v>
      </c>
      <c r="BC382" s="926">
        <f t="shared" si="20"/>
        <v>209.93999999999912</v>
      </c>
      <c r="BD382" s="891"/>
      <c r="BE382" s="891"/>
      <c r="BF382" s="891"/>
      <c r="BG382" s="928"/>
      <c r="BH382" s="928"/>
      <c r="BI382" s="928"/>
    </row>
    <row r="383" spans="1:61">
      <c r="A383" s="891" t="s">
        <v>1154</v>
      </c>
      <c r="B383" s="891" t="s">
        <v>559</v>
      </c>
      <c r="C383" s="891" t="s">
        <v>102</v>
      </c>
      <c r="D383" s="891">
        <v>9.49</v>
      </c>
      <c r="E383" s="891">
        <v>50.22</v>
      </c>
      <c r="F383" s="891">
        <v>8.18</v>
      </c>
      <c r="G383" s="891">
        <v>4.83</v>
      </c>
      <c r="H383" s="891">
        <v>5.79</v>
      </c>
      <c r="I383" s="891">
        <v>1.73</v>
      </c>
      <c r="J383" s="891">
        <v>1.45</v>
      </c>
      <c r="K383" s="891">
        <v>1.92</v>
      </c>
      <c r="L383" s="891">
        <v>2.0499999999999998</v>
      </c>
      <c r="M383" s="891">
        <v>2.69</v>
      </c>
      <c r="N383" s="891">
        <v>9.64</v>
      </c>
      <c r="O383" s="891">
        <v>0.97</v>
      </c>
      <c r="P383" s="891">
        <v>12.56</v>
      </c>
      <c r="Q383" s="891">
        <v>2.41</v>
      </c>
      <c r="R383" s="891">
        <v>1.93</v>
      </c>
      <c r="S383" s="891">
        <v>9.65</v>
      </c>
      <c r="T383" s="891">
        <v>2.66</v>
      </c>
      <c r="U383" s="891">
        <v>19.32</v>
      </c>
      <c r="V383" s="891">
        <v>65.680000000000007</v>
      </c>
      <c r="W383" s="891">
        <v>1.24</v>
      </c>
      <c r="X383" s="927">
        <v>17384.59</v>
      </c>
      <c r="Y383" s="891">
        <v>869.23</v>
      </c>
      <c r="Z383" s="891">
        <v>676.07</v>
      </c>
      <c r="AA383" s="891">
        <v>1158.97</v>
      </c>
      <c r="AB383" s="891">
        <v>989.96</v>
      </c>
      <c r="AC383" s="891">
        <v>152.94</v>
      </c>
      <c r="AD383" s="891">
        <v>0.28999999999999998</v>
      </c>
      <c r="AE383" s="891">
        <v>52.15</v>
      </c>
      <c r="AF383" s="891">
        <v>44.43</v>
      </c>
      <c r="AG383" s="891">
        <v>24.01</v>
      </c>
      <c r="AH383" s="891">
        <v>11.19</v>
      </c>
      <c r="AI383" s="891">
        <v>57.95</v>
      </c>
      <c r="AJ383" s="891">
        <v>41.05</v>
      </c>
      <c r="AK383" s="891">
        <v>91.75</v>
      </c>
      <c r="AL383" s="891">
        <v>115.9</v>
      </c>
      <c r="AM383" s="891">
        <v>3326.69</v>
      </c>
      <c r="AN383" s="891">
        <v>2027.2</v>
      </c>
      <c r="AO383" s="891">
        <v>2462.8200000000002</v>
      </c>
      <c r="AP383" s="891">
        <v>3</v>
      </c>
      <c r="AQ383" s="891">
        <v>3.38</v>
      </c>
      <c r="AR383" s="891">
        <v>2.0299999999999998</v>
      </c>
      <c r="AS383" s="891">
        <v>30.13</v>
      </c>
      <c r="AT383" s="891">
        <v>2.9</v>
      </c>
      <c r="AU383" s="891">
        <v>3.38</v>
      </c>
      <c r="AV383" s="891">
        <v>1.45</v>
      </c>
      <c r="AW383" s="891">
        <v>1.45</v>
      </c>
      <c r="AX383" s="891">
        <v>2.8</v>
      </c>
      <c r="AY383" s="891">
        <v>3.47</v>
      </c>
      <c r="AZ383" s="891">
        <v>3.86</v>
      </c>
      <c r="BA383" s="891">
        <f t="shared" si="18"/>
        <v>205.38</v>
      </c>
      <c r="BB383" s="926">
        <f t="shared" si="19"/>
        <v>17489.710000000003</v>
      </c>
      <c r="BC383" s="926">
        <f t="shared" si="20"/>
        <v>103.88000000000262</v>
      </c>
      <c r="BD383" s="891"/>
      <c r="BE383" s="891"/>
      <c r="BF383" s="891"/>
      <c r="BG383" s="928"/>
      <c r="BH383" s="928"/>
      <c r="BI383" s="928"/>
    </row>
    <row r="384" spans="1:61">
      <c r="A384" s="891" t="s">
        <v>1155</v>
      </c>
      <c r="B384" s="891" t="s">
        <v>1578</v>
      </c>
      <c r="C384" s="891" t="s">
        <v>43</v>
      </c>
      <c r="D384" s="891">
        <v>12.48</v>
      </c>
      <c r="E384" s="891">
        <v>66.58</v>
      </c>
      <c r="F384" s="891">
        <v>8.32</v>
      </c>
      <c r="G384" s="891">
        <v>6.03</v>
      </c>
      <c r="H384" s="891">
        <v>6.66</v>
      </c>
      <c r="I384" s="891">
        <v>2.62</v>
      </c>
      <c r="J384" s="891">
        <v>2.5</v>
      </c>
      <c r="K384" s="891">
        <v>2.08</v>
      </c>
      <c r="L384" s="891">
        <v>2.5</v>
      </c>
      <c r="M384" s="891">
        <v>4.16</v>
      </c>
      <c r="N384" s="891">
        <v>9.15</v>
      </c>
      <c r="O384" s="891">
        <v>2.5</v>
      </c>
      <c r="P384" s="891">
        <v>12.48</v>
      </c>
      <c r="Q384" s="891">
        <v>4.99</v>
      </c>
      <c r="R384" s="891">
        <v>2.5</v>
      </c>
      <c r="S384" s="891">
        <v>14.81</v>
      </c>
      <c r="T384" s="891">
        <v>3.33</v>
      </c>
      <c r="U384" s="891">
        <v>12.9</v>
      </c>
      <c r="V384" s="891">
        <v>114.44</v>
      </c>
      <c r="W384" s="891">
        <v>1.75</v>
      </c>
      <c r="X384" s="927">
        <v>20807.32</v>
      </c>
      <c r="Y384" s="891">
        <v>1165.21</v>
      </c>
      <c r="Z384" s="891">
        <v>861.42</v>
      </c>
      <c r="AA384" s="891">
        <v>2496.88</v>
      </c>
      <c r="AB384" s="891">
        <v>1498.13</v>
      </c>
      <c r="AC384" s="891">
        <v>149.81</v>
      </c>
      <c r="AD384" s="891">
        <v>0.42</v>
      </c>
      <c r="AE384" s="891">
        <v>66.58</v>
      </c>
      <c r="AF384" s="891">
        <v>74.91</v>
      </c>
      <c r="AG384" s="891">
        <v>24.97</v>
      </c>
      <c r="AH384" s="891">
        <v>14.15</v>
      </c>
      <c r="AI384" s="891">
        <v>108.2</v>
      </c>
      <c r="AJ384" s="891">
        <v>66.58</v>
      </c>
      <c r="AK384" s="891">
        <v>124.84</v>
      </c>
      <c r="AL384" s="891">
        <v>137.33000000000001</v>
      </c>
      <c r="AM384" s="891">
        <v>3329.17</v>
      </c>
      <c r="AN384" s="891">
        <v>3058.68</v>
      </c>
      <c r="AO384" s="891">
        <v>3065.33</v>
      </c>
      <c r="AP384" s="891">
        <v>5.77</v>
      </c>
      <c r="AQ384" s="891">
        <v>2.91</v>
      </c>
      <c r="AR384" s="891">
        <v>2.39</v>
      </c>
      <c r="AS384" s="891">
        <v>49.94</v>
      </c>
      <c r="AT384" s="891">
        <v>2.91</v>
      </c>
      <c r="AU384" s="891">
        <v>2.4900000000000002</v>
      </c>
      <c r="AV384" s="891">
        <v>2.5</v>
      </c>
      <c r="AW384" s="891">
        <v>1.66</v>
      </c>
      <c r="AX384" s="891">
        <v>3.33</v>
      </c>
      <c r="AY384" s="891">
        <v>2.08</v>
      </c>
      <c r="AZ384" s="891">
        <v>4.3499999999999996</v>
      </c>
      <c r="BA384" s="891">
        <f t="shared" si="18"/>
        <v>216.81</v>
      </c>
      <c r="BB384" s="926">
        <f t="shared" si="19"/>
        <v>20982.079999999998</v>
      </c>
      <c r="BC384" s="926">
        <f t="shared" si="20"/>
        <v>173.0099999999984</v>
      </c>
      <c r="BD384" s="891"/>
      <c r="BE384" s="891"/>
      <c r="BF384" s="891"/>
      <c r="BG384" s="928"/>
      <c r="BH384" s="928"/>
      <c r="BI384" s="928"/>
    </row>
    <row r="385" spans="1:61">
      <c r="A385" s="891" t="s">
        <v>1156</v>
      </c>
      <c r="B385" s="891" t="s">
        <v>760</v>
      </c>
      <c r="C385" s="891" t="s">
        <v>264</v>
      </c>
      <c r="D385" s="891">
        <v>7.08</v>
      </c>
      <c r="E385" s="891">
        <v>30.3</v>
      </c>
      <c r="F385" s="891">
        <v>6.05</v>
      </c>
      <c r="G385" s="891">
        <v>1.46</v>
      </c>
      <c r="H385" s="891">
        <v>1.77</v>
      </c>
      <c r="I385" s="891">
        <v>0.81</v>
      </c>
      <c r="J385" s="891">
        <v>0.71</v>
      </c>
      <c r="K385" s="891">
        <v>1.21</v>
      </c>
      <c r="L385" s="891">
        <v>0.96</v>
      </c>
      <c r="M385" s="891">
        <v>2.17</v>
      </c>
      <c r="N385" s="891">
        <v>7.06</v>
      </c>
      <c r="O385" s="891">
        <v>1.56</v>
      </c>
      <c r="P385" s="891">
        <v>4.79</v>
      </c>
      <c r="Q385" s="891">
        <v>1.21</v>
      </c>
      <c r="R385" s="891">
        <v>1.56</v>
      </c>
      <c r="S385" s="891">
        <v>3.33</v>
      </c>
      <c r="T385" s="891">
        <v>7.06</v>
      </c>
      <c r="U385" s="891">
        <v>6.26</v>
      </c>
      <c r="V385" s="891">
        <v>20.18</v>
      </c>
      <c r="W385" s="891">
        <v>1.2</v>
      </c>
      <c r="X385" s="927">
        <v>20181.63</v>
      </c>
      <c r="Y385" s="891">
        <v>605.45000000000005</v>
      </c>
      <c r="Z385" s="891">
        <v>428.86</v>
      </c>
      <c r="AA385" s="891">
        <v>1210.9000000000001</v>
      </c>
      <c r="AB385" s="891">
        <v>1210.9000000000001</v>
      </c>
      <c r="AC385" s="891">
        <v>100.91</v>
      </c>
      <c r="AD385" s="891">
        <v>0.1</v>
      </c>
      <c r="AE385" s="891">
        <v>126.14</v>
      </c>
      <c r="AF385" s="891">
        <v>43.22</v>
      </c>
      <c r="AG385" s="891">
        <v>5.05</v>
      </c>
      <c r="AH385" s="891">
        <v>4.04</v>
      </c>
      <c r="AI385" s="891">
        <v>80.73</v>
      </c>
      <c r="AJ385" s="891">
        <v>20.18</v>
      </c>
      <c r="AK385" s="891">
        <v>70.64</v>
      </c>
      <c r="AL385" s="891">
        <v>60.54</v>
      </c>
      <c r="AM385" s="891">
        <v>529.77</v>
      </c>
      <c r="AN385" s="891">
        <v>302.72000000000003</v>
      </c>
      <c r="AO385" s="891">
        <v>807.27</v>
      </c>
      <c r="AP385" s="891">
        <v>9.8800000000000008</v>
      </c>
      <c r="AQ385" s="891">
        <v>0.91</v>
      </c>
      <c r="AR385" s="891">
        <v>0.91</v>
      </c>
      <c r="AS385" s="891">
        <v>1.82</v>
      </c>
      <c r="AT385" s="891">
        <v>2.52</v>
      </c>
      <c r="AU385" s="891">
        <v>1.82</v>
      </c>
      <c r="AV385" s="891">
        <v>1.82</v>
      </c>
      <c r="AW385" s="891">
        <v>1.51</v>
      </c>
      <c r="AX385" s="891">
        <v>1.62</v>
      </c>
      <c r="AY385" s="891">
        <v>1.82</v>
      </c>
      <c r="AZ385" s="891">
        <v>2.12</v>
      </c>
      <c r="BA385" s="891">
        <f t="shared" si="18"/>
        <v>227.14999999999998</v>
      </c>
      <c r="BB385" s="926">
        <f t="shared" si="19"/>
        <v>20213.71</v>
      </c>
      <c r="BC385" s="926">
        <f t="shared" si="20"/>
        <v>30.879999999998109</v>
      </c>
      <c r="BD385" s="891"/>
      <c r="BE385" s="891"/>
      <c r="BF385" s="891"/>
      <c r="BG385" s="928"/>
      <c r="BH385" s="928"/>
      <c r="BI385" s="928"/>
    </row>
    <row r="386" spans="1:61">
      <c r="A386" s="891" t="s">
        <v>1157</v>
      </c>
      <c r="B386" s="891" t="s">
        <v>559</v>
      </c>
      <c r="C386" s="891" t="s">
        <v>142</v>
      </c>
      <c r="D386" s="891">
        <v>14.49</v>
      </c>
      <c r="E386" s="891">
        <v>50.71</v>
      </c>
      <c r="F386" s="891">
        <v>7.73</v>
      </c>
      <c r="G386" s="891">
        <v>3.86</v>
      </c>
      <c r="H386" s="891">
        <v>4.83</v>
      </c>
      <c r="I386" s="891">
        <v>1.92</v>
      </c>
      <c r="J386" s="891">
        <v>1.49</v>
      </c>
      <c r="K386" s="891">
        <v>1.43</v>
      </c>
      <c r="L386" s="891">
        <v>1.87</v>
      </c>
      <c r="M386" s="891">
        <v>2.41</v>
      </c>
      <c r="N386" s="891">
        <v>11.85</v>
      </c>
      <c r="O386" s="891">
        <v>1.47</v>
      </c>
      <c r="P386" s="891">
        <v>14.49</v>
      </c>
      <c r="Q386" s="891">
        <v>3.19</v>
      </c>
      <c r="R386" s="891">
        <v>3.04</v>
      </c>
      <c r="S386" s="891">
        <v>12.56</v>
      </c>
      <c r="T386" s="891">
        <v>2.39</v>
      </c>
      <c r="U386" s="891">
        <v>9.66</v>
      </c>
      <c r="V386" s="891">
        <v>74.37</v>
      </c>
      <c r="W386" s="891">
        <v>1.19</v>
      </c>
      <c r="X386" s="927">
        <v>22213.64</v>
      </c>
      <c r="Y386" s="891">
        <v>826.25</v>
      </c>
      <c r="Z386" s="891">
        <v>700.21</v>
      </c>
      <c r="AA386" s="891">
        <v>1352.62</v>
      </c>
      <c r="AB386" s="891">
        <v>1158.97</v>
      </c>
      <c r="AC386" s="891">
        <v>144.87</v>
      </c>
      <c r="AD386" s="891">
        <v>0.24</v>
      </c>
      <c r="AE386" s="891">
        <v>48.29</v>
      </c>
      <c r="AF386" s="891">
        <v>42.52</v>
      </c>
      <c r="AG386" s="891">
        <v>14.49</v>
      </c>
      <c r="AH386" s="891">
        <v>9.9</v>
      </c>
      <c r="AI386" s="891">
        <v>50.71</v>
      </c>
      <c r="AJ386" s="891">
        <v>33.799999999999997</v>
      </c>
      <c r="AK386" s="891">
        <v>101.41</v>
      </c>
      <c r="AL386" s="891">
        <v>90.79</v>
      </c>
      <c r="AM386" s="891">
        <v>2810.51</v>
      </c>
      <c r="AN386" s="891">
        <v>2929.3</v>
      </c>
      <c r="AO386" s="891">
        <v>2414.5300000000002</v>
      </c>
      <c r="AP386" s="891">
        <v>3</v>
      </c>
      <c r="AQ386" s="891">
        <v>3.38</v>
      </c>
      <c r="AR386" s="891">
        <v>1.33</v>
      </c>
      <c r="AS386" s="891">
        <v>26.38</v>
      </c>
      <c r="AT386" s="891">
        <v>3.19</v>
      </c>
      <c r="AU386" s="891">
        <v>2.2200000000000002</v>
      </c>
      <c r="AV386" s="891">
        <v>1.41</v>
      </c>
      <c r="AW386" s="891">
        <v>1.21</v>
      </c>
      <c r="AX386" s="891">
        <v>2.9</v>
      </c>
      <c r="AY386" s="891">
        <v>4.13</v>
      </c>
      <c r="AZ386" s="891">
        <v>2.58</v>
      </c>
      <c r="BA386" s="891">
        <f t="shared" si="18"/>
        <v>193.4</v>
      </c>
      <c r="BB386" s="926">
        <f t="shared" si="19"/>
        <v>22322.680000000004</v>
      </c>
      <c r="BC386" s="926">
        <f t="shared" si="20"/>
        <v>107.85000000000451</v>
      </c>
      <c r="BD386" s="891"/>
      <c r="BE386" s="891"/>
      <c r="BF386" s="891"/>
      <c r="BG386" s="928"/>
      <c r="BH386" s="928"/>
      <c r="BI386" s="928"/>
    </row>
    <row r="387" spans="1:61">
      <c r="A387" s="891" t="s">
        <v>1158</v>
      </c>
      <c r="B387" s="891" t="s">
        <v>629</v>
      </c>
      <c r="C387" s="891" t="s">
        <v>301</v>
      </c>
      <c r="D387" s="891">
        <v>6.46</v>
      </c>
      <c r="E387" s="891">
        <v>25.86</v>
      </c>
      <c r="F387" s="891">
        <v>5.5</v>
      </c>
      <c r="G387" s="891">
        <v>1.94</v>
      </c>
      <c r="H387" s="891">
        <v>1.94</v>
      </c>
      <c r="I387" s="891">
        <v>0.97</v>
      </c>
      <c r="J387" s="891">
        <v>0.65</v>
      </c>
      <c r="K387" s="891">
        <v>0.81</v>
      </c>
      <c r="L387" s="891">
        <v>0.97</v>
      </c>
      <c r="M387" s="891">
        <v>2.33</v>
      </c>
      <c r="N387" s="891">
        <v>6.79</v>
      </c>
      <c r="O387" s="891">
        <v>0.65</v>
      </c>
      <c r="P387" s="891">
        <v>6.46</v>
      </c>
      <c r="Q387" s="891">
        <v>0.97</v>
      </c>
      <c r="R387" s="891">
        <v>1.29</v>
      </c>
      <c r="S387" s="891">
        <v>3.88</v>
      </c>
      <c r="T387" s="891">
        <v>0.97</v>
      </c>
      <c r="U387" s="891">
        <v>5.17</v>
      </c>
      <c r="V387" s="891">
        <v>29.09</v>
      </c>
      <c r="W387" s="891">
        <v>1.87</v>
      </c>
      <c r="X387" s="927">
        <v>22141.77</v>
      </c>
      <c r="Y387" s="891">
        <v>517.17999999999995</v>
      </c>
      <c r="Z387" s="891">
        <v>387.89</v>
      </c>
      <c r="AA387" s="891">
        <v>953.55</v>
      </c>
      <c r="AB387" s="891">
        <v>711.12</v>
      </c>
      <c r="AC387" s="891">
        <v>183.17</v>
      </c>
      <c r="AD387" s="891">
        <v>0.09</v>
      </c>
      <c r="AE387" s="891">
        <v>17.78</v>
      </c>
      <c r="AF387" s="891">
        <v>38.79</v>
      </c>
      <c r="AG387" s="891">
        <v>14.55</v>
      </c>
      <c r="AH387" s="891">
        <v>6.46</v>
      </c>
      <c r="AI387" s="891">
        <v>80.81</v>
      </c>
      <c r="AJ387" s="891">
        <v>48.49</v>
      </c>
      <c r="AK387" s="891">
        <v>80.81</v>
      </c>
      <c r="AL387" s="891">
        <v>96.97</v>
      </c>
      <c r="AM387" s="891">
        <v>2424.2800000000002</v>
      </c>
      <c r="AN387" s="891">
        <v>1616.19</v>
      </c>
      <c r="AO387" s="891">
        <v>808.09</v>
      </c>
      <c r="AP387" s="891">
        <v>5.2</v>
      </c>
      <c r="AQ387" s="891">
        <v>1.94</v>
      </c>
      <c r="AR387" s="891">
        <v>0.97</v>
      </c>
      <c r="AS387" s="891">
        <v>6.67</v>
      </c>
      <c r="AT387" s="891">
        <v>0.97</v>
      </c>
      <c r="AU387" s="891">
        <v>1.37</v>
      </c>
      <c r="AV387" s="891">
        <v>0.65</v>
      </c>
      <c r="AW387" s="891">
        <v>0.97</v>
      </c>
      <c r="AX387" s="891">
        <v>2.2599999999999998</v>
      </c>
      <c r="AY387" s="891">
        <v>0.97</v>
      </c>
      <c r="AZ387" s="891">
        <v>1.62</v>
      </c>
      <c r="BA387" s="891">
        <f t="shared" si="18"/>
        <v>201.04</v>
      </c>
      <c r="BB387" s="926">
        <f t="shared" si="19"/>
        <v>22183.279999999999</v>
      </c>
      <c r="BC387" s="926">
        <f t="shared" si="20"/>
        <v>39.639999999998402</v>
      </c>
      <c r="BD387" s="891"/>
      <c r="BE387" s="891"/>
      <c r="BF387" s="891"/>
      <c r="BG387" s="928"/>
      <c r="BH387" s="928"/>
      <c r="BI387" s="928"/>
    </row>
    <row r="388" spans="1:61">
      <c r="A388" s="891" t="s">
        <v>1159</v>
      </c>
      <c r="B388" s="891" t="s">
        <v>761</v>
      </c>
      <c r="C388" s="891" t="s">
        <v>339</v>
      </c>
      <c r="D388" s="891">
        <v>3.2</v>
      </c>
      <c r="E388" s="891">
        <v>17</v>
      </c>
      <c r="F388" s="891">
        <v>5</v>
      </c>
      <c r="G388" s="891">
        <v>1</v>
      </c>
      <c r="H388" s="891">
        <v>1.1399999999999999</v>
      </c>
      <c r="I388" s="891">
        <v>0.93</v>
      </c>
      <c r="J388" s="891">
        <v>0.3</v>
      </c>
      <c r="K388" s="891">
        <v>1.49</v>
      </c>
      <c r="L388" s="891">
        <v>0.72</v>
      </c>
      <c r="M388" s="891">
        <v>1.59</v>
      </c>
      <c r="N388" s="891">
        <v>13.5</v>
      </c>
      <c r="O388" s="891">
        <v>0.53</v>
      </c>
      <c r="P388" s="891">
        <v>16.78</v>
      </c>
      <c r="Q388" s="891">
        <v>1</v>
      </c>
      <c r="R388" s="891">
        <v>2.29</v>
      </c>
      <c r="S388" s="891">
        <v>2</v>
      </c>
      <c r="T388" s="891">
        <v>0.21</v>
      </c>
      <c r="U388" s="891">
        <v>3.71</v>
      </c>
      <c r="V388" s="891">
        <v>3.19</v>
      </c>
      <c r="W388" s="891">
        <v>1</v>
      </c>
      <c r="X388" s="927">
        <v>23850.09</v>
      </c>
      <c r="Y388" s="891">
        <v>572.41</v>
      </c>
      <c r="Z388" s="891">
        <v>228.05</v>
      </c>
      <c r="AA388" s="891">
        <v>1140.27</v>
      </c>
      <c r="AB388" s="891">
        <v>583.92999999999995</v>
      </c>
      <c r="AC388" s="891">
        <v>52.9</v>
      </c>
      <c r="AD388" s="891">
        <v>0.06</v>
      </c>
      <c r="AE388" s="891">
        <v>75</v>
      </c>
      <c r="AF388" s="891">
        <v>48.54</v>
      </c>
      <c r="AG388" s="891">
        <v>7.86</v>
      </c>
      <c r="AH388" s="891">
        <v>2.5</v>
      </c>
      <c r="AI388" s="891">
        <v>50</v>
      </c>
      <c r="AJ388" s="891">
        <v>16.2</v>
      </c>
      <c r="AK388" s="891">
        <v>79.5</v>
      </c>
      <c r="AL388" s="891">
        <v>92.17</v>
      </c>
      <c r="AM388" s="891">
        <v>1638.71</v>
      </c>
      <c r="AN388" s="891">
        <v>1119.68</v>
      </c>
      <c r="AO388" s="891">
        <v>192.34</v>
      </c>
      <c r="AP388" s="891">
        <v>10.5</v>
      </c>
      <c r="AQ388" s="891">
        <v>2.0699999999999998</v>
      </c>
      <c r="AR388" s="891">
        <v>1.5</v>
      </c>
      <c r="AS388" s="891">
        <v>5.86</v>
      </c>
      <c r="AT388" s="891">
        <v>2.5</v>
      </c>
      <c r="AU388" s="891">
        <v>2.64</v>
      </c>
      <c r="AV388" s="891">
        <v>0.79</v>
      </c>
      <c r="AW388" s="891">
        <v>0.73</v>
      </c>
      <c r="AX388" s="891">
        <v>1.82</v>
      </c>
      <c r="AY388" s="891">
        <v>0.87</v>
      </c>
      <c r="AZ388" s="891">
        <v>1.88</v>
      </c>
      <c r="BA388" s="891">
        <f t="shared" si="18"/>
        <v>127.96000000000001</v>
      </c>
      <c r="BB388" s="926">
        <f t="shared" si="19"/>
        <v>23863.920000000002</v>
      </c>
      <c r="BC388" s="926">
        <f t="shared" si="20"/>
        <v>12.830000000001746</v>
      </c>
      <c r="BD388" s="891"/>
      <c r="BE388" s="891"/>
      <c r="BF388" s="891"/>
      <c r="BG388" s="928"/>
      <c r="BH388" s="928"/>
      <c r="BI388" s="928"/>
    </row>
    <row r="389" spans="1:61">
      <c r="A389" s="891" t="s">
        <v>1160</v>
      </c>
      <c r="B389" s="891" t="s">
        <v>556</v>
      </c>
      <c r="C389" s="891" t="s">
        <v>245</v>
      </c>
      <c r="D389" s="891">
        <v>9.2799999999999994</v>
      </c>
      <c r="E389" s="891">
        <v>46.38</v>
      </c>
      <c r="F389" s="891">
        <v>7.34</v>
      </c>
      <c r="G389" s="891">
        <v>1.39</v>
      </c>
      <c r="H389" s="891">
        <v>1.86</v>
      </c>
      <c r="I389" s="891">
        <v>0.93</v>
      </c>
      <c r="J389" s="891">
        <v>0.77</v>
      </c>
      <c r="K389" s="891">
        <v>1.1599999999999999</v>
      </c>
      <c r="L389" s="891">
        <v>0.74</v>
      </c>
      <c r="M389" s="891">
        <v>1.52</v>
      </c>
      <c r="N389" s="891">
        <v>9.18</v>
      </c>
      <c r="O389" s="891">
        <v>0.93</v>
      </c>
      <c r="P389" s="891">
        <v>6.18</v>
      </c>
      <c r="Q389" s="891">
        <v>1.24</v>
      </c>
      <c r="R389" s="891">
        <v>1.86</v>
      </c>
      <c r="S389" s="891">
        <v>1.86</v>
      </c>
      <c r="T389" s="891">
        <v>0.71</v>
      </c>
      <c r="U389" s="891">
        <v>6.18</v>
      </c>
      <c r="V389" s="891">
        <v>46.38</v>
      </c>
      <c r="W389" s="891">
        <v>0.93</v>
      </c>
      <c r="X389" s="927">
        <v>21645.69</v>
      </c>
      <c r="Y389" s="891">
        <v>773.06</v>
      </c>
      <c r="Z389" s="891">
        <v>494.76</v>
      </c>
      <c r="AA389" s="891">
        <v>1314.2</v>
      </c>
      <c r="AB389" s="891">
        <v>989.52</v>
      </c>
      <c r="AC389" s="891">
        <v>167.17</v>
      </c>
      <c r="AD389" s="891">
        <v>0.03</v>
      </c>
      <c r="AE389" s="891">
        <v>12.37</v>
      </c>
      <c r="AF389" s="891">
        <v>77.31</v>
      </c>
      <c r="AG389" s="891">
        <v>27.83</v>
      </c>
      <c r="AH389" s="891">
        <v>6.18</v>
      </c>
      <c r="AI389" s="891">
        <v>108.23</v>
      </c>
      <c r="AJ389" s="891">
        <v>61.84</v>
      </c>
      <c r="AK389" s="891">
        <v>111.32</v>
      </c>
      <c r="AL389" s="891">
        <v>108.23</v>
      </c>
      <c r="AM389" s="891">
        <v>2489.25</v>
      </c>
      <c r="AN389" s="891">
        <v>1762.58</v>
      </c>
      <c r="AO389" s="891">
        <v>865.83</v>
      </c>
      <c r="AP389" s="891">
        <v>12.5</v>
      </c>
      <c r="AQ389" s="891">
        <v>3.71</v>
      </c>
      <c r="AR389" s="891">
        <v>0.46</v>
      </c>
      <c r="AS389" s="891">
        <v>5.88</v>
      </c>
      <c r="AT389" s="891">
        <v>2.0099999999999998</v>
      </c>
      <c r="AU389" s="891">
        <v>1.84</v>
      </c>
      <c r="AV389" s="891">
        <v>0.7</v>
      </c>
      <c r="AW389" s="891">
        <v>1.55</v>
      </c>
      <c r="AX389" s="891">
        <v>2.63</v>
      </c>
      <c r="AY389" s="891">
        <v>1.55</v>
      </c>
      <c r="AZ389" s="891">
        <v>2.13</v>
      </c>
      <c r="BA389" s="891">
        <f t="shared" si="18"/>
        <v>179.57</v>
      </c>
      <c r="BB389" s="926">
        <f t="shared" si="19"/>
        <v>21703.759999999998</v>
      </c>
      <c r="BC389" s="926">
        <f t="shared" si="20"/>
        <v>57.139999999999709</v>
      </c>
      <c r="BD389" s="891"/>
      <c r="BE389" s="891"/>
      <c r="BF389" s="891"/>
      <c r="BG389" s="928"/>
      <c r="BH389" s="928"/>
      <c r="BI389" s="928"/>
    </row>
    <row r="390" spans="1:61">
      <c r="A390" s="891" t="s">
        <v>1161</v>
      </c>
      <c r="B390" s="891" t="s">
        <v>762</v>
      </c>
      <c r="C390" s="891" t="s">
        <v>341</v>
      </c>
      <c r="D390" s="891">
        <v>9.8000000000000007</v>
      </c>
      <c r="E390" s="891">
        <v>24.5</v>
      </c>
      <c r="F390" s="891">
        <v>5</v>
      </c>
      <c r="G390" s="891">
        <v>1.33</v>
      </c>
      <c r="H390" s="891">
        <v>1.47</v>
      </c>
      <c r="I390" s="891">
        <v>0.66</v>
      </c>
      <c r="J390" s="891">
        <v>0.4</v>
      </c>
      <c r="K390" s="891">
        <v>0.87</v>
      </c>
      <c r="L390" s="891">
        <v>0.5</v>
      </c>
      <c r="M390" s="891">
        <v>1.82</v>
      </c>
      <c r="N390" s="891">
        <v>6</v>
      </c>
      <c r="O390" s="891">
        <v>0.59</v>
      </c>
      <c r="P390" s="891">
        <v>4.9000000000000004</v>
      </c>
      <c r="Q390" s="891">
        <v>0.92</v>
      </c>
      <c r="R390" s="891">
        <v>1.29</v>
      </c>
      <c r="S390" s="891">
        <v>1.39</v>
      </c>
      <c r="T390" s="891">
        <v>0.25</v>
      </c>
      <c r="U390" s="891">
        <v>4.66</v>
      </c>
      <c r="V390" s="891">
        <v>15</v>
      </c>
      <c r="W390" s="891">
        <v>1.2</v>
      </c>
      <c r="X390" s="927">
        <v>24501.4</v>
      </c>
      <c r="Y390" s="891">
        <v>436.12</v>
      </c>
      <c r="Z390" s="891">
        <v>150</v>
      </c>
      <c r="AA390" s="891">
        <v>800</v>
      </c>
      <c r="AB390" s="891">
        <v>495.01</v>
      </c>
      <c r="AC390" s="891">
        <v>100</v>
      </c>
      <c r="AD390" s="891">
        <v>0.08</v>
      </c>
      <c r="AE390" s="891">
        <v>20.5</v>
      </c>
      <c r="AF390" s="891">
        <v>60</v>
      </c>
      <c r="AG390" s="891">
        <v>24.38</v>
      </c>
      <c r="AH390" s="891">
        <v>4.17</v>
      </c>
      <c r="AI390" s="891">
        <v>61.25</v>
      </c>
      <c r="AJ390" s="891">
        <v>45</v>
      </c>
      <c r="AK390" s="891">
        <v>90</v>
      </c>
      <c r="AL390" s="891">
        <v>89</v>
      </c>
      <c r="AM390" s="891">
        <v>1800</v>
      </c>
      <c r="AN390" s="891">
        <v>700</v>
      </c>
      <c r="AO390" s="891">
        <v>300</v>
      </c>
      <c r="AP390" s="891">
        <v>13</v>
      </c>
      <c r="AQ390" s="891">
        <v>1.47</v>
      </c>
      <c r="AR390" s="891">
        <v>0.25</v>
      </c>
      <c r="AS390" s="891">
        <v>2.48</v>
      </c>
      <c r="AT390" s="891">
        <v>0.9</v>
      </c>
      <c r="AU390" s="891">
        <v>1.72</v>
      </c>
      <c r="AV390" s="891">
        <v>0.49</v>
      </c>
      <c r="AW390" s="891">
        <v>0.51</v>
      </c>
      <c r="AX390" s="891">
        <v>1.84</v>
      </c>
      <c r="AY390" s="891">
        <v>1.43</v>
      </c>
      <c r="AZ390" s="891">
        <v>0.75</v>
      </c>
      <c r="BA390" s="891">
        <f t="shared" si="18"/>
        <v>120.58</v>
      </c>
      <c r="BB390" s="926">
        <f t="shared" si="19"/>
        <v>24522.050000000003</v>
      </c>
      <c r="BC390" s="926">
        <f t="shared" si="20"/>
        <v>19.450000000001456</v>
      </c>
      <c r="BD390" s="891"/>
      <c r="BE390" s="891"/>
      <c r="BF390" s="891"/>
      <c r="BG390" s="928"/>
      <c r="BH390" s="928"/>
      <c r="BI390" s="928"/>
    </row>
    <row r="391" spans="1:61">
      <c r="A391" s="891" t="s">
        <v>1568</v>
      </c>
      <c r="B391" s="891" t="s">
        <v>607</v>
      </c>
      <c r="C391" s="891" t="s">
        <v>412</v>
      </c>
      <c r="D391" s="891">
        <v>8.91</v>
      </c>
      <c r="E391" s="891">
        <v>32.08</v>
      </c>
      <c r="F391" s="891">
        <v>6.24</v>
      </c>
      <c r="G391" s="891">
        <v>2.67</v>
      </c>
      <c r="H391" s="891">
        <v>2.85</v>
      </c>
      <c r="I391" s="891">
        <v>2.58</v>
      </c>
      <c r="J391" s="891">
        <v>1.78</v>
      </c>
      <c r="K391" s="891">
        <v>1.03</v>
      </c>
      <c r="L391" s="891">
        <v>1.25</v>
      </c>
      <c r="M391" s="891">
        <v>2.67</v>
      </c>
      <c r="N391" s="891">
        <v>10.69</v>
      </c>
      <c r="O391" s="891">
        <v>1.78</v>
      </c>
      <c r="P391" s="891">
        <v>8.91</v>
      </c>
      <c r="Q391" s="891">
        <v>1.43</v>
      </c>
      <c r="R391" s="891">
        <v>1.78</v>
      </c>
      <c r="S391" s="891">
        <v>4.28</v>
      </c>
      <c r="T391" s="891">
        <v>1.78</v>
      </c>
      <c r="U391" s="891">
        <v>7.13</v>
      </c>
      <c r="V391" s="891">
        <v>35.65</v>
      </c>
      <c r="W391" s="891">
        <v>1.8</v>
      </c>
      <c r="X391" s="927">
        <v>21389.23</v>
      </c>
      <c r="Y391" s="891">
        <v>267.37</v>
      </c>
      <c r="Z391" s="891">
        <v>338.66</v>
      </c>
      <c r="AA391" s="891">
        <v>712.97</v>
      </c>
      <c r="AB391" s="891">
        <v>534.73</v>
      </c>
      <c r="AC391" s="891">
        <v>124.77</v>
      </c>
      <c r="AD391" s="891">
        <v>0.18</v>
      </c>
      <c r="AE391" s="891">
        <v>19.61</v>
      </c>
      <c r="AF391" s="891">
        <v>44.56</v>
      </c>
      <c r="AG391" s="891">
        <v>8.91</v>
      </c>
      <c r="AH391" s="891">
        <v>6.24</v>
      </c>
      <c r="AI391" s="891">
        <v>115.86</v>
      </c>
      <c r="AJ391" s="891">
        <v>44.56</v>
      </c>
      <c r="AK391" s="891">
        <v>106.95</v>
      </c>
      <c r="AL391" s="891">
        <v>98.03</v>
      </c>
      <c r="AM391" s="891">
        <v>2513.23</v>
      </c>
      <c r="AN391" s="891">
        <v>2317.17</v>
      </c>
      <c r="AO391" s="891">
        <v>980.34</v>
      </c>
      <c r="AP391" s="891">
        <v>7</v>
      </c>
      <c r="AQ391" s="891">
        <v>4.46</v>
      </c>
      <c r="AR391" s="891">
        <v>1.78</v>
      </c>
      <c r="AS391" s="891">
        <v>10.69</v>
      </c>
      <c r="AT391" s="891">
        <v>1.96</v>
      </c>
      <c r="AU391" s="891">
        <v>1.78</v>
      </c>
      <c r="AV391" s="891">
        <v>0.89</v>
      </c>
      <c r="AW391" s="891">
        <v>0.89</v>
      </c>
      <c r="AX391" s="891">
        <v>1.6</v>
      </c>
      <c r="AY391" s="891">
        <v>2.14</v>
      </c>
      <c r="AZ391" s="891">
        <v>2.14</v>
      </c>
      <c r="BA391" s="891">
        <f t="shared" si="18"/>
        <v>144.56</v>
      </c>
      <c r="BB391" s="926">
        <f t="shared" si="19"/>
        <v>21445.389999999996</v>
      </c>
      <c r="BC391" s="926">
        <f t="shared" si="20"/>
        <v>54.359999999996219</v>
      </c>
      <c r="BD391" s="891"/>
      <c r="BE391" s="891"/>
      <c r="BF391" s="891"/>
      <c r="BG391" s="928"/>
      <c r="BH391" s="928"/>
      <c r="BI391" s="928"/>
    </row>
    <row r="392" spans="1:61">
      <c r="A392" s="891" t="s">
        <v>1162</v>
      </c>
      <c r="B392" s="891" t="s">
        <v>607</v>
      </c>
      <c r="C392" s="891" t="s">
        <v>212</v>
      </c>
      <c r="D392" s="891">
        <v>7.13</v>
      </c>
      <c r="E392" s="891">
        <v>35.65</v>
      </c>
      <c r="F392" s="891">
        <v>6.24</v>
      </c>
      <c r="G392" s="891">
        <v>2.5</v>
      </c>
      <c r="H392" s="891">
        <v>2.85</v>
      </c>
      <c r="I392" s="891">
        <v>2.3199999999999998</v>
      </c>
      <c r="J392" s="891">
        <v>1.78</v>
      </c>
      <c r="K392" s="891">
        <v>1.07</v>
      </c>
      <c r="L392" s="891">
        <v>1.07</v>
      </c>
      <c r="M392" s="891">
        <v>2.78</v>
      </c>
      <c r="N392" s="891">
        <v>9.27</v>
      </c>
      <c r="O392" s="891">
        <v>1.07</v>
      </c>
      <c r="P392" s="891">
        <v>7.13</v>
      </c>
      <c r="Q392" s="891">
        <v>1.1599999999999999</v>
      </c>
      <c r="R392" s="891">
        <v>1.6</v>
      </c>
      <c r="S392" s="891">
        <v>4.0999999999999996</v>
      </c>
      <c r="T392" s="891">
        <v>2.14</v>
      </c>
      <c r="U392" s="891">
        <v>9.8000000000000007</v>
      </c>
      <c r="V392" s="891">
        <v>64.17</v>
      </c>
      <c r="W392" s="891">
        <v>1.96</v>
      </c>
      <c r="X392" s="927">
        <v>24062.880000000001</v>
      </c>
      <c r="Y392" s="891">
        <v>445.61</v>
      </c>
      <c r="Z392" s="891">
        <v>320.83999999999997</v>
      </c>
      <c r="AA392" s="891">
        <v>730.8</v>
      </c>
      <c r="AB392" s="891">
        <v>534.73</v>
      </c>
      <c r="AC392" s="891">
        <v>267.37</v>
      </c>
      <c r="AD392" s="891">
        <v>0.18</v>
      </c>
      <c r="AE392" s="891">
        <v>26.74</v>
      </c>
      <c r="AF392" s="891">
        <v>45.98</v>
      </c>
      <c r="AG392" s="891">
        <v>12.48</v>
      </c>
      <c r="AH392" s="891">
        <v>6.24</v>
      </c>
      <c r="AI392" s="891">
        <v>89.12</v>
      </c>
      <c r="AJ392" s="891">
        <v>49.02</v>
      </c>
      <c r="AK392" s="891">
        <v>97</v>
      </c>
      <c r="AL392" s="891">
        <v>111.4</v>
      </c>
      <c r="AM392" s="891">
        <v>3342.07</v>
      </c>
      <c r="AN392" s="891">
        <v>2138.92</v>
      </c>
      <c r="AO392" s="891">
        <v>962.52</v>
      </c>
      <c r="AP392" s="891">
        <v>6.5</v>
      </c>
      <c r="AQ392" s="891">
        <v>2.5</v>
      </c>
      <c r="AR392" s="891">
        <v>0.89</v>
      </c>
      <c r="AS392" s="891">
        <v>7.13</v>
      </c>
      <c r="AT392" s="891">
        <v>1.78</v>
      </c>
      <c r="AU392" s="891">
        <v>1.78</v>
      </c>
      <c r="AV392" s="891">
        <v>0.89</v>
      </c>
      <c r="AW392" s="891">
        <v>0.89</v>
      </c>
      <c r="AX392" s="891">
        <v>1.78</v>
      </c>
      <c r="AY392" s="891">
        <v>2.14</v>
      </c>
      <c r="AZ392" s="891">
        <v>1.78</v>
      </c>
      <c r="BA392" s="891">
        <f t="shared" si="18"/>
        <v>294.29000000000002</v>
      </c>
      <c r="BB392" s="926">
        <f t="shared" si="19"/>
        <v>24141.670000000002</v>
      </c>
      <c r="BC392" s="926">
        <f t="shared" si="20"/>
        <v>76.830000000000879</v>
      </c>
      <c r="BD392" s="891"/>
      <c r="BE392" s="891"/>
      <c r="BF392" s="891"/>
      <c r="BG392" s="928"/>
      <c r="BH392" s="928"/>
      <c r="BI392" s="928"/>
    </row>
    <row r="393" spans="1:61">
      <c r="A393" s="891" t="s">
        <v>1163</v>
      </c>
      <c r="B393" s="891" t="s">
        <v>596</v>
      </c>
      <c r="C393" s="891" t="s">
        <v>196</v>
      </c>
      <c r="D393" s="891">
        <v>13.21</v>
      </c>
      <c r="E393" s="891">
        <v>37.25</v>
      </c>
      <c r="F393" s="891">
        <v>8.81</v>
      </c>
      <c r="G393" s="891">
        <v>4.0599999999999996</v>
      </c>
      <c r="H393" s="891">
        <v>4.0599999999999996</v>
      </c>
      <c r="I393" s="891">
        <v>2.71</v>
      </c>
      <c r="J393" s="891">
        <v>2.0299999999999998</v>
      </c>
      <c r="K393" s="891">
        <v>1.08</v>
      </c>
      <c r="L393" s="891">
        <v>0.95</v>
      </c>
      <c r="M393" s="891">
        <v>1.93</v>
      </c>
      <c r="N393" s="891">
        <v>12.19</v>
      </c>
      <c r="O393" s="891">
        <v>0.57999999999999996</v>
      </c>
      <c r="P393" s="891">
        <v>2.98</v>
      </c>
      <c r="Q393" s="891">
        <v>0.91</v>
      </c>
      <c r="R393" s="891">
        <v>1.49</v>
      </c>
      <c r="S393" s="891">
        <v>5.82</v>
      </c>
      <c r="T393" s="891">
        <v>1.69</v>
      </c>
      <c r="U393" s="891">
        <v>8.11</v>
      </c>
      <c r="V393" s="891">
        <v>56.75</v>
      </c>
      <c r="W393" s="891">
        <v>1.96</v>
      </c>
      <c r="X393" s="927">
        <v>29802.22</v>
      </c>
      <c r="Y393" s="891">
        <v>677.32</v>
      </c>
      <c r="Z393" s="891">
        <v>507.99</v>
      </c>
      <c r="AA393" s="891">
        <v>1151.45</v>
      </c>
      <c r="AB393" s="891">
        <v>609.59</v>
      </c>
      <c r="AC393" s="891">
        <v>203.2</v>
      </c>
      <c r="AD393" s="891">
        <v>0.14000000000000001</v>
      </c>
      <c r="AE393" s="891">
        <v>46.06</v>
      </c>
      <c r="AF393" s="891">
        <v>54.19</v>
      </c>
      <c r="AG393" s="891">
        <v>18.97</v>
      </c>
      <c r="AH393" s="891">
        <v>9.48</v>
      </c>
      <c r="AI393" s="891">
        <v>121.92</v>
      </c>
      <c r="AJ393" s="891">
        <v>33.869999999999997</v>
      </c>
      <c r="AK393" s="891">
        <v>108.37</v>
      </c>
      <c r="AL393" s="891">
        <v>108.37</v>
      </c>
      <c r="AM393" s="891">
        <v>3657.55</v>
      </c>
      <c r="AN393" s="891">
        <v>1794.91</v>
      </c>
      <c r="AO393" s="891">
        <v>1354.65</v>
      </c>
      <c r="AP393" s="891">
        <v>3</v>
      </c>
      <c r="AQ393" s="891">
        <v>3.16</v>
      </c>
      <c r="AR393" s="891">
        <v>1.35</v>
      </c>
      <c r="AS393" s="891">
        <v>31.16</v>
      </c>
      <c r="AT393" s="891">
        <v>1.22</v>
      </c>
      <c r="AU393" s="891">
        <v>1.35</v>
      </c>
      <c r="AV393" s="891">
        <v>0.87</v>
      </c>
      <c r="AW393" s="891">
        <v>0.75</v>
      </c>
      <c r="AX393" s="891">
        <v>1.63</v>
      </c>
      <c r="AY393" s="891">
        <v>1.25</v>
      </c>
      <c r="AZ393" s="891">
        <v>1.82</v>
      </c>
      <c r="BA393" s="891">
        <f t="shared" si="18"/>
        <v>249.39999999999998</v>
      </c>
      <c r="BB393" s="926">
        <f t="shared" si="19"/>
        <v>29898.29</v>
      </c>
      <c r="BC393" s="926">
        <f t="shared" si="20"/>
        <v>94.109999999999715</v>
      </c>
      <c r="BD393" s="891"/>
      <c r="BE393" s="891"/>
      <c r="BF393" s="891"/>
      <c r="BG393" s="928"/>
      <c r="BH393" s="928"/>
      <c r="BI393" s="928"/>
    </row>
    <row r="394" spans="1:61">
      <c r="A394" s="891" t="s">
        <v>1164</v>
      </c>
      <c r="B394" s="891" t="s">
        <v>578</v>
      </c>
      <c r="C394" s="891" t="s">
        <v>2</v>
      </c>
      <c r="D394" s="891">
        <v>26.86</v>
      </c>
      <c r="E394" s="891">
        <v>109.63</v>
      </c>
      <c r="F394" s="891">
        <v>14.25</v>
      </c>
      <c r="G394" s="891">
        <v>7.67</v>
      </c>
      <c r="H394" s="891">
        <v>6.58</v>
      </c>
      <c r="I394" s="891">
        <v>4.93</v>
      </c>
      <c r="J394" s="891">
        <v>4.17</v>
      </c>
      <c r="K394" s="891">
        <v>1.75</v>
      </c>
      <c r="L394" s="891">
        <v>3.29</v>
      </c>
      <c r="M394" s="891">
        <v>6.58</v>
      </c>
      <c r="N394" s="891">
        <v>21.93</v>
      </c>
      <c r="O394" s="891">
        <v>1.1000000000000001</v>
      </c>
      <c r="P394" s="891">
        <v>14.25</v>
      </c>
      <c r="Q394" s="891">
        <v>1.64</v>
      </c>
      <c r="R394" s="891">
        <v>1.86</v>
      </c>
      <c r="S394" s="891">
        <v>8.33</v>
      </c>
      <c r="T394" s="891">
        <v>4.3899999999999997</v>
      </c>
      <c r="U394" s="891">
        <v>32.89</v>
      </c>
      <c r="V394" s="891">
        <v>87.7</v>
      </c>
      <c r="W394" s="891">
        <v>2.08</v>
      </c>
      <c r="X394" s="927">
        <v>33983.78</v>
      </c>
      <c r="Y394" s="891">
        <v>1973.25</v>
      </c>
      <c r="Z394" s="891">
        <v>1315.5</v>
      </c>
      <c r="AA394" s="891">
        <v>3782.07</v>
      </c>
      <c r="AB394" s="891">
        <v>2192.5</v>
      </c>
      <c r="AC394" s="891">
        <v>186.36</v>
      </c>
      <c r="AD394" s="891">
        <v>0.33</v>
      </c>
      <c r="AE394" s="891">
        <v>53.72</v>
      </c>
      <c r="AF394" s="891">
        <v>109.63</v>
      </c>
      <c r="AG394" s="891">
        <v>43.85</v>
      </c>
      <c r="AH394" s="891">
        <v>19.73</v>
      </c>
      <c r="AI394" s="891">
        <v>163.34</v>
      </c>
      <c r="AJ394" s="891">
        <v>60.29</v>
      </c>
      <c r="AK394" s="891">
        <v>197.33</v>
      </c>
      <c r="AL394" s="891">
        <v>164.44</v>
      </c>
      <c r="AM394" s="891">
        <v>12606.88</v>
      </c>
      <c r="AN394" s="891">
        <v>8770.01</v>
      </c>
      <c r="AO394" s="891">
        <v>6248.63</v>
      </c>
      <c r="AP394" s="891">
        <v>2</v>
      </c>
      <c r="AQ394" s="891">
        <v>6.58</v>
      </c>
      <c r="AR394" s="891">
        <v>4.17</v>
      </c>
      <c r="AS394" s="891">
        <v>75.64</v>
      </c>
      <c r="AT394" s="891">
        <v>4.3899999999999997</v>
      </c>
      <c r="AU394" s="891">
        <v>4.3899999999999997</v>
      </c>
      <c r="AV394" s="891">
        <v>3.29</v>
      </c>
      <c r="AW394" s="891">
        <v>2.19</v>
      </c>
      <c r="AX394" s="891">
        <v>5.48</v>
      </c>
      <c r="AY394" s="891">
        <v>3.29</v>
      </c>
      <c r="AZ394" s="891">
        <v>4.8</v>
      </c>
      <c r="BA394" s="891">
        <f t="shared" si="18"/>
        <v>240.41000000000003</v>
      </c>
      <c r="BB394" s="926">
        <f t="shared" si="19"/>
        <v>34164.339999999997</v>
      </c>
      <c r="BC394" s="926">
        <f t="shared" si="20"/>
        <v>178.47999999999766</v>
      </c>
      <c r="BD394" s="891"/>
      <c r="BE394" s="891"/>
      <c r="BF394" s="891"/>
      <c r="BG394" s="928"/>
      <c r="BH394" s="928"/>
      <c r="BI394" s="928"/>
    </row>
    <row r="395" spans="1:61">
      <c r="A395" s="891"/>
      <c r="B395" s="923"/>
      <c r="C395" s="891"/>
      <c r="D395" s="891"/>
      <c r="E395" s="891"/>
      <c r="F395" s="891"/>
      <c r="G395" s="891"/>
      <c r="H395" s="891"/>
      <c r="I395" s="891"/>
      <c r="J395" s="891"/>
      <c r="K395" s="891"/>
      <c r="L395" s="891"/>
      <c r="M395" s="891"/>
      <c r="N395" s="891"/>
      <c r="O395" s="891"/>
      <c r="P395" s="891"/>
      <c r="Q395" s="891"/>
      <c r="R395" s="891"/>
      <c r="S395" s="891"/>
      <c r="T395" s="891"/>
      <c r="U395" s="891"/>
      <c r="V395" s="891"/>
      <c r="W395" s="891"/>
      <c r="X395" s="927"/>
      <c r="Y395" s="891"/>
      <c r="Z395" s="891"/>
      <c r="AA395" s="891"/>
      <c r="AB395" s="891"/>
      <c r="AC395" s="891"/>
      <c r="AD395" s="891"/>
      <c r="AE395" s="891"/>
      <c r="AF395" s="891"/>
      <c r="AG395" s="891"/>
      <c r="AH395" s="891"/>
      <c r="AI395" s="891"/>
      <c r="AJ395" s="891"/>
      <c r="AK395" s="891"/>
      <c r="AL395" s="891"/>
      <c r="AM395" s="891"/>
      <c r="AN395" s="891"/>
      <c r="AO395" s="891"/>
      <c r="AP395" s="891"/>
      <c r="AQ395" s="891"/>
      <c r="AR395" s="891"/>
      <c r="AS395" s="891"/>
      <c r="AT395" s="891"/>
      <c r="AU395" s="891"/>
      <c r="AV395" s="891"/>
      <c r="AW395" s="891"/>
      <c r="AX395" s="891"/>
      <c r="AY395" s="891"/>
      <c r="AZ395" s="891"/>
      <c r="BA395" s="891"/>
      <c r="BB395" s="891"/>
      <c r="BC395" s="891"/>
      <c r="BD395" s="891"/>
      <c r="BE395" s="891"/>
      <c r="BF395" s="891"/>
      <c r="BG395" s="928"/>
      <c r="BH395" s="928"/>
      <c r="BI395" s="928"/>
    </row>
    <row r="396" spans="1:61">
      <c r="A396" s="891"/>
      <c r="B396" s="923"/>
      <c r="C396" s="891"/>
      <c r="D396" s="891"/>
      <c r="E396" s="891"/>
      <c r="F396" s="891"/>
      <c r="G396" s="891"/>
      <c r="H396" s="891"/>
      <c r="I396" s="891"/>
      <c r="J396" s="891"/>
      <c r="K396" s="891"/>
      <c r="L396" s="891"/>
      <c r="M396" s="891"/>
      <c r="N396" s="891"/>
      <c r="O396" s="891"/>
      <c r="P396" s="891"/>
      <c r="Q396" s="891"/>
      <c r="R396" s="891"/>
      <c r="S396" s="891"/>
      <c r="T396" s="891"/>
      <c r="U396" s="891"/>
      <c r="V396" s="891"/>
      <c r="W396" s="891"/>
      <c r="X396" s="927"/>
      <c r="Y396" s="891"/>
      <c r="Z396" s="891"/>
      <c r="AA396" s="891"/>
      <c r="AB396" s="891"/>
      <c r="AC396" s="891"/>
      <c r="AD396" s="891"/>
      <c r="AE396" s="891"/>
      <c r="AF396" s="891"/>
      <c r="AG396" s="891"/>
      <c r="AH396" s="891"/>
      <c r="AI396" s="891"/>
      <c r="AJ396" s="891"/>
      <c r="AK396" s="891"/>
      <c r="AL396" s="891"/>
      <c r="AM396" s="891"/>
      <c r="AN396" s="891"/>
      <c r="AO396" s="891"/>
      <c r="AP396" s="891"/>
      <c r="AQ396" s="891"/>
      <c r="AR396" s="891"/>
      <c r="AS396" s="891"/>
      <c r="AT396" s="891"/>
      <c r="AU396" s="891"/>
      <c r="AV396" s="891"/>
      <c r="AW396" s="891"/>
      <c r="AX396" s="891"/>
      <c r="AY396" s="891"/>
      <c r="AZ396" s="891"/>
      <c r="BA396" s="891"/>
      <c r="BB396" s="891"/>
      <c r="BC396" s="891"/>
      <c r="BD396" s="891"/>
      <c r="BE396" s="891"/>
      <c r="BF396" s="891"/>
      <c r="BG396" s="928"/>
      <c r="BH396" s="928"/>
      <c r="BI396" s="928"/>
    </row>
    <row r="397" spans="1:61">
      <c r="A397" s="891"/>
      <c r="B397" s="923"/>
      <c r="C397" s="891"/>
      <c r="D397" s="891"/>
      <c r="E397" s="891"/>
      <c r="F397" s="891"/>
      <c r="G397" s="891"/>
      <c r="H397" s="891"/>
      <c r="I397" s="891"/>
      <c r="J397" s="891"/>
      <c r="K397" s="891"/>
      <c r="L397" s="891"/>
      <c r="M397" s="891"/>
      <c r="N397" s="891"/>
      <c r="O397" s="891"/>
      <c r="P397" s="891"/>
      <c r="Q397" s="891"/>
      <c r="R397" s="891"/>
      <c r="S397" s="891"/>
      <c r="T397" s="891"/>
      <c r="U397" s="891"/>
      <c r="V397" s="891"/>
      <c r="W397" s="891"/>
      <c r="X397" s="927"/>
      <c r="Y397" s="891"/>
      <c r="Z397" s="891"/>
      <c r="AA397" s="891"/>
      <c r="AB397" s="891"/>
      <c r="AC397" s="891"/>
      <c r="AD397" s="891"/>
      <c r="AE397" s="891"/>
      <c r="AF397" s="891"/>
      <c r="AG397" s="891"/>
      <c r="AH397" s="891"/>
      <c r="AI397" s="891"/>
      <c r="AJ397" s="891"/>
      <c r="AK397" s="891"/>
      <c r="AL397" s="891"/>
      <c r="AM397" s="891"/>
      <c r="AN397" s="891"/>
      <c r="AO397" s="891"/>
      <c r="AP397" s="891"/>
      <c r="AQ397" s="891"/>
      <c r="AR397" s="891"/>
      <c r="AS397" s="891"/>
      <c r="AT397" s="891"/>
      <c r="AU397" s="891"/>
      <c r="AV397" s="891"/>
      <c r="AW397" s="891"/>
      <c r="AX397" s="891"/>
      <c r="AY397" s="891"/>
      <c r="AZ397" s="891"/>
      <c r="BA397" s="891"/>
      <c r="BB397" s="891"/>
      <c r="BC397" s="891"/>
      <c r="BD397" s="891"/>
      <c r="BE397" s="891"/>
      <c r="BF397" s="891"/>
      <c r="BG397" s="928"/>
      <c r="BH397" s="928"/>
      <c r="BI397" s="928"/>
    </row>
    <row r="398" spans="1:61">
      <c r="A398" s="891"/>
      <c r="B398" s="923"/>
      <c r="C398" s="891"/>
      <c r="D398" s="891"/>
      <c r="E398" s="891"/>
      <c r="F398" s="891"/>
      <c r="G398" s="891"/>
      <c r="H398" s="891"/>
      <c r="I398" s="891"/>
      <c r="J398" s="891"/>
      <c r="K398" s="891"/>
      <c r="L398" s="891"/>
      <c r="M398" s="891"/>
      <c r="N398" s="891"/>
      <c r="O398" s="891"/>
      <c r="P398" s="891"/>
      <c r="Q398" s="891"/>
      <c r="R398" s="891"/>
      <c r="S398" s="891"/>
      <c r="T398" s="891"/>
      <c r="U398" s="891"/>
      <c r="V398" s="891"/>
      <c r="W398" s="891"/>
      <c r="X398" s="927"/>
      <c r="Y398" s="891"/>
      <c r="Z398" s="891"/>
      <c r="AA398" s="891"/>
      <c r="AB398" s="891"/>
      <c r="AC398" s="891"/>
      <c r="AD398" s="891"/>
      <c r="AE398" s="891"/>
      <c r="AF398" s="891"/>
      <c r="AG398" s="891"/>
      <c r="AH398" s="891"/>
      <c r="AI398" s="891"/>
      <c r="AJ398" s="891"/>
      <c r="AK398" s="891"/>
      <c r="AL398" s="891"/>
      <c r="AM398" s="891"/>
      <c r="AN398" s="891"/>
      <c r="AO398" s="891"/>
      <c r="AP398" s="891"/>
      <c r="AQ398" s="891"/>
      <c r="AR398" s="891"/>
      <c r="AS398" s="891"/>
      <c r="AT398" s="891"/>
      <c r="AU398" s="891"/>
      <c r="AV398" s="891"/>
      <c r="AW398" s="891"/>
      <c r="AX398" s="891"/>
      <c r="AY398" s="891"/>
      <c r="AZ398" s="891"/>
      <c r="BA398" s="891"/>
      <c r="BB398" s="891"/>
      <c r="BC398" s="891"/>
      <c r="BD398" s="891"/>
      <c r="BE398" s="891"/>
      <c r="BF398" s="891"/>
      <c r="BG398" s="928"/>
      <c r="BH398" s="928"/>
      <c r="BI398" s="928"/>
    </row>
    <row r="399" spans="1:61">
      <c r="A399" s="891"/>
      <c r="B399" s="923"/>
      <c r="C399" s="891"/>
      <c r="D399" s="891"/>
      <c r="E399" s="891"/>
      <c r="F399" s="891"/>
      <c r="G399" s="891"/>
      <c r="H399" s="891"/>
      <c r="I399" s="891"/>
      <c r="J399" s="891"/>
      <c r="K399" s="891"/>
      <c r="L399" s="891"/>
      <c r="M399" s="891"/>
      <c r="N399" s="891"/>
      <c r="O399" s="891"/>
      <c r="P399" s="891"/>
      <c r="Q399" s="891"/>
      <c r="R399" s="891"/>
      <c r="S399" s="891"/>
      <c r="T399" s="891"/>
      <c r="U399" s="891"/>
      <c r="V399" s="891"/>
      <c r="W399" s="891"/>
      <c r="X399" s="927"/>
      <c r="Y399" s="891"/>
      <c r="Z399" s="891"/>
      <c r="AA399" s="891"/>
      <c r="AB399" s="891"/>
      <c r="AC399" s="891"/>
      <c r="AD399" s="891"/>
      <c r="AE399" s="891"/>
      <c r="AF399" s="891"/>
      <c r="AG399" s="891"/>
      <c r="AH399" s="891"/>
      <c r="AI399" s="891"/>
      <c r="AJ399" s="891"/>
      <c r="AK399" s="891"/>
      <c r="AL399" s="891"/>
      <c r="AM399" s="891"/>
      <c r="AN399" s="891"/>
      <c r="AO399" s="891"/>
      <c r="AP399" s="891"/>
      <c r="AQ399" s="891"/>
      <c r="AR399" s="891"/>
      <c r="AS399" s="891"/>
      <c r="AT399" s="891"/>
      <c r="AU399" s="891"/>
      <c r="AV399" s="891"/>
      <c r="AW399" s="891"/>
      <c r="AX399" s="891"/>
      <c r="AY399" s="891"/>
      <c r="AZ399" s="891"/>
      <c r="BA399" s="891"/>
      <c r="BB399" s="891"/>
      <c r="BC399" s="891"/>
      <c r="BD399" s="891"/>
      <c r="BE399" s="891"/>
      <c r="BF399" s="891"/>
      <c r="BG399" s="928"/>
      <c r="BH399" s="928"/>
      <c r="BI399" s="928"/>
    </row>
    <row r="400" spans="1:61">
      <c r="A400" s="891"/>
      <c r="B400" s="923"/>
      <c r="C400" s="891"/>
      <c r="D400" s="891"/>
      <c r="E400" s="891"/>
      <c r="F400" s="891"/>
      <c r="G400" s="891"/>
      <c r="H400" s="891"/>
      <c r="I400" s="891"/>
      <c r="J400" s="891"/>
      <c r="K400" s="891"/>
      <c r="L400" s="891"/>
      <c r="M400" s="891"/>
      <c r="N400" s="891"/>
      <c r="O400" s="891"/>
      <c r="P400" s="891"/>
      <c r="Q400" s="891"/>
      <c r="R400" s="891"/>
      <c r="S400" s="891"/>
      <c r="T400" s="891"/>
      <c r="U400" s="891"/>
      <c r="V400" s="891"/>
      <c r="W400" s="891"/>
      <c r="X400" s="927"/>
      <c r="Y400" s="891"/>
      <c r="Z400" s="891"/>
      <c r="AA400" s="891"/>
      <c r="AB400" s="891"/>
      <c r="AC400" s="891"/>
      <c r="AD400" s="891"/>
      <c r="AE400" s="891"/>
      <c r="AF400" s="891"/>
      <c r="AG400" s="891"/>
      <c r="AH400" s="891"/>
      <c r="AI400" s="891"/>
      <c r="AJ400" s="891"/>
      <c r="AK400" s="891"/>
      <c r="AL400" s="891"/>
      <c r="AM400" s="891"/>
      <c r="AN400" s="891"/>
      <c r="AO400" s="891"/>
      <c r="AP400" s="891"/>
      <c r="AQ400" s="891"/>
      <c r="AR400" s="891"/>
      <c r="AS400" s="891"/>
      <c r="AT400" s="891"/>
      <c r="AU400" s="891"/>
      <c r="AV400" s="891"/>
      <c r="AW400" s="891"/>
      <c r="AX400" s="891"/>
      <c r="AY400" s="891"/>
      <c r="AZ400" s="891"/>
      <c r="BA400" s="891"/>
      <c r="BB400" s="891"/>
      <c r="BC400" s="891"/>
      <c r="BD400" s="891"/>
      <c r="BE400" s="891"/>
      <c r="BF400" s="891"/>
      <c r="BG400" s="928"/>
      <c r="BH400" s="928"/>
      <c r="BI400" s="928"/>
    </row>
    <row r="401" spans="1:61">
      <c r="A401" s="891"/>
      <c r="B401" s="923"/>
      <c r="C401" s="891"/>
      <c r="D401" s="891"/>
      <c r="E401" s="891"/>
      <c r="F401" s="891"/>
      <c r="G401" s="891"/>
      <c r="H401" s="891"/>
      <c r="I401" s="891"/>
      <c r="J401" s="891"/>
      <c r="K401" s="891"/>
      <c r="L401" s="891"/>
      <c r="M401" s="891"/>
      <c r="N401" s="891"/>
      <c r="O401" s="891"/>
      <c r="P401" s="891"/>
      <c r="Q401" s="891"/>
      <c r="R401" s="891"/>
      <c r="S401" s="891"/>
      <c r="T401" s="891"/>
      <c r="U401" s="891"/>
      <c r="V401" s="891"/>
      <c r="W401" s="891"/>
      <c r="X401" s="927"/>
      <c r="Y401" s="891"/>
      <c r="Z401" s="891"/>
      <c r="AA401" s="891"/>
      <c r="AB401" s="891"/>
      <c r="AC401" s="891"/>
      <c r="AD401" s="891"/>
      <c r="AE401" s="891"/>
      <c r="AF401" s="891"/>
      <c r="AG401" s="891"/>
      <c r="AH401" s="891"/>
      <c r="AI401" s="891"/>
      <c r="AJ401" s="891"/>
      <c r="AK401" s="891"/>
      <c r="AL401" s="891"/>
      <c r="AM401" s="891"/>
      <c r="AN401" s="891"/>
      <c r="AO401" s="891"/>
      <c r="AP401" s="891"/>
      <c r="AQ401" s="891"/>
      <c r="AR401" s="891"/>
      <c r="AS401" s="891"/>
      <c r="AT401" s="891"/>
      <c r="AU401" s="891"/>
      <c r="AV401" s="891"/>
      <c r="AW401" s="891"/>
      <c r="AX401" s="891"/>
      <c r="AY401" s="891"/>
      <c r="AZ401" s="891"/>
      <c r="BA401" s="891"/>
      <c r="BB401" s="891"/>
      <c r="BC401" s="891"/>
      <c r="BD401" s="891"/>
      <c r="BE401" s="891"/>
      <c r="BF401" s="891"/>
      <c r="BG401" s="928"/>
      <c r="BH401" s="928"/>
      <c r="BI401" s="928"/>
    </row>
    <row r="402" spans="1:61">
      <c r="A402" s="891"/>
      <c r="B402" s="923"/>
      <c r="C402" s="891"/>
      <c r="D402" s="891"/>
      <c r="E402" s="891"/>
      <c r="F402" s="891"/>
      <c r="G402" s="891"/>
      <c r="H402" s="891"/>
      <c r="I402" s="891"/>
      <c r="J402" s="891"/>
      <c r="K402" s="891"/>
      <c r="L402" s="891"/>
      <c r="M402" s="891"/>
      <c r="N402" s="891"/>
      <c r="O402" s="891"/>
      <c r="P402" s="891"/>
      <c r="Q402" s="891"/>
      <c r="R402" s="891"/>
      <c r="S402" s="891"/>
      <c r="T402" s="891"/>
      <c r="U402" s="891"/>
      <c r="V402" s="891"/>
      <c r="W402" s="891"/>
      <c r="X402" s="927"/>
      <c r="Y402" s="891"/>
      <c r="Z402" s="891"/>
      <c r="AA402" s="891"/>
      <c r="AB402" s="891"/>
      <c r="AC402" s="891"/>
      <c r="AD402" s="891"/>
      <c r="AE402" s="891"/>
      <c r="AF402" s="891"/>
      <c r="AG402" s="891"/>
      <c r="AH402" s="891"/>
      <c r="AI402" s="891"/>
      <c r="AJ402" s="891"/>
      <c r="AK402" s="891"/>
      <c r="AL402" s="891"/>
      <c r="AM402" s="891"/>
      <c r="AN402" s="891"/>
      <c r="AO402" s="891"/>
      <c r="AP402" s="891"/>
      <c r="AQ402" s="891"/>
      <c r="AR402" s="891"/>
      <c r="AS402" s="891"/>
      <c r="AT402" s="891"/>
      <c r="AU402" s="891"/>
      <c r="AV402" s="891"/>
      <c r="AW402" s="891"/>
      <c r="AX402" s="891"/>
      <c r="AY402" s="891"/>
      <c r="AZ402" s="891"/>
      <c r="BA402" s="891"/>
      <c r="BB402" s="891"/>
      <c r="BC402" s="891"/>
      <c r="BD402" s="891"/>
      <c r="BE402" s="891"/>
      <c r="BF402" s="891"/>
      <c r="BG402" s="928"/>
      <c r="BH402" s="928"/>
      <c r="BI402" s="928"/>
    </row>
    <row r="403" spans="1:61">
      <c r="A403" s="891"/>
      <c r="B403" s="923"/>
      <c r="C403" s="891"/>
      <c r="D403" s="891"/>
      <c r="E403" s="891"/>
      <c r="F403" s="891"/>
      <c r="G403" s="891"/>
      <c r="H403" s="891"/>
      <c r="I403" s="891"/>
      <c r="J403" s="891"/>
      <c r="K403" s="891"/>
      <c r="L403" s="891"/>
      <c r="M403" s="891"/>
      <c r="N403" s="891"/>
      <c r="O403" s="891"/>
      <c r="P403" s="891"/>
      <c r="Q403" s="891"/>
      <c r="R403" s="891"/>
      <c r="S403" s="891"/>
      <c r="T403" s="891"/>
      <c r="U403" s="891"/>
      <c r="V403" s="891"/>
      <c r="W403" s="891"/>
      <c r="X403" s="927"/>
      <c r="Y403" s="891"/>
      <c r="Z403" s="891"/>
      <c r="AA403" s="891"/>
      <c r="AB403" s="891"/>
      <c r="AC403" s="891"/>
      <c r="AD403" s="891"/>
      <c r="AE403" s="891"/>
      <c r="AF403" s="891"/>
      <c r="AG403" s="891"/>
      <c r="AH403" s="891"/>
      <c r="AI403" s="891"/>
      <c r="AJ403" s="891"/>
      <c r="AK403" s="891"/>
      <c r="AL403" s="891"/>
      <c r="AM403" s="891"/>
      <c r="AN403" s="891"/>
      <c r="AO403" s="891"/>
      <c r="AP403" s="891"/>
      <c r="AQ403" s="891"/>
      <c r="AR403" s="891"/>
      <c r="AS403" s="891"/>
      <c r="AT403" s="891"/>
      <c r="AU403" s="891"/>
      <c r="AV403" s="891"/>
      <c r="AW403" s="891"/>
      <c r="AX403" s="891"/>
      <c r="AY403" s="891"/>
      <c r="AZ403" s="891"/>
      <c r="BA403" s="891"/>
      <c r="BB403" s="891"/>
      <c r="BC403" s="891"/>
      <c r="BD403" s="891"/>
      <c r="BE403" s="891"/>
      <c r="BF403" s="891"/>
      <c r="BG403" s="928"/>
      <c r="BH403" s="928"/>
      <c r="BI403" s="928"/>
    </row>
    <row r="404" spans="1:61">
      <c r="A404" s="891"/>
      <c r="B404" s="923"/>
      <c r="C404" s="891"/>
      <c r="D404" s="891"/>
      <c r="E404" s="891"/>
      <c r="F404" s="891"/>
      <c r="G404" s="891"/>
      <c r="H404" s="891"/>
      <c r="I404" s="891"/>
      <c r="J404" s="891"/>
      <c r="K404" s="891"/>
      <c r="L404" s="891"/>
      <c r="M404" s="891"/>
      <c r="N404" s="891"/>
      <c r="O404" s="891"/>
      <c r="P404" s="891"/>
      <c r="Q404" s="891"/>
      <c r="R404" s="891"/>
      <c r="S404" s="891"/>
      <c r="T404" s="891"/>
      <c r="U404" s="891"/>
      <c r="V404" s="891"/>
      <c r="W404" s="891"/>
      <c r="X404" s="927"/>
      <c r="Y404" s="891"/>
      <c r="Z404" s="891"/>
      <c r="AA404" s="891"/>
      <c r="AB404" s="891"/>
      <c r="AC404" s="891"/>
      <c r="AD404" s="891"/>
      <c r="AE404" s="891"/>
      <c r="AF404" s="891"/>
      <c r="AG404" s="891"/>
      <c r="AH404" s="891"/>
      <c r="AI404" s="891"/>
      <c r="AJ404" s="891"/>
      <c r="AK404" s="891"/>
      <c r="AL404" s="891"/>
      <c r="AM404" s="891"/>
      <c r="AN404" s="891"/>
      <c r="AO404" s="891"/>
      <c r="AP404" s="891"/>
      <c r="AQ404" s="891"/>
      <c r="AR404" s="891"/>
      <c r="AS404" s="891"/>
      <c r="AT404" s="891"/>
      <c r="AU404" s="891"/>
      <c r="AV404" s="891"/>
      <c r="AW404" s="891"/>
      <c r="AX404" s="891"/>
      <c r="AY404" s="891"/>
      <c r="AZ404" s="891"/>
      <c r="BA404" s="891"/>
      <c r="BB404" s="891"/>
      <c r="BC404" s="891"/>
      <c r="BD404" s="891"/>
      <c r="BE404" s="891"/>
      <c r="BF404" s="891"/>
      <c r="BG404" s="928"/>
      <c r="BH404" s="928"/>
      <c r="BI404" s="928"/>
    </row>
    <row r="405" spans="1:61">
      <c r="A405" s="891"/>
      <c r="B405" s="923"/>
      <c r="C405" s="891"/>
      <c r="D405" s="891"/>
      <c r="E405" s="891"/>
      <c r="F405" s="891"/>
      <c r="G405" s="891"/>
      <c r="H405" s="891"/>
      <c r="I405" s="891"/>
      <c r="J405" s="891"/>
      <c r="K405" s="891"/>
      <c r="L405" s="891"/>
      <c r="M405" s="891"/>
      <c r="N405" s="891"/>
      <c r="O405" s="891"/>
      <c r="P405" s="891"/>
      <c r="Q405" s="891"/>
      <c r="R405" s="891"/>
      <c r="S405" s="891"/>
      <c r="T405" s="891"/>
      <c r="U405" s="891"/>
      <c r="V405" s="891"/>
      <c r="W405" s="891"/>
      <c r="X405" s="927"/>
      <c r="Y405" s="891"/>
      <c r="Z405" s="891"/>
      <c r="AA405" s="891"/>
      <c r="AB405" s="891"/>
      <c r="AC405" s="891"/>
      <c r="AD405" s="891"/>
      <c r="AE405" s="891"/>
      <c r="AF405" s="891"/>
      <c r="AG405" s="891"/>
      <c r="AH405" s="891"/>
      <c r="AI405" s="891"/>
      <c r="AJ405" s="891"/>
      <c r="AK405" s="891"/>
      <c r="AL405" s="891"/>
      <c r="AM405" s="891"/>
      <c r="AN405" s="891"/>
      <c r="AO405" s="891"/>
      <c r="AP405" s="891"/>
      <c r="AQ405" s="891"/>
      <c r="AR405" s="891"/>
      <c r="AS405" s="891"/>
      <c r="AT405" s="891"/>
      <c r="AU405" s="891"/>
      <c r="AV405" s="891"/>
      <c r="AW405" s="891"/>
      <c r="AX405" s="891"/>
      <c r="AY405" s="891"/>
      <c r="AZ405" s="891"/>
      <c r="BA405" s="891"/>
      <c r="BB405" s="891"/>
      <c r="BC405" s="891"/>
      <c r="BD405" s="891"/>
      <c r="BE405" s="891"/>
      <c r="BF405" s="891"/>
      <c r="BG405" s="928"/>
      <c r="BH405" s="928"/>
      <c r="BI405" s="928"/>
    </row>
    <row r="406" spans="1:61">
      <c r="A406" s="891"/>
      <c r="B406" s="923"/>
      <c r="C406" s="891"/>
      <c r="D406" s="891"/>
      <c r="E406" s="891"/>
      <c r="F406" s="891"/>
      <c r="G406" s="891"/>
      <c r="H406" s="891"/>
      <c r="I406" s="891"/>
      <c r="J406" s="891"/>
      <c r="K406" s="891"/>
      <c r="L406" s="891"/>
      <c r="M406" s="891"/>
      <c r="N406" s="891"/>
      <c r="O406" s="891"/>
      <c r="P406" s="891"/>
      <c r="Q406" s="891"/>
      <c r="R406" s="891"/>
      <c r="S406" s="891"/>
      <c r="T406" s="891"/>
      <c r="U406" s="891"/>
      <c r="V406" s="891"/>
      <c r="W406" s="891"/>
      <c r="X406" s="927"/>
      <c r="Y406" s="891"/>
      <c r="Z406" s="891"/>
      <c r="AA406" s="891"/>
      <c r="AB406" s="891"/>
      <c r="AC406" s="891"/>
      <c r="AD406" s="891"/>
      <c r="AE406" s="891"/>
      <c r="AF406" s="891"/>
      <c r="AG406" s="891"/>
      <c r="AH406" s="891"/>
      <c r="AI406" s="891"/>
      <c r="AJ406" s="891"/>
      <c r="AK406" s="891"/>
      <c r="AL406" s="891"/>
      <c r="AM406" s="891"/>
      <c r="AN406" s="891"/>
      <c r="AO406" s="891"/>
      <c r="AP406" s="891"/>
      <c r="AQ406" s="891"/>
      <c r="AR406" s="891"/>
      <c r="AS406" s="891"/>
      <c r="AT406" s="891"/>
      <c r="AU406" s="891"/>
      <c r="AV406" s="891"/>
      <c r="AW406" s="891"/>
      <c r="AX406" s="891"/>
      <c r="AY406" s="891"/>
      <c r="AZ406" s="891"/>
      <c r="BA406" s="891"/>
      <c r="BB406" s="891"/>
      <c r="BC406" s="891"/>
      <c r="BD406" s="891"/>
      <c r="BE406" s="891"/>
      <c r="BF406" s="891"/>
      <c r="BG406" s="928"/>
      <c r="BH406" s="928"/>
      <c r="BI406" s="928"/>
    </row>
    <row r="407" spans="1:61">
      <c r="A407" s="891"/>
      <c r="B407" s="923"/>
      <c r="C407" s="891"/>
      <c r="D407" s="891"/>
      <c r="E407" s="891"/>
      <c r="F407" s="891"/>
      <c r="G407" s="891"/>
      <c r="H407" s="891"/>
      <c r="I407" s="891"/>
      <c r="J407" s="891"/>
      <c r="K407" s="891"/>
      <c r="L407" s="891"/>
      <c r="M407" s="891"/>
      <c r="N407" s="891"/>
      <c r="O407" s="891"/>
      <c r="P407" s="891"/>
      <c r="Q407" s="891"/>
      <c r="R407" s="891"/>
      <c r="S407" s="891"/>
      <c r="T407" s="891"/>
      <c r="U407" s="891"/>
      <c r="V407" s="891"/>
      <c r="W407" s="891"/>
      <c r="X407" s="927"/>
      <c r="Y407" s="891"/>
      <c r="Z407" s="891"/>
      <c r="AA407" s="891"/>
      <c r="AB407" s="891"/>
      <c r="AC407" s="891"/>
      <c r="AD407" s="891"/>
      <c r="AE407" s="891"/>
      <c r="AF407" s="891"/>
      <c r="AG407" s="891"/>
      <c r="AH407" s="891"/>
      <c r="AI407" s="891"/>
      <c r="AJ407" s="891"/>
      <c r="AK407" s="891"/>
      <c r="AL407" s="891"/>
      <c r="AM407" s="891"/>
      <c r="AN407" s="891"/>
      <c r="AO407" s="891"/>
      <c r="AP407" s="891"/>
      <c r="AQ407" s="891"/>
      <c r="AR407" s="891"/>
      <c r="AS407" s="891"/>
      <c r="AT407" s="891"/>
      <c r="AU407" s="891"/>
      <c r="AV407" s="891"/>
      <c r="AW407" s="891"/>
      <c r="AX407" s="891"/>
      <c r="AY407" s="891"/>
      <c r="AZ407" s="891"/>
      <c r="BA407" s="891"/>
      <c r="BB407" s="891"/>
      <c r="BC407" s="891"/>
      <c r="BD407" s="891"/>
      <c r="BE407" s="891"/>
      <c r="BF407" s="891"/>
      <c r="BG407" s="928"/>
      <c r="BH407" s="928"/>
      <c r="BI407" s="928"/>
    </row>
    <row r="408" spans="1:61">
      <c r="A408" s="928"/>
      <c r="B408" s="929"/>
      <c r="C408" s="928"/>
      <c r="D408" s="928"/>
      <c r="E408" s="928"/>
      <c r="F408" s="928"/>
      <c r="G408" s="928"/>
      <c r="H408" s="928"/>
      <c r="I408" s="928"/>
      <c r="J408" s="928"/>
      <c r="K408" s="928"/>
      <c r="L408" s="928"/>
      <c r="M408" s="928"/>
      <c r="N408" s="928"/>
      <c r="O408" s="928"/>
      <c r="P408" s="928"/>
      <c r="Q408" s="928"/>
      <c r="R408" s="928"/>
      <c r="S408" s="928"/>
      <c r="T408" s="928"/>
      <c r="U408" s="928"/>
      <c r="V408" s="928"/>
      <c r="W408" s="928"/>
      <c r="X408" s="931"/>
      <c r="Y408" s="928"/>
      <c r="Z408" s="928"/>
      <c r="AA408" s="928"/>
      <c r="AB408" s="928"/>
      <c r="AC408" s="928"/>
      <c r="AD408" s="928"/>
      <c r="AE408" s="928"/>
      <c r="AF408" s="928"/>
      <c r="AG408" s="928"/>
      <c r="AH408" s="928"/>
      <c r="AI408" s="928"/>
      <c r="AJ408" s="928"/>
      <c r="AK408" s="928"/>
      <c r="AL408" s="928"/>
      <c r="AM408" s="928"/>
      <c r="AN408" s="928"/>
      <c r="AO408" s="928"/>
      <c r="AP408" s="928"/>
      <c r="AQ408" s="928"/>
      <c r="AR408" s="928"/>
      <c r="AS408" s="928"/>
      <c r="AT408" s="928"/>
      <c r="AU408" s="928"/>
      <c r="AV408" s="928"/>
      <c r="AW408" s="928"/>
      <c r="AX408" s="928"/>
      <c r="AY408" s="928"/>
      <c r="AZ408" s="928"/>
      <c r="BA408" s="928"/>
      <c r="BB408" s="928"/>
      <c r="BC408" s="928"/>
      <c r="BD408" s="928"/>
      <c r="BE408" s="928"/>
      <c r="BF408" s="928"/>
      <c r="BG408" s="928"/>
      <c r="BH408" s="928"/>
      <c r="BI408" s="928"/>
    </row>
    <row r="409" spans="1:61">
      <c r="A409" s="928"/>
      <c r="B409" s="929"/>
      <c r="C409" s="928"/>
      <c r="D409" s="928"/>
      <c r="E409" s="928"/>
      <c r="F409" s="928"/>
      <c r="G409" s="928"/>
      <c r="H409" s="928"/>
      <c r="I409" s="928"/>
      <c r="J409" s="928"/>
      <c r="K409" s="928"/>
      <c r="L409" s="928"/>
      <c r="M409" s="928"/>
      <c r="N409" s="928"/>
      <c r="O409" s="928"/>
      <c r="P409" s="928"/>
      <c r="Q409" s="928"/>
      <c r="R409" s="928"/>
      <c r="S409" s="928"/>
      <c r="T409" s="928"/>
      <c r="U409" s="928"/>
      <c r="V409" s="928"/>
      <c r="W409" s="928"/>
      <c r="X409" s="931"/>
      <c r="Y409" s="928"/>
      <c r="Z409" s="928"/>
      <c r="AA409" s="928"/>
      <c r="AB409" s="928"/>
      <c r="AC409" s="928"/>
      <c r="AD409" s="928"/>
      <c r="AE409" s="928"/>
      <c r="AF409" s="928"/>
      <c r="AG409" s="928"/>
      <c r="AH409" s="928"/>
      <c r="AI409" s="928"/>
      <c r="AJ409" s="928"/>
      <c r="AK409" s="928"/>
      <c r="AL409" s="928"/>
      <c r="AM409" s="928"/>
      <c r="AN409" s="928"/>
      <c r="AO409" s="928"/>
      <c r="AP409" s="928"/>
      <c r="AQ409" s="928"/>
      <c r="AR409" s="928"/>
      <c r="AS409" s="928"/>
      <c r="AT409" s="928"/>
      <c r="AU409" s="928"/>
      <c r="AV409" s="928"/>
      <c r="AW409" s="928"/>
      <c r="AX409" s="928"/>
      <c r="AY409" s="928"/>
      <c r="AZ409" s="928"/>
      <c r="BA409" s="928"/>
      <c r="BB409" s="928"/>
      <c r="BC409" s="928"/>
      <c r="BD409" s="928"/>
      <c r="BE409" s="928"/>
      <c r="BF409" s="928"/>
      <c r="BG409" s="928"/>
      <c r="BH409" s="928"/>
      <c r="BI409" s="928"/>
    </row>
    <row r="410" spans="1:61">
      <c r="A410" s="928"/>
      <c r="B410" s="929"/>
      <c r="C410" s="928"/>
      <c r="D410" s="928"/>
      <c r="E410" s="928"/>
      <c r="F410" s="928"/>
      <c r="G410" s="928"/>
      <c r="H410" s="928"/>
      <c r="I410" s="928"/>
      <c r="J410" s="928"/>
      <c r="K410" s="928"/>
      <c r="L410" s="928"/>
      <c r="M410" s="928"/>
      <c r="N410" s="928"/>
      <c r="O410" s="928"/>
      <c r="P410" s="928"/>
      <c r="Q410" s="928"/>
      <c r="R410" s="928"/>
      <c r="S410" s="928"/>
      <c r="T410" s="928"/>
      <c r="U410" s="928"/>
      <c r="V410" s="928"/>
      <c r="W410" s="928"/>
      <c r="X410" s="931"/>
      <c r="Y410" s="928"/>
      <c r="Z410" s="928"/>
      <c r="AA410" s="928"/>
      <c r="AB410" s="928"/>
      <c r="AC410" s="928"/>
      <c r="AD410" s="928"/>
      <c r="AE410" s="928"/>
      <c r="AF410" s="928"/>
      <c r="AG410" s="928"/>
      <c r="AH410" s="928"/>
      <c r="AI410" s="928"/>
      <c r="AJ410" s="928"/>
      <c r="AK410" s="928"/>
      <c r="AL410" s="928"/>
      <c r="AM410" s="928"/>
      <c r="AN410" s="928"/>
      <c r="AO410" s="928"/>
      <c r="AP410" s="928"/>
      <c r="AQ410" s="928"/>
      <c r="AR410" s="928"/>
      <c r="AS410" s="928"/>
      <c r="AT410" s="928"/>
      <c r="AU410" s="928"/>
      <c r="AV410" s="928"/>
      <c r="AW410" s="928"/>
      <c r="AX410" s="928"/>
      <c r="AY410" s="928"/>
      <c r="AZ410" s="928"/>
      <c r="BA410" s="928"/>
      <c r="BB410" s="928"/>
      <c r="BC410" s="928"/>
      <c r="BD410" s="928"/>
      <c r="BE410" s="928"/>
      <c r="BF410" s="928"/>
      <c r="BG410" s="928"/>
      <c r="BH410" s="928"/>
      <c r="BI410" s="928"/>
    </row>
    <row r="411" spans="1:61">
      <c r="A411" s="928"/>
      <c r="B411" s="929"/>
      <c r="C411" s="928"/>
      <c r="D411" s="928"/>
      <c r="E411" s="928"/>
      <c r="F411" s="928"/>
      <c r="G411" s="928"/>
      <c r="H411" s="928"/>
      <c r="I411" s="928"/>
      <c r="J411" s="928"/>
      <c r="K411" s="928"/>
      <c r="L411" s="928"/>
      <c r="M411" s="928"/>
      <c r="N411" s="928"/>
      <c r="O411" s="928"/>
      <c r="P411" s="928"/>
      <c r="Q411" s="928"/>
      <c r="R411" s="928"/>
      <c r="S411" s="928"/>
      <c r="T411" s="928"/>
      <c r="U411" s="928"/>
      <c r="V411" s="928"/>
      <c r="W411" s="928"/>
      <c r="X411" s="931"/>
      <c r="Y411" s="928"/>
      <c r="Z411" s="928"/>
      <c r="AA411" s="928"/>
      <c r="AB411" s="928"/>
      <c r="AC411" s="928"/>
      <c r="AD411" s="928"/>
      <c r="AE411" s="928"/>
      <c r="AF411" s="928"/>
      <c r="AG411" s="928"/>
      <c r="AH411" s="928"/>
      <c r="AI411" s="928"/>
      <c r="AJ411" s="928"/>
      <c r="AK411" s="928"/>
      <c r="AL411" s="928"/>
      <c r="AM411" s="928"/>
      <c r="AN411" s="928"/>
      <c r="AO411" s="928"/>
      <c r="AP411" s="928"/>
      <c r="AQ411" s="928"/>
      <c r="AR411" s="928"/>
      <c r="AS411" s="928"/>
      <c r="AT411" s="928"/>
      <c r="AU411" s="928"/>
      <c r="AV411" s="928"/>
      <c r="AW411" s="928"/>
      <c r="AX411" s="928"/>
      <c r="AY411" s="928"/>
      <c r="AZ411" s="928"/>
      <c r="BA411" s="928"/>
      <c r="BB411" s="928"/>
      <c r="BC411" s="928"/>
      <c r="BD411" s="928"/>
      <c r="BE411" s="928"/>
      <c r="BF411" s="928"/>
      <c r="BG411" s="928"/>
      <c r="BH411" s="928"/>
      <c r="BI411" s="928"/>
    </row>
    <row r="412" spans="1:61">
      <c r="A412" s="928"/>
      <c r="B412" s="929"/>
      <c r="C412" s="928"/>
      <c r="D412" s="928"/>
      <c r="E412" s="928"/>
      <c r="F412" s="928"/>
      <c r="G412" s="928"/>
      <c r="H412" s="928"/>
      <c r="I412" s="928"/>
      <c r="J412" s="928"/>
      <c r="K412" s="928"/>
      <c r="L412" s="928"/>
      <c r="M412" s="928"/>
      <c r="N412" s="928"/>
      <c r="O412" s="928"/>
      <c r="P412" s="928"/>
      <c r="Q412" s="928"/>
      <c r="R412" s="928"/>
      <c r="S412" s="928"/>
      <c r="T412" s="928"/>
      <c r="U412" s="928"/>
      <c r="V412" s="928"/>
      <c r="W412" s="928"/>
      <c r="X412" s="931"/>
      <c r="Y412" s="928"/>
      <c r="Z412" s="928"/>
      <c r="AA412" s="928"/>
      <c r="AB412" s="928"/>
      <c r="AC412" s="928"/>
      <c r="AD412" s="928"/>
      <c r="AE412" s="928"/>
      <c r="AF412" s="928"/>
      <c r="AG412" s="928"/>
      <c r="AH412" s="928"/>
      <c r="AI412" s="928"/>
      <c r="AJ412" s="928"/>
      <c r="AK412" s="928"/>
      <c r="AL412" s="928"/>
      <c r="AM412" s="928"/>
      <c r="AN412" s="928"/>
      <c r="AO412" s="928"/>
      <c r="AP412" s="928"/>
      <c r="AQ412" s="928"/>
      <c r="AR412" s="928"/>
      <c r="AS412" s="928"/>
      <c r="AT412" s="928"/>
      <c r="AU412" s="928"/>
      <c r="AV412" s="928"/>
      <c r="AW412" s="928"/>
      <c r="AX412" s="928"/>
      <c r="AY412" s="928"/>
      <c r="AZ412" s="928"/>
      <c r="BA412" s="928"/>
      <c r="BB412" s="928"/>
      <c r="BC412" s="928"/>
      <c r="BD412" s="928"/>
      <c r="BE412" s="928"/>
      <c r="BF412" s="928"/>
      <c r="BG412" s="928"/>
      <c r="BH412" s="928"/>
      <c r="BI412" s="928"/>
    </row>
    <row r="413" spans="1:61">
      <c r="A413" s="928"/>
      <c r="B413" s="929"/>
      <c r="C413" s="928"/>
      <c r="D413" s="928"/>
      <c r="E413" s="928"/>
      <c r="F413" s="928"/>
      <c r="G413" s="928"/>
      <c r="H413" s="928"/>
      <c r="I413" s="928"/>
      <c r="J413" s="928"/>
      <c r="K413" s="928"/>
      <c r="L413" s="928"/>
      <c r="M413" s="928"/>
      <c r="N413" s="928"/>
      <c r="O413" s="928"/>
      <c r="P413" s="928"/>
      <c r="Q413" s="928"/>
      <c r="R413" s="928"/>
      <c r="S413" s="928"/>
      <c r="T413" s="928"/>
      <c r="U413" s="928"/>
      <c r="V413" s="928"/>
      <c r="W413" s="928"/>
      <c r="X413" s="931"/>
      <c r="Y413" s="928"/>
      <c r="Z413" s="928"/>
      <c r="AA413" s="928"/>
      <c r="AB413" s="928"/>
      <c r="AC413" s="928"/>
      <c r="AD413" s="928"/>
      <c r="AE413" s="928"/>
      <c r="AF413" s="928"/>
      <c r="AG413" s="928"/>
      <c r="AH413" s="928"/>
      <c r="AI413" s="928"/>
      <c r="AJ413" s="928"/>
      <c r="AK413" s="928"/>
      <c r="AL413" s="928"/>
      <c r="AM413" s="928"/>
      <c r="AN413" s="928"/>
      <c r="AO413" s="928"/>
      <c r="AP413" s="928"/>
      <c r="AQ413" s="928"/>
      <c r="AR413" s="928"/>
      <c r="AS413" s="928"/>
      <c r="AT413" s="928"/>
      <c r="AU413" s="928"/>
      <c r="AV413" s="928"/>
      <c r="AW413" s="928"/>
      <c r="AX413" s="928"/>
      <c r="AY413" s="928"/>
      <c r="AZ413" s="928"/>
      <c r="BA413" s="928"/>
      <c r="BB413" s="928"/>
      <c r="BC413" s="928"/>
      <c r="BD413" s="928"/>
      <c r="BE413" s="928"/>
      <c r="BF413" s="928"/>
      <c r="BG413" s="928"/>
      <c r="BH413" s="928"/>
      <c r="BI413" s="928"/>
    </row>
    <row r="414" spans="1:61">
      <c r="A414" s="928"/>
      <c r="B414" s="929"/>
      <c r="C414" s="928"/>
      <c r="D414" s="928"/>
      <c r="E414" s="928"/>
      <c r="F414" s="928"/>
      <c r="G414" s="928"/>
      <c r="H414" s="928"/>
      <c r="I414" s="928"/>
      <c r="J414" s="928"/>
      <c r="K414" s="928"/>
      <c r="L414" s="928"/>
      <c r="M414" s="928"/>
      <c r="N414" s="928"/>
      <c r="O414" s="928"/>
      <c r="P414" s="928"/>
      <c r="Q414" s="928"/>
      <c r="R414" s="928"/>
      <c r="S414" s="928"/>
      <c r="T414" s="928"/>
      <c r="U414" s="928"/>
      <c r="V414" s="928"/>
      <c r="W414" s="928"/>
      <c r="X414" s="931"/>
      <c r="Y414" s="928"/>
      <c r="Z414" s="928"/>
      <c r="AA414" s="928"/>
      <c r="AB414" s="928"/>
      <c r="AC414" s="928"/>
      <c r="AD414" s="928"/>
      <c r="AE414" s="928"/>
      <c r="AF414" s="928"/>
      <c r="AG414" s="928"/>
      <c r="AH414" s="928"/>
      <c r="AI414" s="928"/>
      <c r="AJ414" s="928"/>
      <c r="AK414" s="928"/>
      <c r="AL414" s="928"/>
      <c r="AM414" s="928"/>
      <c r="AN414" s="928"/>
      <c r="AO414" s="928"/>
      <c r="AP414" s="928"/>
      <c r="AQ414" s="928"/>
      <c r="AR414" s="928"/>
      <c r="AS414" s="928"/>
      <c r="AT414" s="928"/>
      <c r="AU414" s="928"/>
      <c r="AV414" s="928"/>
      <c r="AW414" s="928"/>
      <c r="AX414" s="928"/>
      <c r="AY414" s="928"/>
      <c r="AZ414" s="928"/>
      <c r="BA414" s="928"/>
      <c r="BB414" s="928"/>
      <c r="BC414" s="928"/>
      <c r="BD414" s="928"/>
      <c r="BE414" s="928"/>
      <c r="BF414" s="928"/>
      <c r="BG414" s="928"/>
      <c r="BH414" s="928"/>
      <c r="BI414" s="928"/>
    </row>
    <row r="415" spans="1:61">
      <c r="A415" s="928"/>
      <c r="B415" s="929"/>
      <c r="C415" s="928"/>
      <c r="D415" s="928"/>
      <c r="E415" s="928"/>
      <c r="F415" s="928"/>
      <c r="G415" s="928"/>
      <c r="H415" s="928"/>
      <c r="I415" s="928"/>
      <c r="J415" s="928"/>
      <c r="K415" s="928"/>
      <c r="L415" s="928"/>
      <c r="M415" s="928"/>
      <c r="N415" s="928"/>
      <c r="O415" s="928"/>
      <c r="P415" s="928"/>
      <c r="Q415" s="928"/>
      <c r="R415" s="928"/>
      <c r="S415" s="928"/>
      <c r="T415" s="928"/>
      <c r="U415" s="928"/>
      <c r="V415" s="928"/>
      <c r="W415" s="928"/>
      <c r="X415" s="931"/>
      <c r="Y415" s="928"/>
      <c r="Z415" s="928"/>
      <c r="AA415" s="928"/>
      <c r="AB415" s="928"/>
      <c r="AC415" s="928"/>
      <c r="AD415" s="928"/>
      <c r="AE415" s="928"/>
      <c r="AF415" s="928"/>
      <c r="AG415" s="928"/>
      <c r="AH415" s="928"/>
      <c r="AI415" s="928"/>
      <c r="AJ415" s="928"/>
      <c r="AK415" s="928"/>
      <c r="AL415" s="928"/>
      <c r="AM415" s="928"/>
      <c r="AN415" s="928"/>
      <c r="AO415" s="928"/>
      <c r="AP415" s="928"/>
      <c r="AQ415" s="928"/>
      <c r="AR415" s="928"/>
      <c r="AS415" s="928"/>
      <c r="AT415" s="928"/>
      <c r="AU415" s="928"/>
      <c r="AV415" s="928"/>
      <c r="AW415" s="928"/>
      <c r="AX415" s="928"/>
      <c r="AY415" s="928"/>
      <c r="AZ415" s="928"/>
      <c r="BA415" s="928"/>
      <c r="BB415" s="928"/>
      <c r="BC415" s="928"/>
      <c r="BD415" s="928"/>
      <c r="BE415" s="928"/>
      <c r="BF415" s="928"/>
      <c r="BG415" s="928"/>
      <c r="BH415" s="928"/>
      <c r="BI415" s="928"/>
    </row>
    <row r="416" spans="1:61">
      <c r="A416" s="928"/>
      <c r="B416" s="929"/>
      <c r="C416" s="928"/>
      <c r="D416" s="928"/>
      <c r="E416" s="928"/>
      <c r="F416" s="928"/>
      <c r="G416" s="928"/>
      <c r="H416" s="928"/>
      <c r="I416" s="928"/>
      <c r="J416" s="928"/>
      <c r="K416" s="928"/>
      <c r="L416" s="928"/>
      <c r="M416" s="928"/>
      <c r="N416" s="928"/>
      <c r="O416" s="928"/>
      <c r="P416" s="928"/>
      <c r="Q416" s="928"/>
      <c r="R416" s="928"/>
      <c r="S416" s="928"/>
      <c r="T416" s="928"/>
      <c r="U416" s="928"/>
      <c r="V416" s="928"/>
      <c r="W416" s="928"/>
      <c r="X416" s="931"/>
      <c r="Y416" s="928"/>
      <c r="Z416" s="928"/>
      <c r="AA416" s="928"/>
      <c r="AB416" s="928"/>
      <c r="AC416" s="928"/>
      <c r="AD416" s="928"/>
      <c r="AE416" s="928"/>
      <c r="AF416" s="928"/>
      <c r="AG416" s="928"/>
      <c r="AH416" s="928"/>
      <c r="AI416" s="928"/>
      <c r="AJ416" s="928"/>
      <c r="AK416" s="928"/>
      <c r="AL416" s="928"/>
      <c r="AM416" s="928"/>
      <c r="AN416" s="928"/>
      <c r="AO416" s="928"/>
      <c r="AP416" s="928"/>
      <c r="AQ416" s="928"/>
      <c r="AR416" s="928"/>
      <c r="AS416" s="928"/>
      <c r="AT416" s="928"/>
      <c r="AU416" s="928"/>
      <c r="AV416" s="928"/>
      <c r="AW416" s="928"/>
      <c r="AX416" s="928"/>
      <c r="AY416" s="928"/>
      <c r="AZ416" s="928"/>
      <c r="BA416" s="928"/>
      <c r="BB416" s="928"/>
      <c r="BC416" s="928"/>
      <c r="BD416" s="928"/>
      <c r="BE416" s="928"/>
      <c r="BF416" s="928"/>
      <c r="BG416" s="928"/>
      <c r="BH416" s="928"/>
      <c r="BI416" s="928"/>
    </row>
    <row r="417" spans="1:61">
      <c r="A417" s="928"/>
      <c r="B417" s="929"/>
      <c r="C417" s="928"/>
      <c r="D417" s="928"/>
      <c r="E417" s="928"/>
      <c r="F417" s="928"/>
      <c r="G417" s="928"/>
      <c r="H417" s="928"/>
      <c r="I417" s="928"/>
      <c r="J417" s="928"/>
      <c r="K417" s="928"/>
      <c r="L417" s="928"/>
      <c r="M417" s="928"/>
      <c r="N417" s="928"/>
      <c r="O417" s="928"/>
      <c r="P417" s="928"/>
      <c r="Q417" s="928"/>
      <c r="R417" s="928"/>
      <c r="S417" s="928"/>
      <c r="T417" s="928"/>
      <c r="U417" s="928"/>
      <c r="V417" s="928"/>
      <c r="W417" s="928"/>
      <c r="X417" s="931"/>
      <c r="Y417" s="928"/>
      <c r="Z417" s="928"/>
      <c r="AA417" s="928"/>
      <c r="AB417" s="928"/>
      <c r="AC417" s="928"/>
      <c r="AD417" s="928"/>
      <c r="AE417" s="928"/>
      <c r="AF417" s="928"/>
      <c r="AG417" s="928"/>
      <c r="AH417" s="928"/>
      <c r="AI417" s="928"/>
      <c r="AJ417" s="928"/>
      <c r="AK417" s="928"/>
      <c r="AL417" s="928"/>
      <c r="AM417" s="928"/>
      <c r="AN417" s="928"/>
      <c r="AO417" s="928"/>
      <c r="AP417" s="928"/>
      <c r="AQ417" s="928"/>
      <c r="AR417" s="928"/>
      <c r="AS417" s="928"/>
      <c r="AT417" s="928"/>
      <c r="AU417" s="928"/>
      <c r="AV417" s="928"/>
      <c r="AW417" s="928"/>
      <c r="AX417" s="928"/>
      <c r="AY417" s="928"/>
      <c r="AZ417" s="928"/>
      <c r="BA417" s="928"/>
      <c r="BB417" s="928"/>
      <c r="BC417" s="928"/>
      <c r="BD417" s="928"/>
      <c r="BE417" s="928"/>
      <c r="BF417" s="928"/>
      <c r="BG417" s="928"/>
      <c r="BH417" s="928"/>
      <c r="BI417" s="928"/>
    </row>
    <row r="418" spans="1:61">
      <c r="A418" s="913"/>
      <c r="B418" s="914"/>
      <c r="C418" s="913"/>
      <c r="D418" s="913"/>
      <c r="E418" s="913"/>
      <c r="F418" s="913"/>
      <c r="G418" s="913"/>
      <c r="H418" s="913"/>
      <c r="I418" s="913"/>
      <c r="J418" s="913"/>
      <c r="K418" s="913"/>
      <c r="L418" s="913"/>
      <c r="M418" s="913"/>
      <c r="N418" s="913"/>
      <c r="O418" s="913"/>
      <c r="P418" s="913"/>
      <c r="Q418" s="913"/>
      <c r="R418" s="913"/>
      <c r="S418" s="913"/>
      <c r="T418" s="913"/>
      <c r="U418" s="913"/>
      <c r="V418" s="913"/>
      <c r="W418" s="913"/>
      <c r="X418" s="915"/>
      <c r="Y418" s="913"/>
      <c r="Z418" s="913"/>
      <c r="AA418" s="913"/>
      <c r="AB418" s="913"/>
      <c r="AC418" s="913"/>
      <c r="AD418" s="913"/>
      <c r="AE418" s="913"/>
      <c r="AF418" s="913"/>
      <c r="AG418" s="913"/>
      <c r="AH418" s="913"/>
      <c r="AI418" s="913"/>
      <c r="AJ418" s="913"/>
      <c r="AK418" s="913"/>
      <c r="AL418" s="913"/>
      <c r="AM418" s="913"/>
      <c r="AN418" s="913"/>
      <c r="AO418" s="913"/>
      <c r="AP418" s="913"/>
      <c r="AQ418" s="913"/>
      <c r="AR418" s="913"/>
      <c r="AS418" s="913"/>
      <c r="AT418" s="913"/>
      <c r="AU418" s="913"/>
      <c r="AV418" s="913"/>
      <c r="AW418" s="913"/>
      <c r="AX418" s="913"/>
      <c r="AY418" s="913"/>
      <c r="AZ418" s="913"/>
      <c r="BA418" s="913"/>
      <c r="BB418" s="913"/>
      <c r="BC418" s="913"/>
      <c r="BD418" s="913"/>
      <c r="BE418" s="913"/>
      <c r="BF418" s="913"/>
    </row>
    <row r="419" spans="1:61">
      <c r="A419" s="913"/>
      <c r="B419" s="914"/>
      <c r="C419" s="913"/>
      <c r="D419" s="913"/>
      <c r="E419" s="913"/>
      <c r="F419" s="913"/>
      <c r="G419" s="913"/>
      <c r="H419" s="913"/>
      <c r="I419" s="913"/>
      <c r="J419" s="913"/>
      <c r="K419" s="913"/>
      <c r="L419" s="913"/>
      <c r="M419" s="913"/>
      <c r="N419" s="913"/>
      <c r="O419" s="913"/>
      <c r="P419" s="913"/>
      <c r="Q419" s="913"/>
      <c r="R419" s="913"/>
      <c r="S419" s="913"/>
      <c r="T419" s="913"/>
      <c r="U419" s="913"/>
      <c r="V419" s="913"/>
      <c r="W419" s="913"/>
      <c r="X419" s="915"/>
      <c r="Y419" s="913"/>
      <c r="Z419" s="913"/>
      <c r="AA419" s="913"/>
      <c r="AB419" s="913"/>
      <c r="AC419" s="913"/>
      <c r="AD419" s="913"/>
      <c r="AE419" s="913"/>
      <c r="AF419" s="913"/>
      <c r="AG419" s="913"/>
      <c r="AH419" s="913"/>
      <c r="AI419" s="913"/>
      <c r="AJ419" s="913"/>
      <c r="AK419" s="913"/>
      <c r="AL419" s="913"/>
      <c r="AM419" s="913"/>
      <c r="AN419" s="913"/>
      <c r="AO419" s="913"/>
      <c r="AP419" s="913"/>
      <c r="AQ419" s="913"/>
      <c r="AR419" s="913"/>
      <c r="AS419" s="913"/>
      <c r="AT419" s="913"/>
      <c r="AU419" s="913"/>
      <c r="AV419" s="913"/>
      <c r="AW419" s="913"/>
      <c r="AX419" s="913"/>
      <c r="AY419" s="913"/>
      <c r="AZ419" s="913"/>
      <c r="BA419" s="913"/>
      <c r="BB419" s="913"/>
      <c r="BC419" s="913"/>
      <c r="BD419" s="913"/>
      <c r="BE419" s="913"/>
      <c r="BF419" s="913"/>
    </row>
    <row r="420" spans="1:61">
      <c r="A420" s="913"/>
      <c r="B420" s="914"/>
      <c r="C420" s="913"/>
      <c r="D420" s="913"/>
      <c r="E420" s="913"/>
      <c r="F420" s="913"/>
      <c r="G420" s="913"/>
      <c r="H420" s="913"/>
      <c r="I420" s="913"/>
      <c r="J420" s="913"/>
      <c r="K420" s="913"/>
      <c r="L420" s="913"/>
      <c r="M420" s="913"/>
      <c r="N420" s="913"/>
      <c r="O420" s="913"/>
      <c r="P420" s="913"/>
      <c r="Q420" s="913"/>
      <c r="R420" s="913"/>
      <c r="S420" s="913"/>
      <c r="T420" s="913"/>
      <c r="U420" s="913"/>
      <c r="V420" s="913"/>
      <c r="W420" s="913"/>
      <c r="X420" s="915"/>
      <c r="Y420" s="913"/>
      <c r="Z420" s="913"/>
      <c r="AA420" s="913"/>
      <c r="AB420" s="913"/>
      <c r="AC420" s="913"/>
      <c r="AD420" s="913"/>
      <c r="AE420" s="913"/>
      <c r="AF420" s="913"/>
      <c r="AG420" s="913"/>
      <c r="AH420" s="913"/>
      <c r="AI420" s="913"/>
      <c r="AJ420" s="913"/>
      <c r="AK420" s="913"/>
      <c r="AL420" s="913"/>
      <c r="AM420" s="913"/>
      <c r="AN420" s="913"/>
      <c r="AO420" s="913"/>
      <c r="AP420" s="913"/>
      <c r="AQ420" s="913"/>
      <c r="AR420" s="913"/>
      <c r="AS420" s="913"/>
      <c r="AT420" s="913"/>
      <c r="AU420" s="913"/>
      <c r="AV420" s="913"/>
      <c r="AW420" s="913"/>
      <c r="AX420" s="913"/>
      <c r="AY420" s="913"/>
      <c r="AZ420" s="913"/>
      <c r="BA420" s="913"/>
      <c r="BB420" s="913"/>
      <c r="BC420" s="913"/>
      <c r="BD420" s="913"/>
      <c r="BE420" s="913"/>
      <c r="BF420" s="913"/>
    </row>
    <row r="421" spans="1:61">
      <c r="A421" s="913"/>
      <c r="B421" s="914"/>
      <c r="C421" s="913"/>
      <c r="D421" s="913"/>
      <c r="E421" s="913"/>
      <c r="F421" s="913"/>
      <c r="G421" s="913"/>
      <c r="H421" s="913"/>
      <c r="I421" s="913"/>
      <c r="J421" s="913"/>
      <c r="K421" s="913"/>
      <c r="L421" s="913"/>
      <c r="M421" s="913"/>
      <c r="N421" s="913"/>
      <c r="O421" s="913"/>
      <c r="P421" s="913"/>
      <c r="Q421" s="913"/>
      <c r="R421" s="913"/>
      <c r="S421" s="913"/>
      <c r="T421" s="913"/>
      <c r="U421" s="913"/>
      <c r="V421" s="913"/>
      <c r="W421" s="913"/>
      <c r="X421" s="915"/>
      <c r="Y421" s="913"/>
      <c r="Z421" s="913"/>
      <c r="AA421" s="913"/>
      <c r="AB421" s="913"/>
      <c r="AC421" s="913"/>
      <c r="AD421" s="913"/>
      <c r="AE421" s="913"/>
      <c r="AF421" s="913"/>
      <c r="AG421" s="913"/>
      <c r="AH421" s="913"/>
      <c r="AI421" s="913"/>
      <c r="AJ421" s="913"/>
      <c r="AK421" s="913"/>
      <c r="AL421" s="913"/>
      <c r="AM421" s="913"/>
      <c r="AN421" s="913"/>
      <c r="AO421" s="913"/>
      <c r="AP421" s="913"/>
      <c r="AQ421" s="913"/>
      <c r="AR421" s="913"/>
      <c r="AS421" s="913"/>
      <c r="AT421" s="913"/>
      <c r="AU421" s="913"/>
      <c r="AV421" s="913"/>
      <c r="AW421" s="913"/>
      <c r="AX421" s="913"/>
      <c r="AY421" s="913"/>
      <c r="AZ421" s="913"/>
      <c r="BA421" s="913"/>
      <c r="BB421" s="913"/>
      <c r="BC421" s="913"/>
      <c r="BD421" s="913"/>
      <c r="BE421" s="913"/>
      <c r="BF421" s="913"/>
    </row>
    <row r="422" spans="1:61">
      <c r="A422" s="913"/>
      <c r="B422" s="914"/>
      <c r="C422" s="913"/>
      <c r="D422" s="913"/>
      <c r="E422" s="913"/>
      <c r="F422" s="913"/>
      <c r="G422" s="913"/>
      <c r="H422" s="913"/>
      <c r="I422" s="913"/>
      <c r="J422" s="913"/>
      <c r="K422" s="913"/>
      <c r="L422" s="913"/>
      <c r="M422" s="913"/>
      <c r="N422" s="913"/>
      <c r="O422" s="913"/>
      <c r="P422" s="913"/>
      <c r="Q422" s="913"/>
      <c r="R422" s="913"/>
      <c r="S422" s="913"/>
      <c r="T422" s="913"/>
      <c r="U422" s="913"/>
      <c r="V422" s="913"/>
      <c r="W422" s="913"/>
      <c r="X422" s="915"/>
      <c r="Y422" s="913"/>
      <c r="Z422" s="913"/>
      <c r="AA422" s="913"/>
      <c r="AB422" s="913"/>
      <c r="AC422" s="913"/>
      <c r="AD422" s="913"/>
      <c r="AE422" s="913"/>
      <c r="AF422" s="913"/>
      <c r="AG422" s="913"/>
      <c r="AH422" s="913"/>
      <c r="AI422" s="913"/>
      <c r="AJ422" s="913"/>
      <c r="AK422" s="913"/>
      <c r="AL422" s="913"/>
      <c r="AM422" s="913"/>
      <c r="AN422" s="913"/>
      <c r="AO422" s="913"/>
      <c r="AP422" s="913"/>
      <c r="AQ422" s="913"/>
      <c r="AR422" s="913"/>
      <c r="AS422" s="913"/>
      <c r="AT422" s="913"/>
      <c r="AU422" s="913"/>
      <c r="AV422" s="913"/>
      <c r="AW422" s="913"/>
      <c r="AX422" s="913"/>
      <c r="AY422" s="913"/>
      <c r="AZ422" s="913"/>
      <c r="BA422" s="913"/>
      <c r="BB422" s="913"/>
      <c r="BC422" s="913"/>
      <c r="BD422" s="913"/>
      <c r="BE422" s="913"/>
      <c r="BF422" s="913"/>
    </row>
    <row r="423" spans="1:61">
      <c r="A423" s="913"/>
      <c r="B423" s="914"/>
      <c r="C423" s="913"/>
      <c r="D423" s="913"/>
      <c r="E423" s="913"/>
      <c r="F423" s="913"/>
      <c r="G423" s="913"/>
      <c r="H423" s="913"/>
      <c r="I423" s="913"/>
      <c r="J423" s="913"/>
      <c r="K423" s="913"/>
      <c r="L423" s="913"/>
      <c r="M423" s="913"/>
      <c r="N423" s="913"/>
      <c r="O423" s="913"/>
      <c r="P423" s="913"/>
      <c r="Q423" s="913"/>
      <c r="R423" s="913"/>
      <c r="S423" s="913"/>
      <c r="T423" s="913"/>
      <c r="U423" s="913"/>
      <c r="V423" s="913"/>
      <c r="W423" s="913"/>
      <c r="X423" s="915"/>
      <c r="Y423" s="913"/>
      <c r="Z423" s="913"/>
      <c r="AA423" s="913"/>
      <c r="AB423" s="913"/>
      <c r="AC423" s="913"/>
      <c r="AD423" s="913"/>
      <c r="AE423" s="913"/>
      <c r="AF423" s="913"/>
      <c r="AG423" s="913"/>
      <c r="AH423" s="913"/>
      <c r="AI423" s="913"/>
      <c r="AJ423" s="913"/>
      <c r="AK423" s="913"/>
      <c r="AL423" s="913"/>
      <c r="AM423" s="913"/>
      <c r="AN423" s="913"/>
      <c r="AO423" s="913"/>
      <c r="AP423" s="913"/>
      <c r="AQ423" s="913"/>
      <c r="AR423" s="913"/>
      <c r="AS423" s="913"/>
      <c r="AT423" s="913"/>
      <c r="AU423" s="913"/>
      <c r="AV423" s="913"/>
      <c r="AW423" s="913"/>
      <c r="AX423" s="913"/>
      <c r="AY423" s="913"/>
      <c r="AZ423" s="913"/>
      <c r="BA423" s="913"/>
      <c r="BB423" s="913"/>
      <c r="BC423" s="913"/>
      <c r="BD423" s="913"/>
      <c r="BE423" s="913"/>
      <c r="BF423" s="913"/>
    </row>
    <row r="424" spans="1:61">
      <c r="A424" s="913"/>
      <c r="B424" s="914"/>
      <c r="C424" s="913"/>
      <c r="D424" s="913"/>
      <c r="E424" s="913"/>
      <c r="F424" s="913"/>
      <c r="G424" s="913"/>
      <c r="H424" s="913"/>
      <c r="I424" s="913"/>
      <c r="J424" s="913"/>
      <c r="K424" s="913"/>
      <c r="L424" s="913"/>
      <c r="M424" s="913"/>
      <c r="N424" s="913"/>
      <c r="O424" s="913"/>
      <c r="P424" s="913"/>
      <c r="Q424" s="913"/>
      <c r="R424" s="913"/>
      <c r="S424" s="913"/>
      <c r="T424" s="913"/>
      <c r="U424" s="913"/>
      <c r="V424" s="913"/>
      <c r="W424" s="913"/>
      <c r="X424" s="915"/>
      <c r="Y424" s="913"/>
      <c r="Z424" s="913"/>
      <c r="AA424" s="913"/>
      <c r="AB424" s="913"/>
      <c r="AC424" s="913"/>
      <c r="AD424" s="913"/>
      <c r="AE424" s="913"/>
      <c r="AF424" s="913"/>
      <c r="AG424" s="913"/>
      <c r="AH424" s="913"/>
      <c r="AI424" s="913"/>
      <c r="AJ424" s="913"/>
      <c r="AK424" s="913"/>
      <c r="AL424" s="913"/>
      <c r="AM424" s="913"/>
      <c r="AN424" s="913"/>
      <c r="AO424" s="913"/>
      <c r="AP424" s="913"/>
      <c r="AQ424" s="913"/>
      <c r="AR424" s="913"/>
      <c r="AS424" s="913"/>
      <c r="AT424" s="913"/>
      <c r="AU424" s="913"/>
      <c r="AV424" s="913"/>
      <c r="AW424" s="913"/>
      <c r="AX424" s="913"/>
      <c r="AY424" s="913"/>
      <c r="AZ424" s="913"/>
      <c r="BA424" s="913"/>
      <c r="BB424" s="913"/>
      <c r="BC424" s="913"/>
      <c r="BD424" s="913"/>
      <c r="BE424" s="913"/>
      <c r="BF424" s="913"/>
    </row>
    <row r="425" spans="1:61">
      <c r="A425" s="913"/>
      <c r="B425" s="914"/>
      <c r="C425" s="913"/>
      <c r="D425" s="913"/>
      <c r="E425" s="913"/>
      <c r="F425" s="913"/>
      <c r="G425" s="913"/>
      <c r="H425" s="913"/>
      <c r="I425" s="913"/>
      <c r="J425" s="913"/>
      <c r="K425" s="913"/>
      <c r="L425" s="913"/>
      <c r="M425" s="913"/>
      <c r="N425" s="913"/>
      <c r="O425" s="913"/>
      <c r="P425" s="913"/>
      <c r="Q425" s="913"/>
      <c r="R425" s="913"/>
      <c r="S425" s="913"/>
      <c r="T425" s="913"/>
      <c r="U425" s="913"/>
      <c r="V425" s="913"/>
      <c r="W425" s="913"/>
      <c r="X425" s="915"/>
      <c r="Y425" s="913"/>
      <c r="Z425" s="913"/>
      <c r="AA425" s="913"/>
      <c r="AB425" s="913"/>
      <c r="AC425" s="913"/>
      <c r="AD425" s="913"/>
      <c r="AE425" s="913"/>
      <c r="AF425" s="913"/>
      <c r="AG425" s="913"/>
      <c r="AH425" s="913"/>
      <c r="AI425" s="913"/>
      <c r="AJ425" s="913"/>
      <c r="AK425" s="913"/>
      <c r="AL425" s="913"/>
      <c r="AM425" s="913"/>
      <c r="AN425" s="913"/>
      <c r="AO425" s="913"/>
      <c r="AP425" s="913"/>
      <c r="AQ425" s="913"/>
      <c r="AR425" s="913"/>
      <c r="AS425" s="913"/>
      <c r="AT425" s="913"/>
      <c r="AU425" s="913"/>
      <c r="AV425" s="913"/>
      <c r="AW425" s="913"/>
      <c r="AX425" s="913"/>
      <c r="AY425" s="913"/>
      <c r="AZ425" s="913"/>
      <c r="BA425" s="913"/>
      <c r="BB425" s="913"/>
      <c r="BC425" s="913"/>
      <c r="BD425" s="913"/>
      <c r="BE425" s="913"/>
      <c r="BF425" s="913"/>
    </row>
    <row r="426" spans="1:61">
      <c r="A426" s="913"/>
      <c r="B426" s="914"/>
      <c r="C426" s="913"/>
      <c r="D426" s="913"/>
      <c r="E426" s="913"/>
      <c r="F426" s="913"/>
      <c r="G426" s="913"/>
      <c r="H426" s="913"/>
      <c r="I426" s="913"/>
      <c r="J426" s="913"/>
      <c r="K426" s="913"/>
      <c r="L426" s="913"/>
      <c r="M426" s="913"/>
      <c r="N426" s="913"/>
      <c r="O426" s="913"/>
      <c r="P426" s="913"/>
      <c r="Q426" s="913"/>
      <c r="R426" s="913"/>
      <c r="S426" s="913"/>
      <c r="T426" s="913"/>
      <c r="U426" s="913"/>
      <c r="V426" s="913"/>
      <c r="W426" s="913"/>
      <c r="X426" s="915"/>
      <c r="Y426" s="913"/>
      <c r="Z426" s="913"/>
      <c r="AA426" s="913"/>
      <c r="AB426" s="913"/>
      <c r="AC426" s="913"/>
      <c r="AD426" s="913"/>
      <c r="AE426" s="913"/>
      <c r="AF426" s="913"/>
      <c r="AG426" s="913"/>
      <c r="AH426" s="913"/>
      <c r="AI426" s="913"/>
      <c r="AJ426" s="913"/>
      <c r="AK426" s="913"/>
      <c r="AL426" s="913"/>
      <c r="AM426" s="913"/>
      <c r="AN426" s="913"/>
      <c r="AO426" s="913"/>
      <c r="AP426" s="913"/>
      <c r="AQ426" s="913"/>
      <c r="AR426" s="913"/>
      <c r="AS426" s="913"/>
      <c r="AT426" s="913"/>
      <c r="AU426" s="913"/>
      <c r="AV426" s="913"/>
      <c r="AW426" s="913"/>
      <c r="AX426" s="913"/>
      <c r="AY426" s="913"/>
      <c r="AZ426" s="913"/>
      <c r="BA426" s="913"/>
      <c r="BB426" s="913"/>
      <c r="BC426" s="913"/>
      <c r="BD426" s="913"/>
      <c r="BE426" s="913"/>
      <c r="BF426" s="913"/>
    </row>
  </sheetData>
  <sheetProtection password="C9F9" sheet="1" objects="1" scenarios="1"/>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A1:P183"/>
  <sheetViews>
    <sheetView showGridLines="0" showRowColHeaders="0" topLeftCell="A51" workbookViewId="0">
      <selection activeCell="B67" sqref="B67"/>
    </sheetView>
  </sheetViews>
  <sheetFormatPr defaultRowHeight="15"/>
  <cols>
    <col min="2" max="2" width="17.42578125" customWidth="1"/>
    <col min="3" max="3" width="20.140625" customWidth="1"/>
    <col min="5" max="5" width="16.85546875" customWidth="1"/>
    <col min="6" max="6" width="10" customWidth="1"/>
    <col min="7" max="7" width="14.5703125" customWidth="1"/>
    <col min="8" max="8" width="16" customWidth="1"/>
    <col min="10" max="10" width="17.5703125" customWidth="1"/>
    <col min="11" max="12" width="9.140625" customWidth="1"/>
  </cols>
  <sheetData>
    <row r="1" spans="1:16">
      <c r="A1" s="891"/>
      <c r="B1" s="891"/>
      <c r="C1" s="891"/>
      <c r="D1" s="891"/>
      <c r="E1" s="891"/>
      <c r="F1" s="891"/>
      <c r="G1" s="891"/>
      <c r="H1" s="891"/>
      <c r="I1" s="891"/>
      <c r="J1" s="891"/>
      <c r="K1" s="891"/>
      <c r="L1" s="891"/>
      <c r="M1" s="891"/>
      <c r="N1" s="891"/>
      <c r="O1" s="891"/>
      <c r="P1" s="891"/>
    </row>
    <row r="2" spans="1:16">
      <c r="A2" s="891"/>
      <c r="B2" s="891"/>
      <c r="C2" s="891"/>
      <c r="D2" s="891"/>
      <c r="E2" s="892" t="s">
        <v>482</v>
      </c>
      <c r="F2" s="892" t="s">
        <v>483</v>
      </c>
      <c r="G2" s="892" t="s">
        <v>484</v>
      </c>
      <c r="H2" s="891"/>
      <c r="I2" s="891"/>
      <c r="J2" s="891"/>
      <c r="K2" s="891"/>
      <c r="L2" s="891"/>
      <c r="M2" s="891"/>
      <c r="N2" s="891"/>
      <c r="O2" s="891"/>
      <c r="P2" s="891"/>
    </row>
    <row r="3" spans="1:16">
      <c r="A3" s="891"/>
      <c r="B3" s="893" t="str">
        <f>VLOOKUP(C3,E6:H47,2,FALSE)</f>
        <v>EUR</v>
      </c>
      <c r="C3" s="893" t="s">
        <v>466</v>
      </c>
      <c r="D3" s="893"/>
      <c r="E3" s="891"/>
      <c r="F3" s="891" t="s">
        <v>485</v>
      </c>
      <c r="G3" s="891" t="s">
        <v>486</v>
      </c>
      <c r="H3" s="891" t="s">
        <v>487</v>
      </c>
      <c r="I3" s="891"/>
      <c r="J3" s="891"/>
      <c r="K3" s="891"/>
      <c r="L3" s="891"/>
      <c r="M3" s="891"/>
      <c r="N3" s="891"/>
      <c r="O3" s="891"/>
      <c r="P3" s="891"/>
    </row>
    <row r="4" spans="1:16">
      <c r="A4" s="891"/>
      <c r="B4" s="891"/>
      <c r="C4" s="891"/>
      <c r="D4" s="891"/>
      <c r="E4" s="891" t="s">
        <v>466</v>
      </c>
      <c r="F4" s="891" t="s">
        <v>505</v>
      </c>
      <c r="G4" s="891">
        <v>1.3688</v>
      </c>
      <c r="H4" s="891">
        <v>0.73080000000000001</v>
      </c>
      <c r="I4" s="891"/>
      <c r="J4" s="891"/>
      <c r="K4" s="891"/>
      <c r="L4" s="891"/>
      <c r="M4" s="891"/>
      <c r="N4" s="891"/>
      <c r="O4" s="891"/>
      <c r="P4" s="891"/>
    </row>
    <row r="5" spans="1:16">
      <c r="A5" s="891"/>
      <c r="B5" s="891"/>
      <c r="C5" s="891"/>
      <c r="D5" s="891"/>
      <c r="E5" s="891" t="s">
        <v>540</v>
      </c>
      <c r="F5" s="891" t="s">
        <v>541</v>
      </c>
      <c r="G5" s="891">
        <v>1</v>
      </c>
      <c r="H5" s="891">
        <v>1</v>
      </c>
      <c r="I5" s="891"/>
      <c r="J5" s="891"/>
      <c r="K5" s="891"/>
      <c r="L5" s="891"/>
      <c r="M5" s="891"/>
      <c r="N5" s="891"/>
      <c r="O5" s="891"/>
      <c r="P5" s="891"/>
    </row>
    <row r="6" spans="1:16">
      <c r="A6" s="891"/>
      <c r="B6" s="891">
        <v>1</v>
      </c>
      <c r="C6" s="894">
        <f>VLOOKUP(C3,E3:H200,4,FALSE)</f>
        <v>0.73080000000000001</v>
      </c>
      <c r="D6" s="891"/>
      <c r="E6" s="891"/>
      <c r="F6" s="891"/>
      <c r="G6" s="891"/>
      <c r="H6" s="891"/>
      <c r="I6" s="891"/>
      <c r="J6" s="891"/>
      <c r="K6" s="891"/>
      <c r="L6" s="891"/>
      <c r="M6" s="891"/>
      <c r="N6" s="891"/>
      <c r="O6" s="891"/>
      <c r="P6" s="891"/>
    </row>
    <row r="7" spans="1:16">
      <c r="A7" s="891"/>
      <c r="B7" s="891"/>
      <c r="C7" s="895"/>
      <c r="D7" s="891"/>
      <c r="E7" s="891" t="s">
        <v>455</v>
      </c>
      <c r="F7" s="891" t="s">
        <v>490</v>
      </c>
      <c r="G7" s="891">
        <v>0.1724</v>
      </c>
      <c r="H7" s="891">
        <v>5.9135999999999997</v>
      </c>
      <c r="I7" s="891"/>
      <c r="J7" s="891" t="s">
        <v>1382</v>
      </c>
      <c r="K7" s="891">
        <v>0.12494</v>
      </c>
      <c r="L7" s="891">
        <v>8.0039999999999996</v>
      </c>
      <c r="M7" s="891"/>
      <c r="N7" s="891"/>
      <c r="O7" s="891"/>
      <c r="P7" s="891"/>
    </row>
    <row r="8" spans="1:16">
      <c r="A8" s="891"/>
      <c r="B8" s="891" t="s">
        <v>541</v>
      </c>
      <c r="C8" s="895">
        <f>C6*B6</f>
        <v>0.73080000000000001</v>
      </c>
      <c r="D8" s="891"/>
      <c r="E8" s="891" t="s">
        <v>456</v>
      </c>
      <c r="F8" s="891" t="s">
        <v>491</v>
      </c>
      <c r="G8" s="891">
        <v>0.96809999999999996</v>
      </c>
      <c r="H8" s="891">
        <v>1.0336000000000001</v>
      </c>
      <c r="I8" s="891"/>
      <c r="J8" s="891" t="s">
        <v>1383</v>
      </c>
      <c r="K8" s="891">
        <v>0.93572999999999995</v>
      </c>
      <c r="L8" s="891">
        <v>1.069</v>
      </c>
      <c r="M8" s="891"/>
      <c r="N8" s="891"/>
      <c r="O8" s="891"/>
      <c r="P8" s="891"/>
    </row>
    <row r="9" spans="1:16">
      <c r="A9" s="891"/>
      <c r="B9" s="891"/>
      <c r="C9" s="895"/>
      <c r="D9" s="891"/>
      <c r="E9" s="891" t="s">
        <v>457</v>
      </c>
      <c r="F9" s="891" t="s">
        <v>492</v>
      </c>
      <c r="G9" s="891">
        <v>2.6678999999999999</v>
      </c>
      <c r="H9" s="891">
        <v>0.37919999999999998</v>
      </c>
      <c r="I9" s="891"/>
      <c r="J9" s="891" t="s">
        <v>1384</v>
      </c>
      <c r="K9" s="891">
        <v>2.637</v>
      </c>
      <c r="L9" s="891">
        <v>0.379</v>
      </c>
      <c r="M9" s="891"/>
      <c r="N9" s="891"/>
      <c r="O9" s="891"/>
      <c r="P9" s="891"/>
    </row>
    <row r="10" spans="1:16">
      <c r="A10" s="891"/>
      <c r="B10" s="891"/>
      <c r="C10" s="891"/>
      <c r="D10" s="891"/>
      <c r="E10" s="891" t="s">
        <v>493</v>
      </c>
      <c r="F10" s="891" t="s">
        <v>494</v>
      </c>
      <c r="G10" s="891">
        <v>0.1477</v>
      </c>
      <c r="H10" s="891">
        <v>7.0617000000000001</v>
      </c>
      <c r="I10" s="891"/>
      <c r="J10" s="891" t="s">
        <v>1385</v>
      </c>
      <c r="K10" s="891">
        <v>0.14172000000000001</v>
      </c>
      <c r="L10" s="891">
        <v>7.056</v>
      </c>
      <c r="M10" s="891"/>
      <c r="N10" s="891"/>
      <c r="O10" s="891"/>
      <c r="P10" s="891"/>
    </row>
    <row r="11" spans="1:16">
      <c r="A11" s="891"/>
      <c r="B11" s="891"/>
      <c r="C11" s="891"/>
      <c r="D11" s="891"/>
      <c r="E11" s="891" t="s">
        <v>458</v>
      </c>
      <c r="F11" s="891" t="s">
        <v>495</v>
      </c>
      <c r="G11" s="891">
        <v>0.4617</v>
      </c>
      <c r="H11" s="891">
        <v>2.1760999999999999</v>
      </c>
      <c r="I11" s="891"/>
      <c r="J11" s="891" t="s">
        <v>1386</v>
      </c>
      <c r="K11" s="891">
        <v>0.45096000000000003</v>
      </c>
      <c r="L11" s="891">
        <v>2.2170000000000001</v>
      </c>
      <c r="M11" s="891"/>
      <c r="N11" s="891"/>
      <c r="O11" s="891"/>
      <c r="P11" s="891"/>
    </row>
    <row r="12" spans="1:16">
      <c r="A12" s="891"/>
      <c r="B12" s="891"/>
      <c r="C12" s="891"/>
      <c r="D12" s="891"/>
      <c r="E12" s="891" t="s">
        <v>459</v>
      </c>
      <c r="F12" s="891" t="s">
        <v>506</v>
      </c>
      <c r="G12" s="891">
        <v>1.617</v>
      </c>
      <c r="H12" s="891">
        <v>0.61880000000000002</v>
      </c>
      <c r="I12" s="891"/>
      <c r="J12" s="891" t="s">
        <v>1387</v>
      </c>
      <c r="K12" s="891">
        <v>1.6852</v>
      </c>
      <c r="L12" s="891">
        <v>0.59299999999999997</v>
      </c>
      <c r="M12" s="891"/>
      <c r="N12" s="891"/>
      <c r="O12" s="891"/>
      <c r="P12" s="891"/>
    </row>
    <row r="13" spans="1:16">
      <c r="A13" s="891"/>
      <c r="B13" s="891"/>
      <c r="C13" s="891"/>
      <c r="D13" s="891"/>
      <c r="E13" s="891" t="s">
        <v>460</v>
      </c>
      <c r="F13" s="891" t="s">
        <v>496</v>
      </c>
      <c r="G13" s="891">
        <v>0.97260000000000002</v>
      </c>
      <c r="H13" s="891">
        <v>1.0291999999999999</v>
      </c>
      <c r="I13" s="891"/>
      <c r="J13" s="891" t="s">
        <v>1388</v>
      </c>
      <c r="K13" s="891">
        <v>0.91737999999999997</v>
      </c>
      <c r="L13" s="891">
        <v>1.0900000000000001</v>
      </c>
      <c r="M13" s="891"/>
      <c r="N13" s="891"/>
      <c r="O13" s="891"/>
      <c r="P13" s="891"/>
    </row>
    <row r="14" spans="1:16">
      <c r="A14" s="891"/>
      <c r="B14" s="891"/>
      <c r="C14" s="891"/>
      <c r="D14" s="891"/>
      <c r="E14" s="891" t="s">
        <v>461</v>
      </c>
      <c r="F14" s="891" t="s">
        <v>498</v>
      </c>
      <c r="G14" s="891">
        <v>2.013E-3</v>
      </c>
      <c r="H14" s="891">
        <v>497.8</v>
      </c>
      <c r="I14" s="891"/>
      <c r="J14" s="891" t="s">
        <v>1389</v>
      </c>
      <c r="K14" s="891">
        <v>1.8E-3</v>
      </c>
      <c r="L14" s="891">
        <v>555.6</v>
      </c>
      <c r="M14" s="891"/>
      <c r="N14" s="891"/>
      <c r="O14" s="891"/>
      <c r="P14" s="891"/>
    </row>
    <row r="15" spans="1:16">
      <c r="A15" s="891"/>
      <c r="B15" s="891"/>
      <c r="C15" s="891"/>
      <c r="D15" s="891"/>
      <c r="E15" s="891" t="s">
        <v>462</v>
      </c>
      <c r="F15" s="891" t="s">
        <v>499</v>
      </c>
      <c r="G15" s="891">
        <v>0.16350000000000001</v>
      </c>
      <c r="H15" s="891">
        <v>6.1322000000000001</v>
      </c>
      <c r="I15" s="891"/>
      <c r="J15" s="891" t="s">
        <v>1390</v>
      </c>
      <c r="K15" s="891">
        <v>0.16056000000000001</v>
      </c>
      <c r="L15" s="891">
        <v>6.2279999999999998</v>
      </c>
      <c r="M15" s="891"/>
      <c r="N15" s="891"/>
      <c r="O15" s="891"/>
      <c r="P15" s="891"/>
    </row>
    <row r="16" spans="1:16">
      <c r="A16" s="891"/>
      <c r="B16" s="891"/>
      <c r="C16" s="891"/>
      <c r="D16" s="891"/>
      <c r="E16" s="891" t="s">
        <v>463</v>
      </c>
      <c r="F16" s="891" t="s">
        <v>500</v>
      </c>
      <c r="G16" s="891">
        <v>5.3220000000000003E-4</v>
      </c>
      <c r="H16" s="891">
        <v>1882</v>
      </c>
      <c r="I16" s="891"/>
      <c r="J16" s="891" t="s">
        <v>1391</v>
      </c>
      <c r="K16" s="891">
        <v>5.1999999999999995E-4</v>
      </c>
      <c r="L16" s="891">
        <v>1923</v>
      </c>
      <c r="M16" s="891"/>
      <c r="N16" s="891"/>
      <c r="O16" s="891"/>
      <c r="P16" s="891"/>
    </row>
    <row r="17" spans="1:16">
      <c r="A17" s="891"/>
      <c r="B17" s="891"/>
      <c r="C17" s="891"/>
      <c r="D17" s="891"/>
      <c r="E17" s="891" t="s">
        <v>464</v>
      </c>
      <c r="F17" s="891" t="s">
        <v>501</v>
      </c>
      <c r="G17" s="891">
        <v>5.3069999999999999E-2</v>
      </c>
      <c r="H17" s="891">
        <v>18.8764</v>
      </c>
      <c r="I17" s="891"/>
      <c r="J17" s="891" t="s">
        <v>1392</v>
      </c>
      <c r="K17" s="891">
        <v>5.0189999999999999E-2</v>
      </c>
      <c r="L17" s="891">
        <v>19.923999999999999</v>
      </c>
      <c r="M17" s="891"/>
      <c r="N17" s="891"/>
      <c r="O17" s="891"/>
      <c r="P17" s="891"/>
    </row>
    <row r="18" spans="1:16">
      <c r="A18" s="891"/>
      <c r="B18" s="891"/>
      <c r="C18" s="891"/>
      <c r="D18" s="891"/>
      <c r="E18" s="891" t="s">
        <v>465</v>
      </c>
      <c r="F18" s="891" t="s">
        <v>502</v>
      </c>
      <c r="G18" s="891">
        <v>0.1835</v>
      </c>
      <c r="H18" s="891">
        <v>5.4500999999999999</v>
      </c>
      <c r="I18" s="891"/>
      <c r="J18" s="891" t="s">
        <v>1393</v>
      </c>
      <c r="K18" s="891">
        <v>0.18432000000000001</v>
      </c>
      <c r="L18" s="891">
        <v>5.4249999999999998</v>
      </c>
      <c r="M18" s="891"/>
      <c r="N18" s="891"/>
      <c r="O18" s="891"/>
      <c r="P18" s="891"/>
    </row>
    <row r="19" spans="1:16">
      <c r="A19" s="891"/>
      <c r="B19" s="891"/>
      <c r="C19" s="891"/>
      <c r="D19" s="891"/>
      <c r="E19" s="891" t="s">
        <v>466</v>
      </c>
      <c r="F19" s="891" t="s">
        <v>505</v>
      </c>
      <c r="G19" s="891">
        <v>1.3688</v>
      </c>
      <c r="H19" s="891">
        <v>0.73080000000000001</v>
      </c>
      <c r="I19" s="891"/>
      <c r="J19" s="891" t="s">
        <v>1394</v>
      </c>
      <c r="K19" s="891">
        <v>1.3758999999999999</v>
      </c>
      <c r="L19" s="891">
        <v>0.72699999999999998</v>
      </c>
      <c r="M19" s="891"/>
      <c r="N19" s="891"/>
      <c r="O19" s="891"/>
      <c r="P19" s="891"/>
    </row>
    <row r="20" spans="1:16">
      <c r="A20" s="891"/>
      <c r="B20" s="891"/>
      <c r="C20" s="891"/>
      <c r="D20" s="891"/>
      <c r="E20" s="891" t="s">
        <v>503</v>
      </c>
      <c r="F20" s="891" t="s">
        <v>504</v>
      </c>
      <c r="G20" s="891">
        <v>0.14549999999999999</v>
      </c>
      <c r="H20" s="891">
        <v>6.9092000000000002</v>
      </c>
      <c r="I20" s="891"/>
      <c r="J20" s="891" t="s">
        <v>1395</v>
      </c>
      <c r="K20" s="891">
        <v>0.1416</v>
      </c>
      <c r="L20" s="891">
        <v>7.0620000000000003</v>
      </c>
      <c r="M20" s="891"/>
      <c r="N20" s="891"/>
      <c r="O20" s="891"/>
      <c r="P20" s="891"/>
    </row>
    <row r="21" spans="1:16">
      <c r="A21" s="891"/>
      <c r="B21" s="891"/>
      <c r="C21" s="891"/>
      <c r="D21" s="891"/>
      <c r="E21" s="891" t="s">
        <v>467</v>
      </c>
      <c r="F21" s="891" t="s">
        <v>507</v>
      </c>
      <c r="G21" s="891">
        <v>0.129</v>
      </c>
      <c r="H21" s="891">
        <v>7.7534000000000001</v>
      </c>
      <c r="I21" s="891"/>
      <c r="J21" s="891" t="s">
        <v>1396</v>
      </c>
      <c r="K21" s="891">
        <v>0.12898999999999999</v>
      </c>
      <c r="L21" s="891">
        <v>7.7530000000000001</v>
      </c>
      <c r="M21" s="891"/>
      <c r="N21" s="891"/>
      <c r="O21" s="891"/>
      <c r="P21" s="891"/>
    </row>
    <row r="22" spans="1:16">
      <c r="A22" s="891"/>
      <c r="B22" s="891"/>
      <c r="C22" s="891"/>
      <c r="D22" s="891"/>
      <c r="E22" s="891" t="s">
        <v>468</v>
      </c>
      <c r="F22" s="891" t="s">
        <v>508</v>
      </c>
      <c r="G22" s="891">
        <v>4.6579999999999998E-3</v>
      </c>
      <c r="H22" s="891">
        <v>215.018</v>
      </c>
      <c r="I22" s="891"/>
      <c r="J22" s="891" t="s">
        <v>1397</v>
      </c>
      <c r="K22" s="891">
        <v>4.5199999999999997E-3</v>
      </c>
      <c r="L22" s="891">
        <v>221.2</v>
      </c>
      <c r="M22" s="891"/>
      <c r="N22" s="891"/>
      <c r="O22" s="891"/>
      <c r="P22" s="891"/>
    </row>
    <row r="23" spans="1:16">
      <c r="A23" s="891"/>
      <c r="B23" s="891"/>
      <c r="C23" s="891"/>
      <c r="D23" s="891"/>
      <c r="E23" s="891" t="s">
        <v>469</v>
      </c>
      <c r="F23" s="891" t="s">
        <v>510</v>
      </c>
      <c r="G23" s="891">
        <v>1.6459999999999999E-2</v>
      </c>
      <c r="H23" s="891">
        <v>61.106999999999999</v>
      </c>
      <c r="I23" s="891"/>
      <c r="J23" s="891" t="s">
        <v>1398</v>
      </c>
      <c r="K23" s="891">
        <v>1.6670000000000001E-2</v>
      </c>
      <c r="L23" s="891">
        <v>59.988</v>
      </c>
      <c r="M23" s="891"/>
      <c r="N23" s="891"/>
      <c r="O23" s="891"/>
      <c r="P23" s="891"/>
    </row>
    <row r="24" spans="1:16">
      <c r="A24" s="891"/>
      <c r="B24" s="891"/>
      <c r="C24" s="891"/>
      <c r="D24" s="891"/>
      <c r="E24" s="891" t="s">
        <v>470</v>
      </c>
      <c r="F24" s="891" t="s">
        <v>509</v>
      </c>
      <c r="G24" s="896">
        <v>8.8499999999999996E-5</v>
      </c>
      <c r="H24" s="891">
        <v>11350.7</v>
      </c>
      <c r="I24" s="891"/>
      <c r="J24" s="891" t="s">
        <v>1399</v>
      </c>
      <c r="K24" s="891">
        <v>8.6499999999999997E-3</v>
      </c>
      <c r="L24" s="891">
        <v>115.6</v>
      </c>
      <c r="M24" s="891"/>
      <c r="N24" s="891"/>
      <c r="O24" s="891"/>
      <c r="P24" s="891"/>
    </row>
    <row r="25" spans="1:16">
      <c r="A25" s="891"/>
      <c r="B25" s="891"/>
      <c r="C25" s="891"/>
      <c r="D25" s="891"/>
      <c r="E25" s="891" t="s">
        <v>471</v>
      </c>
      <c r="F25" s="891" t="s">
        <v>513</v>
      </c>
      <c r="G25" s="891">
        <v>1.0241999999999999E-2</v>
      </c>
      <c r="H25" s="891">
        <v>97.787999999999997</v>
      </c>
      <c r="I25" s="891"/>
      <c r="J25" s="891" t="s">
        <v>1400</v>
      </c>
      <c r="K25" s="891">
        <v>9.8200000000000006E-3</v>
      </c>
      <c r="L25" s="891">
        <v>101.8</v>
      </c>
      <c r="M25" s="891"/>
      <c r="N25" s="891"/>
      <c r="O25" s="891"/>
      <c r="P25" s="891"/>
    </row>
    <row r="26" spans="1:16">
      <c r="A26" s="891"/>
      <c r="B26" s="891"/>
      <c r="C26" s="891"/>
      <c r="D26" s="891"/>
      <c r="E26" s="891" t="s">
        <v>511</v>
      </c>
      <c r="F26" s="891" t="s">
        <v>512</v>
      </c>
      <c r="G26" s="891">
        <v>1.4172</v>
      </c>
      <c r="H26" s="891">
        <v>0.71060000000000001</v>
      </c>
      <c r="I26" s="891"/>
      <c r="J26" s="891" t="s">
        <v>1401</v>
      </c>
      <c r="K26" s="891">
        <v>1.4012</v>
      </c>
      <c r="L26" s="891">
        <v>0.71399999999999997</v>
      </c>
      <c r="M26" s="891"/>
      <c r="N26" s="891"/>
      <c r="O26" s="891"/>
      <c r="P26" s="891"/>
    </row>
    <row r="27" spans="1:16">
      <c r="A27" s="891"/>
      <c r="B27" s="891"/>
      <c r="C27" s="891"/>
      <c r="D27" s="891"/>
      <c r="E27" s="891" t="s">
        <v>514</v>
      </c>
      <c r="F27" s="891" t="s">
        <v>515</v>
      </c>
      <c r="G27" s="891">
        <v>1.1979999999999999E-2</v>
      </c>
      <c r="H27" s="891">
        <v>86.3673</v>
      </c>
      <c r="I27" s="891"/>
      <c r="J27" s="891" t="s">
        <v>1402</v>
      </c>
      <c r="K27" s="891">
        <v>1.128E-2</v>
      </c>
      <c r="L27" s="891">
        <v>88.652000000000001</v>
      </c>
      <c r="M27" s="891"/>
      <c r="N27" s="891"/>
      <c r="O27" s="891"/>
      <c r="P27" s="891"/>
    </row>
    <row r="28" spans="1:16">
      <c r="A28" s="891"/>
      <c r="B28" s="891"/>
      <c r="C28" s="891"/>
      <c r="D28" s="891"/>
      <c r="E28" s="891" t="s">
        <v>516</v>
      </c>
      <c r="F28" s="891" t="s">
        <v>517</v>
      </c>
      <c r="G28" s="891">
        <v>9.435E-4</v>
      </c>
      <c r="H28" s="891">
        <v>1062.1300000000001</v>
      </c>
      <c r="I28" s="891"/>
      <c r="J28" s="891" t="s">
        <v>1403</v>
      </c>
      <c r="K28" s="891">
        <v>9.7549999999999998E-2</v>
      </c>
      <c r="L28" s="891">
        <v>10.250999999999999</v>
      </c>
      <c r="M28" s="891"/>
      <c r="N28" s="891"/>
      <c r="O28" s="891"/>
      <c r="P28" s="891"/>
    </row>
    <row r="29" spans="1:16">
      <c r="A29" s="891"/>
      <c r="B29" s="891"/>
      <c r="C29" s="891"/>
      <c r="D29" s="891"/>
      <c r="E29" s="891" t="s">
        <v>472</v>
      </c>
      <c r="F29" s="891" t="s">
        <v>518</v>
      </c>
      <c r="G29" s="891">
        <v>3.5461</v>
      </c>
      <c r="H29" s="891">
        <v>0.28299999999999997</v>
      </c>
      <c r="I29" s="891"/>
      <c r="J29" s="891" t="s">
        <v>1404</v>
      </c>
      <c r="K29" s="891">
        <v>3.5463</v>
      </c>
      <c r="L29" s="891">
        <v>0.28199999999999997</v>
      </c>
      <c r="M29" s="891"/>
      <c r="N29" s="891"/>
      <c r="O29" s="891"/>
      <c r="P29" s="891"/>
    </row>
    <row r="30" spans="1:16">
      <c r="A30" s="891"/>
      <c r="B30" s="891"/>
      <c r="C30" s="891"/>
      <c r="D30" s="891"/>
      <c r="E30" s="891" t="s">
        <v>519</v>
      </c>
      <c r="F30" s="891" t="s">
        <v>520</v>
      </c>
      <c r="G30" s="891">
        <v>0.1255</v>
      </c>
      <c r="H30" s="891">
        <v>8.4641999999999999</v>
      </c>
      <c r="I30" s="891"/>
      <c r="J30" s="891" t="s">
        <v>1405</v>
      </c>
      <c r="K30" s="891">
        <v>0.11919</v>
      </c>
      <c r="L30" s="891">
        <v>8.39</v>
      </c>
      <c r="M30" s="891"/>
      <c r="N30" s="891"/>
      <c r="O30" s="891"/>
      <c r="P30" s="891"/>
    </row>
    <row r="31" spans="1:16">
      <c r="A31" s="891"/>
      <c r="B31" s="891"/>
      <c r="C31" s="891"/>
      <c r="D31" s="891"/>
      <c r="E31" s="891" t="s">
        <v>473</v>
      </c>
      <c r="F31" s="891" t="s">
        <v>522</v>
      </c>
      <c r="G31" s="891">
        <v>0.31690000000000002</v>
      </c>
      <c r="H31" s="891">
        <v>3.1612</v>
      </c>
      <c r="I31" s="891"/>
      <c r="J31" s="891" t="s">
        <v>1406</v>
      </c>
      <c r="K31" s="891">
        <v>0.30342999999999998</v>
      </c>
      <c r="L31" s="891">
        <v>3.2959999999999998</v>
      </c>
      <c r="M31" s="891"/>
      <c r="N31" s="891"/>
      <c r="O31" s="891"/>
      <c r="P31" s="891"/>
    </row>
    <row r="32" spans="1:16">
      <c r="A32" s="891"/>
      <c r="B32" s="891"/>
      <c r="C32" s="891"/>
      <c r="D32" s="891"/>
      <c r="E32" s="891" t="s">
        <v>474</v>
      </c>
      <c r="F32" s="891" t="s">
        <v>521</v>
      </c>
      <c r="G32" s="891">
        <v>7.782E-2</v>
      </c>
      <c r="H32" s="891">
        <v>12.863099999999999</v>
      </c>
      <c r="I32" s="891"/>
      <c r="J32" s="891" t="s">
        <v>1407</v>
      </c>
      <c r="K32" s="891">
        <v>7.7210000000000001E-2</v>
      </c>
      <c r="L32" s="891">
        <v>12.952</v>
      </c>
      <c r="M32" s="891"/>
      <c r="N32" s="891"/>
      <c r="O32" s="891"/>
      <c r="P32" s="891"/>
    </row>
    <row r="33" spans="1:16">
      <c r="A33" s="891"/>
      <c r="B33" s="891"/>
      <c r="C33" s="891"/>
      <c r="D33" s="891"/>
      <c r="E33" s="891" t="s">
        <v>523</v>
      </c>
      <c r="F33" s="891" t="s">
        <v>524</v>
      </c>
      <c r="G33" s="891">
        <v>0.1696</v>
      </c>
      <c r="H33" s="891">
        <v>5.9054000000000002</v>
      </c>
      <c r="I33" s="891"/>
      <c r="J33" s="891" t="s">
        <v>1408</v>
      </c>
      <c r="K33" s="891">
        <v>0.16913</v>
      </c>
      <c r="L33" s="891">
        <v>5.9130000000000003</v>
      </c>
      <c r="M33" s="891"/>
      <c r="N33" s="891"/>
      <c r="O33" s="891"/>
      <c r="P33" s="891"/>
    </row>
    <row r="34" spans="1:16">
      <c r="A34" s="891"/>
      <c r="B34" s="891"/>
      <c r="C34" s="891"/>
      <c r="D34" s="891"/>
      <c r="E34" s="891" t="s">
        <v>475</v>
      </c>
      <c r="F34" s="891" t="s">
        <v>525</v>
      </c>
      <c r="G34" s="891">
        <v>2.6042000000000001</v>
      </c>
      <c r="H34" s="891">
        <v>0.38600000000000001</v>
      </c>
      <c r="I34" s="891"/>
      <c r="J34" s="891" t="s">
        <v>1409</v>
      </c>
      <c r="K34" s="891">
        <v>2.5903</v>
      </c>
      <c r="L34" s="891">
        <v>0.38600000000000001</v>
      </c>
      <c r="M34" s="891"/>
      <c r="N34" s="891"/>
      <c r="O34" s="891"/>
      <c r="P34" s="891"/>
    </row>
    <row r="35" spans="1:16">
      <c r="A35" s="891"/>
      <c r="B35" s="891"/>
      <c r="C35" s="891"/>
      <c r="D35" s="891"/>
      <c r="E35" s="891" t="s">
        <v>476</v>
      </c>
      <c r="F35" s="891" t="s">
        <v>528</v>
      </c>
      <c r="G35" s="891">
        <v>2.3269999999999999E-2</v>
      </c>
      <c r="H35" s="891">
        <v>43.192799999999998</v>
      </c>
      <c r="I35" s="891"/>
      <c r="J35" s="891" t="s">
        <v>1410</v>
      </c>
      <c r="K35" s="891">
        <v>0.34936</v>
      </c>
      <c r="L35" s="891">
        <v>2.8620000000000001</v>
      </c>
      <c r="M35" s="891"/>
      <c r="N35" s="891"/>
      <c r="O35" s="891"/>
      <c r="P35" s="891"/>
    </row>
    <row r="36" spans="1:16">
      <c r="A36" s="891"/>
      <c r="B36" s="891"/>
      <c r="C36" s="891"/>
      <c r="D36" s="891"/>
      <c r="E36" s="891" t="s">
        <v>526</v>
      </c>
      <c r="F36" s="891" t="s">
        <v>527</v>
      </c>
      <c r="G36" s="891">
        <v>0.36959999999999998</v>
      </c>
      <c r="H36" s="891">
        <v>2.8226</v>
      </c>
      <c r="I36" s="891"/>
      <c r="J36" s="891" t="s">
        <v>1411</v>
      </c>
      <c r="K36" s="891">
        <v>2.291E-2</v>
      </c>
      <c r="L36" s="891">
        <v>43.649000000000001</v>
      </c>
      <c r="M36" s="891"/>
      <c r="N36" s="891"/>
      <c r="O36" s="891"/>
      <c r="P36" s="891"/>
    </row>
    <row r="37" spans="1:16">
      <c r="A37" s="891"/>
      <c r="B37" s="891"/>
      <c r="C37" s="891"/>
      <c r="D37" s="891"/>
      <c r="E37" s="891" t="s">
        <v>529</v>
      </c>
      <c r="F37" s="891" t="s">
        <v>530</v>
      </c>
      <c r="G37" s="891">
        <v>9.5219999999999992E-3</v>
      </c>
      <c r="H37" s="891">
        <v>107.35</v>
      </c>
      <c r="I37" s="891"/>
      <c r="J37" s="891" t="s">
        <v>1412</v>
      </c>
      <c r="K37" s="891">
        <v>1.0030000000000001E-2</v>
      </c>
      <c r="L37" s="891">
        <v>99.700999999999993</v>
      </c>
      <c r="M37" s="891"/>
      <c r="N37" s="891"/>
      <c r="O37" s="891"/>
      <c r="P37" s="891"/>
    </row>
    <row r="38" spans="1:16">
      <c r="A38" s="891"/>
      <c r="B38" s="891"/>
      <c r="C38" s="891"/>
      <c r="D38" s="891"/>
      <c r="E38" s="891" t="s">
        <v>531</v>
      </c>
      <c r="F38" s="891" t="s">
        <v>532</v>
      </c>
      <c r="G38" s="891">
        <v>0.26669999999999999</v>
      </c>
      <c r="H38" s="891">
        <v>3.7511000000000001</v>
      </c>
      <c r="I38" s="891"/>
      <c r="J38" s="891" t="s">
        <v>1413</v>
      </c>
      <c r="K38" s="891">
        <v>0.26640000000000003</v>
      </c>
      <c r="L38" s="891">
        <v>3.754</v>
      </c>
      <c r="M38" s="891"/>
      <c r="N38" s="891"/>
      <c r="O38" s="891"/>
      <c r="P38" s="891"/>
    </row>
    <row r="39" spans="1:16">
      <c r="A39" s="891"/>
      <c r="B39" s="891"/>
      <c r="C39" s="891"/>
      <c r="D39" s="891"/>
      <c r="E39" s="891" t="s">
        <v>477</v>
      </c>
      <c r="F39" s="891" t="s">
        <v>534</v>
      </c>
      <c r="G39" s="891">
        <v>0.80759999999999998</v>
      </c>
      <c r="H39" s="891">
        <v>1.2399</v>
      </c>
      <c r="I39" s="891"/>
      <c r="J39" s="891" t="s">
        <v>1414</v>
      </c>
      <c r="K39" s="891">
        <v>0.80062</v>
      </c>
      <c r="L39" s="891">
        <v>1.2490000000000001</v>
      </c>
      <c r="M39" s="891"/>
      <c r="N39" s="891"/>
      <c r="O39" s="891"/>
      <c r="P39" s="891"/>
    </row>
    <row r="40" spans="1:16">
      <c r="A40" s="891"/>
      <c r="B40" s="891"/>
      <c r="C40" s="891"/>
      <c r="D40" s="891"/>
      <c r="E40" s="891" t="s">
        <v>478</v>
      </c>
      <c r="F40" s="891" t="s">
        <v>544</v>
      </c>
      <c r="G40" s="891">
        <v>0.1023</v>
      </c>
      <c r="H40" s="891">
        <v>9.8049999999999997</v>
      </c>
      <c r="I40" s="891"/>
      <c r="J40" s="891" t="s">
        <v>1415</v>
      </c>
      <c r="K40" s="891">
        <v>9.6530000000000005E-2</v>
      </c>
      <c r="L40" s="891">
        <v>10.359</v>
      </c>
      <c r="M40" s="891"/>
      <c r="N40" s="891"/>
      <c r="O40" s="891"/>
      <c r="P40" s="891"/>
    </row>
    <row r="41" spans="1:16">
      <c r="A41" s="891"/>
      <c r="B41" s="891"/>
      <c r="C41" s="891"/>
      <c r="D41" s="891"/>
      <c r="E41" s="891" t="s">
        <v>479</v>
      </c>
      <c r="F41" s="891" t="s">
        <v>533</v>
      </c>
      <c r="G41" s="891">
        <v>0.15590000000000001</v>
      </c>
      <c r="H41" s="891">
        <v>6.4169</v>
      </c>
      <c r="I41" s="891"/>
      <c r="J41" s="891" t="s">
        <v>1416</v>
      </c>
      <c r="K41" s="891">
        <v>0.15209</v>
      </c>
      <c r="L41" s="891">
        <v>6.5750000000000002</v>
      </c>
      <c r="M41" s="891"/>
      <c r="N41" s="891"/>
      <c r="O41" s="891"/>
      <c r="P41" s="891"/>
    </row>
    <row r="42" spans="1:16">
      <c r="A42" s="891"/>
      <c r="B42" s="891"/>
      <c r="C42" s="891"/>
      <c r="D42" s="891"/>
      <c r="E42" s="891" t="s">
        <v>480</v>
      </c>
      <c r="F42" s="891" t="s">
        <v>497</v>
      </c>
      <c r="G42" s="891">
        <v>1.1094999999999999</v>
      </c>
      <c r="H42" s="891">
        <v>0.9022</v>
      </c>
      <c r="I42" s="891"/>
      <c r="J42" s="891" t="s">
        <v>1417</v>
      </c>
      <c r="K42" s="891">
        <v>1.1278999999999999</v>
      </c>
      <c r="L42" s="891">
        <v>0.88700000000000001</v>
      </c>
      <c r="M42" s="891"/>
      <c r="N42" s="891"/>
      <c r="O42" s="891"/>
      <c r="P42" s="891"/>
    </row>
    <row r="43" spans="1:16">
      <c r="A43" s="891"/>
      <c r="B43" s="891"/>
      <c r="C43" s="891"/>
      <c r="D43" s="891"/>
      <c r="E43" s="891" t="s">
        <v>538</v>
      </c>
      <c r="F43" s="891" t="s">
        <v>539</v>
      </c>
      <c r="G43" s="891">
        <v>3.4119999999999998E-2</v>
      </c>
      <c r="H43" s="891">
        <v>29.409800000000001</v>
      </c>
      <c r="I43" s="891"/>
      <c r="J43" s="891" t="s">
        <v>1418</v>
      </c>
      <c r="K43" s="891">
        <v>3.3090000000000001E-2</v>
      </c>
      <c r="L43" s="891">
        <v>30.221</v>
      </c>
      <c r="M43" s="891"/>
      <c r="N43" s="891"/>
      <c r="O43" s="891"/>
      <c r="P43" s="891"/>
    </row>
    <row r="44" spans="1:16">
      <c r="A44" s="891"/>
      <c r="B44" s="891"/>
      <c r="C44" s="891"/>
      <c r="D44" s="891"/>
      <c r="E44" s="891" t="s">
        <v>481</v>
      </c>
      <c r="F44" s="891" t="s">
        <v>535</v>
      </c>
      <c r="G44" s="891">
        <v>3.227E-2</v>
      </c>
      <c r="H44" s="891">
        <v>31.114999999999998</v>
      </c>
      <c r="I44" s="891"/>
      <c r="J44" s="891" t="s">
        <v>1419</v>
      </c>
      <c r="K44" s="891">
        <v>3.0630000000000001E-2</v>
      </c>
      <c r="L44" s="891">
        <v>32.648000000000003</v>
      </c>
      <c r="M44" s="891"/>
      <c r="N44" s="891"/>
      <c r="O44" s="891"/>
      <c r="P44" s="891"/>
    </row>
    <row r="45" spans="1:16">
      <c r="A45" s="891"/>
      <c r="B45" s="891"/>
      <c r="C45" s="891"/>
      <c r="D45" s="891"/>
      <c r="E45" s="891" t="s">
        <v>536</v>
      </c>
      <c r="F45" s="891" t="s">
        <v>537</v>
      </c>
      <c r="G45" s="891">
        <v>0.61160000000000003</v>
      </c>
      <c r="H45" s="891">
        <v>1.6451</v>
      </c>
      <c r="I45" s="891"/>
      <c r="J45" s="891" t="s">
        <v>1420</v>
      </c>
      <c r="K45" s="891">
        <v>0.61728000000000005</v>
      </c>
      <c r="L45" s="891">
        <v>1.62</v>
      </c>
      <c r="M45" s="891"/>
      <c r="N45" s="891"/>
      <c r="O45" s="891"/>
      <c r="P45" s="891"/>
    </row>
    <row r="46" spans="1:16">
      <c r="A46" s="891"/>
      <c r="B46" s="891"/>
      <c r="C46" s="891"/>
      <c r="D46" s="891"/>
      <c r="E46" s="891" t="s">
        <v>488</v>
      </c>
      <c r="F46" s="891" t="s">
        <v>489</v>
      </c>
      <c r="G46" s="891">
        <v>0.27229999999999999</v>
      </c>
      <c r="H46" s="891">
        <v>3.6739999999999999</v>
      </c>
      <c r="I46" s="891"/>
      <c r="J46" s="891" t="s">
        <v>1421</v>
      </c>
      <c r="K46" s="891">
        <v>0.27224999999999999</v>
      </c>
      <c r="L46" s="891">
        <v>3.673</v>
      </c>
      <c r="M46" s="891"/>
      <c r="N46" s="891"/>
      <c r="O46" s="891"/>
      <c r="P46" s="891"/>
    </row>
    <row r="47" spans="1:16">
      <c r="A47" s="891"/>
      <c r="B47" s="891"/>
      <c r="C47" s="891"/>
      <c r="D47" s="891"/>
      <c r="E47" s="891" t="s">
        <v>540</v>
      </c>
      <c r="F47" s="891" t="s">
        <v>541</v>
      </c>
      <c r="G47" s="891">
        <v>1</v>
      </c>
      <c r="H47" s="891">
        <v>1</v>
      </c>
      <c r="I47" s="891"/>
      <c r="J47" s="891" t="s">
        <v>1422</v>
      </c>
      <c r="K47" s="891">
        <v>1</v>
      </c>
      <c r="L47" s="891">
        <v>1</v>
      </c>
      <c r="M47" s="891"/>
      <c r="N47" s="891"/>
      <c r="O47" s="891"/>
      <c r="P47" s="891"/>
    </row>
    <row r="48" spans="1:16">
      <c r="A48" s="891"/>
      <c r="B48" s="891"/>
      <c r="C48" s="891"/>
      <c r="D48" s="891"/>
      <c r="E48" s="891" t="s">
        <v>542</v>
      </c>
      <c r="F48" s="891" t="s">
        <v>543</v>
      </c>
      <c r="G48" s="891">
        <v>0.15909999999999999</v>
      </c>
      <c r="H48" s="891">
        <v>6.2971000000000004</v>
      </c>
      <c r="I48" s="891"/>
      <c r="J48" s="891" t="s">
        <v>1423</v>
      </c>
      <c r="K48" s="891">
        <v>0.15853999999999999</v>
      </c>
      <c r="L48" s="891">
        <v>6.3079999999999998</v>
      </c>
      <c r="M48" s="891"/>
      <c r="N48" s="891"/>
      <c r="O48" s="891"/>
      <c r="P48" s="891"/>
    </row>
    <row r="49" spans="1:16">
      <c r="A49" s="891"/>
      <c r="B49" s="891"/>
      <c r="C49" s="891"/>
      <c r="D49" s="891"/>
      <c r="E49" s="891"/>
      <c r="F49" s="891"/>
      <c r="G49" s="891"/>
      <c r="H49" s="891"/>
      <c r="I49" s="891"/>
      <c r="J49" s="891"/>
      <c r="K49" s="891"/>
      <c r="L49" s="891"/>
      <c r="M49" s="891"/>
      <c r="N49" s="891"/>
      <c r="O49" s="891"/>
      <c r="P49" s="891"/>
    </row>
    <row r="50" spans="1:16">
      <c r="A50" s="891"/>
      <c r="B50" s="891"/>
      <c r="C50" s="891"/>
      <c r="D50" s="891"/>
      <c r="E50" s="891"/>
      <c r="F50" s="891"/>
      <c r="G50" s="891"/>
      <c r="H50" s="891"/>
      <c r="I50" s="891"/>
      <c r="J50" s="891"/>
      <c r="K50" s="891"/>
      <c r="L50" s="891"/>
      <c r="M50" s="891"/>
      <c r="N50" s="891"/>
      <c r="O50" s="891"/>
      <c r="P50" s="891"/>
    </row>
    <row r="51" spans="1:16">
      <c r="A51" s="891"/>
      <c r="B51" s="891"/>
      <c r="C51" s="891"/>
      <c r="D51" s="891"/>
      <c r="E51" s="891"/>
      <c r="F51" s="891"/>
      <c r="G51" s="891"/>
      <c r="H51" s="891"/>
      <c r="I51" s="891"/>
      <c r="J51" s="891"/>
      <c r="K51" s="891"/>
      <c r="L51" s="891"/>
      <c r="M51" s="891"/>
      <c r="N51" s="891"/>
      <c r="O51" s="891"/>
      <c r="P51" s="891"/>
    </row>
    <row r="52" spans="1:16">
      <c r="A52" s="891"/>
      <c r="B52" s="891"/>
      <c r="C52" s="891"/>
      <c r="D52" s="891"/>
      <c r="E52" s="891"/>
      <c r="F52" s="891"/>
      <c r="G52" s="896"/>
      <c r="H52" s="891"/>
      <c r="I52" s="891"/>
      <c r="J52" s="891"/>
      <c r="K52" s="891"/>
      <c r="L52" s="891"/>
      <c r="M52" s="891"/>
      <c r="N52" s="891"/>
      <c r="O52" s="891"/>
      <c r="P52" s="891"/>
    </row>
    <row r="53" spans="1:16">
      <c r="A53" s="891"/>
      <c r="B53" s="891"/>
      <c r="C53" s="891"/>
      <c r="D53" s="891"/>
      <c r="E53" s="891"/>
      <c r="F53" s="891"/>
      <c r="G53" s="891"/>
      <c r="H53" s="891"/>
      <c r="I53" s="891"/>
      <c r="J53" s="891"/>
      <c r="K53" s="891"/>
      <c r="L53" s="891"/>
      <c r="M53" s="891"/>
      <c r="N53" s="891"/>
      <c r="O53" s="891"/>
      <c r="P53" s="891"/>
    </row>
    <row r="54" spans="1:16">
      <c r="A54" s="891"/>
      <c r="B54" s="891"/>
      <c r="C54" s="891"/>
      <c r="D54" s="891"/>
      <c r="E54" s="891"/>
      <c r="F54" s="891"/>
      <c r="G54" s="891"/>
      <c r="H54" s="891"/>
      <c r="I54" s="891"/>
      <c r="J54" s="891"/>
      <c r="K54" s="891"/>
      <c r="L54" s="891"/>
      <c r="M54" s="891"/>
      <c r="N54" s="891"/>
      <c r="O54" s="891"/>
      <c r="P54" s="891"/>
    </row>
    <row r="55" spans="1:16">
      <c r="A55" s="891"/>
      <c r="B55" s="891"/>
      <c r="C55" s="891"/>
      <c r="D55" s="891"/>
      <c r="E55" s="891"/>
      <c r="F55" s="891"/>
      <c r="G55" s="891"/>
      <c r="H55" s="891"/>
      <c r="I55" s="891"/>
      <c r="J55" s="891"/>
      <c r="K55" s="891"/>
      <c r="L55" s="891"/>
      <c r="M55" s="891"/>
      <c r="N55" s="891"/>
      <c r="O55" s="891"/>
      <c r="P55" s="891"/>
    </row>
    <row r="56" spans="1:16">
      <c r="A56" s="891"/>
      <c r="B56" s="891"/>
      <c r="C56" s="891"/>
      <c r="D56" s="891"/>
      <c r="E56" s="891"/>
      <c r="F56" s="891"/>
      <c r="G56" s="891"/>
      <c r="H56" s="891"/>
      <c r="I56" s="891"/>
      <c r="J56" s="891"/>
      <c r="K56" s="891"/>
      <c r="L56" s="891"/>
      <c r="M56" s="891"/>
      <c r="N56" s="891"/>
      <c r="O56" s="891"/>
      <c r="P56" s="891"/>
    </row>
    <row r="57" spans="1:16">
      <c r="A57" s="891"/>
      <c r="B57" s="891"/>
      <c r="C57" s="891"/>
      <c r="D57" s="891"/>
      <c r="E57" s="891"/>
      <c r="F57" s="891"/>
      <c r="G57" s="891"/>
      <c r="H57" s="891"/>
      <c r="I57" s="891"/>
      <c r="J57" s="891"/>
      <c r="K57" s="891"/>
      <c r="L57" s="891"/>
      <c r="M57" s="891"/>
      <c r="N57" s="891"/>
      <c r="O57" s="891"/>
      <c r="P57" s="891"/>
    </row>
    <row r="58" spans="1:16">
      <c r="A58" s="891"/>
      <c r="B58" s="891"/>
      <c r="C58" s="891"/>
      <c r="D58" s="891"/>
      <c r="E58" s="891"/>
      <c r="F58" s="891"/>
      <c r="G58" s="891"/>
      <c r="H58" s="891"/>
      <c r="I58" s="891"/>
      <c r="J58" s="891"/>
      <c r="K58" s="891"/>
      <c r="L58" s="891"/>
      <c r="M58" s="891"/>
      <c r="N58" s="891"/>
      <c r="O58" s="891"/>
      <c r="P58" s="891"/>
    </row>
    <row r="59" spans="1:16">
      <c r="A59" s="891"/>
      <c r="B59" s="891"/>
      <c r="C59" s="891"/>
      <c r="D59" s="891"/>
      <c r="E59" s="891"/>
      <c r="F59" s="891"/>
      <c r="G59" s="891"/>
      <c r="H59" s="891"/>
      <c r="I59" s="891"/>
      <c r="J59" s="891"/>
      <c r="K59" s="891"/>
      <c r="L59" s="891"/>
      <c r="M59" s="891"/>
      <c r="N59" s="891"/>
      <c r="O59" s="891"/>
      <c r="P59" s="891"/>
    </row>
    <row r="60" spans="1:16">
      <c r="A60" s="891"/>
      <c r="B60" s="891"/>
      <c r="C60" s="891"/>
      <c r="D60" s="891"/>
      <c r="E60" s="891"/>
      <c r="F60" s="891"/>
      <c r="G60" s="891"/>
      <c r="H60" s="891"/>
      <c r="I60" s="891"/>
      <c r="J60" s="891"/>
      <c r="K60" s="891"/>
      <c r="L60" s="891"/>
      <c r="M60" s="891"/>
      <c r="N60" s="891"/>
      <c r="O60" s="891"/>
      <c r="P60" s="891"/>
    </row>
    <row r="61" spans="1:16">
      <c r="A61" s="891"/>
      <c r="B61" s="891"/>
      <c r="C61" s="891"/>
      <c r="D61" s="891"/>
      <c r="E61" s="891"/>
      <c r="F61" s="891"/>
      <c r="G61" s="891"/>
      <c r="H61" s="891"/>
      <c r="I61" s="891"/>
      <c r="J61" s="891"/>
      <c r="K61" s="891"/>
      <c r="L61" s="891"/>
      <c r="M61" s="891"/>
      <c r="N61" s="891"/>
      <c r="O61" s="891"/>
      <c r="P61" s="891"/>
    </row>
    <row r="62" spans="1:16">
      <c r="A62" s="891"/>
      <c r="B62" s="891"/>
      <c r="C62" s="891"/>
      <c r="D62" s="891"/>
      <c r="E62" s="891"/>
      <c r="F62" s="891"/>
      <c r="G62" s="891"/>
      <c r="H62" s="891"/>
      <c r="I62" s="891"/>
      <c r="J62" s="891"/>
      <c r="K62" s="891"/>
      <c r="L62" s="891"/>
      <c r="M62" s="891"/>
      <c r="N62" s="891"/>
      <c r="O62" s="891"/>
      <c r="P62" s="891"/>
    </row>
    <row r="63" spans="1:16">
      <c r="A63" s="891"/>
      <c r="B63" s="891"/>
      <c r="C63" s="891"/>
      <c r="D63" s="891"/>
      <c r="E63" s="891"/>
      <c r="F63" s="891"/>
      <c r="G63" s="891"/>
      <c r="H63" s="891"/>
      <c r="I63" s="891"/>
      <c r="J63" s="891"/>
      <c r="K63" s="891"/>
      <c r="L63" s="891"/>
      <c r="M63" s="891"/>
      <c r="N63" s="891"/>
      <c r="O63" s="891"/>
      <c r="P63" s="891"/>
    </row>
    <row r="64" spans="1:16">
      <c r="A64" s="891"/>
      <c r="B64" s="891"/>
      <c r="C64" s="891"/>
      <c r="D64" s="891"/>
      <c r="E64" s="891"/>
      <c r="F64" s="891"/>
      <c r="G64" s="896"/>
      <c r="H64" s="891"/>
      <c r="I64" s="891"/>
      <c r="J64" s="891"/>
      <c r="K64" s="891"/>
      <c r="L64" s="891"/>
      <c r="M64" s="891"/>
      <c r="N64" s="891"/>
      <c r="O64" s="891"/>
      <c r="P64" s="891"/>
    </row>
    <row r="65" spans="1:16">
      <c r="A65" s="891"/>
      <c r="B65" s="891"/>
      <c r="C65" s="891"/>
      <c r="D65" s="891"/>
      <c r="E65" s="891"/>
      <c r="F65" s="891"/>
      <c r="G65" s="891"/>
      <c r="H65" s="891"/>
      <c r="I65" s="891"/>
      <c r="J65" s="891"/>
      <c r="K65" s="891"/>
      <c r="L65" s="891"/>
      <c r="M65" s="891"/>
      <c r="N65" s="891"/>
      <c r="O65" s="891"/>
      <c r="P65" s="891"/>
    </row>
    <row r="66" spans="1:16">
      <c r="A66" s="891"/>
      <c r="B66" s="891"/>
      <c r="C66" s="891"/>
      <c r="D66" s="891"/>
      <c r="E66" s="891"/>
      <c r="F66" s="891"/>
      <c r="G66" s="891"/>
      <c r="H66" s="891"/>
      <c r="I66" s="891"/>
      <c r="J66" s="891"/>
      <c r="K66" s="891"/>
      <c r="L66" s="891"/>
      <c r="M66" s="891"/>
      <c r="N66" s="891"/>
      <c r="O66" s="891"/>
      <c r="P66" s="891"/>
    </row>
    <row r="67" spans="1:16">
      <c r="A67" s="891"/>
      <c r="B67" s="891"/>
      <c r="C67" s="891"/>
      <c r="D67" s="891"/>
      <c r="E67" s="891"/>
      <c r="F67" s="891"/>
      <c r="G67" s="891"/>
      <c r="H67" s="891"/>
      <c r="I67" s="891"/>
      <c r="J67" s="891"/>
      <c r="K67" s="891"/>
      <c r="L67" s="891"/>
      <c r="M67" s="891"/>
      <c r="N67" s="891"/>
      <c r="O67" s="891"/>
      <c r="P67" s="891"/>
    </row>
    <row r="68" spans="1:16">
      <c r="A68" s="891"/>
      <c r="B68" s="891"/>
      <c r="C68" s="891"/>
      <c r="D68" s="891"/>
      <c r="E68" s="891"/>
      <c r="F68" s="891"/>
      <c r="G68" s="891"/>
      <c r="H68" s="891"/>
      <c r="I68" s="891"/>
      <c r="J68" s="891"/>
      <c r="K68" s="891"/>
      <c r="L68" s="891"/>
      <c r="M68" s="891"/>
      <c r="N68" s="891"/>
      <c r="O68" s="891"/>
      <c r="P68" s="891"/>
    </row>
    <row r="69" spans="1:16">
      <c r="A69" s="891"/>
      <c r="B69" s="891"/>
      <c r="C69" s="891"/>
      <c r="D69" s="891"/>
      <c r="E69" s="891"/>
      <c r="F69" s="891"/>
      <c r="G69" s="891"/>
      <c r="H69" s="891"/>
      <c r="I69" s="891"/>
      <c r="J69" s="891"/>
      <c r="K69" s="891"/>
      <c r="L69" s="891"/>
      <c r="M69" s="891"/>
      <c r="N69" s="891"/>
      <c r="O69" s="891"/>
      <c r="P69" s="891"/>
    </row>
    <row r="70" spans="1:16">
      <c r="A70" s="891"/>
      <c r="B70" s="891"/>
      <c r="C70" s="891"/>
      <c r="D70" s="891"/>
      <c r="E70" s="891"/>
      <c r="F70" s="891"/>
      <c r="G70" s="891"/>
      <c r="H70" s="891"/>
      <c r="I70" s="891"/>
      <c r="J70" s="891"/>
      <c r="K70" s="891"/>
      <c r="L70" s="891"/>
      <c r="M70" s="891"/>
      <c r="N70" s="891"/>
      <c r="O70" s="891"/>
      <c r="P70" s="891"/>
    </row>
    <row r="71" spans="1:16">
      <c r="A71" s="891"/>
      <c r="B71" s="891"/>
      <c r="C71" s="891"/>
      <c r="D71" s="891"/>
      <c r="E71" s="891"/>
      <c r="F71" s="891"/>
      <c r="G71" s="891"/>
      <c r="H71" s="891"/>
      <c r="I71" s="891"/>
      <c r="J71" s="891"/>
      <c r="K71" s="891"/>
      <c r="L71" s="891"/>
      <c r="M71" s="891"/>
      <c r="N71" s="891"/>
      <c r="O71" s="891"/>
      <c r="P71" s="891"/>
    </row>
    <row r="72" spans="1:16">
      <c r="A72" s="891"/>
      <c r="B72" s="891"/>
      <c r="C72" s="891"/>
      <c r="D72" s="891"/>
      <c r="E72" s="891"/>
      <c r="F72" s="891"/>
      <c r="G72" s="891"/>
      <c r="H72" s="891"/>
      <c r="I72" s="891"/>
      <c r="J72" s="891"/>
      <c r="K72" s="891"/>
      <c r="L72" s="891"/>
      <c r="M72" s="891"/>
      <c r="N72" s="891"/>
      <c r="O72" s="891"/>
      <c r="P72" s="891"/>
    </row>
    <row r="73" spans="1:16">
      <c r="A73" s="891"/>
      <c r="B73" s="891"/>
      <c r="C73" s="891"/>
      <c r="D73" s="891"/>
      <c r="E73" s="891"/>
      <c r="F73" s="891"/>
      <c r="G73" s="891"/>
      <c r="H73" s="891"/>
      <c r="I73" s="891"/>
      <c r="J73" s="891"/>
      <c r="K73" s="891"/>
      <c r="L73" s="891"/>
      <c r="M73" s="891"/>
      <c r="N73" s="891"/>
      <c r="O73" s="891"/>
      <c r="P73" s="891"/>
    </row>
    <row r="74" spans="1:16">
      <c r="A74" s="891"/>
      <c r="B74" s="891"/>
      <c r="C74" s="891"/>
      <c r="D74" s="891"/>
      <c r="E74" s="891"/>
      <c r="F74" s="891"/>
      <c r="G74" s="891"/>
      <c r="H74" s="891"/>
      <c r="I74" s="891"/>
      <c r="J74" s="891"/>
      <c r="K74" s="891"/>
      <c r="L74" s="891"/>
      <c r="M74" s="891"/>
      <c r="N74" s="891"/>
      <c r="O74" s="891"/>
      <c r="P74" s="891"/>
    </row>
    <row r="75" spans="1:16">
      <c r="A75" s="891"/>
      <c r="B75" s="891"/>
      <c r="C75" s="891"/>
      <c r="D75" s="891"/>
      <c r="E75" s="891"/>
      <c r="F75" s="891"/>
      <c r="G75" s="891"/>
      <c r="H75" s="891"/>
      <c r="I75" s="891"/>
      <c r="J75" s="891"/>
      <c r="K75" s="891"/>
      <c r="L75" s="891"/>
      <c r="M75" s="891"/>
      <c r="N75" s="891"/>
      <c r="O75" s="891"/>
      <c r="P75" s="891"/>
    </row>
    <row r="76" spans="1:16">
      <c r="A76" s="891"/>
      <c r="B76" s="891"/>
      <c r="C76" s="891"/>
      <c r="D76" s="891"/>
      <c r="E76" s="891"/>
      <c r="F76" s="891"/>
      <c r="G76" s="891"/>
      <c r="H76" s="891"/>
      <c r="I76" s="891"/>
      <c r="J76" s="891"/>
      <c r="K76" s="891"/>
      <c r="L76" s="891"/>
      <c r="M76" s="891"/>
      <c r="N76" s="891"/>
      <c r="O76" s="891"/>
      <c r="P76" s="891"/>
    </row>
    <row r="77" spans="1:16">
      <c r="G77" s="8"/>
    </row>
    <row r="82" spans="7:7">
      <c r="G82" s="8"/>
    </row>
    <row r="122" spans="7:7">
      <c r="G122" s="8"/>
    </row>
    <row r="141" spans="7:7">
      <c r="G141" s="8"/>
    </row>
    <row r="161" spans="7:7">
      <c r="G161" s="8"/>
    </row>
    <row r="167" spans="7:7">
      <c r="G167" s="8"/>
    </row>
    <row r="171" spans="7:7">
      <c r="G171" s="8"/>
    </row>
    <row r="183" spans="7:7">
      <c r="G183" s="8"/>
    </row>
  </sheetData>
  <sheetProtection password="C9F9" sheet="1" objects="1" scenarios="1"/>
  <dataValidations count="1">
    <dataValidation type="list" allowBlank="1" showInputMessage="1" showErrorMessage="1" sqref="C3">
      <formula1>$E$4:$E$200</formula1>
    </dataValidation>
  </dataValidation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dimension ref="B411:C524"/>
  <sheetViews>
    <sheetView showGridLines="0" showRowColHeaders="0" workbookViewId="0">
      <selection activeCell="H461" sqref="H461"/>
    </sheetView>
  </sheetViews>
  <sheetFormatPr defaultRowHeight="15"/>
  <cols>
    <col min="2" max="2" width="9.140625" style="891"/>
    <col min="3" max="3" width="6.7109375" customWidth="1"/>
  </cols>
  <sheetData>
    <row r="411" spans="2:3" ht="24" customHeight="1">
      <c r="B411" s="919" t="s">
        <v>701</v>
      </c>
      <c r="C411" s="21"/>
    </row>
    <row r="412" spans="2:3" ht="24" customHeight="1">
      <c r="B412" s="919" t="s">
        <v>664</v>
      </c>
      <c r="C412" s="908"/>
    </row>
    <row r="413" spans="2:3" ht="24" customHeight="1">
      <c r="B413" s="919" t="s">
        <v>665</v>
      </c>
      <c r="C413" s="21"/>
    </row>
    <row r="414" spans="2:3" ht="24" customHeight="1">
      <c r="B414" s="919" t="s">
        <v>666</v>
      </c>
      <c r="C414" s="21"/>
    </row>
    <row r="415" spans="2:3" ht="24" customHeight="1">
      <c r="B415" s="919" t="s">
        <v>667</v>
      </c>
      <c r="C415" s="21"/>
    </row>
    <row r="416" spans="2:3" ht="24" customHeight="1">
      <c r="B416" s="919" t="s">
        <v>668</v>
      </c>
      <c r="C416" s="21"/>
    </row>
    <row r="417" spans="2:3" ht="24" customHeight="1">
      <c r="B417" s="919" t="s">
        <v>669</v>
      </c>
      <c r="C417" s="21"/>
    </row>
    <row r="418" spans="2:3" ht="24" customHeight="1">
      <c r="B418" s="919" t="s">
        <v>670</v>
      </c>
      <c r="C418" s="21"/>
    </row>
    <row r="419" spans="2:3" ht="24" customHeight="1">
      <c r="B419" s="919" t="s">
        <v>744</v>
      </c>
      <c r="C419" s="21"/>
    </row>
    <row r="420" spans="2:3" ht="24" customHeight="1">
      <c r="B420" s="919" t="s">
        <v>671</v>
      </c>
      <c r="C420" s="21"/>
    </row>
    <row r="421" spans="2:3" ht="24" customHeight="1">
      <c r="B421" s="919" t="s">
        <v>672</v>
      </c>
      <c r="C421" s="21"/>
    </row>
    <row r="422" spans="2:3" ht="24" customHeight="1">
      <c r="B422" s="919" t="s">
        <v>673</v>
      </c>
      <c r="C422" s="21"/>
    </row>
    <row r="423" spans="2:3" ht="24" customHeight="1">
      <c r="B423" s="919" t="s">
        <v>674</v>
      </c>
      <c r="C423" s="21"/>
    </row>
    <row r="424" spans="2:3" ht="24" customHeight="1">
      <c r="B424" s="919" t="s">
        <v>742</v>
      </c>
      <c r="C424" s="21"/>
    </row>
    <row r="425" spans="2:3" ht="24" customHeight="1">
      <c r="B425" s="919" t="s">
        <v>675</v>
      </c>
      <c r="C425" s="21"/>
    </row>
    <row r="426" spans="2:3" ht="24" customHeight="1">
      <c r="B426" s="919" t="s">
        <v>652</v>
      </c>
      <c r="C426" s="21"/>
    </row>
    <row r="427" spans="2:3" ht="24" customHeight="1">
      <c r="B427" s="919" t="s">
        <v>676</v>
      </c>
      <c r="C427" s="21"/>
    </row>
    <row r="428" spans="2:3" ht="24" customHeight="1">
      <c r="B428" s="919" t="s">
        <v>677</v>
      </c>
      <c r="C428" s="21"/>
    </row>
    <row r="429" spans="2:3" ht="24" customHeight="1">
      <c r="B429" s="919" t="s">
        <v>678</v>
      </c>
      <c r="C429" s="21"/>
    </row>
    <row r="430" spans="2:3" ht="24" customHeight="1">
      <c r="B430" s="919" t="s">
        <v>679</v>
      </c>
      <c r="C430" s="21"/>
    </row>
    <row r="431" spans="2:3" ht="24" customHeight="1">
      <c r="B431" s="919" t="s">
        <v>661</v>
      </c>
      <c r="C431" s="21"/>
    </row>
    <row r="432" spans="2:3" ht="24" customHeight="1">
      <c r="B432" s="919" t="s">
        <v>1439</v>
      </c>
      <c r="C432" s="21"/>
    </row>
    <row r="433" spans="2:3" ht="24" customHeight="1">
      <c r="B433" s="919" t="s">
        <v>680</v>
      </c>
      <c r="C433" s="21"/>
    </row>
    <row r="434" spans="2:3" ht="24" customHeight="1">
      <c r="B434" s="919" t="s">
        <v>565</v>
      </c>
      <c r="C434" s="21"/>
    </row>
    <row r="435" spans="2:3" ht="24" customHeight="1">
      <c r="B435" s="919" t="s">
        <v>681</v>
      </c>
      <c r="C435" s="21"/>
    </row>
    <row r="436" spans="2:3" ht="24" customHeight="1">
      <c r="B436" s="919" t="s">
        <v>1437</v>
      </c>
      <c r="C436" s="21"/>
    </row>
    <row r="437" spans="2:3" ht="24" customHeight="1">
      <c r="B437" s="919" t="s">
        <v>682</v>
      </c>
      <c r="C437" s="21"/>
    </row>
    <row r="438" spans="2:3" ht="24" customHeight="1">
      <c r="B438" s="919" t="s">
        <v>563</v>
      </c>
      <c r="C438" s="21"/>
    </row>
    <row r="439" spans="2:3" ht="24" customHeight="1">
      <c r="B439" s="919" t="s">
        <v>560</v>
      </c>
      <c r="C439" s="21"/>
    </row>
    <row r="440" spans="2:3" ht="24" customHeight="1">
      <c r="B440" s="919" t="s">
        <v>683</v>
      </c>
      <c r="C440" s="21"/>
    </row>
    <row r="441" spans="2:3" ht="24" customHeight="1">
      <c r="B441" s="919" t="s">
        <v>574</v>
      </c>
      <c r="C441" s="21"/>
    </row>
    <row r="442" spans="2:3" ht="24" customHeight="1">
      <c r="B442" s="919" t="s">
        <v>550</v>
      </c>
      <c r="C442" s="21"/>
    </row>
    <row r="443" spans="2:3" ht="24" customHeight="1">
      <c r="B443" s="919" t="s">
        <v>684</v>
      </c>
      <c r="C443" s="21"/>
    </row>
    <row r="444" spans="2:3" ht="24" customHeight="1">
      <c r="B444" s="919" t="s">
        <v>575</v>
      </c>
      <c r="C444" s="21"/>
    </row>
    <row r="445" spans="2:3" ht="24" customHeight="1">
      <c r="B445" s="919" t="s">
        <v>563</v>
      </c>
      <c r="C445" s="21"/>
    </row>
    <row r="446" spans="2:3" ht="24" customHeight="1">
      <c r="B446" s="919" t="s">
        <v>685</v>
      </c>
      <c r="C446" s="21"/>
    </row>
    <row r="447" spans="2:3" ht="24" customHeight="1">
      <c r="B447" s="919" t="s">
        <v>557</v>
      </c>
      <c r="C447" s="21"/>
    </row>
    <row r="448" spans="2:3" ht="24" customHeight="1">
      <c r="B448" s="919" t="s">
        <v>686</v>
      </c>
      <c r="C448" s="21"/>
    </row>
    <row r="449" spans="2:3" ht="24" customHeight="1">
      <c r="B449" s="919" t="s">
        <v>687</v>
      </c>
      <c r="C449" s="21"/>
    </row>
    <row r="450" spans="2:3" ht="24" customHeight="1">
      <c r="B450" s="919" t="s">
        <v>627</v>
      </c>
      <c r="C450" s="21"/>
    </row>
    <row r="451" spans="2:3" ht="24" customHeight="1">
      <c r="B451" s="919" t="s">
        <v>688</v>
      </c>
      <c r="C451" s="21"/>
    </row>
    <row r="452" spans="2:3" ht="24" customHeight="1">
      <c r="B452" s="919" t="s">
        <v>689</v>
      </c>
      <c r="C452" s="21"/>
    </row>
    <row r="453" spans="2:3" ht="24" customHeight="1">
      <c r="B453" s="919" t="s">
        <v>657</v>
      </c>
      <c r="C453" s="21"/>
    </row>
    <row r="454" spans="2:3" ht="24" customHeight="1">
      <c r="B454" s="919" t="s">
        <v>690</v>
      </c>
      <c r="C454" s="21"/>
    </row>
    <row r="455" spans="2:3" ht="24" customHeight="1">
      <c r="B455" s="919" t="s">
        <v>691</v>
      </c>
      <c r="C455" s="21"/>
    </row>
    <row r="456" spans="2:3" ht="24" customHeight="1">
      <c r="B456" s="919" t="s">
        <v>1438</v>
      </c>
      <c r="C456" s="21"/>
    </row>
    <row r="457" spans="2:3" ht="24" customHeight="1">
      <c r="B457" s="919" t="s">
        <v>692</v>
      </c>
      <c r="C457" s="21"/>
    </row>
    <row r="458" spans="2:3" ht="24" customHeight="1">
      <c r="B458" s="919" t="s">
        <v>595</v>
      </c>
      <c r="C458" s="21"/>
    </row>
    <row r="459" spans="2:3" ht="24" customHeight="1">
      <c r="B459" s="919" t="s">
        <v>693</v>
      </c>
      <c r="C459" s="21"/>
    </row>
    <row r="460" spans="2:3" ht="24" customHeight="1">
      <c r="B460" s="919" t="s">
        <v>694</v>
      </c>
      <c r="C460" s="21"/>
    </row>
    <row r="461" spans="2:3" ht="24" customHeight="1">
      <c r="B461" s="919" t="s">
        <v>695</v>
      </c>
      <c r="C461" s="21"/>
    </row>
    <row r="462" spans="2:3" ht="24" customHeight="1">
      <c r="B462" s="919" t="s">
        <v>696</v>
      </c>
      <c r="C462" s="21"/>
    </row>
    <row r="463" spans="2:3" ht="24" customHeight="1">
      <c r="B463" s="919" t="s">
        <v>697</v>
      </c>
      <c r="C463" s="21"/>
    </row>
    <row r="464" spans="2:3" ht="24" customHeight="1">
      <c r="B464" s="919" t="s">
        <v>698</v>
      </c>
      <c r="C464" s="21"/>
    </row>
    <row r="465" spans="2:3" ht="24" customHeight="1">
      <c r="B465" s="919" t="s">
        <v>655</v>
      </c>
      <c r="C465" s="21"/>
    </row>
    <row r="466" spans="2:3" ht="24" customHeight="1">
      <c r="B466" s="919" t="s">
        <v>699</v>
      </c>
      <c r="C466" s="21"/>
    </row>
    <row r="467" spans="2:3" ht="24" customHeight="1">
      <c r="B467" s="919" t="s">
        <v>700</v>
      </c>
      <c r="C467" s="21"/>
    </row>
    <row r="468" spans="2:3" ht="24" customHeight="1">
      <c r="B468" s="919" t="s">
        <v>701</v>
      </c>
      <c r="C468" s="21"/>
    </row>
    <row r="469" spans="2:3" ht="24" customHeight="1">
      <c r="B469" s="919" t="s">
        <v>702</v>
      </c>
      <c r="C469" s="21"/>
    </row>
    <row r="470" spans="2:3" ht="24" customHeight="1">
      <c r="B470" s="919" t="s">
        <v>747</v>
      </c>
      <c r="C470" s="21"/>
    </row>
    <row r="471" spans="2:3" ht="24" customHeight="1">
      <c r="B471" s="919" t="s">
        <v>703</v>
      </c>
      <c r="C471" s="21"/>
    </row>
    <row r="472" spans="2:3" ht="24" customHeight="1">
      <c r="B472" s="919" t="s">
        <v>704</v>
      </c>
      <c r="C472" s="21"/>
    </row>
    <row r="473" spans="2:3" ht="24" customHeight="1">
      <c r="B473" s="919" t="s">
        <v>551</v>
      </c>
      <c r="C473" s="21"/>
    </row>
    <row r="474" spans="2:3" ht="24" customHeight="1">
      <c r="B474" s="919" t="s">
        <v>705</v>
      </c>
      <c r="C474" s="21"/>
    </row>
    <row r="475" spans="2:3" ht="24" customHeight="1">
      <c r="B475" s="919" t="s">
        <v>660</v>
      </c>
      <c r="C475" s="21"/>
    </row>
    <row r="476" spans="2:3" ht="24" customHeight="1">
      <c r="B476" s="919" t="s">
        <v>706</v>
      </c>
      <c r="C476" s="21"/>
    </row>
    <row r="477" spans="2:3" ht="24" customHeight="1">
      <c r="B477" s="919" t="s">
        <v>745</v>
      </c>
      <c r="C477" s="21"/>
    </row>
    <row r="478" spans="2:3" ht="24" customHeight="1">
      <c r="B478" s="919" t="s">
        <v>598</v>
      </c>
      <c r="C478" s="21"/>
    </row>
    <row r="479" spans="2:3" ht="24" customHeight="1">
      <c r="B479" s="919" t="s">
        <v>707</v>
      </c>
      <c r="C479" s="21"/>
    </row>
    <row r="480" spans="2:3" ht="24" customHeight="1">
      <c r="B480" s="919" t="s">
        <v>708</v>
      </c>
      <c r="C480" s="21"/>
    </row>
    <row r="481" spans="2:3" ht="24" customHeight="1">
      <c r="B481" s="919" t="s">
        <v>709</v>
      </c>
      <c r="C481" s="21"/>
    </row>
    <row r="482" spans="2:3" ht="24" customHeight="1">
      <c r="B482" s="919" t="s">
        <v>658</v>
      </c>
      <c r="C482" s="21"/>
    </row>
    <row r="483" spans="2:3" ht="24" customHeight="1">
      <c r="B483" s="919" t="s">
        <v>710</v>
      </c>
      <c r="C483" s="21"/>
    </row>
    <row r="484" spans="2:3" ht="24" customHeight="1">
      <c r="B484" s="919" t="s">
        <v>711</v>
      </c>
      <c r="C484" s="21"/>
    </row>
    <row r="485" spans="2:3" ht="24" customHeight="1">
      <c r="B485" s="919" t="s">
        <v>712</v>
      </c>
      <c r="C485" s="21"/>
    </row>
    <row r="486" spans="2:3" ht="24" customHeight="1">
      <c r="B486" s="919" t="s">
        <v>713</v>
      </c>
      <c r="C486" s="21"/>
    </row>
    <row r="487" spans="2:3" ht="24" customHeight="1">
      <c r="B487" s="919" t="s">
        <v>714</v>
      </c>
      <c r="C487" s="21"/>
    </row>
    <row r="488" spans="2:3" ht="24" customHeight="1">
      <c r="B488" s="919" t="s">
        <v>596</v>
      </c>
      <c r="C488" s="21"/>
    </row>
    <row r="489" spans="2:3" ht="24" customHeight="1">
      <c r="B489" s="919" t="s">
        <v>715</v>
      </c>
      <c r="C489" s="21"/>
    </row>
    <row r="490" spans="2:3" ht="24" customHeight="1">
      <c r="B490" s="919" t="s">
        <v>662</v>
      </c>
      <c r="C490" s="21"/>
    </row>
    <row r="491" spans="2:3" ht="24" customHeight="1">
      <c r="B491" s="919" t="s">
        <v>716</v>
      </c>
      <c r="C491" s="21"/>
    </row>
    <row r="492" spans="2:3" ht="24" customHeight="1">
      <c r="B492" s="919" t="s">
        <v>659</v>
      </c>
      <c r="C492" s="21"/>
    </row>
    <row r="493" spans="2:3" ht="24" customHeight="1">
      <c r="B493" s="919" t="s">
        <v>647</v>
      </c>
      <c r="C493" s="21"/>
    </row>
    <row r="494" spans="2:3" ht="24" customHeight="1">
      <c r="B494" s="919" t="s">
        <v>717</v>
      </c>
      <c r="C494" s="21"/>
    </row>
    <row r="495" spans="2:3" ht="24" customHeight="1">
      <c r="B495" s="919" t="s">
        <v>718</v>
      </c>
      <c r="C495" s="21"/>
    </row>
    <row r="496" spans="2:3" ht="24" customHeight="1">
      <c r="B496" s="919" t="s">
        <v>719</v>
      </c>
      <c r="C496" s="21"/>
    </row>
    <row r="497" spans="2:3" ht="24" customHeight="1">
      <c r="B497" s="919" t="s">
        <v>720</v>
      </c>
      <c r="C497" s="21"/>
    </row>
    <row r="498" spans="2:3" ht="24" customHeight="1">
      <c r="B498" s="919" t="s">
        <v>721</v>
      </c>
      <c r="C498" s="21"/>
    </row>
    <row r="499" spans="2:3" ht="24" customHeight="1">
      <c r="B499" s="919" t="s">
        <v>722</v>
      </c>
      <c r="C499" s="21"/>
    </row>
    <row r="500" spans="2:3" ht="24" customHeight="1">
      <c r="B500" s="919" t="s">
        <v>723</v>
      </c>
      <c r="C500" s="21"/>
    </row>
    <row r="501" spans="2:3" ht="24" customHeight="1">
      <c r="B501" s="919" t="s">
        <v>724</v>
      </c>
      <c r="C501" s="21"/>
    </row>
    <row r="502" spans="2:3" ht="24" customHeight="1">
      <c r="B502" s="919" t="s">
        <v>725</v>
      </c>
      <c r="C502" s="21"/>
    </row>
    <row r="503" spans="2:3" ht="24" customHeight="1">
      <c r="B503" s="919" t="s">
        <v>726</v>
      </c>
      <c r="C503" s="21"/>
    </row>
    <row r="504" spans="2:3" ht="24" customHeight="1">
      <c r="B504" s="919" t="s">
        <v>703</v>
      </c>
      <c r="C504" s="21"/>
    </row>
    <row r="505" spans="2:3" ht="24" customHeight="1">
      <c r="B505" s="919" t="s">
        <v>727</v>
      </c>
      <c r="C505" s="21"/>
    </row>
    <row r="506" spans="2:3" ht="24" customHeight="1">
      <c r="B506" s="919" t="s">
        <v>728</v>
      </c>
      <c r="C506" s="21"/>
    </row>
    <row r="507" spans="2:3" ht="24" customHeight="1">
      <c r="B507" s="919" t="s">
        <v>729</v>
      </c>
      <c r="C507" s="21"/>
    </row>
    <row r="508" spans="2:3" ht="24" customHeight="1">
      <c r="B508" s="919" t="s">
        <v>552</v>
      </c>
      <c r="C508" s="21"/>
    </row>
    <row r="509" spans="2:3" ht="24" customHeight="1">
      <c r="B509" s="919" t="s">
        <v>730</v>
      </c>
      <c r="C509" s="21"/>
    </row>
    <row r="510" spans="2:3" ht="24" customHeight="1">
      <c r="B510" s="919" t="s">
        <v>731</v>
      </c>
      <c r="C510" s="21"/>
    </row>
    <row r="511" spans="2:3" ht="24" customHeight="1">
      <c r="B511" s="919" t="s">
        <v>732</v>
      </c>
      <c r="C511" s="21"/>
    </row>
    <row r="512" spans="2:3" ht="24" customHeight="1">
      <c r="B512" s="919" t="s">
        <v>733</v>
      </c>
      <c r="C512" s="21"/>
    </row>
    <row r="513" spans="2:3" ht="24" customHeight="1">
      <c r="B513" s="919" t="s">
        <v>734</v>
      </c>
      <c r="C513" s="21"/>
    </row>
    <row r="514" spans="2:3" ht="24" customHeight="1">
      <c r="B514" s="919" t="s">
        <v>735</v>
      </c>
      <c r="C514" s="21"/>
    </row>
    <row r="515" spans="2:3" ht="24" customHeight="1">
      <c r="B515" s="919" t="s">
        <v>736</v>
      </c>
      <c r="C515" s="21"/>
    </row>
    <row r="516" spans="2:3" ht="24" customHeight="1">
      <c r="B516" s="919" t="s">
        <v>737</v>
      </c>
      <c r="C516" s="21"/>
    </row>
    <row r="517" spans="2:3" ht="24" customHeight="1">
      <c r="B517" s="919" t="s">
        <v>738</v>
      </c>
      <c r="C517" s="21"/>
    </row>
    <row r="518" spans="2:3" ht="24" customHeight="1">
      <c r="B518" s="919" t="s">
        <v>739</v>
      </c>
      <c r="C518" s="21"/>
    </row>
    <row r="519" spans="2:3" ht="24" customHeight="1">
      <c r="B519" s="919" t="s">
        <v>612</v>
      </c>
      <c r="C519" s="21"/>
    </row>
    <row r="520" spans="2:3" ht="24" customHeight="1">
      <c r="B520" s="919" t="s">
        <v>740</v>
      </c>
      <c r="C520" s="21"/>
    </row>
    <row r="521" spans="2:3" ht="24" customHeight="1">
      <c r="B521" s="919" t="s">
        <v>743</v>
      </c>
      <c r="C521" s="21"/>
    </row>
    <row r="522" spans="2:3" ht="24" customHeight="1">
      <c r="B522" s="919" t="s">
        <v>749</v>
      </c>
      <c r="C522" s="21"/>
    </row>
    <row r="523" spans="2:3" ht="24" customHeight="1">
      <c r="B523" s="919" t="s">
        <v>1362</v>
      </c>
      <c r="C523" s="21"/>
    </row>
    <row r="524" spans="2:3" ht="24" customHeight="1"/>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dimension ref="A1:M30"/>
  <sheetViews>
    <sheetView showGridLines="0" showRowColHeaders="0" workbookViewId="0"/>
  </sheetViews>
  <sheetFormatPr defaultRowHeight="21"/>
  <cols>
    <col min="1" max="2" width="9.140625" style="9"/>
    <col min="3" max="3" width="9.140625" style="85"/>
    <col min="4" max="4" width="19" customWidth="1"/>
    <col min="5" max="5" width="7" style="153" hidden="1" customWidth="1"/>
    <col min="6" max="6" width="9.28515625" style="153" hidden="1" customWidth="1"/>
    <col min="7" max="7" width="14.140625" style="85" customWidth="1"/>
    <col min="8" max="8" width="13.42578125" customWidth="1"/>
    <col min="9" max="9" width="16.28515625" customWidth="1"/>
    <col min="10" max="10" width="20.7109375" hidden="1" customWidth="1"/>
    <col min="11" max="11" width="12.28515625" customWidth="1"/>
    <col min="12" max="12" width="15" customWidth="1"/>
  </cols>
  <sheetData>
    <row r="1" spans="3:13">
      <c r="D1" s="784" t="s">
        <v>1433</v>
      </c>
    </row>
    <row r="2" spans="3:13" ht="33.75">
      <c r="C2" s="130"/>
      <c r="D2" s="130"/>
      <c r="E2" s="149"/>
      <c r="F2" s="149"/>
      <c r="G2" s="164" t="s">
        <v>400</v>
      </c>
      <c r="H2" s="130"/>
      <c r="I2" s="130"/>
      <c r="J2" s="130"/>
      <c r="K2" s="130"/>
      <c r="L2" s="130"/>
    </row>
    <row r="3" spans="3:13">
      <c r="C3" s="130"/>
      <c r="D3" s="149"/>
      <c r="E3" s="149"/>
      <c r="F3" s="149"/>
      <c r="G3" s="130"/>
      <c r="H3" s="130"/>
      <c r="I3" s="130"/>
      <c r="J3" s="130"/>
      <c r="K3" s="130"/>
      <c r="L3" s="130"/>
    </row>
    <row r="4" spans="3:13">
      <c r="C4" s="130"/>
      <c r="D4" s="149"/>
      <c r="E4" s="149"/>
      <c r="F4" s="149"/>
      <c r="G4" s="95"/>
      <c r="H4" s="95"/>
      <c r="I4" s="130"/>
      <c r="J4" s="130"/>
      <c r="K4" s="95"/>
      <c r="L4" s="154"/>
    </row>
    <row r="5" spans="3:13" ht="38.25" customHeight="1">
      <c r="C5" s="96"/>
      <c r="D5" s="878" t="s">
        <v>1379</v>
      </c>
      <c r="E5" s="95"/>
      <c r="F5" s="95"/>
      <c r="G5" s="838" t="str">
        <f>Report!P411</f>
        <v>Tucson (USD)</v>
      </c>
      <c r="H5" s="838" t="str">
        <f>Report!Q411</f>
        <v>Dubai (USD)</v>
      </c>
      <c r="I5" s="165" t="s">
        <v>1381</v>
      </c>
      <c r="J5" s="868"/>
      <c r="K5" s="158" t="str">
        <f>"Total ("&amp;Report!Q132&amp;")"</f>
        <v>Total (USD)</v>
      </c>
      <c r="L5" s="154" t="str">
        <f>"Total ("&amp;Report!Q132&amp;")"</f>
        <v>Total (USD)</v>
      </c>
    </row>
    <row r="6" spans="3:13">
      <c r="C6" s="839" t="str">
        <f>'Full Report'!C24</f>
        <v>Milk (regular), 1 liter</v>
      </c>
      <c r="D6" s="843"/>
      <c r="E6" s="844">
        <v>1</v>
      </c>
      <c r="G6" s="862">
        <f>'Full Report'!F24</f>
        <v>1.81</v>
      </c>
      <c r="H6" s="862">
        <f>'Full Report'!H24</f>
        <v>1.45</v>
      </c>
      <c r="I6" s="904">
        <v>20</v>
      </c>
      <c r="J6" s="866">
        <f>I6+0</f>
        <v>20</v>
      </c>
      <c r="K6" s="864">
        <f t="shared" ref="K6:K14" si="0">G6*J6</f>
        <v>36.200000000000003</v>
      </c>
      <c r="L6" s="864">
        <f t="shared" ref="L6:L14" si="1">J6*H6</f>
        <v>29</v>
      </c>
      <c r="M6" s="175"/>
    </row>
    <row r="7" spans="3:13">
      <c r="C7" s="841" t="str">
        <f>'Full Report'!C25</f>
        <v>White Bread (500g)</v>
      </c>
      <c r="D7" s="845"/>
      <c r="E7" s="846">
        <v>0.5</v>
      </c>
      <c r="G7" s="863">
        <f>'Full Report'!F25</f>
        <v>2.96</v>
      </c>
      <c r="H7" s="863">
        <f>'Full Report'!H25</f>
        <v>1.1100000000000001</v>
      </c>
      <c r="I7" s="905">
        <v>15</v>
      </c>
      <c r="J7" s="867">
        <f t="shared" ref="J7:J16" si="2">I7+0</f>
        <v>15</v>
      </c>
      <c r="K7" s="865">
        <f t="shared" si="0"/>
        <v>44.4</v>
      </c>
      <c r="L7" s="865">
        <f t="shared" si="1"/>
        <v>16.650000000000002</v>
      </c>
      <c r="M7" s="59"/>
    </row>
    <row r="8" spans="3:13">
      <c r="C8" s="839" t="str">
        <f>'Full Report'!C26</f>
        <v>Rice (1kg)</v>
      </c>
      <c r="D8" s="843"/>
      <c r="E8" s="844">
        <v>1</v>
      </c>
      <c r="G8" s="862">
        <f>'Full Report'!F26</f>
        <v>3.5</v>
      </c>
      <c r="H8" s="862">
        <f>'Full Report'!H26</f>
        <v>1.36</v>
      </c>
      <c r="I8" s="904">
        <v>5</v>
      </c>
      <c r="J8" s="866">
        <f t="shared" si="2"/>
        <v>5</v>
      </c>
      <c r="K8" s="864">
        <f t="shared" si="0"/>
        <v>17.5</v>
      </c>
      <c r="L8" s="864">
        <f t="shared" si="1"/>
        <v>6.8000000000000007</v>
      </c>
      <c r="M8" s="59"/>
    </row>
    <row r="9" spans="3:13">
      <c r="C9" s="841" t="str">
        <f>'Full Report'!C27</f>
        <v>Eggs (12)</v>
      </c>
      <c r="D9" s="845"/>
      <c r="E9" s="846">
        <v>12</v>
      </c>
      <c r="G9" s="863">
        <f>'Full Report'!F27</f>
        <v>2.37</v>
      </c>
      <c r="H9" s="863">
        <f>'Full Report'!H27</f>
        <v>2.4900000000000002</v>
      </c>
      <c r="I9" s="905">
        <v>5</v>
      </c>
      <c r="J9" s="867">
        <f t="shared" si="2"/>
        <v>5</v>
      </c>
      <c r="K9" s="865">
        <f t="shared" si="0"/>
        <v>11.850000000000001</v>
      </c>
      <c r="L9" s="865">
        <f t="shared" si="1"/>
        <v>12.450000000000001</v>
      </c>
      <c r="M9" s="59"/>
    </row>
    <row r="10" spans="3:13">
      <c r="C10" s="839" t="str">
        <f>'Full Report'!C28</f>
        <v>Local Cheese (1kg)</v>
      </c>
      <c r="D10" s="843"/>
      <c r="E10" s="844">
        <v>1</v>
      </c>
      <c r="G10" s="862">
        <f>'Full Report'!F28</f>
        <v>11</v>
      </c>
      <c r="H10" s="862">
        <f>'Full Report'!H28</f>
        <v>8.85</v>
      </c>
      <c r="I10" s="904">
        <v>5</v>
      </c>
      <c r="J10" s="866">
        <f t="shared" si="2"/>
        <v>5</v>
      </c>
      <c r="K10" s="864">
        <f t="shared" si="0"/>
        <v>55</v>
      </c>
      <c r="L10" s="864">
        <f t="shared" si="1"/>
        <v>44.25</v>
      </c>
      <c r="M10" s="59"/>
    </row>
    <row r="11" spans="3:13">
      <c r="C11" s="841" t="str">
        <f>'Full Report'!C29</f>
        <v>Boneless Chicken Breasts (1kg)</v>
      </c>
      <c r="D11" s="845"/>
      <c r="E11" s="846">
        <v>1</v>
      </c>
      <c r="G11" s="863">
        <f>'Full Report'!F29</f>
        <v>11.01</v>
      </c>
      <c r="H11" s="863">
        <f>'Full Report'!H29</f>
        <v>6.75</v>
      </c>
      <c r="I11" s="905">
        <v>7</v>
      </c>
      <c r="J11" s="867">
        <f t="shared" si="2"/>
        <v>7</v>
      </c>
      <c r="K11" s="865">
        <f t="shared" si="0"/>
        <v>77.069999999999993</v>
      </c>
      <c r="L11" s="865">
        <f t="shared" si="1"/>
        <v>47.25</v>
      </c>
      <c r="M11" s="59"/>
    </row>
    <row r="12" spans="3:13">
      <c r="C12" s="839" t="str">
        <f>'Full Report'!C30</f>
        <v>Apples (1kg)</v>
      </c>
      <c r="D12" s="843"/>
      <c r="E12" s="844">
        <v>1</v>
      </c>
      <c r="G12" s="862">
        <f>'Full Report'!F30</f>
        <v>2.84</v>
      </c>
      <c r="H12" s="862">
        <f>'Full Report'!H30</f>
        <v>2.1800000000000002</v>
      </c>
      <c r="I12" s="904">
        <v>1</v>
      </c>
      <c r="J12" s="866">
        <f t="shared" si="2"/>
        <v>1</v>
      </c>
      <c r="K12" s="864">
        <f t="shared" si="0"/>
        <v>2.84</v>
      </c>
      <c r="L12" s="864">
        <f t="shared" si="1"/>
        <v>2.1800000000000002</v>
      </c>
      <c r="M12" s="59"/>
    </row>
    <row r="13" spans="3:13">
      <c r="C13" s="841" t="str">
        <f>'Full Report'!C31</f>
        <v>Oranges (1kg)</v>
      </c>
      <c r="D13" s="845"/>
      <c r="E13" s="846">
        <v>1</v>
      </c>
      <c r="G13" s="863">
        <f>'Full Report'!F31</f>
        <v>4</v>
      </c>
      <c r="H13" s="863">
        <f>'Full Report'!H31</f>
        <v>1.91</v>
      </c>
      <c r="I13" s="905">
        <v>1</v>
      </c>
      <c r="J13" s="867">
        <f t="shared" si="2"/>
        <v>1</v>
      </c>
      <c r="K13" s="865">
        <f t="shared" si="0"/>
        <v>4</v>
      </c>
      <c r="L13" s="865">
        <f t="shared" si="1"/>
        <v>1.91</v>
      </c>
    </row>
    <row r="14" spans="3:13">
      <c r="C14" s="839" t="str">
        <f>'Full Report'!C32</f>
        <v>Tomato (1kg)</v>
      </c>
      <c r="D14" s="843"/>
      <c r="E14" s="844">
        <v>1</v>
      </c>
      <c r="G14" s="862">
        <f>'Full Report'!F32</f>
        <v>4</v>
      </c>
      <c r="H14" s="862">
        <f>'Full Report'!H32</f>
        <v>1.36</v>
      </c>
      <c r="I14" s="904">
        <v>8</v>
      </c>
      <c r="J14" s="866">
        <f t="shared" si="2"/>
        <v>8</v>
      </c>
      <c r="K14" s="864">
        <f t="shared" si="0"/>
        <v>32</v>
      </c>
      <c r="L14" s="864">
        <f t="shared" si="1"/>
        <v>10.88</v>
      </c>
    </row>
    <row r="15" spans="3:13">
      <c r="C15" s="841" t="str">
        <f>'Full Report'!C33</f>
        <v>Potato (1kg)</v>
      </c>
      <c r="D15" s="845"/>
      <c r="E15" s="846">
        <v>1</v>
      </c>
      <c r="G15" s="863">
        <f>'Full Report'!F33</f>
        <v>3.09</v>
      </c>
      <c r="H15" s="863">
        <f>'Full Report'!H33</f>
        <v>1</v>
      </c>
      <c r="I15" s="904">
        <v>2</v>
      </c>
      <c r="J15" s="866">
        <f t="shared" si="2"/>
        <v>2</v>
      </c>
      <c r="K15" s="865">
        <f t="shared" ref="K15:K18" si="3">G15*J15</f>
        <v>6.18</v>
      </c>
      <c r="L15" s="865">
        <f t="shared" ref="L15:L18" si="4">J15*H15</f>
        <v>2</v>
      </c>
    </row>
    <row r="16" spans="3:13">
      <c r="C16" s="839" t="str">
        <f>'Full Report'!C34</f>
        <v>Lettuce (1 head)</v>
      </c>
      <c r="D16" s="843"/>
      <c r="E16" s="844">
        <v>1</v>
      </c>
      <c r="G16" s="862">
        <f>'Full Report'!F34</f>
        <v>1.75</v>
      </c>
      <c r="H16" s="862">
        <f>'Full Report'!H34</f>
        <v>1.36</v>
      </c>
      <c r="I16" s="905">
        <v>1</v>
      </c>
      <c r="J16" s="867">
        <f t="shared" si="2"/>
        <v>1</v>
      </c>
      <c r="K16" s="864">
        <f t="shared" si="3"/>
        <v>1.75</v>
      </c>
      <c r="L16" s="864">
        <f t="shared" si="4"/>
        <v>1.36</v>
      </c>
    </row>
    <row r="17" spans="3:13">
      <c r="C17" s="841" t="str">
        <f>'Full Report'!C35</f>
        <v>Water (1.5 liter bottle)</v>
      </c>
      <c r="D17" s="845"/>
      <c r="E17" s="846">
        <v>1.5</v>
      </c>
      <c r="G17" s="863">
        <f>'Full Report'!F35</f>
        <v>1.5</v>
      </c>
      <c r="H17" s="863">
        <f>'Full Report'!H35</f>
        <v>0.54</v>
      </c>
      <c r="I17" s="904">
        <v>30</v>
      </c>
      <c r="J17" s="866">
        <f>I17+0.0000000001</f>
        <v>30.000000000099998</v>
      </c>
      <c r="K17" s="865">
        <f t="shared" si="3"/>
        <v>45.000000000149996</v>
      </c>
      <c r="L17" s="865">
        <f t="shared" si="4"/>
        <v>16.200000000054001</v>
      </c>
    </row>
    <row r="18" spans="3:13">
      <c r="C18" s="839" t="str">
        <f>'Full Report'!C36</f>
        <v>Bottle of Wine (Mid-Range)</v>
      </c>
      <c r="D18" s="843"/>
      <c r="E18" s="844"/>
      <c r="G18" s="862">
        <f>'Full Report'!F36</f>
        <v>10</v>
      </c>
      <c r="H18" s="862">
        <f>'Full Report'!H36</f>
        <v>20</v>
      </c>
      <c r="I18" s="905">
        <v>5</v>
      </c>
      <c r="J18" s="867">
        <f>I18+0</f>
        <v>5</v>
      </c>
      <c r="K18" s="864">
        <f t="shared" si="3"/>
        <v>50</v>
      </c>
      <c r="L18" s="864">
        <f t="shared" si="4"/>
        <v>100</v>
      </c>
    </row>
    <row r="19" spans="3:13">
      <c r="C19" s="841" t="str">
        <f>'Full Report'!C37</f>
        <v>Domestic Beer (0.5 liter bottle)</v>
      </c>
      <c r="D19" s="845"/>
      <c r="E19" s="846">
        <v>0.5</v>
      </c>
      <c r="G19" s="863">
        <f>'Full Report'!F37</f>
        <v>1.74</v>
      </c>
      <c r="H19" s="863">
        <f>'Full Report'!H37</f>
        <v>6.81</v>
      </c>
      <c r="I19" s="904">
        <v>0</v>
      </c>
      <c r="J19" s="866">
        <f t="shared" ref="J19:J21" si="5">I19+0</f>
        <v>0</v>
      </c>
      <c r="K19" s="865">
        <f>G19*J19</f>
        <v>0</v>
      </c>
      <c r="L19" s="865">
        <f>J19*H19</f>
        <v>0</v>
      </c>
    </row>
    <row r="20" spans="3:13">
      <c r="C20" s="839" t="str">
        <f>'Full Report'!C38</f>
        <v>Imported Beer (0.33 liter bottle)</v>
      </c>
      <c r="D20" s="843"/>
      <c r="E20" s="844">
        <v>0.33</v>
      </c>
      <c r="G20" s="862">
        <f>'Full Report'!F38</f>
        <v>2.14</v>
      </c>
      <c r="H20" s="862">
        <f>'Full Report'!H38</f>
        <v>6.81</v>
      </c>
      <c r="I20" s="905">
        <v>5</v>
      </c>
      <c r="J20" s="867">
        <f t="shared" si="5"/>
        <v>5</v>
      </c>
      <c r="K20" s="864">
        <f>G20*J20</f>
        <v>10.700000000000001</v>
      </c>
      <c r="L20" s="864">
        <f>J20*H20</f>
        <v>34.049999999999997</v>
      </c>
    </row>
    <row r="21" spans="3:13">
      <c r="C21" s="841" t="str">
        <f>'Full Report'!C39</f>
        <v>Pack of Cigarettes (20's)</v>
      </c>
      <c r="D21" s="845"/>
      <c r="E21" s="846">
        <v>20</v>
      </c>
      <c r="G21" s="863">
        <f>'Full Report'!F39</f>
        <v>6.99</v>
      </c>
      <c r="H21" s="863">
        <f>'Full Report'!H39</f>
        <v>2.4</v>
      </c>
      <c r="I21" s="904">
        <v>0</v>
      </c>
      <c r="J21" s="866">
        <f t="shared" si="5"/>
        <v>0</v>
      </c>
      <c r="K21" s="865">
        <f>G21*J21</f>
        <v>0</v>
      </c>
      <c r="L21" s="865">
        <f>J21*H21</f>
        <v>0</v>
      </c>
    </row>
    <row r="22" spans="3:13" ht="21.75" thickBot="1">
      <c r="C22" s="839"/>
      <c r="D22" s="103"/>
      <c r="E22" s="103"/>
      <c r="F22" s="103"/>
      <c r="G22" s="862"/>
      <c r="H22" s="862"/>
      <c r="I22" s="862"/>
      <c r="J22" s="867"/>
      <c r="K22" s="858">
        <f>SUM(K6:K21)</f>
        <v>394.49000000015002</v>
      </c>
      <c r="L22" s="858">
        <f>SUM(L6:L21)</f>
        <v>324.98000000005402</v>
      </c>
    </row>
    <row r="23" spans="3:13" ht="21.75" thickTop="1">
      <c r="C23" s="841"/>
      <c r="D23" s="100"/>
      <c r="E23" s="157"/>
      <c r="F23" s="157"/>
      <c r="G23" s="863"/>
      <c r="H23" s="863"/>
      <c r="I23" s="157"/>
      <c r="J23" s="157"/>
      <c r="K23" s="157"/>
      <c r="L23" s="157"/>
    </row>
    <row r="24" spans="3:13" ht="45" customHeight="1">
      <c r="C24" s="100"/>
      <c r="D24" s="939" t="s">
        <v>1427</v>
      </c>
      <c r="E24" s="939"/>
      <c r="F24" s="939"/>
      <c r="G24" s="939"/>
      <c r="H24" s="939"/>
      <c r="I24" s="939"/>
      <c r="J24" s="939"/>
      <c r="K24" s="939"/>
      <c r="L24" s="157"/>
    </row>
    <row r="25" spans="3:13">
      <c r="C25" s="834"/>
      <c r="D25" s="100" t="s">
        <v>0</v>
      </c>
      <c r="E25" s="100"/>
      <c r="F25" s="100"/>
      <c r="G25" s="100"/>
      <c r="H25" s="100"/>
      <c r="I25" s="100"/>
      <c r="J25" s="100"/>
      <c r="K25" s="100"/>
      <c r="L25" s="100"/>
    </row>
    <row r="26" spans="3:13">
      <c r="C26" s="100"/>
      <c r="D26" s="100"/>
      <c r="E26" s="100"/>
      <c r="F26" s="100"/>
      <c r="G26" s="100"/>
      <c r="H26" s="100"/>
      <c r="I26" s="100"/>
      <c r="J26" s="100"/>
      <c r="K26" s="100"/>
      <c r="L26" s="100"/>
    </row>
    <row r="27" spans="3:13">
      <c r="C27" s="836"/>
      <c r="E27"/>
      <c r="F27" s="150"/>
      <c r="G27" s="148"/>
      <c r="H27" s="172"/>
      <c r="I27" s="172"/>
      <c r="J27" s="173" t="s">
        <v>0</v>
      </c>
      <c r="K27" s="173"/>
      <c r="L27" s="173"/>
      <c r="M27" s="10"/>
    </row>
    <row r="28" spans="3:13">
      <c r="C28"/>
      <c r="E28"/>
      <c r="F28" s="151"/>
      <c r="G28" s="35"/>
      <c r="H28" s="78"/>
      <c r="I28" s="78"/>
      <c r="J28" s="174" t="s">
        <v>0</v>
      </c>
      <c r="K28" s="174"/>
      <c r="L28" s="78"/>
      <c r="M28" s="10"/>
    </row>
    <row r="29" spans="3:13">
      <c r="D29" s="10"/>
      <c r="E29" s="150"/>
      <c r="F29" s="150"/>
      <c r="G29" s="35"/>
      <c r="H29" s="78"/>
      <c r="I29" s="78"/>
      <c r="J29" s="78"/>
      <c r="K29" s="78"/>
      <c r="L29" s="78"/>
      <c r="M29" s="10"/>
    </row>
    <row r="30" spans="3:13">
      <c r="D30" s="10"/>
      <c r="E30" s="152"/>
      <c r="F30" s="152"/>
      <c r="G30" s="35"/>
      <c r="H30" s="10"/>
      <c r="I30" s="10"/>
      <c r="J30" s="10"/>
      <c r="K30" s="10"/>
      <c r="L30" s="10"/>
      <c r="M30" s="10"/>
    </row>
  </sheetData>
  <sheetProtection password="C9F9" sheet="1" objects="1" scenarios="1"/>
  <mergeCells count="1">
    <mergeCell ref="D24:K24"/>
  </mergeCells>
  <pageMargins left="0.7" right="0.7" top="0.75" bottom="0.75" header="0.3" footer="0.3"/>
  <pageSetup orientation="portrait" verticalDpi="0" r:id="rId1"/>
  <ignoredErrors>
    <ignoredError sqref="J17" formula="1"/>
  </ignoredErrors>
  <drawing r:id="rId2"/>
  <legacyDrawing r:id="rId3"/>
  <picture r:id="rId4"/>
</worksheet>
</file>

<file path=xl/worksheets/sheet9.xml><?xml version="1.0" encoding="utf-8"?>
<worksheet xmlns="http://schemas.openxmlformats.org/spreadsheetml/2006/main" xmlns:r="http://schemas.openxmlformats.org/officeDocument/2006/relationships">
  <dimension ref="A1:M16"/>
  <sheetViews>
    <sheetView showGridLines="0" showRowColHeaders="0" workbookViewId="0"/>
  </sheetViews>
  <sheetFormatPr defaultRowHeight="21"/>
  <cols>
    <col min="1" max="1" width="8.140625" style="9" customWidth="1"/>
    <col min="2" max="2" width="7" style="9" customWidth="1"/>
    <col min="6" max="6" width="6.42578125" customWidth="1"/>
    <col min="7" max="9" width="14.7109375" customWidth="1"/>
    <col min="10" max="10" width="20.7109375" hidden="1" customWidth="1"/>
    <col min="11" max="11" width="13.7109375" customWidth="1"/>
    <col min="12" max="12" width="16.28515625" customWidth="1"/>
    <col min="13" max="13" width="9.5703125" bestFit="1" customWidth="1"/>
  </cols>
  <sheetData>
    <row r="1" spans="3:13">
      <c r="D1" s="784" t="s">
        <v>1433</v>
      </c>
    </row>
    <row r="2" spans="3:13" ht="33.75">
      <c r="C2" s="130"/>
      <c r="D2" s="130"/>
      <c r="E2" s="130"/>
      <c r="F2" s="130"/>
      <c r="G2" s="161" t="str">
        <f>'Full Report'!C41</f>
        <v>Transportation</v>
      </c>
      <c r="H2" s="130"/>
      <c r="I2" s="130"/>
      <c r="J2" s="130"/>
      <c r="K2" s="130"/>
      <c r="L2" s="130"/>
    </row>
    <row r="3" spans="3:13">
      <c r="C3" s="130"/>
      <c r="D3" s="130"/>
      <c r="E3" s="130"/>
      <c r="F3" s="130"/>
      <c r="G3" s="130"/>
      <c r="H3" s="130"/>
      <c r="I3" s="130"/>
      <c r="J3" s="130"/>
      <c r="K3" s="130"/>
      <c r="L3" s="130"/>
    </row>
    <row r="4" spans="3:13">
      <c r="C4" s="130"/>
      <c r="D4" s="130"/>
      <c r="E4" s="130"/>
      <c r="F4" s="130"/>
      <c r="G4" s="155"/>
      <c r="H4" s="155"/>
      <c r="I4" s="130"/>
      <c r="J4" s="130"/>
      <c r="K4" s="155"/>
      <c r="L4" s="154"/>
    </row>
    <row r="5" spans="3:13" ht="38.25">
      <c r="C5" s="96"/>
      <c r="D5" s="159" t="s">
        <v>1379</v>
      </c>
      <c r="E5" s="95"/>
      <c r="F5" s="95"/>
      <c r="G5" s="159" t="str">
        <f>Report!P411</f>
        <v>Tucson (USD)</v>
      </c>
      <c r="H5" s="159" t="str">
        <f>Report!Q411</f>
        <v>Dubai (USD)</v>
      </c>
      <c r="I5" s="165" t="s">
        <v>1380</v>
      </c>
      <c r="J5" s="165" t="s">
        <v>767</v>
      </c>
      <c r="K5" s="159" t="str">
        <f>"Total ("&amp;Report!Q132&amp;")"</f>
        <v>Total (USD)</v>
      </c>
      <c r="L5" s="154" t="str">
        <f>"Total ("&amp;Report!Q132&amp;")"</f>
        <v>Total (USD)</v>
      </c>
      <c r="M5" s="59"/>
    </row>
    <row r="6" spans="3:13">
      <c r="C6" s="839" t="str">
        <f>'Full Report'!C42</f>
        <v>One-way Ticket (Public Transport)</v>
      </c>
      <c r="D6" s="840"/>
      <c r="E6" s="840"/>
      <c r="F6" s="840"/>
      <c r="G6" s="862">
        <f>'Full Report'!F42</f>
        <v>1.5</v>
      </c>
      <c r="H6" s="862">
        <f>'Full Report'!H42</f>
        <v>1.33</v>
      </c>
      <c r="I6" s="869">
        <v>20</v>
      </c>
      <c r="J6" s="786">
        <f>I6+0</f>
        <v>20</v>
      </c>
      <c r="K6" s="862">
        <f>G6*J6</f>
        <v>30</v>
      </c>
      <c r="L6" s="900">
        <f>H6*J6</f>
        <v>26.6</v>
      </c>
      <c r="M6" s="59"/>
    </row>
    <row r="7" spans="3:13">
      <c r="C7" s="841" t="str">
        <f>'Full Report'!C43</f>
        <v>Monthly Pass (Regular Price)</v>
      </c>
      <c r="D7" s="842"/>
      <c r="E7" s="842"/>
      <c r="F7" s="842"/>
      <c r="G7" s="863">
        <f>'Full Report'!F43</f>
        <v>30</v>
      </c>
      <c r="H7" s="863">
        <f>'Full Report'!H43</f>
        <v>54.45</v>
      </c>
      <c r="I7" s="869">
        <v>1</v>
      </c>
      <c r="J7" s="786">
        <f t="shared" ref="J7:J11" si="0">I7+0</f>
        <v>1</v>
      </c>
      <c r="K7" s="863">
        <f t="shared" ref="K7:K11" si="1">G7*J7</f>
        <v>30</v>
      </c>
      <c r="L7" s="901">
        <f t="shared" ref="L7:L11" si="2">H7*J7</f>
        <v>54.45</v>
      </c>
      <c r="M7" s="59"/>
    </row>
    <row r="8" spans="3:13">
      <c r="C8" s="839" t="str">
        <f>'Full Report'!C44</f>
        <v>Taxi Start (Normal Tariff)</v>
      </c>
      <c r="D8" s="840"/>
      <c r="E8" s="840"/>
      <c r="F8" s="840"/>
      <c r="G8" s="862">
        <f>'Full Report'!F44</f>
        <v>3.35</v>
      </c>
      <c r="H8" s="862">
        <f>'Full Report'!H44</f>
        <v>0.95</v>
      </c>
      <c r="I8" s="869">
        <v>30</v>
      </c>
      <c r="J8" s="786">
        <f t="shared" si="0"/>
        <v>30</v>
      </c>
      <c r="K8" s="862">
        <f t="shared" si="1"/>
        <v>100.5</v>
      </c>
      <c r="L8" s="900">
        <f t="shared" si="2"/>
        <v>28.5</v>
      </c>
      <c r="M8" s="59"/>
    </row>
    <row r="9" spans="3:13">
      <c r="C9" s="841" t="str">
        <f>'Full Report'!C45</f>
        <v>Taxi 1km (Normal Tariff)</v>
      </c>
      <c r="D9" s="842"/>
      <c r="E9" s="842"/>
      <c r="F9" s="842"/>
      <c r="G9" s="863">
        <f>'Full Report'!F45</f>
        <v>2.17</v>
      </c>
      <c r="H9" s="863">
        <f>'Full Report'!H45</f>
        <v>0.45</v>
      </c>
      <c r="I9" s="869">
        <v>30</v>
      </c>
      <c r="J9" s="786">
        <f>I9+0.0000001</f>
        <v>30.000000100000001</v>
      </c>
      <c r="K9" s="863">
        <f t="shared" si="1"/>
        <v>65.100000217000002</v>
      </c>
      <c r="L9" s="901">
        <f t="shared" si="2"/>
        <v>13.500000045</v>
      </c>
      <c r="M9" s="59"/>
    </row>
    <row r="10" spans="3:13">
      <c r="C10" s="839" t="str">
        <f>'Full Report'!C46</f>
        <v>Taxi 1hour Waiting (Normal Tariff)</v>
      </c>
      <c r="D10" s="840"/>
      <c r="E10" s="840"/>
      <c r="F10" s="840"/>
      <c r="G10" s="862">
        <f>'Full Report'!F46</f>
        <v>40</v>
      </c>
      <c r="H10" s="862">
        <f>'Full Report'!H46</f>
        <v>8.17</v>
      </c>
      <c r="I10" s="869">
        <v>0</v>
      </c>
      <c r="J10" s="786">
        <f t="shared" si="0"/>
        <v>0</v>
      </c>
      <c r="K10" s="862">
        <f t="shared" si="1"/>
        <v>0</v>
      </c>
      <c r="L10" s="900">
        <f t="shared" si="2"/>
        <v>0</v>
      </c>
      <c r="M10" s="59"/>
    </row>
    <row r="11" spans="3:13">
      <c r="C11" s="841" t="str">
        <f>'Full Report'!C47</f>
        <v>Petrol fuel (1 liter)</v>
      </c>
      <c r="D11" s="842"/>
      <c r="E11" s="842"/>
      <c r="F11" s="842"/>
      <c r="G11" s="863">
        <f>'Full Report'!F47</f>
        <v>0.85</v>
      </c>
      <c r="H11" s="863">
        <f>'Full Report'!H47</f>
        <v>0.48</v>
      </c>
      <c r="I11" s="869">
        <v>22</v>
      </c>
      <c r="J11" s="786">
        <f t="shared" si="0"/>
        <v>22</v>
      </c>
      <c r="K11" s="863">
        <f t="shared" si="1"/>
        <v>18.7</v>
      </c>
      <c r="L11" s="901">
        <f t="shared" si="2"/>
        <v>10.559999999999999</v>
      </c>
      <c r="M11" s="59"/>
    </row>
    <row r="12" spans="3:13" ht="21.75" thickBot="1">
      <c r="C12" s="837"/>
      <c r="D12" s="103"/>
      <c r="E12" s="103"/>
      <c r="F12" s="103"/>
      <c r="G12" s="862"/>
      <c r="H12" s="862"/>
      <c r="I12" s="103"/>
      <c r="J12" s="103"/>
      <c r="K12" s="835">
        <f>SUM(K6:K11)</f>
        <v>244.30000021699999</v>
      </c>
      <c r="L12" s="835">
        <f>SUM(L6:L11)</f>
        <v>133.61000004500002</v>
      </c>
      <c r="M12" s="168"/>
    </row>
    <row r="13" spans="3:13" ht="37.5" customHeight="1" thickTop="1">
      <c r="C13" s="95"/>
      <c r="D13" s="939"/>
      <c r="E13" s="939"/>
      <c r="F13" s="939"/>
      <c r="G13" s="939"/>
      <c r="H13" s="939"/>
      <c r="I13" s="939"/>
      <c r="J13" s="939"/>
      <c r="K13" s="939"/>
      <c r="L13" s="95"/>
    </row>
    <row r="14" spans="3:13">
      <c r="C14" s="100"/>
      <c r="D14" s="939"/>
      <c r="E14" s="939"/>
      <c r="F14" s="939"/>
      <c r="G14" s="939"/>
      <c r="H14" s="939"/>
      <c r="I14" s="939"/>
      <c r="J14" s="939"/>
      <c r="K14" s="939"/>
      <c r="L14" s="100"/>
    </row>
    <row r="15" spans="3:13">
      <c r="C15" s="100"/>
      <c r="D15" s="100"/>
      <c r="E15" s="100"/>
      <c r="F15" s="100"/>
      <c r="G15" s="100"/>
      <c r="H15" s="100"/>
      <c r="I15" s="100"/>
      <c r="J15" s="100"/>
      <c r="K15" s="100"/>
      <c r="L15" s="100"/>
    </row>
    <row r="16" spans="3:13">
      <c r="C16" s="836"/>
    </row>
  </sheetData>
  <sheetProtection password="C9F9" sheet="1" objects="1" scenarios="1"/>
  <mergeCells count="2">
    <mergeCell ref="D14:K14"/>
    <mergeCell ref="D13:K13"/>
  </mergeCells>
  <pageMargins left="0.7" right="0.7" top="0.75" bottom="0.75" header="0.3" footer="0.3"/>
  <pageSetup orientation="portrait" verticalDpi="0" r:id="rId1"/>
  <ignoredErrors>
    <ignoredError sqref="J9" formula="1"/>
  </ignoredErrors>
  <drawing r:id="rId2"/>
  <legacyDrawing r:id="rId3"/>
  <pictur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START</vt:lpstr>
      <vt:lpstr>Info</vt:lpstr>
      <vt:lpstr>Eating Out</vt:lpstr>
      <vt:lpstr>Database</vt:lpstr>
      <vt:lpstr>CPI</vt:lpstr>
      <vt:lpstr>Currency</vt:lpstr>
      <vt:lpstr>flag</vt:lpstr>
      <vt:lpstr>Groceries</vt:lpstr>
      <vt:lpstr>Transportation</vt:lpstr>
      <vt:lpstr>Utilities</vt:lpstr>
      <vt:lpstr>Recreation</vt:lpstr>
      <vt:lpstr>Apparel and Footwear</vt:lpstr>
      <vt:lpstr>Accomodation</vt:lpstr>
      <vt:lpstr>Full Report</vt:lpstr>
      <vt:lpstr>Summary</vt:lpstr>
      <vt:lpstr>Report</vt:lpstr>
      <vt:lpstr>Data</vt:lpstr>
      <vt:lpstr>Disclaimer</vt:lpstr>
      <vt:lpstr>Report!Print_Area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Aspire V2000</dc:creator>
  <cp:lastModifiedBy>Ameer</cp:lastModifiedBy>
  <cp:lastPrinted>2016-08-25T08:06:23Z</cp:lastPrinted>
  <dcterms:created xsi:type="dcterms:W3CDTF">2013-10-09T08:50:15Z</dcterms:created>
  <dcterms:modified xsi:type="dcterms:W3CDTF">2016-09-14T00:12:03Z</dcterms:modified>
</cp:coreProperties>
</file>